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 Projects\PG10 Procurement Tool v2\"/>
    </mc:Choice>
  </mc:AlternateContent>
  <xr:revisionPtr revIDLastSave="0" documentId="13_ncr:1_{9EC4BB6F-E6BE-4F37-8010-84DFBC419E11}" xr6:coauthVersionLast="47" xr6:coauthVersionMax="47" xr10:uidLastSave="{00000000-0000-0000-0000-000000000000}"/>
  <bookViews>
    <workbookView xWindow="28680" yWindow="-120" windowWidth="29040" windowHeight="15720" tabRatio="674" firstSheet="263" activeTab="276" xr2:uid="{00000000-000D-0000-FFFF-FFFF00000000}"/>
  </bookViews>
  <sheets>
    <sheet name="PG10" sheetId="13" r:id="rId1"/>
    <sheet name="0" sheetId="2" r:id="rId2"/>
    <sheet name="0.1" sheetId="244" r:id="rId3"/>
    <sheet name="0.2" sheetId="107" r:id="rId4"/>
    <sheet name="0.3" sheetId="108" r:id="rId5"/>
    <sheet name="0.3.1" sheetId="160" r:id="rId6"/>
    <sheet name="0.4" sheetId="240" r:id="rId7"/>
    <sheet name="0.4.1" sheetId="242" r:id="rId8"/>
    <sheet name="0.5" sheetId="241" r:id="rId9"/>
    <sheet name="0.6" sheetId="161" r:id="rId10"/>
    <sheet name="0.6.1" sheetId="237" r:id="rId11"/>
    <sheet name="0.7" sheetId="238" r:id="rId12"/>
    <sheet name="0.8" sheetId="239" r:id="rId13"/>
    <sheet name="0.9" sheetId="126" r:id="rId14"/>
    <sheet name="0.10" sheetId="125" r:id="rId15"/>
    <sheet name="0.11" sheetId="243" r:id="rId16"/>
    <sheet name="0.12" sheetId="292" r:id="rId17"/>
    <sheet name="1" sheetId="14" r:id="rId18"/>
    <sheet name="1.1" sheetId="47" r:id="rId19"/>
    <sheet name="1.1.1" sheetId="54" r:id="rId20"/>
    <sheet name="1.1.2" sheetId="55" r:id="rId21"/>
    <sheet name="1.1.3" sheetId="56" r:id="rId22"/>
    <sheet name="1.1.4" sheetId="57" r:id="rId23"/>
    <sheet name="1.1.5" sheetId="58" r:id="rId24"/>
    <sheet name="1.1.6" sheetId="59" r:id="rId25"/>
    <sheet name="1.1.7" sheetId="60" r:id="rId26"/>
    <sheet name="1.1.8" sheetId="61" r:id="rId27"/>
    <sheet name="1.1.9" sheetId="62" r:id="rId28"/>
    <sheet name="1.1.10" sheetId="63" r:id="rId29"/>
    <sheet name="1.1.11" sheetId="74" r:id="rId30"/>
    <sheet name="1.1.11.1" sheetId="76" r:id="rId31"/>
    <sheet name="1.1.13" sheetId="77" r:id="rId32"/>
    <sheet name="1.1.14" sheetId="78" r:id="rId33"/>
    <sheet name="1.1.15" sheetId="79" r:id="rId34"/>
    <sheet name="1.1.16" sheetId="81" r:id="rId35"/>
    <sheet name="1.1.17" sheetId="293" r:id="rId36"/>
    <sheet name="1.2" sheetId="48" r:id="rId37"/>
    <sheet name="1.2.1" sheetId="64" r:id="rId38"/>
    <sheet name="1.2.2" sheetId="65" r:id="rId39"/>
    <sheet name="1.2.3" sheetId="66" r:id="rId40"/>
    <sheet name="1.3" sheetId="49" r:id="rId41"/>
    <sheet name="1.3.1" sheetId="67" r:id="rId42"/>
    <sheet name="1.3.2" sheetId="68" r:id="rId43"/>
    <sheet name="1.3.4" sheetId="70" r:id="rId44"/>
    <sheet name="1.3.5" sheetId="71" r:id="rId45"/>
    <sheet name="1.3.6" sheetId="72" r:id="rId46"/>
    <sheet name="1.3.7" sheetId="119" r:id="rId47"/>
    <sheet name="1.4" sheetId="50" r:id="rId48"/>
    <sheet name="1.4.1" sheetId="80" r:id="rId49"/>
    <sheet name="1.4.2" sheetId="260" r:id="rId50"/>
    <sheet name="1.5" sheetId="51" r:id="rId51"/>
    <sheet name="1.6" sheetId="52" r:id="rId52"/>
    <sheet name="1.7" sheetId="53" r:id="rId53"/>
    <sheet name="1.7.1" sheetId="73" r:id="rId54"/>
    <sheet name="2" sheetId="109" r:id="rId55"/>
    <sheet name="2.1" sheetId="112" r:id="rId56"/>
    <sheet name="2.1.1" sheetId="115" r:id="rId57"/>
    <sheet name="2.1.2" sheetId="206" r:id="rId58"/>
    <sheet name="2.1.3" sheetId="207" r:id="rId59"/>
    <sheet name="2.1.4" sheetId="251" r:id="rId60"/>
    <sheet name="2.1.5" sheetId="252" r:id="rId61"/>
    <sheet name="2.1.6" sheetId="320" r:id="rId62"/>
    <sheet name="2.1.7" sheetId="321" r:id="rId63"/>
    <sheet name="2.1.8" sheetId="322" r:id="rId64"/>
    <sheet name="2.2" sheetId="113" r:id="rId65"/>
    <sheet name="2.2.1" sheetId="275" r:id="rId66"/>
    <sheet name="2.2.1.1" sheetId="262" r:id="rId67"/>
    <sheet name="2.2.1.2" sheetId="289" r:id="rId68"/>
    <sheet name="2.2.2" sheetId="276" r:id="rId69"/>
    <sheet name="2.2.3" sheetId="277" r:id="rId70"/>
    <sheet name="2.2.4" sheetId="278" r:id="rId71"/>
    <sheet name="2.2.5" sheetId="305" r:id="rId72"/>
    <sheet name="2.2.6" sheetId="306" r:id="rId73"/>
    <sheet name="2.3" sheetId="114" r:id="rId74"/>
    <sheet name="2.3.1" sheetId="116" r:id="rId75"/>
    <sheet name="2.3.4" sheetId="117" r:id="rId76"/>
    <sheet name="2.3.7" sheetId="118" r:id="rId77"/>
    <sheet name="2.3.8" sheetId="330" r:id="rId78"/>
    <sheet name="3" sheetId="110" r:id="rId79"/>
    <sheet name="3.1" sheetId="166" r:id="rId80"/>
    <sheet name="3.1.1" sheetId="168" r:id="rId81"/>
    <sheet name="3.1.2" sheetId="169" r:id="rId82"/>
    <sheet name="3.1.3" sheetId="315" r:id="rId83"/>
    <sheet name="3.1.4" sheetId="316" r:id="rId84"/>
    <sheet name="3.1.5" sheetId="317" r:id="rId85"/>
    <sheet name="3.1.6" sheetId="318" r:id="rId86"/>
    <sheet name="3.1.7" sheetId="319" r:id="rId87"/>
    <sheet name="3.2" sheetId="167" r:id="rId88"/>
    <sheet name="3.2.1" sheetId="253" r:id="rId89"/>
    <sheet name="3.2.1.1" sheetId="254" r:id="rId90"/>
    <sheet name="3.2.1.2" sheetId="256" r:id="rId91"/>
    <sheet name="3.2.2" sheetId="255" r:id="rId92"/>
    <sheet name="3.2.3" sheetId="257" r:id="rId93"/>
    <sheet name="3.2.4" sheetId="258" r:id="rId94"/>
    <sheet name="3.2.5" sheetId="279" r:id="rId95"/>
    <sheet name="3.2.6" sheetId="280" r:id="rId96"/>
    <sheet name="3.2.7" sheetId="281" r:id="rId97"/>
    <sheet name="3.2.8" sheetId="282" r:id="rId98"/>
    <sheet name="3.2.9" sheetId="307" r:id="rId99"/>
    <sheet name="3.2.10" sheetId="308" r:id="rId100"/>
    <sheet name="3.4" sheetId="209" r:id="rId101"/>
    <sheet name="4" sheetId="111" r:id="rId102"/>
    <sheet name="4.1" sheetId="177" r:id="rId103"/>
    <sheet name="4.1.1" sheetId="182" r:id="rId104"/>
    <sheet name="4.1.2" sheetId="183" r:id="rId105"/>
    <sheet name="4.1.3" sheetId="184" r:id="rId106"/>
    <sheet name="4.1.4" sheetId="185" r:id="rId107"/>
    <sheet name="4.1.5" sheetId="186" r:id="rId108"/>
    <sheet name="4.1.6" sheetId="268" r:id="rId109"/>
    <sheet name="4.1.7" sheetId="269" r:id="rId110"/>
    <sheet name="4.1.8" sheetId="270" r:id="rId111"/>
    <sheet name="4.1.9" sheetId="272" r:id="rId112"/>
    <sheet name="4.1.10" sheetId="273" r:id="rId113"/>
    <sheet name="4.1.11" sheetId="274" r:id="rId114"/>
    <sheet name="4.1.12" sheetId="295" r:id="rId115"/>
    <sheet name="4.1.13" sheetId="323" r:id="rId116"/>
    <sheet name="4.1.14" sheetId="324" r:id="rId117"/>
    <sheet name="4.1.15" sheetId="325" r:id="rId118"/>
    <sheet name="4.1.16" sheetId="326" r:id="rId119"/>
    <sheet name="4.1.17" sheetId="327" r:id="rId120"/>
    <sheet name="4.1.18" sheetId="328" r:id="rId121"/>
    <sheet name="4.1.19" sheetId="329" r:id="rId122"/>
    <sheet name="4.2" sheetId="178" r:id="rId123"/>
    <sheet name="4.2.1" sheetId="187" r:id="rId124"/>
    <sheet name="4.2.2" sheetId="290" r:id="rId125"/>
    <sheet name="4.2.3" sheetId="291" r:id="rId126"/>
    <sheet name="4.2.4" sheetId="283" r:id="rId127"/>
    <sheet name="4.2.5" sheetId="284" r:id="rId128"/>
    <sheet name="4.2.6" sheetId="285" r:id="rId129"/>
    <sheet name="4.2.7" sheetId="286" r:id="rId130"/>
    <sheet name="4.2.8" sheetId="287" r:id="rId131"/>
    <sheet name="4.2.9" sheetId="288" r:id="rId132"/>
    <sheet name="4.2.10" sheetId="309" r:id="rId133"/>
    <sheet name="4.2.11" sheetId="310" r:id="rId134"/>
    <sheet name="4.2.12" sheetId="311" r:id="rId135"/>
    <sheet name="4.3" sheetId="165" r:id="rId136"/>
    <sheet name="4.4" sheetId="179" r:id="rId137"/>
    <sheet name="4.4.1" sheetId="188" r:id="rId138"/>
    <sheet name="4.4.2" sheetId="189" r:id="rId139"/>
    <sheet name="4.5" sheetId="180" r:id="rId140"/>
    <sheet name="4.5.1" sheetId="190" r:id="rId141"/>
    <sheet name="4.6" sheetId="181" r:id="rId142"/>
    <sheet name="4.7" sheetId="313" r:id="rId143"/>
    <sheet name="4.7.1" sheetId="314" r:id="rId144"/>
    <sheet name="5" sheetId="191" r:id="rId145"/>
    <sheet name="5.1" sheetId="231" r:id="rId146"/>
    <sheet name="5.1.1" sheetId="227" r:id="rId147"/>
    <sheet name="5.2" sheetId="192" r:id="rId148"/>
    <sheet name="5.3" sheetId="193" r:id="rId149"/>
    <sheet name="5.4" sheetId="194" r:id="rId150"/>
    <sheet name="5.4.1" sheetId="198" r:id="rId151"/>
    <sheet name="5.4.2" sheetId="199" r:id="rId152"/>
    <sheet name="5.5" sheetId="200" r:id="rId153"/>
    <sheet name="5.5.1" sheetId="202" r:id="rId154"/>
    <sheet name="5.5.2" sheetId="203" r:id="rId155"/>
    <sheet name="5.5.2.1" sheetId="205" r:id="rId156"/>
    <sheet name="5.5.3" sheetId="204" r:id="rId157"/>
    <sheet name="5.5.4" sheetId="228" r:id="rId158"/>
    <sheet name="5.6" sheetId="201" r:id="rId159"/>
    <sheet name="5.6.1" sheetId="229" r:id="rId160"/>
    <sheet name="5.6.2" sheetId="230" r:id="rId161"/>
    <sheet name="5.7" sheetId="195" r:id="rId162"/>
    <sheet name="6" sheetId="127" r:id="rId163"/>
    <sheet name="6.1" sheetId="128" r:id="rId164"/>
    <sheet name="6.1.1" sheetId="196" r:id="rId165"/>
    <sheet name="6.1.2" sheetId="197" r:id="rId166"/>
    <sheet name="6.2" sheetId="129" r:id="rId167"/>
    <sheet name="6.2.1" sheetId="159" r:id="rId168"/>
    <sheet name="6.2.1.1" sheetId="133" r:id="rId169"/>
    <sheet name="6.2.1.2" sheetId="147" r:id="rId170"/>
    <sheet name="6.2.1.3" sheetId="148" r:id="rId171"/>
    <sheet name="6.2.1.4" sheetId="149" r:id="rId172"/>
    <sheet name="6.2.1.5" sheetId="294" r:id="rId173"/>
    <sheet name="6.2.2" sheetId="145" r:id="rId174"/>
    <sheet name="6.2.3" sheetId="146" r:id="rId175"/>
    <sheet name="6.2.3.1" sheetId="296" r:id="rId176"/>
    <sheet name="6.2.3.2" sheetId="302" r:id="rId177"/>
    <sheet name="6.2.3.3" sheetId="303" r:id="rId178"/>
    <sheet name="6.3" sheetId="130" r:id="rId179"/>
    <sheet name="6.3.1" sheetId="150" r:id="rId180"/>
    <sheet name="6.3.1.1" sheetId="154" r:id="rId181"/>
    <sheet name="6.3.1.2" sheetId="155" r:id="rId182"/>
    <sheet name="6.3.1.3" sheetId="156" r:id="rId183"/>
    <sheet name="6.3.1.4" sheetId="157" r:id="rId184"/>
    <sheet name="6.3.2" sheetId="162" r:id="rId185"/>
    <sheet name="6.3.3" sheetId="163" r:id="rId186"/>
    <sheet name="6.4" sheetId="131" r:id="rId187"/>
    <sheet name="6.5" sheetId="164" r:id="rId188"/>
    <sheet name="6.6" sheetId="235" r:id="rId189"/>
    <sheet name="6.6.1" sheetId="299" r:id="rId190"/>
    <sheet name="6.6.2" sheetId="300" r:id="rId191"/>
    <sheet name="6.7" sheetId="234" r:id="rId192"/>
    <sheet name="6.8" sheetId="233" r:id="rId193"/>
    <sheet name="6.9" sheetId="232" r:id="rId194"/>
    <sheet name="6.10" sheetId="236" r:id="rId195"/>
    <sheet name="6.10.1" sheetId="301" r:id="rId196"/>
    <sheet name="6.10.2" sheetId="304" r:id="rId197"/>
    <sheet name="7" sheetId="82" r:id="rId198"/>
    <sheet name="7.1" sheetId="83" r:id="rId199"/>
    <sheet name="7.1.1" sheetId="84" r:id="rId200"/>
    <sheet name="7.1.2" sheetId="91" r:id="rId201"/>
    <sheet name="7.1.3" sheetId="92" r:id="rId202"/>
    <sheet name="7.1.4" sheetId="140" r:id="rId203"/>
    <sheet name="7.1.5" sheetId="141" r:id="rId204"/>
    <sheet name="7.2" sheetId="85" r:id="rId205"/>
    <sheet name="7.2.1" sheetId="93" r:id="rId206"/>
    <sheet name="7.2.2" sheetId="94" r:id="rId207"/>
    <sheet name="7.2.3" sheetId="95" r:id="rId208"/>
    <sheet name="7.2.4" sheetId="96" r:id="rId209"/>
    <sheet name="7.2.5" sheetId="97" r:id="rId210"/>
    <sheet name="7.2.6" sheetId="98" r:id="rId211"/>
    <sheet name="7.2.7" sheetId="99" r:id="rId212"/>
    <sheet name="7.2.8" sheetId="100" r:id="rId213"/>
    <sheet name="7.2.9" sheetId="134" r:id="rId214"/>
    <sheet name="7.2.10" sheetId="263" r:id="rId215"/>
    <sheet name="7.3" sheetId="86" r:id="rId216"/>
    <sheet name="7.3.1" sheetId="101" r:id="rId217"/>
    <sheet name="7.3.2" sheetId="102" r:id="rId218"/>
    <sheet name="7.4" sheetId="87" r:id="rId219"/>
    <sheet name="7.5" sheetId="88" r:id="rId220"/>
    <sheet name="7.6" sheetId="89" r:id="rId221"/>
    <sheet name="7.6.1" sheetId="103" r:id="rId222"/>
    <sheet name="7.6.2" sheetId="105" r:id="rId223"/>
    <sheet name="7.7" sheetId="90" r:id="rId224"/>
    <sheet name="7.7.1" sheetId="104" r:id="rId225"/>
    <sheet name="8" sheetId="120" r:id="rId226"/>
    <sheet name="8.1" sheetId="121" r:id="rId227"/>
    <sheet name="8.1.1" sheetId="135" r:id="rId228"/>
    <sheet name="8.1.2" sheetId="144" r:id="rId229"/>
    <sheet name="8.1.3" sheetId="137" r:id="rId230"/>
    <sheet name="8.1.4" sheetId="138" r:id="rId231"/>
    <sheet name="8.1.5" sheetId="139" r:id="rId232"/>
    <sheet name="8.2" sheetId="122" r:id="rId233"/>
    <sheet name="8.2.1" sheetId="142" r:id="rId234"/>
    <sheet name="8.2.2" sheetId="143" r:id="rId235"/>
    <sheet name="8.3" sheetId="123" r:id="rId236"/>
    <sheet name="8.4" sheetId="124" r:id="rId237"/>
    <sheet name="9" sheetId="170" r:id="rId238"/>
    <sheet name="9.1" sheetId="171" r:id="rId239"/>
    <sheet name="9.2" sheetId="172" r:id="rId240"/>
    <sheet name="9.3" sheetId="173" r:id="rId241"/>
    <sheet name="9.4" sheetId="174" r:id="rId242"/>
    <sheet name="9.5" sheetId="175" r:id="rId243"/>
    <sheet name="10" sheetId="210" r:id="rId244"/>
    <sheet name="10.1" sheetId="211" r:id="rId245"/>
    <sheet name="10.1.1" sheetId="212" r:id="rId246"/>
    <sheet name="10.1.2" sheetId="215" r:id="rId247"/>
    <sheet name="10.1.3" sheetId="216" r:id="rId248"/>
    <sheet name="10.1.4" sheetId="217" r:id="rId249"/>
    <sheet name="10.1.5" sheetId="245" r:id="rId250"/>
    <sheet name="10.1.6" sheetId="246" r:id="rId251"/>
    <sheet name="10.1.7" sheetId="247" r:id="rId252"/>
    <sheet name="10.1.8" sheetId="248" r:id="rId253"/>
    <sheet name="10.1.9" sheetId="249" r:id="rId254"/>
    <sheet name="10.1.10" sheetId="250" r:id="rId255"/>
    <sheet name="10.1.11" sheetId="259" r:id="rId256"/>
    <sheet name="10.1.12" sheetId="297" r:id="rId257"/>
    <sheet name="10.1.13" sheetId="312" r:id="rId258"/>
    <sheet name="10.2" sheetId="213" r:id="rId259"/>
    <sheet name="10.2.1" sheetId="218" r:id="rId260"/>
    <sheet name="10.2.2" sheetId="219" r:id="rId261"/>
    <sheet name="10.2.3" sheetId="220" r:id="rId262"/>
    <sheet name="10.2.4" sheetId="221" r:id="rId263"/>
    <sheet name="10.2.5" sheetId="222" r:id="rId264"/>
    <sheet name="10.2.6" sheetId="223" r:id="rId265"/>
    <sheet name="10.2.7" sheetId="224" r:id="rId266"/>
    <sheet name="10.2.8" sheetId="225" r:id="rId267"/>
    <sheet name="10.3" sheetId="214" r:id="rId268"/>
    <sheet name="10.3.1" sheetId="226" r:id="rId269"/>
    <sheet name="11" sheetId="264" r:id="rId270"/>
    <sheet name="11.1" sheetId="267" r:id="rId271"/>
    <sheet name="11.2" sheetId="266" r:id="rId272"/>
    <sheet name="11.3" sheetId="265" r:id="rId273"/>
    <sheet name="12" sheetId="298" r:id="rId274"/>
    <sheet name="Assemblies" sheetId="31" r:id="rId275"/>
    <sheet name="Machined" sheetId="29" r:id="rId276"/>
    <sheet name="Purchased" sheetId="28" r:id="rId277"/>
    <sheet name="Extrusion" sheetId="30" r:id="rId278"/>
    <sheet name="Bolts" sheetId="27" r:id="rId279"/>
    <sheet name="BLANK" sheetId="106" r:id="rId280"/>
  </sheets>
  <functionGroups builtInGroupCount="19"/>
  <definedNames>
    <definedName name="_xlnm._FilterDatabase" localSheetId="163" hidden="1">'6.1'!$A$1:$Q$7</definedName>
    <definedName name="_xlnm._FilterDatabase" localSheetId="278" hidden="1">Bolts!$A$1:$L$1</definedName>
    <definedName name="_xlnm._FilterDatabase" localSheetId="277" hidden="1">Extrusion!$A$1:$V$1</definedName>
    <definedName name="_xlnm._FilterDatabase" localSheetId="275" hidden="1">Machined!$A$1:$AC$132</definedName>
    <definedName name="_xlnm._FilterDatabase" localSheetId="276" hidden="1">Purchased!$A$1:$R$1</definedName>
    <definedName name="Assy">#REF!</definedName>
    <definedName name="_xlnm.Print_Area" localSheetId="1">'0'!$A$1:$O$28</definedName>
    <definedName name="_xlnm.Print_Area" localSheetId="2">'0.1'!$A$1:$O$14</definedName>
    <definedName name="_xlnm.Print_Area" localSheetId="14">'0.10'!$A$1:$O$15</definedName>
    <definedName name="_xlnm.Print_Area" localSheetId="15">'0.11'!$A$1:$O$23</definedName>
    <definedName name="_xlnm.Print_Area" localSheetId="16">'0.12'!$A$1:$O$12</definedName>
    <definedName name="_xlnm.Print_Area" localSheetId="3">'0.2'!$A$1:$O$22</definedName>
    <definedName name="_xlnm.Print_Area" localSheetId="4">'0.3'!$A$1:$O$22</definedName>
    <definedName name="_xlnm.Print_Area" localSheetId="5">'0.3.1'!$A$1:$O$5</definedName>
    <definedName name="_xlnm.Print_Area" localSheetId="6">'0.4'!$A$1:$O$21</definedName>
    <definedName name="_xlnm.Print_Area" localSheetId="7">'0.4.1'!$A$1:$O$5</definedName>
    <definedName name="_xlnm.Print_Area" localSheetId="8">'0.5'!$A$1:$O$14</definedName>
    <definedName name="_xlnm.Print_Area" localSheetId="9">'0.6'!$A$1:$O$18</definedName>
    <definedName name="_xlnm.Print_Area" localSheetId="10">'0.6.1'!$A$1:$O$5</definedName>
    <definedName name="_xlnm.Print_Area" localSheetId="11">'0.7'!$A$1:$O$14</definedName>
    <definedName name="_xlnm.Print_Area" localSheetId="12">'0.8'!$A$1:$O$14</definedName>
    <definedName name="_xlnm.Print_Area" localSheetId="13">'0.9'!$A$1:$O$15</definedName>
    <definedName name="_xlnm.Print_Area" localSheetId="17">'1'!$A$1:$O$13</definedName>
    <definedName name="_xlnm.Print_Area" localSheetId="18">'1.1'!$A$1:$O$42</definedName>
    <definedName name="_xlnm.Print_Area" localSheetId="19">'1.1.1'!$A$1:$O$11</definedName>
    <definedName name="_xlnm.Print_Area" localSheetId="28">'1.1.10'!$A$1:$O$12</definedName>
    <definedName name="_xlnm.Print_Area" localSheetId="29">'1.1.11'!$A$1:$O$7</definedName>
    <definedName name="_xlnm.Print_Area" localSheetId="30">'1.1.11.1'!$A$1:$O$8</definedName>
    <definedName name="_xlnm.Print_Area" localSheetId="31">'1.1.13'!$A$1:$O$7</definedName>
    <definedName name="_xlnm.Print_Area" localSheetId="32">'1.1.14'!$A$1:$O$7</definedName>
    <definedName name="_xlnm.Print_Area" localSheetId="33">'1.1.15'!$A$1:$O$7</definedName>
    <definedName name="_xlnm.Print_Area" localSheetId="34">'1.1.16'!$A$1:$O$13</definedName>
    <definedName name="_xlnm.Print_Area" localSheetId="35">'1.1.17'!$A$1:$O$12</definedName>
    <definedName name="_xlnm.Print_Area" localSheetId="20">'1.1.2'!$A$1:$O$14</definedName>
    <definedName name="_xlnm.Print_Area" localSheetId="21">'1.1.3'!$A$1:$O$9</definedName>
    <definedName name="_xlnm.Print_Area" localSheetId="22">'1.1.4'!$A$1:$O$12</definedName>
    <definedName name="_xlnm.Print_Area" localSheetId="23">'1.1.5'!$A$1:$O$15</definedName>
    <definedName name="_xlnm.Print_Area" localSheetId="24">'1.1.6'!$A$1:$O$18</definedName>
    <definedName name="_xlnm.Print_Area" localSheetId="25">'1.1.7'!$A$1:$O$16</definedName>
    <definedName name="_xlnm.Print_Area" localSheetId="26">'1.1.8'!$A$1:$O$31</definedName>
    <definedName name="_xlnm.Print_Area" localSheetId="27">'1.1.9'!$A$1:$O$8</definedName>
    <definedName name="_xlnm.Print_Area" localSheetId="36">'1.2'!$A$1:$O$28</definedName>
    <definedName name="_xlnm.Print_Area" localSheetId="37">'1.2.1'!$A$1:$O$15</definedName>
    <definedName name="_xlnm.Print_Area" localSheetId="38">'1.2.2'!$A$1:$O$15</definedName>
    <definedName name="_xlnm.Print_Area" localSheetId="39">'1.2.3'!$A$1:$O$14</definedName>
    <definedName name="_xlnm.Print_Area" localSheetId="40">'1.3'!$A$1:$O$52</definedName>
    <definedName name="_xlnm.Print_Area" localSheetId="41">'1.3.1'!$A$1:$O$10</definedName>
    <definedName name="_xlnm.Print_Area" localSheetId="42">'1.3.2'!$A$1:$O$15</definedName>
    <definedName name="_xlnm.Print_Area" localSheetId="43">'1.3.4'!$A$1:$O$5</definedName>
    <definedName name="_xlnm.Print_Area" localSheetId="44">'1.3.5'!$A$1:$O$13</definedName>
    <definedName name="_xlnm.Print_Area" localSheetId="45">'1.3.6'!$A$1:$O$9</definedName>
    <definedName name="_xlnm.Print_Area" localSheetId="46">'1.3.7'!$A$1:$O$11</definedName>
    <definedName name="_xlnm.Print_Area" localSheetId="47">'1.4'!$A$1:$O$20</definedName>
    <definedName name="_xlnm.Print_Area" localSheetId="48">'1.4.1'!$A$1:$O$15</definedName>
    <definedName name="_xlnm.Print_Area" localSheetId="49">'1.4.2'!$A$1:$O$8</definedName>
    <definedName name="_xlnm.Print_Area" localSheetId="50">'1.5'!$A$1:$O$20</definedName>
    <definedName name="_xlnm.Print_Area" localSheetId="51">'1.6'!$A$1:$O$16</definedName>
    <definedName name="_xlnm.Print_Area" localSheetId="52">'1.7'!$A$1:$O$7</definedName>
    <definedName name="_xlnm.Print_Area" localSheetId="53">'1.7.1'!$A$1:$O$8</definedName>
    <definedName name="_xlnm.Print_Area" localSheetId="243">'10'!$A$1:$O$8</definedName>
    <definedName name="_xlnm.Print_Area" localSheetId="244">'10.1'!$A$1:$O$40</definedName>
    <definedName name="_xlnm.Print_Area" localSheetId="245">'10.1.1'!$A$1:$O$21</definedName>
    <definedName name="_xlnm.Print_Area" localSheetId="254">'10.1.10'!$A$1:$O$12</definedName>
    <definedName name="_xlnm.Print_Area" localSheetId="255">'10.1.11'!$A$1:$O$7</definedName>
    <definedName name="_xlnm.Print_Area" localSheetId="256">'10.1.12'!$A$1:$O$10</definedName>
    <definedName name="_xlnm.Print_Area" localSheetId="257">'10.1.13'!$A$1:$O$7</definedName>
    <definedName name="_xlnm.Print_Area" localSheetId="246">'10.1.2'!$A$1:$O$7</definedName>
    <definedName name="_xlnm.Print_Area" localSheetId="247">'10.1.3'!$A$1:$O$7</definedName>
    <definedName name="_xlnm.Print_Area" localSheetId="248">'10.1.4'!$A$1:$O$7</definedName>
    <definedName name="_xlnm.Print_Area" localSheetId="249">'10.1.5'!$A$1:$O$11</definedName>
    <definedName name="_xlnm.Print_Area" localSheetId="250">'10.1.6'!$A$1:$O$7</definedName>
    <definedName name="_xlnm.Print_Area" localSheetId="251">'10.1.7'!$A$1:$O$7</definedName>
    <definedName name="_xlnm.Print_Area" localSheetId="252">'10.1.8'!$A$1:$O$7</definedName>
    <definedName name="_xlnm.Print_Area" localSheetId="253">'10.1.9'!$A$1:$O$19</definedName>
    <definedName name="_xlnm.Print_Area" localSheetId="258">'10.2'!$A$1:$O$45</definedName>
    <definedName name="_xlnm.Print_Area" localSheetId="259">'10.2.1'!$A$1:$O$15</definedName>
    <definedName name="_xlnm.Print_Area" localSheetId="260">'10.2.2'!$A$1:$O$16</definedName>
    <definedName name="_xlnm.Print_Area" localSheetId="261">'10.2.3'!$A$1:$O$15</definedName>
    <definedName name="_xlnm.Print_Area" localSheetId="262">'10.2.4'!$A$1:$O$13</definedName>
    <definedName name="_xlnm.Print_Area" localSheetId="263">'10.2.5'!$A$1:$O$8</definedName>
    <definedName name="_xlnm.Print_Area" localSheetId="264">'10.2.6'!$A$1:$O$8</definedName>
    <definedName name="_xlnm.Print_Area" localSheetId="265">'10.2.7'!$A$1:$O$8</definedName>
    <definedName name="_xlnm.Print_Area" localSheetId="266">'10.2.8'!$A$1:$O$14</definedName>
    <definedName name="_xlnm.Print_Area" localSheetId="267">'10.3'!$A$1:$O$26</definedName>
    <definedName name="_xlnm.Print_Area" localSheetId="268">'10.3.1'!$A$1:$O$12</definedName>
    <definedName name="_xlnm.Print_Area" localSheetId="269">'11'!$A$1:$O$19</definedName>
    <definedName name="_xlnm.Print_Area" localSheetId="270">'11.1'!$A$1:$O$35</definedName>
    <definedName name="_xlnm.Print_Area" localSheetId="271">'11.2'!$A$1:$O$8</definedName>
    <definedName name="_xlnm.Print_Area" localSheetId="272">'11.3'!$A$1:$O$6</definedName>
    <definedName name="_xlnm.Print_Area" localSheetId="273">'12'!$A$1:$O$51</definedName>
    <definedName name="_xlnm.Print_Area" localSheetId="54">'2'!$A$1:$O$7</definedName>
    <definedName name="_xlnm.Print_Area" localSheetId="55">'2.1'!$A$1:$O$28</definedName>
    <definedName name="_xlnm.Print_Area" localSheetId="56">'2.1.1'!$A$1:$O$9</definedName>
    <definedName name="_xlnm.Print_Area" localSheetId="57">'2.1.2'!$A$1:$O$10</definedName>
    <definedName name="_xlnm.Print_Area" localSheetId="58">'2.1.3'!$A$1:$O$10</definedName>
    <definedName name="_xlnm.Print_Area" localSheetId="59">'2.1.4'!$A$1:$O$13</definedName>
    <definedName name="_xlnm.Print_Area" localSheetId="60">'2.1.5'!$A$1:$O$13</definedName>
    <definedName name="_xlnm.Print_Area" localSheetId="61">'2.1.6'!$A$1:$O$7</definedName>
    <definedName name="_xlnm.Print_Area" localSheetId="62">'2.1.7'!$A$1:$O$7</definedName>
    <definedName name="_xlnm.Print_Area" localSheetId="63">'2.1.8'!$A$1:$O$7</definedName>
    <definedName name="_xlnm.Print_Area" localSheetId="64">'2.2'!$A$1:$O$20</definedName>
    <definedName name="_xlnm.Print_Area" localSheetId="65">'2.2.1'!$A$1:$O$21</definedName>
    <definedName name="_xlnm.Print_Area" localSheetId="66">'2.2.1.1'!$A$1:$O$12</definedName>
    <definedName name="_xlnm.Print_Area" localSheetId="67">'2.2.1.2'!$A$1:$O$9</definedName>
    <definedName name="_xlnm.Print_Area" localSheetId="68">'2.2.2'!$A$1:$O$21</definedName>
    <definedName name="_xlnm.Print_Area" localSheetId="69">'2.2.3'!$A$1:$O$18</definedName>
    <definedName name="_xlnm.Print_Area" localSheetId="70">'2.2.4'!$A$1:$O$18</definedName>
    <definedName name="_xlnm.Print_Area" localSheetId="71">'2.2.5'!$A$1:$O$7</definedName>
    <definedName name="_xlnm.Print_Area" localSheetId="72">'2.2.6'!$A$1:$O$7</definedName>
    <definedName name="_xlnm.Print_Area" localSheetId="73">'2.3'!$A$1:$O$62</definedName>
    <definedName name="_xlnm.Print_Area" localSheetId="74">'2.3.1'!$A$1:$O$7</definedName>
    <definedName name="_xlnm.Print_Area" localSheetId="75">'2.3.4'!$A$1:$O$11</definedName>
    <definedName name="_xlnm.Print_Area" localSheetId="76">'2.3.7'!$A$1:$O$17</definedName>
    <definedName name="_xlnm.Print_Area" localSheetId="77">'2.3.8'!$A$1:$O$12</definedName>
    <definedName name="_xlnm.Print_Area" localSheetId="78">'3'!$A$1:$O$8</definedName>
    <definedName name="_xlnm.Print_Area" localSheetId="79">'3.1'!$A$1:$O$29</definedName>
    <definedName name="_xlnm.Print_Area" localSheetId="80">'3.1.1'!$A$1:$O$10</definedName>
    <definedName name="_xlnm.Print_Area" localSheetId="81">'3.1.2'!$A$1:$O$10</definedName>
    <definedName name="_xlnm.Print_Area" localSheetId="82">'3.1.3'!$A$1:$O$7</definedName>
    <definedName name="_xlnm.Print_Area" localSheetId="83">'3.1.4'!$A$1:$O$7</definedName>
    <definedName name="_xlnm.Print_Area" localSheetId="84">'3.1.5'!$A$1:$O$7</definedName>
    <definedName name="_xlnm.Print_Area" localSheetId="85">'3.1.6'!$A$1:$O$7</definedName>
    <definedName name="_xlnm.Print_Area" localSheetId="86">'3.1.7'!$A$1:$O$7</definedName>
    <definedName name="_xlnm.Print_Area" localSheetId="87">'3.2'!$A$1:$O$30</definedName>
    <definedName name="_xlnm.Print_Area" localSheetId="88">'3.2.1'!$A$1:$O$8</definedName>
    <definedName name="_xlnm.Print_Area" localSheetId="89">'3.2.1.1'!$A$1:$O$7</definedName>
    <definedName name="_xlnm.Print_Area" localSheetId="90">'3.2.1.2'!$A$1:$O$9</definedName>
    <definedName name="_xlnm.Print_Area" localSheetId="99">'3.2.10'!$A$1:$O$8</definedName>
    <definedName name="_xlnm.Print_Area" localSheetId="91">'3.2.2'!$A$1:$O$8</definedName>
    <definedName name="_xlnm.Print_Area" localSheetId="92">'3.2.3'!$A$1:$O$8</definedName>
    <definedName name="_xlnm.Print_Area" localSheetId="93">'3.2.4'!$A$1:$O$8</definedName>
    <definedName name="_xlnm.Print_Area" localSheetId="94">'3.2.5'!$A$1:$O$30</definedName>
    <definedName name="_xlnm.Print_Area" localSheetId="95">'3.2.6'!$A$1:$O$30</definedName>
    <definedName name="_xlnm.Print_Area" localSheetId="96">'3.2.7'!$A$1:$O$21</definedName>
    <definedName name="_xlnm.Print_Area" localSheetId="97">'3.2.8'!$A$1:$O$21</definedName>
    <definedName name="_xlnm.Print_Area" localSheetId="98">'3.2.9'!$A$1:$O$7</definedName>
    <definedName name="_xlnm.Print_Area" localSheetId="100">'3.4'!$A$1:$O$23</definedName>
    <definedName name="_xlnm.Print_Area" localSheetId="101">'4'!$A$1:$O$13</definedName>
    <definedName name="_xlnm.Print_Area" localSheetId="102">'4.1'!$A$1:$O$49</definedName>
    <definedName name="_xlnm.Print_Area" localSheetId="103">'4.1.1'!$A$1:$O$12</definedName>
    <definedName name="_xlnm.Print_Area" localSheetId="112">'4.1.10'!$A$1:$O$7</definedName>
    <definedName name="_xlnm.Print_Area" localSheetId="113">'4.1.11'!$A$1:$O$7</definedName>
    <definedName name="_xlnm.Print_Area" localSheetId="114">'4.1.12'!$A$1:$O$7</definedName>
    <definedName name="_xlnm.Print_Area" localSheetId="115">'4.1.13'!$A$1:$O$7</definedName>
    <definedName name="_xlnm.Print_Area" localSheetId="116">'4.1.14'!$A$1:$O$7</definedName>
    <definedName name="_xlnm.Print_Area" localSheetId="117">'4.1.15'!$A$1:$O$7</definedName>
    <definedName name="_xlnm.Print_Area" localSheetId="118">'4.1.16'!$A$1:$O$7</definedName>
    <definedName name="_xlnm.Print_Area" localSheetId="119">'4.1.17'!$A$1:$O$7</definedName>
    <definedName name="_xlnm.Print_Area" localSheetId="120">'4.1.18'!$A$1:$O$7</definedName>
    <definedName name="_xlnm.Print_Area" localSheetId="121">'4.1.19'!$A$1:$O$7</definedName>
    <definedName name="_xlnm.Print_Area" localSheetId="104">'4.1.2'!$A$1:$O$10</definedName>
    <definedName name="_xlnm.Print_Area" localSheetId="105">'4.1.3'!$A$1:$O$10</definedName>
    <definedName name="_xlnm.Print_Area" localSheetId="106">'4.1.4'!$A$1:$O$10</definedName>
    <definedName name="_xlnm.Print_Area" localSheetId="107">'4.1.5'!$A$1:$O$10</definedName>
    <definedName name="_xlnm.Print_Area" localSheetId="108">'4.1.6'!$A$1:$O$12</definedName>
    <definedName name="_xlnm.Print_Area" localSheetId="109">'4.1.7'!$A$1:$O$22</definedName>
    <definedName name="_xlnm.Print_Area" localSheetId="110">'4.1.8'!$A$1:$O$23</definedName>
    <definedName name="_xlnm.Print_Area" localSheetId="111">'4.1.9'!$A$1:$O$7</definedName>
    <definedName name="_xlnm.Print_Area" localSheetId="122">'4.2'!$A$1:$O$30</definedName>
    <definedName name="_xlnm.Print_Area" localSheetId="123">'4.2.1'!$A$1:$O$13</definedName>
    <definedName name="_xlnm.Print_Area" localSheetId="132">'4.2.10'!$A$1:$O$7</definedName>
    <definedName name="_xlnm.Print_Area" localSheetId="133">'4.2.11'!$A$1:$O$7</definedName>
    <definedName name="_xlnm.Print_Area" localSheetId="134">'4.2.12'!$A$1:$O$8</definedName>
    <definedName name="_xlnm.Print_Area" localSheetId="124">'4.2.2'!$A$1:$O$7</definedName>
    <definedName name="_xlnm.Print_Area" localSheetId="125">'4.2.3'!$A$1:$O$7</definedName>
    <definedName name="_xlnm.Print_Area" localSheetId="126">'4.2.4'!$A$1:$O$18</definedName>
    <definedName name="_xlnm.Print_Area" localSheetId="127">'4.2.5'!$A$1:$O$18</definedName>
    <definedName name="_xlnm.Print_Area" localSheetId="128">'4.2.6'!$A$1:$O$21</definedName>
    <definedName name="_xlnm.Print_Area" localSheetId="129">'4.2.7'!$A$1:$O$21</definedName>
    <definedName name="_xlnm.Print_Area" localSheetId="130">'4.2.8'!$A$1:$O$18</definedName>
    <definedName name="_xlnm.Print_Area" localSheetId="131">'4.2.9'!$A$1:$O$18</definedName>
    <definedName name="_xlnm.Print_Area" localSheetId="135">'4.3'!$A$1:$O$50</definedName>
    <definedName name="_xlnm.Print_Area" localSheetId="136">'4.4'!$A$1:$O$31</definedName>
    <definedName name="_xlnm.Print_Area" localSheetId="137">'4.4.1'!$A$1:$O$19</definedName>
    <definedName name="_xlnm.Print_Area" localSheetId="138">'4.4.2'!$A$1:$O$25</definedName>
    <definedName name="_xlnm.Print_Area" localSheetId="139">'4.5'!$A$1:$O$26</definedName>
    <definedName name="_xlnm.Print_Area" localSheetId="140">'4.5.1'!$A$1:$O$29</definedName>
    <definedName name="_xlnm.Print_Area" localSheetId="141">'4.6'!$A$1:$O$17</definedName>
    <definedName name="_xlnm.Print_Area" localSheetId="142">'4.7'!$A$1:$O$22</definedName>
    <definedName name="_xlnm.Print_Area" localSheetId="143">'4.7.1'!$A$1:$O$10</definedName>
    <definedName name="_xlnm.Print_Area" localSheetId="144">'5'!$A$1:$O$22</definedName>
    <definedName name="_xlnm.Print_Area" localSheetId="145">'5.1'!$A$1:$O$25</definedName>
    <definedName name="_xlnm.Print_Area" localSheetId="146">'5.1.1'!$A$1:$O$10</definedName>
    <definedName name="_xlnm.Print_Area" localSheetId="147">'5.2'!$A$1:$O$22</definedName>
    <definedName name="_xlnm.Print_Area" localSheetId="148">'5.3'!$A$1:$O$92</definedName>
    <definedName name="_xlnm.Print_Area" localSheetId="149">'5.4'!$A$1:$O$21</definedName>
    <definedName name="_xlnm.Print_Area" localSheetId="150">'5.4.1'!$A$1:$O$26</definedName>
    <definedName name="_xlnm.Print_Area" localSheetId="151">'5.4.2'!$A$1:$O$26</definedName>
    <definedName name="_xlnm.Print_Area" localSheetId="152">'5.5'!$A$1:$O$49</definedName>
    <definedName name="_xlnm.Print_Area" localSheetId="153">'5.5.1'!$A$1:$O$29</definedName>
    <definedName name="_xlnm.Print_Area" localSheetId="154">'5.5.2'!$A$1:$O$17</definedName>
    <definedName name="_xlnm.Print_Area" localSheetId="155">'5.5.2.1'!$A$1:$O$25</definedName>
    <definedName name="_xlnm.Print_Area" localSheetId="156">'5.5.3'!$A$1:$O$14</definedName>
    <definedName name="_xlnm.Print_Area" localSheetId="157">'5.5.4'!$A$1:$O$20</definedName>
    <definedName name="_xlnm.Print_Area" localSheetId="158">'5.6'!$A$1:$O$49</definedName>
    <definedName name="_xlnm.Print_Area" localSheetId="159">'5.6.1'!$A$1:$O$27</definedName>
    <definedName name="_xlnm.Print_Area" localSheetId="160">'5.6.2'!$A$1:$O$17</definedName>
    <definedName name="_xlnm.Print_Area" localSheetId="161">'5.7'!$A$1:$O$33</definedName>
    <definedName name="_xlnm.Print_Area" localSheetId="162">'6'!$A$1:$O$25</definedName>
    <definedName name="_xlnm.Print_Area" localSheetId="163">'6.1'!$A$1:$O$98</definedName>
    <definedName name="_xlnm.Print_Area" localSheetId="164">'6.1.1'!$A$1:$O$12</definedName>
    <definedName name="_xlnm.Print_Area" localSheetId="165">'6.1.2'!$A$1:$O$12</definedName>
    <definedName name="_xlnm.Print_Area" localSheetId="194">'6.10'!$A$1:$O$56</definedName>
    <definedName name="_xlnm.Print_Area" localSheetId="195">'6.10.1'!$A$1:$O$10</definedName>
    <definedName name="_xlnm.Print_Area" localSheetId="196">'6.10.2'!$A$1:$O$13</definedName>
    <definedName name="_xlnm.Print_Area" localSheetId="166">'6.2'!$A$1:$O$7</definedName>
    <definedName name="_xlnm.Print_Area" localSheetId="167">'6.2.1'!$A$1:$O$31</definedName>
    <definedName name="_xlnm.Print_Area" localSheetId="168">'6.2.1.1'!$A$1:$O$20</definedName>
    <definedName name="_xlnm.Print_Area" localSheetId="169">'6.2.1.2'!$A$1:$O$17</definedName>
    <definedName name="_xlnm.Print_Area" localSheetId="170">'6.2.1.3'!$A$1:$O$23</definedName>
    <definedName name="_xlnm.Print_Area" localSheetId="171">'6.2.1.4'!$A$1:$O$28</definedName>
    <definedName name="_xlnm.Print_Area" localSheetId="172">'6.2.1.5'!$A$1:$O$13</definedName>
    <definedName name="_xlnm.Print_Area" localSheetId="173">'6.2.2'!$A$1:$O$31</definedName>
    <definedName name="_xlnm.Print_Area" localSheetId="174">'6.2.3'!$A$1:$O$43</definedName>
    <definedName name="_xlnm.Print_Area" localSheetId="175">'6.2.3.1'!$A$1:$O$13</definedName>
    <definedName name="_xlnm.Print_Area" localSheetId="176">'6.2.3.2'!$A$1:$O$10</definedName>
    <definedName name="_xlnm.Print_Area" localSheetId="177">'6.2.3.3'!$A$1:$O$10</definedName>
    <definedName name="_xlnm.Print_Area" localSheetId="178">'6.3'!$A$1:$O$7</definedName>
    <definedName name="_xlnm.Print_Area" localSheetId="179">'6.3.1'!$A$1:$O$31</definedName>
    <definedName name="_xlnm.Print_Area" localSheetId="180">'6.3.1.1'!$A$1:$O$20</definedName>
    <definedName name="_xlnm.Print_Area" localSheetId="181">'6.3.1.2'!$A$1:$O$17</definedName>
    <definedName name="_xlnm.Print_Area" localSheetId="182">'6.3.1.3'!$A$1:$O$23</definedName>
    <definedName name="_xlnm.Print_Area" localSheetId="183">'6.3.1.4'!$A$1:$O$28</definedName>
    <definedName name="_xlnm.Print_Area" localSheetId="184">'6.3.2'!$A$1:$O$31</definedName>
    <definedName name="_xlnm.Print_Area" localSheetId="185">'6.3.3'!$A$1:$O$43</definedName>
    <definedName name="_xlnm.Print_Area" localSheetId="186">'6.4'!$A$1:$O$29</definedName>
    <definedName name="_xlnm.Print_Area" localSheetId="187">'6.5'!$A$1:$O$29</definedName>
    <definedName name="_xlnm.Print_Area" localSheetId="188">'6.6'!$A$1:$O$21</definedName>
    <definedName name="_xlnm.Print_Area" localSheetId="189">'6.6.1'!$A$1:$O$10</definedName>
    <definedName name="_xlnm.Print_Area" localSheetId="190">'6.6.2'!$A$1:$O$17</definedName>
    <definedName name="_xlnm.Print_Area" localSheetId="191">'6.7'!$A$1:$O$21</definedName>
    <definedName name="_xlnm.Print_Area" localSheetId="192">'6.8'!$A$1:$O$25</definedName>
    <definedName name="_xlnm.Print_Area" localSheetId="193">'6.9'!$A$1:$O$37</definedName>
    <definedName name="_xlnm.Print_Area" localSheetId="197">'7'!$A$1:$O$13</definedName>
    <definedName name="_xlnm.Print_Area" localSheetId="198">'7.1'!$A$1:$O$47</definedName>
    <definedName name="_xlnm.Print_Area" localSheetId="199">'7.1.1'!$A$1:$O$17</definedName>
    <definedName name="_xlnm.Print_Area" localSheetId="200">'7.1.2'!$A$1:$O$12</definedName>
    <definedName name="_xlnm.Print_Area" localSheetId="201">'7.1.3'!$A$1:$O$15</definedName>
    <definedName name="_xlnm.Print_Area" localSheetId="202">'7.1.4'!$A$1:$O$11</definedName>
    <definedName name="_xlnm.Print_Area" localSheetId="203">'7.1.5'!$A$1:$O$14</definedName>
    <definedName name="_xlnm.Print_Area" localSheetId="204">'7.2'!$A$1:$O$14</definedName>
    <definedName name="_xlnm.Print_Area" localSheetId="205">'7.2.1'!$A$1:$O$18</definedName>
    <definedName name="_xlnm.Print_Area" localSheetId="214">'7.2.10'!$A$1:$O$10</definedName>
    <definedName name="_xlnm.Print_Area" localSheetId="206">'7.2.2'!$A$1:$O$24</definedName>
    <definedName name="_xlnm.Print_Area" localSheetId="207">'7.2.3'!$A$1:$O$22</definedName>
    <definedName name="_xlnm.Print_Area" localSheetId="208">'7.2.4'!$A$1:$O$13</definedName>
    <definedName name="_xlnm.Print_Area" localSheetId="209">'7.2.5'!$A$1:$O$18</definedName>
    <definedName name="_xlnm.Print_Area" localSheetId="210">'7.2.6'!$A$1:$O$13</definedName>
    <definedName name="_xlnm.Print_Area" localSheetId="211">'7.2.7'!$A$1:$O$8</definedName>
    <definedName name="_xlnm.Print_Area" localSheetId="212">'7.2.8'!$A$1:$O$8</definedName>
    <definedName name="_xlnm.Print_Area" localSheetId="213">'7.2.9'!$A$1:$O$10</definedName>
    <definedName name="_xlnm.Print_Area" localSheetId="215">'7.3'!$A$1:$O$13</definedName>
    <definedName name="_xlnm.Print_Area" localSheetId="216">'7.3.1'!$A$1:$O$24</definedName>
    <definedName name="_xlnm.Print_Area" localSheetId="217">'7.3.2'!$A$1:$O$22</definedName>
    <definedName name="_xlnm.Print_Area" localSheetId="218">'7.4'!$A$1:$O$14</definedName>
    <definedName name="_xlnm.Print_Area" localSheetId="219">'7.5'!$A$1:$O$13</definedName>
    <definedName name="_xlnm.Print_Area" localSheetId="220">'7.6'!$A$1:$O$13</definedName>
    <definedName name="_xlnm.Print_Area" localSheetId="221">'7.6.1'!$A$1:$O$23</definedName>
    <definedName name="_xlnm.Print_Area" localSheetId="222">'7.6.2'!$A$1:$O$13</definedName>
    <definedName name="_xlnm.Print_Area" localSheetId="223">'7.7'!$A$1:$O$15</definedName>
    <definedName name="_xlnm.Print_Area" localSheetId="224">'7.7.1'!$A$1:$O$22</definedName>
    <definedName name="_xlnm.Print_Area" localSheetId="225">'8'!$A$1:$O$9</definedName>
    <definedName name="_xlnm.Print_Area" localSheetId="226">'8.1'!$A$1:$O$12</definedName>
    <definedName name="_xlnm.Print_Area" localSheetId="227">'8.1.1'!$A$1:$O$19</definedName>
    <definedName name="_xlnm.Print_Area" localSheetId="228">'8.1.2'!$A$1:$O$24</definedName>
    <definedName name="_xlnm.Print_Area" localSheetId="229">'8.1.3'!$A$1:$O$23</definedName>
    <definedName name="_xlnm.Print_Area" localSheetId="230">'8.1.4'!$A$1:$O$14</definedName>
    <definedName name="_xlnm.Print_Area" localSheetId="231">'8.1.5'!$A$1:$O$14</definedName>
    <definedName name="_xlnm.Print_Area" localSheetId="232">'8.2'!$A$1:$O$12</definedName>
    <definedName name="_xlnm.Print_Area" localSheetId="233">'8.2.1'!$A$1:$O$24</definedName>
    <definedName name="_xlnm.Print_Area" localSheetId="234">'8.2.2'!$A$1:$O$23</definedName>
    <definedName name="_xlnm.Print_Area" localSheetId="235">'8.3'!$A$1:$O$46</definedName>
    <definedName name="_xlnm.Print_Area" localSheetId="236">'8.4'!$A$1:$O$22</definedName>
    <definedName name="_xlnm.Print_Area" localSheetId="237">'9'!$A$1:$O$9</definedName>
    <definedName name="_xlnm.Print_Area" localSheetId="238">'9.1'!$A$1:$O$33</definedName>
    <definedName name="_xlnm.Print_Area" localSheetId="239">'9.2'!$A$1:$O$14</definedName>
    <definedName name="_xlnm.Print_Area" localSheetId="240">'9.3'!$A$1:$O$17</definedName>
    <definedName name="_xlnm.Print_Area" localSheetId="241">'9.4'!$A$1:$O$19</definedName>
    <definedName name="_xlnm.Print_Area" localSheetId="242">'9.5'!$A$1:$O$15</definedName>
    <definedName name="_xlnm.Print_Area" localSheetId="279">BLANK!$A$1:$E$14</definedName>
    <definedName name="_xlnm.Print_Area" localSheetId="0">'PG10'!$A$1:$R$43</definedName>
    <definedName name="_xlnm.Print_Titles" localSheetId="1">'0'!$1:$4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314" l="1"/>
  <c r="Q7" i="314" s="1"/>
  <c r="N7" i="314"/>
  <c r="M7" i="314"/>
  <c r="L7" i="314"/>
  <c r="K7" i="314"/>
  <c r="J7" i="314"/>
  <c r="H7" i="314"/>
  <c r="G7" i="314"/>
  <c r="F7" i="314"/>
  <c r="D7" i="314"/>
  <c r="C262" i="29"/>
  <c r="C253" i="29"/>
  <c r="E262" i="29"/>
  <c r="E253" i="29"/>
  <c r="P11" i="244"/>
  <c r="Q11" i="244" s="1"/>
  <c r="N11" i="244"/>
  <c r="M11" i="244"/>
  <c r="L11" i="244"/>
  <c r="K11" i="244"/>
  <c r="J11" i="244"/>
  <c r="H11" i="244"/>
  <c r="G11" i="244"/>
  <c r="F11" i="244"/>
  <c r="D11" i="244"/>
  <c r="P18" i="243"/>
  <c r="Q18" i="243" s="1"/>
  <c r="N18" i="243"/>
  <c r="M18" i="243"/>
  <c r="L18" i="243"/>
  <c r="K18" i="243"/>
  <c r="J18" i="243"/>
  <c r="H18" i="243"/>
  <c r="G18" i="243"/>
  <c r="F18" i="243"/>
  <c r="D18" i="243"/>
  <c r="C356" i="29"/>
  <c r="C381" i="29"/>
  <c r="C345" i="29"/>
  <c r="J20" i="107"/>
  <c r="K20" i="107"/>
  <c r="L20" i="107"/>
  <c r="M20" i="107"/>
  <c r="N20" i="107"/>
  <c r="P20" i="107"/>
  <c r="Q20" i="107" s="1"/>
  <c r="F20" i="107"/>
  <c r="G20" i="107"/>
  <c r="H20" i="107"/>
  <c r="D20" i="107"/>
  <c r="C2" i="317"/>
  <c r="C2" i="316"/>
  <c r="C2" i="315"/>
  <c r="C2" i="169"/>
  <c r="C244" i="29"/>
  <c r="C304" i="29"/>
  <c r="P9" i="74"/>
  <c r="Q9" i="74" s="1"/>
  <c r="N9" i="74"/>
  <c r="M9" i="74"/>
  <c r="L9" i="74"/>
  <c r="K9" i="74"/>
  <c r="J9" i="74"/>
  <c r="H9" i="74"/>
  <c r="G9" i="74"/>
  <c r="F9" i="74"/>
  <c r="D9" i="74"/>
  <c r="P7" i="240"/>
  <c r="N7" i="240"/>
  <c r="M7" i="240"/>
  <c r="L7" i="240"/>
  <c r="K7" i="240"/>
  <c r="J7" i="240"/>
  <c r="H7" i="240"/>
  <c r="G7" i="240"/>
  <c r="F7" i="240"/>
  <c r="D7" i="240"/>
  <c r="E142" i="29"/>
  <c r="E143" i="29"/>
  <c r="E144" i="29"/>
  <c r="C142" i="29"/>
  <c r="C143" i="29"/>
  <c r="C144" i="29"/>
  <c r="C2" i="330"/>
  <c r="C2" i="118"/>
  <c r="F12" i="330"/>
  <c r="G12" i="330"/>
  <c r="H12" i="330"/>
  <c r="J12" i="330"/>
  <c r="K12" i="330"/>
  <c r="L12" i="330"/>
  <c r="M12" i="330"/>
  <c r="N12" i="330"/>
  <c r="P12" i="330"/>
  <c r="Q12" i="330" s="1"/>
  <c r="D9" i="330"/>
  <c r="F9" i="330"/>
  <c r="G9" i="330"/>
  <c r="H9" i="330"/>
  <c r="J9" i="330"/>
  <c r="K9" i="330"/>
  <c r="L9" i="330"/>
  <c r="M9" i="330"/>
  <c r="N9" i="330"/>
  <c r="P9" i="330"/>
  <c r="Q9" i="330" s="1"/>
  <c r="D10" i="330"/>
  <c r="F10" i="330"/>
  <c r="G10" i="330"/>
  <c r="H10" i="330"/>
  <c r="J10" i="330"/>
  <c r="K10" i="330"/>
  <c r="L10" i="330"/>
  <c r="M10" i="330"/>
  <c r="N10" i="330"/>
  <c r="P10" i="330"/>
  <c r="Q10" i="330" s="1"/>
  <c r="G2" i="330"/>
  <c r="I2" i="330"/>
  <c r="E3" i="330"/>
  <c r="G3" i="330"/>
  <c r="I3" i="330"/>
  <c r="J78" i="31"/>
  <c r="E78" i="31"/>
  <c r="Q11" i="299"/>
  <c r="Q13" i="292"/>
  <c r="E199" i="29"/>
  <c r="C199" i="29"/>
  <c r="E154" i="29"/>
  <c r="C154" i="29"/>
  <c r="C2" i="243"/>
  <c r="C2" i="130"/>
  <c r="C88" i="29"/>
  <c r="E88" i="29"/>
  <c r="J10" i="221"/>
  <c r="K10" i="221"/>
  <c r="L10" i="221"/>
  <c r="M10" i="221"/>
  <c r="N10" i="221"/>
  <c r="P10" i="221"/>
  <c r="Q10" i="221" s="1"/>
  <c r="F10" i="221"/>
  <c r="G10" i="221"/>
  <c r="H10" i="221"/>
  <c r="D10" i="221"/>
  <c r="J11" i="225"/>
  <c r="K11" i="225"/>
  <c r="L11" i="225"/>
  <c r="M11" i="225"/>
  <c r="N11" i="225"/>
  <c r="P11" i="225"/>
  <c r="Q11" i="225" s="1"/>
  <c r="F11" i="225"/>
  <c r="G11" i="225"/>
  <c r="H11" i="225"/>
  <c r="D11" i="225"/>
  <c r="C2" i="129"/>
  <c r="C2" i="292"/>
  <c r="C2" i="244"/>
  <c r="J24" i="205"/>
  <c r="K24" i="205"/>
  <c r="L24" i="205"/>
  <c r="M24" i="205"/>
  <c r="N24" i="205"/>
  <c r="P24" i="205"/>
  <c r="Q24" i="205" s="1"/>
  <c r="F24" i="205"/>
  <c r="G24" i="205"/>
  <c r="H24" i="205"/>
  <c r="N7" i="298"/>
  <c r="M7" i="298"/>
  <c r="L7" i="298"/>
  <c r="K7" i="298"/>
  <c r="P31" i="298"/>
  <c r="Q31" i="298" s="1"/>
  <c r="N31" i="298"/>
  <c r="M31" i="298"/>
  <c r="L31" i="298"/>
  <c r="K31" i="298"/>
  <c r="J31" i="298"/>
  <c r="H31" i="298"/>
  <c r="G31" i="298"/>
  <c r="F31" i="298"/>
  <c r="D31" i="298"/>
  <c r="P51" i="298"/>
  <c r="Q51" i="298" s="1"/>
  <c r="N51" i="298"/>
  <c r="M51" i="298"/>
  <c r="L51" i="298"/>
  <c r="K51" i="298"/>
  <c r="J51" i="298"/>
  <c r="H51" i="298"/>
  <c r="D51" i="298"/>
  <c r="P50" i="298"/>
  <c r="Q50" i="298" s="1"/>
  <c r="N50" i="298"/>
  <c r="M50" i="298"/>
  <c r="L50" i="298"/>
  <c r="K50" i="298"/>
  <c r="J50" i="298"/>
  <c r="H50" i="298"/>
  <c r="D50" i="298"/>
  <c r="P49" i="298"/>
  <c r="Q49" i="298" s="1"/>
  <c r="N49" i="298"/>
  <c r="M49" i="298"/>
  <c r="L49" i="298"/>
  <c r="K49" i="298"/>
  <c r="J49" i="298"/>
  <c r="H49" i="298"/>
  <c r="D49" i="298"/>
  <c r="P48" i="298"/>
  <c r="Q48" i="298" s="1"/>
  <c r="N48" i="298"/>
  <c r="M48" i="298"/>
  <c r="L48" i="298"/>
  <c r="K48" i="298"/>
  <c r="J48" i="298"/>
  <c r="H48" i="298"/>
  <c r="D48" i="298"/>
  <c r="P47" i="298"/>
  <c r="Q47" i="298" s="1"/>
  <c r="N47" i="298"/>
  <c r="M47" i="298"/>
  <c r="L47" i="298"/>
  <c r="K47" i="298"/>
  <c r="J47" i="298"/>
  <c r="H47" i="298"/>
  <c r="D47" i="298"/>
  <c r="P46" i="298"/>
  <c r="Q46" i="298" s="1"/>
  <c r="N46" i="298"/>
  <c r="M46" i="298"/>
  <c r="L46" i="298"/>
  <c r="K46" i="298"/>
  <c r="J46" i="298"/>
  <c r="H46" i="298"/>
  <c r="D46" i="298"/>
  <c r="P45" i="298"/>
  <c r="Q45" i="298" s="1"/>
  <c r="N45" i="298"/>
  <c r="M45" i="298"/>
  <c r="L45" i="298"/>
  <c r="K45" i="298"/>
  <c r="J45" i="298"/>
  <c r="H45" i="298"/>
  <c r="D45" i="298"/>
  <c r="V73" i="30"/>
  <c r="G73" i="30" s="1"/>
  <c r="G49" i="298" s="1"/>
  <c r="Y73" i="30"/>
  <c r="V63" i="30"/>
  <c r="G63" i="30" s="1"/>
  <c r="G50" i="298" s="1"/>
  <c r="Y63" i="30"/>
  <c r="V48" i="30"/>
  <c r="G48" i="30" s="1"/>
  <c r="G51" i="298" s="1"/>
  <c r="Y48" i="30"/>
  <c r="V25" i="30"/>
  <c r="G25" i="30" s="1"/>
  <c r="G47" i="298" s="1"/>
  <c r="Y25" i="30"/>
  <c r="V34" i="30"/>
  <c r="G34" i="30" s="1"/>
  <c r="Y34" i="30"/>
  <c r="V42" i="30"/>
  <c r="G42" i="30" s="1"/>
  <c r="Y42" i="30"/>
  <c r="V31" i="30"/>
  <c r="G31" i="30" s="1"/>
  <c r="Y31" i="30"/>
  <c r="N17" i="298"/>
  <c r="M17" i="298"/>
  <c r="L17" i="298"/>
  <c r="K17" i="298"/>
  <c r="N16" i="298"/>
  <c r="M16" i="298"/>
  <c r="L16" i="298"/>
  <c r="K16" i="298"/>
  <c r="N15" i="298"/>
  <c r="M15" i="298"/>
  <c r="L15" i="298"/>
  <c r="K15" i="298"/>
  <c r="N14" i="298"/>
  <c r="M14" i="298"/>
  <c r="L14" i="298"/>
  <c r="K14" i="298"/>
  <c r="C112" i="29"/>
  <c r="E112" i="29"/>
  <c r="C113" i="29"/>
  <c r="E113" i="29"/>
  <c r="C114" i="29"/>
  <c r="E114" i="29"/>
  <c r="C106" i="29"/>
  <c r="E106" i="29"/>
  <c r="J12" i="231"/>
  <c r="K12" i="231"/>
  <c r="L12" i="231"/>
  <c r="M12" i="231"/>
  <c r="N12" i="231"/>
  <c r="P12" i="231"/>
  <c r="Q12" i="231" s="1"/>
  <c r="F12" i="231"/>
  <c r="G12" i="231"/>
  <c r="H12" i="231"/>
  <c r="D12" i="231"/>
  <c r="J13" i="313" l="1"/>
  <c r="K13" i="313"/>
  <c r="L13" i="313"/>
  <c r="M13" i="313"/>
  <c r="N13" i="313"/>
  <c r="P13" i="313"/>
  <c r="Q13" i="313" s="1"/>
  <c r="F13" i="313"/>
  <c r="G13" i="313"/>
  <c r="H13" i="313"/>
  <c r="D13" i="313"/>
  <c r="J16" i="313"/>
  <c r="K16" i="313"/>
  <c r="L16" i="313"/>
  <c r="M16" i="313"/>
  <c r="N16" i="313"/>
  <c r="P16" i="313"/>
  <c r="Q16" i="313" s="1"/>
  <c r="F16" i="313"/>
  <c r="G16" i="313"/>
  <c r="H16" i="313"/>
  <c r="J12" i="313"/>
  <c r="K12" i="313"/>
  <c r="L12" i="313"/>
  <c r="M12" i="313"/>
  <c r="N12" i="313"/>
  <c r="P12" i="313"/>
  <c r="Q12" i="313" s="1"/>
  <c r="F12" i="313"/>
  <c r="G12" i="313"/>
  <c r="H12" i="313"/>
  <c r="D12" i="313"/>
  <c r="J17" i="313"/>
  <c r="K17" i="313"/>
  <c r="L17" i="313"/>
  <c r="M17" i="313"/>
  <c r="N17" i="313"/>
  <c r="P17" i="313"/>
  <c r="Q17" i="313" s="1"/>
  <c r="F17" i="313"/>
  <c r="G17" i="313"/>
  <c r="H17" i="313"/>
  <c r="V27" i="30"/>
  <c r="G27" i="30"/>
  <c r="Y27" i="30"/>
  <c r="C2" i="265"/>
  <c r="C2" i="266"/>
  <c r="J23" i="142"/>
  <c r="K23" i="142"/>
  <c r="L23" i="142"/>
  <c r="M23" i="142"/>
  <c r="N23" i="142"/>
  <c r="P23" i="142"/>
  <c r="Q23" i="142" s="1"/>
  <c r="F23" i="142"/>
  <c r="G23" i="142"/>
  <c r="H23" i="142"/>
  <c r="J23" i="144"/>
  <c r="K23" i="144"/>
  <c r="L23" i="144"/>
  <c r="M23" i="144"/>
  <c r="N23" i="144"/>
  <c r="P23" i="144"/>
  <c r="Q23" i="144" s="1"/>
  <c r="F23" i="144"/>
  <c r="G23" i="144"/>
  <c r="H23" i="144"/>
  <c r="C2" i="323"/>
  <c r="C2" i="324"/>
  <c r="C2" i="325"/>
  <c r="C2" i="326"/>
  <c r="C2" i="327"/>
  <c r="C2" i="328"/>
  <c r="E116" i="31"/>
  <c r="E117" i="31"/>
  <c r="E118" i="31"/>
  <c r="E119" i="31"/>
  <c r="E120" i="31"/>
  <c r="E121" i="31"/>
  <c r="E122" i="31"/>
  <c r="J116" i="31"/>
  <c r="J117" i="31"/>
  <c r="J118" i="31"/>
  <c r="J119" i="31"/>
  <c r="J120" i="31"/>
  <c r="J121" i="31"/>
  <c r="J122" i="31"/>
  <c r="C2" i="329"/>
  <c r="G2" i="329"/>
  <c r="I2" i="329"/>
  <c r="E3" i="329"/>
  <c r="G3" i="329"/>
  <c r="I3" i="329"/>
  <c r="G2" i="328"/>
  <c r="I2" i="328"/>
  <c r="E3" i="328"/>
  <c r="G3" i="328"/>
  <c r="I3" i="328"/>
  <c r="G2" i="327"/>
  <c r="I2" i="327"/>
  <c r="E3" i="327"/>
  <c r="G3" i="327"/>
  <c r="I3" i="327"/>
  <c r="G2" i="326"/>
  <c r="I2" i="326"/>
  <c r="E3" i="326"/>
  <c r="G3" i="326"/>
  <c r="I3" i="326"/>
  <c r="G2" i="325"/>
  <c r="I2" i="325"/>
  <c r="E3" i="325"/>
  <c r="G3" i="325"/>
  <c r="I3" i="325"/>
  <c r="G2" i="324"/>
  <c r="I2" i="324"/>
  <c r="E3" i="324"/>
  <c r="G3" i="324"/>
  <c r="I3" i="324"/>
  <c r="Q19" i="177"/>
  <c r="G2" i="323"/>
  <c r="I2" i="323"/>
  <c r="E3" i="323"/>
  <c r="G3" i="323"/>
  <c r="I3" i="323"/>
  <c r="C2" i="322"/>
  <c r="C2" i="321"/>
  <c r="G2" i="322"/>
  <c r="I2" i="322"/>
  <c r="E3" i="322"/>
  <c r="G3" i="322"/>
  <c r="I3" i="322"/>
  <c r="G2" i="321"/>
  <c r="I2" i="321"/>
  <c r="E3" i="321"/>
  <c r="G3" i="321"/>
  <c r="I3" i="321"/>
  <c r="C2" i="320"/>
  <c r="C2" i="319"/>
  <c r="C2" i="318"/>
  <c r="G2" i="320"/>
  <c r="I2" i="320"/>
  <c r="E3" i="320"/>
  <c r="G3" i="320"/>
  <c r="I3" i="320"/>
  <c r="E62" i="31"/>
  <c r="E63" i="31"/>
  <c r="E64" i="31"/>
  <c r="J62" i="31"/>
  <c r="J63" i="31"/>
  <c r="J64" i="31"/>
  <c r="L274" i="31"/>
  <c r="I3" i="319"/>
  <c r="G3" i="319"/>
  <c r="E3" i="319"/>
  <c r="I2" i="319"/>
  <c r="G2" i="319"/>
  <c r="I3" i="318"/>
  <c r="G3" i="318"/>
  <c r="E3" i="318"/>
  <c r="I2" i="318"/>
  <c r="G2" i="318"/>
  <c r="I3" i="317"/>
  <c r="G3" i="317"/>
  <c r="E3" i="317"/>
  <c r="I2" i="317"/>
  <c r="G2" i="317"/>
  <c r="I3" i="316"/>
  <c r="G3" i="316"/>
  <c r="E3" i="316"/>
  <c r="I2" i="316"/>
  <c r="G2" i="316"/>
  <c r="I3" i="315"/>
  <c r="G3" i="315"/>
  <c r="E3" i="315"/>
  <c r="I2" i="315"/>
  <c r="G2" i="315"/>
  <c r="E83" i="31"/>
  <c r="E84" i="31"/>
  <c r="E85" i="31"/>
  <c r="E86" i="31"/>
  <c r="E87" i="31"/>
  <c r="J83" i="31"/>
  <c r="J84" i="31"/>
  <c r="J85" i="31"/>
  <c r="J86" i="31"/>
  <c r="J87" i="31"/>
  <c r="C184" i="29"/>
  <c r="E184" i="29"/>
  <c r="C183" i="29"/>
  <c r="E183" i="29"/>
  <c r="C182" i="29"/>
  <c r="E182" i="29"/>
  <c r="C181" i="29"/>
  <c r="E181" i="29"/>
  <c r="C180" i="29"/>
  <c r="E180" i="29"/>
  <c r="C179" i="29"/>
  <c r="E179" i="29"/>
  <c r="C121" i="29"/>
  <c r="C122" i="29"/>
  <c r="C123" i="29"/>
  <c r="C148" i="29"/>
  <c r="C149" i="29"/>
  <c r="C150" i="29"/>
  <c r="C151" i="29"/>
  <c r="C152" i="29"/>
  <c r="C178" i="29"/>
  <c r="E121" i="29"/>
  <c r="E122" i="29"/>
  <c r="E123" i="29"/>
  <c r="E148" i="29"/>
  <c r="E149" i="29"/>
  <c r="E150" i="29"/>
  <c r="E151" i="29"/>
  <c r="E152" i="29"/>
  <c r="E178" i="29"/>
  <c r="J30" i="171"/>
  <c r="K30" i="171"/>
  <c r="L30" i="171"/>
  <c r="M30" i="171"/>
  <c r="N30" i="171"/>
  <c r="P30" i="171"/>
  <c r="Q30" i="171" s="1"/>
  <c r="F30" i="171"/>
  <c r="G30" i="171"/>
  <c r="H30" i="171"/>
  <c r="J10" i="314"/>
  <c r="K10" i="314"/>
  <c r="L10" i="314"/>
  <c r="M10" i="314"/>
  <c r="N10" i="314"/>
  <c r="P10" i="314"/>
  <c r="Q10" i="314" s="1"/>
  <c r="F10" i="314"/>
  <c r="G10" i="314"/>
  <c r="H10" i="314"/>
  <c r="D10" i="314"/>
  <c r="E239" i="29" l="1"/>
  <c r="C239" i="29"/>
  <c r="Y74" i="30"/>
  <c r="V74" i="30"/>
  <c r="G74" i="30"/>
  <c r="G21" i="313" s="1"/>
  <c r="Y60" i="30"/>
  <c r="V60" i="30"/>
  <c r="G60" i="30"/>
  <c r="G22" i="313" s="1"/>
  <c r="E240" i="29"/>
  <c r="E241" i="29"/>
  <c r="C240" i="29"/>
  <c r="C241" i="29"/>
  <c r="C2" i="314"/>
  <c r="C2" i="313"/>
  <c r="E144" i="31"/>
  <c r="E143" i="31"/>
  <c r="J143" i="31"/>
  <c r="J144" i="31"/>
  <c r="D8" i="314"/>
  <c r="F8" i="314"/>
  <c r="G8" i="314"/>
  <c r="H8" i="314"/>
  <c r="J8" i="314"/>
  <c r="K8" i="314"/>
  <c r="L8" i="314"/>
  <c r="M8" i="314"/>
  <c r="N8" i="314"/>
  <c r="P8" i="314"/>
  <c r="Q8" i="314" s="1"/>
  <c r="D9" i="314"/>
  <c r="F9" i="314"/>
  <c r="G9" i="314"/>
  <c r="H9" i="314"/>
  <c r="J9" i="314"/>
  <c r="K9" i="314"/>
  <c r="L9" i="314"/>
  <c r="M9" i="314"/>
  <c r="N9" i="314"/>
  <c r="P9" i="314"/>
  <c r="Q9" i="314" s="1"/>
  <c r="G2" i="314"/>
  <c r="I2" i="314"/>
  <c r="E3" i="314"/>
  <c r="G3" i="314"/>
  <c r="I3" i="314"/>
  <c r="D21" i="313"/>
  <c r="H21" i="313"/>
  <c r="J21" i="313"/>
  <c r="K21" i="313"/>
  <c r="L21" i="313"/>
  <c r="M21" i="313"/>
  <c r="N21" i="313"/>
  <c r="P21" i="313"/>
  <c r="Q21" i="313" s="1"/>
  <c r="D22" i="313"/>
  <c r="H22" i="313"/>
  <c r="J22" i="313"/>
  <c r="K22" i="313"/>
  <c r="L22" i="313"/>
  <c r="M22" i="313"/>
  <c r="N22" i="313"/>
  <c r="P22" i="313"/>
  <c r="Q22" i="313" s="1"/>
  <c r="F18" i="313"/>
  <c r="G18" i="313"/>
  <c r="H18" i="313"/>
  <c r="J18" i="313"/>
  <c r="K18" i="313"/>
  <c r="L18" i="313"/>
  <c r="M18" i="313"/>
  <c r="N18" i="313"/>
  <c r="P18" i="313"/>
  <c r="Q18" i="313" s="1"/>
  <c r="F19" i="313"/>
  <c r="G19" i="313"/>
  <c r="H19" i="313"/>
  <c r="J19" i="313"/>
  <c r="K19" i="313"/>
  <c r="L19" i="313"/>
  <c r="M19" i="313"/>
  <c r="N19" i="313"/>
  <c r="P19" i="313"/>
  <c r="Q19" i="313" s="1"/>
  <c r="D10" i="313"/>
  <c r="F10" i="313"/>
  <c r="G10" i="313"/>
  <c r="H10" i="313"/>
  <c r="J10" i="313"/>
  <c r="K10" i="313"/>
  <c r="L10" i="313"/>
  <c r="M10" i="313"/>
  <c r="N10" i="313"/>
  <c r="P10" i="313"/>
  <c r="Q10" i="313" s="1"/>
  <c r="D11" i="313"/>
  <c r="F11" i="313"/>
  <c r="G11" i="313"/>
  <c r="H11" i="313"/>
  <c r="J11" i="313"/>
  <c r="K11" i="313"/>
  <c r="L11" i="313"/>
  <c r="M11" i="313"/>
  <c r="N11" i="313"/>
  <c r="P11" i="313"/>
  <c r="Q11" i="313" s="1"/>
  <c r="D14" i="313"/>
  <c r="F14" i="313"/>
  <c r="G14" i="313"/>
  <c r="H14" i="313"/>
  <c r="J14" i="313"/>
  <c r="K14" i="313"/>
  <c r="L14" i="313"/>
  <c r="M14" i="313"/>
  <c r="N14" i="313"/>
  <c r="P14" i="313"/>
  <c r="Q14" i="313" s="1"/>
  <c r="G2" i="313"/>
  <c r="I2" i="313"/>
  <c r="E3" i="313"/>
  <c r="G3" i="313"/>
  <c r="I3" i="313"/>
  <c r="C2" i="312" l="1"/>
  <c r="I3" i="312"/>
  <c r="G3" i="312"/>
  <c r="E3" i="312"/>
  <c r="I2" i="312"/>
  <c r="G2" i="312"/>
  <c r="J257" i="31"/>
  <c r="E257" i="31"/>
  <c r="C2" i="311"/>
  <c r="C2" i="310"/>
  <c r="C2" i="309"/>
  <c r="G2" i="311"/>
  <c r="I2" i="311"/>
  <c r="E3" i="311"/>
  <c r="G3" i="311"/>
  <c r="I3" i="311"/>
  <c r="G2" i="310"/>
  <c r="I2" i="310"/>
  <c r="E3" i="310"/>
  <c r="G3" i="310"/>
  <c r="I3" i="310"/>
  <c r="G2" i="309"/>
  <c r="I2" i="309"/>
  <c r="E3" i="309"/>
  <c r="G3" i="309"/>
  <c r="I3" i="309"/>
  <c r="J134" i="31"/>
  <c r="E134" i="31"/>
  <c r="J133" i="31"/>
  <c r="E133" i="31"/>
  <c r="J135" i="31"/>
  <c r="E135" i="31"/>
  <c r="J72" i="31"/>
  <c r="E72" i="31"/>
  <c r="C2" i="308"/>
  <c r="C2" i="307"/>
  <c r="J98" i="31"/>
  <c r="E98" i="31"/>
  <c r="J99" i="31"/>
  <c r="E99" i="31"/>
  <c r="G2" i="308"/>
  <c r="I2" i="308"/>
  <c r="E3" i="308"/>
  <c r="G3" i="308"/>
  <c r="I3" i="308"/>
  <c r="G2" i="307"/>
  <c r="I2" i="307"/>
  <c r="E3" i="307"/>
  <c r="G3" i="307"/>
  <c r="I3" i="307"/>
  <c r="C2" i="306"/>
  <c r="C2" i="305"/>
  <c r="G2" i="306"/>
  <c r="I2" i="306"/>
  <c r="E3" i="306"/>
  <c r="G3" i="306"/>
  <c r="I3" i="306"/>
  <c r="G2" i="305"/>
  <c r="I2" i="305"/>
  <c r="E3" i="305"/>
  <c r="G3" i="305"/>
  <c r="I3" i="305"/>
  <c r="J71" i="31"/>
  <c r="E71" i="31"/>
  <c r="D14" i="267"/>
  <c r="F14" i="267"/>
  <c r="G14" i="267"/>
  <c r="H14" i="267"/>
  <c r="J14" i="267"/>
  <c r="K14" i="267"/>
  <c r="L14" i="267"/>
  <c r="M14" i="267"/>
  <c r="P14" i="267"/>
  <c r="Q14" i="267" s="1"/>
  <c r="D15" i="267"/>
  <c r="F15" i="267"/>
  <c r="G15" i="267"/>
  <c r="H15" i="267"/>
  <c r="J15" i="267"/>
  <c r="K15" i="267"/>
  <c r="L15" i="267"/>
  <c r="M15" i="267"/>
  <c r="P15" i="267"/>
  <c r="Q15" i="267" s="1"/>
  <c r="F20" i="171"/>
  <c r="E69" i="29"/>
  <c r="C69" i="29"/>
  <c r="J24" i="267"/>
  <c r="K24" i="267"/>
  <c r="L24" i="267"/>
  <c r="M24" i="267"/>
  <c r="P24" i="267"/>
  <c r="Q24" i="267" s="1"/>
  <c r="F24" i="267"/>
  <c r="G24" i="267"/>
  <c r="H24" i="267"/>
  <c r="F22" i="267"/>
  <c r="G22" i="267"/>
  <c r="H22" i="267"/>
  <c r="J22" i="267"/>
  <c r="K22" i="267"/>
  <c r="L22" i="267"/>
  <c r="M22" i="267"/>
  <c r="P22" i="267"/>
  <c r="Q22" i="267" s="1"/>
  <c r="F23" i="267"/>
  <c r="G23" i="267"/>
  <c r="H23" i="267"/>
  <c r="J23" i="267"/>
  <c r="K23" i="267"/>
  <c r="L23" i="267"/>
  <c r="M23" i="267"/>
  <c r="P23" i="267"/>
  <c r="Q23" i="267" s="1"/>
  <c r="D16" i="267"/>
  <c r="F16" i="267"/>
  <c r="G16" i="267"/>
  <c r="H16" i="267"/>
  <c r="J16" i="267"/>
  <c r="K16" i="267"/>
  <c r="L16" i="267"/>
  <c r="M16" i="267"/>
  <c r="P16" i="267"/>
  <c r="Q16" i="267" s="1"/>
  <c r="D17" i="267"/>
  <c r="F17" i="267"/>
  <c r="G17" i="267"/>
  <c r="H17" i="267"/>
  <c r="J17" i="267"/>
  <c r="K17" i="267"/>
  <c r="L17" i="267"/>
  <c r="M17" i="267"/>
  <c r="P17" i="267"/>
  <c r="Q17" i="267" s="1"/>
  <c r="D18" i="267"/>
  <c r="F18" i="267"/>
  <c r="G18" i="267"/>
  <c r="H18" i="267"/>
  <c r="J18" i="267"/>
  <c r="K18" i="267"/>
  <c r="L18" i="267"/>
  <c r="M18" i="267"/>
  <c r="P18" i="267"/>
  <c r="Q18" i="267" s="1"/>
  <c r="J19" i="264"/>
  <c r="K19" i="264"/>
  <c r="L19" i="264"/>
  <c r="M19" i="264"/>
  <c r="N19" i="264"/>
  <c r="P19" i="264"/>
  <c r="Q19" i="264" s="1"/>
  <c r="F19" i="264"/>
  <c r="G19" i="264"/>
  <c r="H19" i="264"/>
  <c r="D15" i="264"/>
  <c r="F15" i="264"/>
  <c r="G15" i="264"/>
  <c r="H15" i="264"/>
  <c r="J15" i="264"/>
  <c r="K15" i="264"/>
  <c r="L15" i="264"/>
  <c r="M15" i="264"/>
  <c r="N15" i="264"/>
  <c r="P15" i="264"/>
  <c r="Q15" i="264" s="1"/>
  <c r="J30" i="298"/>
  <c r="K30" i="298"/>
  <c r="L30" i="298"/>
  <c r="M30" i="298"/>
  <c r="N30" i="298"/>
  <c r="P30" i="298"/>
  <c r="Q30" i="298" s="1"/>
  <c r="F30" i="298"/>
  <c r="G30" i="298"/>
  <c r="H30" i="298"/>
  <c r="D30" i="298"/>
  <c r="Y43" i="30"/>
  <c r="V43" i="30"/>
  <c r="G43" i="30"/>
  <c r="P19" i="214"/>
  <c r="Q19" i="214" s="1"/>
  <c r="N19" i="214"/>
  <c r="M19" i="214"/>
  <c r="L19" i="214"/>
  <c r="K19" i="214"/>
  <c r="J19" i="214"/>
  <c r="H19" i="214"/>
  <c r="G19" i="214"/>
  <c r="F19" i="214"/>
  <c r="D19" i="214"/>
  <c r="J15" i="219"/>
  <c r="K15" i="219"/>
  <c r="L15" i="219"/>
  <c r="M15" i="219"/>
  <c r="N15" i="219"/>
  <c r="P15" i="219"/>
  <c r="Q15" i="219" s="1"/>
  <c r="F15" i="219"/>
  <c r="G15" i="219"/>
  <c r="H15" i="219"/>
  <c r="C80" i="29"/>
  <c r="E80" i="29"/>
  <c r="P25" i="214"/>
  <c r="Q25" i="214" s="1"/>
  <c r="N25" i="214"/>
  <c r="M25" i="214"/>
  <c r="L25" i="214"/>
  <c r="K25" i="214"/>
  <c r="J25" i="214"/>
  <c r="H25" i="214"/>
  <c r="G25" i="214"/>
  <c r="F25" i="214"/>
  <c r="P23" i="214"/>
  <c r="Q23" i="214" s="1"/>
  <c r="N23" i="214"/>
  <c r="M23" i="214"/>
  <c r="L23" i="214"/>
  <c r="K23" i="214"/>
  <c r="J23" i="214"/>
  <c r="H23" i="214"/>
  <c r="G23" i="214"/>
  <c r="F23" i="214"/>
  <c r="P22" i="214"/>
  <c r="Q22" i="214" s="1"/>
  <c r="N22" i="214"/>
  <c r="M22" i="214"/>
  <c r="L22" i="214"/>
  <c r="K22" i="214"/>
  <c r="J22" i="214"/>
  <c r="H22" i="214"/>
  <c r="G22" i="214"/>
  <c r="F22" i="214"/>
  <c r="P24" i="214"/>
  <c r="Q24" i="214" s="1"/>
  <c r="N24" i="214"/>
  <c r="M24" i="214"/>
  <c r="L24" i="214"/>
  <c r="K24" i="214"/>
  <c r="J24" i="214"/>
  <c r="H24" i="214"/>
  <c r="G24" i="214"/>
  <c r="F24" i="214"/>
  <c r="P26" i="214"/>
  <c r="Q26" i="214" s="1"/>
  <c r="N26" i="214"/>
  <c r="M26" i="214"/>
  <c r="L26" i="214"/>
  <c r="K26" i="214"/>
  <c r="J26" i="214"/>
  <c r="H26" i="214"/>
  <c r="G26" i="214"/>
  <c r="F26" i="214"/>
  <c r="P18" i="214"/>
  <c r="Q18" i="214" s="1"/>
  <c r="N18" i="214"/>
  <c r="M18" i="214"/>
  <c r="L18" i="214"/>
  <c r="K18" i="214"/>
  <c r="J18" i="214"/>
  <c r="H18" i="214"/>
  <c r="G18" i="214"/>
  <c r="F18" i="214"/>
  <c r="D18" i="214"/>
  <c r="P45" i="213"/>
  <c r="Q45" i="213" s="1"/>
  <c r="N45" i="213"/>
  <c r="M45" i="213"/>
  <c r="L45" i="213"/>
  <c r="K45" i="213"/>
  <c r="J45" i="213"/>
  <c r="H45" i="213"/>
  <c r="G45" i="213"/>
  <c r="F45" i="213"/>
  <c r="P35" i="213"/>
  <c r="Q35" i="213" s="1"/>
  <c r="N35" i="213"/>
  <c r="M35" i="213"/>
  <c r="L35" i="213"/>
  <c r="K35" i="213"/>
  <c r="J35" i="213"/>
  <c r="H35" i="213"/>
  <c r="G35" i="213"/>
  <c r="F35" i="213"/>
  <c r="P34" i="213"/>
  <c r="Q34" i="213" s="1"/>
  <c r="N34" i="213"/>
  <c r="M34" i="213"/>
  <c r="L34" i="213"/>
  <c r="K34" i="213"/>
  <c r="J34" i="213"/>
  <c r="H34" i="213"/>
  <c r="G34" i="213"/>
  <c r="F34" i="213"/>
  <c r="J11" i="58"/>
  <c r="K11" i="58"/>
  <c r="L11" i="58"/>
  <c r="M11" i="58"/>
  <c r="N11" i="58"/>
  <c r="P11" i="58"/>
  <c r="Q11" i="58" s="1"/>
  <c r="F11" i="58"/>
  <c r="G11" i="58"/>
  <c r="H11" i="58"/>
  <c r="D11" i="58"/>
  <c r="C42" i="29"/>
  <c r="E42" i="29"/>
  <c r="P13" i="249"/>
  <c r="Q13" i="249" s="1"/>
  <c r="N13" i="249"/>
  <c r="M13" i="249"/>
  <c r="L13" i="249"/>
  <c r="K13" i="249"/>
  <c r="J13" i="249"/>
  <c r="H13" i="249"/>
  <c r="G13" i="249"/>
  <c r="F13" i="249"/>
  <c r="D13" i="249"/>
  <c r="P18" i="249"/>
  <c r="Q18" i="249" s="1"/>
  <c r="N18" i="249"/>
  <c r="M18" i="249"/>
  <c r="L18" i="249"/>
  <c r="K18" i="249"/>
  <c r="J18" i="249"/>
  <c r="H18" i="249"/>
  <c r="G18" i="249"/>
  <c r="F18" i="249"/>
  <c r="P8" i="249"/>
  <c r="Q8" i="249" s="1"/>
  <c r="N8" i="249"/>
  <c r="M8" i="249"/>
  <c r="L8" i="249"/>
  <c r="K8" i="249"/>
  <c r="J8" i="249"/>
  <c r="H8" i="249"/>
  <c r="G8" i="249"/>
  <c r="F8" i="249"/>
  <c r="D8" i="249"/>
  <c r="C103" i="29"/>
  <c r="E103" i="29"/>
  <c r="J8" i="245"/>
  <c r="K8" i="245"/>
  <c r="L8" i="245"/>
  <c r="M8" i="245"/>
  <c r="N8" i="245"/>
  <c r="P8" i="245"/>
  <c r="Q8" i="245" s="1"/>
  <c r="F8" i="245"/>
  <c r="G8" i="245"/>
  <c r="H8" i="245"/>
  <c r="D8" i="245"/>
  <c r="J7" i="245"/>
  <c r="K7" i="245"/>
  <c r="L7" i="245"/>
  <c r="M7" i="245"/>
  <c r="N7" i="245"/>
  <c r="P7" i="245"/>
  <c r="Q7" i="245" s="1"/>
  <c r="F7" i="245"/>
  <c r="G7" i="245"/>
  <c r="H7" i="245"/>
  <c r="D7" i="245"/>
  <c r="J9" i="245"/>
  <c r="K9" i="245"/>
  <c r="L9" i="245"/>
  <c r="M9" i="245"/>
  <c r="N9" i="245"/>
  <c r="P9" i="245"/>
  <c r="Q9" i="245" s="1"/>
  <c r="F9" i="245"/>
  <c r="G9" i="245"/>
  <c r="H9" i="245"/>
  <c r="D9" i="245"/>
  <c r="P35" i="123"/>
  <c r="Q35" i="123" s="1"/>
  <c r="N35" i="123"/>
  <c r="M35" i="123"/>
  <c r="L35" i="123"/>
  <c r="K35" i="123"/>
  <c r="J35" i="123"/>
  <c r="H35" i="123"/>
  <c r="G35" i="123"/>
  <c r="F35" i="123"/>
  <c r="D35" i="123"/>
  <c r="C454" i="29"/>
  <c r="E454" i="29"/>
  <c r="C455" i="29"/>
  <c r="E455" i="29"/>
  <c r="P21" i="179"/>
  <c r="Q21" i="179" s="1"/>
  <c r="N21" i="179"/>
  <c r="M21" i="179"/>
  <c r="L21" i="179"/>
  <c r="K21" i="179"/>
  <c r="J21" i="179"/>
  <c r="H21" i="179"/>
  <c r="G21" i="179"/>
  <c r="F21" i="179"/>
  <c r="D21" i="179"/>
  <c r="P27" i="179"/>
  <c r="Q27" i="179" s="1"/>
  <c r="N27" i="179"/>
  <c r="M27" i="179"/>
  <c r="L27" i="179"/>
  <c r="K27" i="179"/>
  <c r="J27" i="179"/>
  <c r="H27" i="179"/>
  <c r="G27" i="179"/>
  <c r="F27" i="179"/>
  <c r="C232" i="29"/>
  <c r="E232" i="29"/>
  <c r="C233" i="29"/>
  <c r="E233" i="29"/>
  <c r="C237" i="29"/>
  <c r="E237" i="29"/>
  <c r="C238" i="29"/>
  <c r="E238" i="29"/>
  <c r="E134" i="29"/>
  <c r="C134" i="29"/>
  <c r="E169" i="29"/>
  <c r="C169" i="29"/>
  <c r="E155" i="29"/>
  <c r="C155" i="29"/>
  <c r="E197" i="29"/>
  <c r="C197" i="29"/>
  <c r="E198" i="29"/>
  <c r="C198" i="29"/>
  <c r="E200" i="29"/>
  <c r="C200" i="29"/>
  <c r="J46" i="114"/>
  <c r="K46" i="114"/>
  <c r="L46" i="114"/>
  <c r="M46" i="114"/>
  <c r="N46" i="114"/>
  <c r="P46" i="114"/>
  <c r="Q46" i="114" s="1"/>
  <c r="F46" i="114"/>
  <c r="G46" i="114"/>
  <c r="H46" i="114"/>
  <c r="D46" i="114"/>
  <c r="P16" i="234"/>
  <c r="Q16" i="234" s="1"/>
  <c r="N16" i="234"/>
  <c r="M16" i="234"/>
  <c r="L16" i="234"/>
  <c r="K16" i="234"/>
  <c r="J16" i="234"/>
  <c r="H16" i="234"/>
  <c r="G16" i="234"/>
  <c r="F16" i="234"/>
  <c r="D16" i="234"/>
  <c r="P16" i="235"/>
  <c r="Q16" i="235" s="1"/>
  <c r="N16" i="235"/>
  <c r="M16" i="235"/>
  <c r="L16" i="235"/>
  <c r="K16" i="235"/>
  <c r="J16" i="235"/>
  <c r="H16" i="235"/>
  <c r="G16" i="235"/>
  <c r="F16" i="235"/>
  <c r="D16" i="235"/>
  <c r="J45" i="114"/>
  <c r="K45" i="114"/>
  <c r="L45" i="114"/>
  <c r="M45" i="114"/>
  <c r="N45" i="114"/>
  <c r="P45" i="114"/>
  <c r="F45" i="114"/>
  <c r="G45" i="114"/>
  <c r="H45" i="114"/>
  <c r="B45" i="114"/>
  <c r="D45" i="114"/>
  <c r="J17" i="243"/>
  <c r="K17" i="243"/>
  <c r="L17" i="243"/>
  <c r="M17" i="243"/>
  <c r="N17" i="243"/>
  <c r="P17" i="243"/>
  <c r="Q17" i="243" s="1"/>
  <c r="F17" i="243"/>
  <c r="G17" i="243"/>
  <c r="H17" i="243"/>
  <c r="D17" i="243"/>
  <c r="E214" i="29"/>
  <c r="C214" i="29"/>
  <c r="P17" i="188"/>
  <c r="Q17" i="188" s="1"/>
  <c r="N17" i="188"/>
  <c r="M17" i="188"/>
  <c r="L17" i="188"/>
  <c r="K17" i="188"/>
  <c r="J17" i="188"/>
  <c r="H17" i="188"/>
  <c r="G17" i="188"/>
  <c r="F17" i="188"/>
  <c r="C2" i="304"/>
  <c r="F13" i="304"/>
  <c r="G13" i="304"/>
  <c r="H13" i="304"/>
  <c r="J13" i="304"/>
  <c r="K13" i="304"/>
  <c r="L13" i="304"/>
  <c r="M13" i="304"/>
  <c r="N13" i="304"/>
  <c r="P13" i="304"/>
  <c r="Q13" i="304" s="1"/>
  <c r="D7" i="304"/>
  <c r="F7" i="304"/>
  <c r="G7" i="304"/>
  <c r="H7" i="304"/>
  <c r="J7" i="304"/>
  <c r="K7" i="304"/>
  <c r="L7" i="304"/>
  <c r="M7" i="304"/>
  <c r="N7" i="304"/>
  <c r="P7" i="304"/>
  <c r="Q7" i="304" s="1"/>
  <c r="D8" i="304"/>
  <c r="F8" i="304"/>
  <c r="G8" i="304"/>
  <c r="H8" i="304"/>
  <c r="J8" i="304"/>
  <c r="K8" i="304"/>
  <c r="L8" i="304"/>
  <c r="M8" i="304"/>
  <c r="N8" i="304"/>
  <c r="P8" i="304"/>
  <c r="Q8" i="304" s="1"/>
  <c r="D9" i="304"/>
  <c r="F9" i="304"/>
  <c r="G9" i="304"/>
  <c r="H9" i="304"/>
  <c r="J9" i="304"/>
  <c r="K9" i="304"/>
  <c r="L9" i="304"/>
  <c r="M9" i="304"/>
  <c r="N9" i="304"/>
  <c r="P9" i="304"/>
  <c r="Q9" i="304" s="1"/>
  <c r="D10" i="304"/>
  <c r="F10" i="304"/>
  <c r="G10" i="304"/>
  <c r="H10" i="304"/>
  <c r="J10" i="304"/>
  <c r="K10" i="304"/>
  <c r="L10" i="304"/>
  <c r="M10" i="304"/>
  <c r="N10" i="304"/>
  <c r="P10" i="304"/>
  <c r="Q10" i="304" s="1"/>
  <c r="D11" i="304"/>
  <c r="F11" i="304"/>
  <c r="G11" i="304"/>
  <c r="H11" i="304"/>
  <c r="J11" i="304"/>
  <c r="K11" i="304"/>
  <c r="L11" i="304"/>
  <c r="M11" i="304"/>
  <c r="N11" i="304"/>
  <c r="P11" i="304"/>
  <c r="Q11" i="304" s="1"/>
  <c r="G2" i="304"/>
  <c r="I2" i="304"/>
  <c r="E3" i="304"/>
  <c r="G3" i="304"/>
  <c r="I3" i="304"/>
  <c r="E197" i="31"/>
  <c r="J197" i="31"/>
  <c r="E331" i="29"/>
  <c r="C331" i="29"/>
  <c r="C396" i="29"/>
  <c r="C332" i="29"/>
  <c r="C326" i="29"/>
  <c r="P20" i="243"/>
  <c r="Q20" i="243" s="1"/>
  <c r="N20" i="243"/>
  <c r="M20" i="243"/>
  <c r="L20" i="243"/>
  <c r="K20" i="243"/>
  <c r="J20" i="243"/>
  <c r="H20" i="243"/>
  <c r="G20" i="243"/>
  <c r="F20" i="243"/>
  <c r="J9" i="243"/>
  <c r="K9" i="243"/>
  <c r="L9" i="243"/>
  <c r="M9" i="243"/>
  <c r="N9" i="243"/>
  <c r="P9" i="243"/>
  <c r="Q9" i="243" s="1"/>
  <c r="F9" i="243"/>
  <c r="G9" i="243"/>
  <c r="H9" i="243"/>
  <c r="D9" i="243"/>
  <c r="J75" i="31"/>
  <c r="J76" i="31"/>
  <c r="J77" i="31"/>
  <c r="C374" i="29"/>
  <c r="E374" i="29"/>
  <c r="C371" i="29"/>
  <c r="E371" i="29"/>
  <c r="P31" i="146"/>
  <c r="Q31" i="146" s="1"/>
  <c r="N31" i="146"/>
  <c r="M31" i="146"/>
  <c r="L31" i="146"/>
  <c r="K31" i="146"/>
  <c r="J31" i="146"/>
  <c r="H31" i="146"/>
  <c r="G31" i="146"/>
  <c r="F31" i="146"/>
  <c r="D31" i="146"/>
  <c r="P31" i="163"/>
  <c r="Q31" i="163" s="1"/>
  <c r="N31" i="163"/>
  <c r="M31" i="163"/>
  <c r="L31" i="163"/>
  <c r="K31" i="163"/>
  <c r="J31" i="163"/>
  <c r="H31" i="163"/>
  <c r="G31" i="163"/>
  <c r="F31" i="163"/>
  <c r="D31" i="163"/>
  <c r="C369" i="29"/>
  <c r="C372" i="29"/>
  <c r="C2" i="303"/>
  <c r="C2" i="302"/>
  <c r="P8" i="303"/>
  <c r="Q8" i="303" s="1"/>
  <c r="N8" i="303"/>
  <c r="M8" i="303"/>
  <c r="L8" i="303"/>
  <c r="K8" i="303"/>
  <c r="J8" i="303"/>
  <c r="H8" i="303"/>
  <c r="G8" i="303"/>
  <c r="F8" i="303"/>
  <c r="D8" i="303"/>
  <c r="P7" i="303"/>
  <c r="Q7" i="303" s="1"/>
  <c r="N7" i="303"/>
  <c r="M7" i="303"/>
  <c r="L7" i="303"/>
  <c r="K7" i="303"/>
  <c r="J7" i="303"/>
  <c r="H7" i="303"/>
  <c r="G7" i="303"/>
  <c r="F7" i="303"/>
  <c r="D7" i="303"/>
  <c r="I3" i="303"/>
  <c r="G3" i="303"/>
  <c r="E3" i="303"/>
  <c r="I2" i="303"/>
  <c r="G2" i="303"/>
  <c r="P8" i="302"/>
  <c r="Q8" i="302" s="1"/>
  <c r="N8" i="302"/>
  <c r="M8" i="302"/>
  <c r="L8" i="302"/>
  <c r="K8" i="302"/>
  <c r="J8" i="302"/>
  <c r="H8" i="302"/>
  <c r="G8" i="302"/>
  <c r="F8" i="302"/>
  <c r="D8" i="302"/>
  <c r="P7" i="302"/>
  <c r="Q7" i="302" s="1"/>
  <c r="N7" i="302"/>
  <c r="M7" i="302"/>
  <c r="L7" i="302"/>
  <c r="K7" i="302"/>
  <c r="J7" i="302"/>
  <c r="H7" i="302"/>
  <c r="G7" i="302"/>
  <c r="F7" i="302"/>
  <c r="D7" i="302"/>
  <c r="I3" i="302"/>
  <c r="G3" i="302"/>
  <c r="E3" i="302"/>
  <c r="I2" i="302"/>
  <c r="G2" i="302"/>
  <c r="E178" i="31"/>
  <c r="E177" i="31"/>
  <c r="J177" i="31"/>
  <c r="J178" i="31"/>
  <c r="P41" i="236"/>
  <c r="Q41" i="236" s="1"/>
  <c r="N41" i="236"/>
  <c r="M41" i="236"/>
  <c r="L41" i="236"/>
  <c r="K41" i="236"/>
  <c r="J41" i="236"/>
  <c r="H41" i="236"/>
  <c r="G41" i="236"/>
  <c r="F41" i="236"/>
  <c r="D41" i="236"/>
  <c r="C324" i="29"/>
  <c r="E324" i="29"/>
  <c r="C325" i="29"/>
  <c r="E325" i="29"/>
  <c r="P40" i="236"/>
  <c r="Q40" i="236" s="1"/>
  <c r="N40" i="236"/>
  <c r="M40" i="236"/>
  <c r="L40" i="236"/>
  <c r="K40" i="236"/>
  <c r="J40" i="236"/>
  <c r="H40" i="236"/>
  <c r="G40" i="236"/>
  <c r="F40" i="236"/>
  <c r="D40" i="236"/>
  <c r="P54" i="236"/>
  <c r="Q54" i="236" s="1"/>
  <c r="N54" i="236"/>
  <c r="M54" i="236"/>
  <c r="L54" i="236"/>
  <c r="K54" i="236"/>
  <c r="J54" i="236"/>
  <c r="H54" i="236"/>
  <c r="G54" i="236"/>
  <c r="F54" i="236"/>
  <c r="P53" i="236"/>
  <c r="Q53" i="236" s="1"/>
  <c r="N53" i="236"/>
  <c r="M53" i="236"/>
  <c r="L53" i="236"/>
  <c r="K53" i="236"/>
  <c r="J53" i="236"/>
  <c r="H53" i="236"/>
  <c r="G53" i="236"/>
  <c r="F53" i="236"/>
  <c r="P39" i="236"/>
  <c r="Q39" i="236" s="1"/>
  <c r="N39" i="236"/>
  <c r="M39" i="236"/>
  <c r="L39" i="236"/>
  <c r="K39" i="236"/>
  <c r="J39" i="236"/>
  <c r="H39" i="236"/>
  <c r="G39" i="236"/>
  <c r="F39" i="236"/>
  <c r="D39" i="236"/>
  <c r="P38" i="236"/>
  <c r="Q38" i="236" s="1"/>
  <c r="N38" i="236"/>
  <c r="M38" i="236"/>
  <c r="L38" i="236"/>
  <c r="K38" i="236"/>
  <c r="J38" i="236"/>
  <c r="H38" i="236"/>
  <c r="G38" i="236"/>
  <c r="F38" i="236"/>
  <c r="D38" i="236"/>
  <c r="C330" i="29"/>
  <c r="P37" i="236"/>
  <c r="Q37" i="236" s="1"/>
  <c r="N37" i="236"/>
  <c r="M37" i="236"/>
  <c r="L37" i="236"/>
  <c r="K37" i="236"/>
  <c r="J37" i="236"/>
  <c r="H37" i="236"/>
  <c r="G37" i="236"/>
  <c r="F37" i="236"/>
  <c r="D37" i="236"/>
  <c r="P29" i="232"/>
  <c r="Q29" i="232" s="1"/>
  <c r="N29" i="232"/>
  <c r="M29" i="232"/>
  <c r="L29" i="232"/>
  <c r="K29" i="232"/>
  <c r="J29" i="232"/>
  <c r="H29" i="232"/>
  <c r="G29" i="232"/>
  <c r="F29" i="232"/>
  <c r="P28" i="232"/>
  <c r="Q28" i="232" s="1"/>
  <c r="N28" i="232"/>
  <c r="M28" i="232"/>
  <c r="L28" i="232"/>
  <c r="K28" i="232"/>
  <c r="J28" i="232"/>
  <c r="H28" i="232"/>
  <c r="G28" i="232"/>
  <c r="F28" i="232"/>
  <c r="P24" i="232"/>
  <c r="Q24" i="232" s="1"/>
  <c r="N24" i="232"/>
  <c r="M24" i="232"/>
  <c r="L24" i="232"/>
  <c r="K24" i="232"/>
  <c r="J24" i="232"/>
  <c r="H24" i="232"/>
  <c r="G24" i="232"/>
  <c r="F24" i="232"/>
  <c r="D24" i="232"/>
  <c r="P23" i="232"/>
  <c r="Q23" i="232" s="1"/>
  <c r="N23" i="232"/>
  <c r="M23" i="232"/>
  <c r="L23" i="232"/>
  <c r="K23" i="232"/>
  <c r="J23" i="232"/>
  <c r="H23" i="232"/>
  <c r="G23" i="232"/>
  <c r="F23" i="232"/>
  <c r="D23" i="232"/>
  <c r="Q6" i="232"/>
  <c r="P22" i="232"/>
  <c r="Q22" i="232" s="1"/>
  <c r="N22" i="232"/>
  <c r="M22" i="232"/>
  <c r="L22" i="232"/>
  <c r="K22" i="232"/>
  <c r="J22" i="232"/>
  <c r="H22" i="232"/>
  <c r="G22" i="232"/>
  <c r="F22" i="232"/>
  <c r="D22" i="232"/>
  <c r="P37" i="232"/>
  <c r="Q37" i="232" s="1"/>
  <c r="N37" i="232"/>
  <c r="M37" i="232"/>
  <c r="L37" i="232"/>
  <c r="K37" i="232"/>
  <c r="J37" i="232"/>
  <c r="H37" i="232"/>
  <c r="D37" i="232"/>
  <c r="P36" i="232"/>
  <c r="Q36" i="232" s="1"/>
  <c r="N36" i="232"/>
  <c r="M36" i="232"/>
  <c r="L36" i="232"/>
  <c r="K36" i="232"/>
  <c r="J36" i="232"/>
  <c r="H36" i="232"/>
  <c r="D36" i="232"/>
  <c r="C2" i="301"/>
  <c r="E196" i="31"/>
  <c r="J196" i="31"/>
  <c r="P10" i="301"/>
  <c r="Q10" i="301" s="1"/>
  <c r="N10" i="301"/>
  <c r="M10" i="301"/>
  <c r="L10" i="301"/>
  <c r="K10" i="301"/>
  <c r="J10" i="301"/>
  <c r="H10" i="301"/>
  <c r="G10" i="301"/>
  <c r="F10" i="301"/>
  <c r="P8" i="301"/>
  <c r="Q8" i="301" s="1"/>
  <c r="N8" i="301"/>
  <c r="M8" i="301"/>
  <c r="L8" i="301"/>
  <c r="K8" i="301"/>
  <c r="J8" i="301"/>
  <c r="H8" i="301"/>
  <c r="G8" i="301"/>
  <c r="F8" i="301"/>
  <c r="D8" i="301"/>
  <c r="I3" i="301"/>
  <c r="G3" i="301"/>
  <c r="E3" i="301"/>
  <c r="I2" i="301"/>
  <c r="G2" i="301"/>
  <c r="C124" i="29"/>
  <c r="P12" i="300"/>
  <c r="Q12" i="300" s="1"/>
  <c r="N12" i="300"/>
  <c r="M12" i="300"/>
  <c r="L12" i="300"/>
  <c r="K12" i="300"/>
  <c r="J12" i="300"/>
  <c r="H12" i="300"/>
  <c r="G12" i="300"/>
  <c r="F12" i="300"/>
  <c r="D12" i="300"/>
  <c r="P43" i="163"/>
  <c r="Q43" i="163" s="1"/>
  <c r="N43" i="163"/>
  <c r="M43" i="163"/>
  <c r="L43" i="163"/>
  <c r="K43" i="163"/>
  <c r="J43" i="163"/>
  <c r="H43" i="163"/>
  <c r="G43" i="163"/>
  <c r="F43" i="163"/>
  <c r="P43" i="146"/>
  <c r="Q43" i="146" s="1"/>
  <c r="N43" i="146"/>
  <c r="M43" i="146"/>
  <c r="L43" i="146"/>
  <c r="K43" i="146"/>
  <c r="J43" i="146"/>
  <c r="H43" i="146"/>
  <c r="G43" i="146"/>
  <c r="F43" i="146"/>
  <c r="P17" i="300"/>
  <c r="Q17" i="300" s="1"/>
  <c r="N17" i="300"/>
  <c r="M17" i="300"/>
  <c r="L17" i="300"/>
  <c r="K17" i="300"/>
  <c r="J17" i="300"/>
  <c r="H17" i="300"/>
  <c r="G17" i="300"/>
  <c r="F17" i="300"/>
  <c r="P16" i="300"/>
  <c r="Q16" i="300" s="1"/>
  <c r="N16" i="300"/>
  <c r="M16" i="300"/>
  <c r="L16" i="300"/>
  <c r="K16" i="300"/>
  <c r="J16" i="300"/>
  <c r="H16" i="300"/>
  <c r="G16" i="300"/>
  <c r="F16" i="300"/>
  <c r="P11" i="300"/>
  <c r="Q11" i="300" s="1"/>
  <c r="N11" i="300"/>
  <c r="M11" i="300"/>
  <c r="L11" i="300"/>
  <c r="K11" i="300"/>
  <c r="J11" i="300"/>
  <c r="H11" i="300"/>
  <c r="G11" i="300"/>
  <c r="F11" i="300"/>
  <c r="D11" i="300"/>
  <c r="P10" i="300"/>
  <c r="Q10" i="300" s="1"/>
  <c r="N10" i="300"/>
  <c r="M10" i="300"/>
  <c r="L10" i="300"/>
  <c r="K10" i="300"/>
  <c r="J10" i="300"/>
  <c r="H10" i="300"/>
  <c r="G10" i="300"/>
  <c r="F10" i="300"/>
  <c r="D10" i="300"/>
  <c r="P7" i="300"/>
  <c r="Q7" i="300" s="1"/>
  <c r="N7" i="300"/>
  <c r="M7" i="300"/>
  <c r="L7" i="300"/>
  <c r="K7" i="300"/>
  <c r="J7" i="300"/>
  <c r="H7" i="300"/>
  <c r="G7" i="300"/>
  <c r="F7" i="300"/>
  <c r="D7" i="300"/>
  <c r="P8" i="300"/>
  <c r="Q8" i="300" s="1"/>
  <c r="N8" i="300"/>
  <c r="M8" i="300"/>
  <c r="L8" i="300"/>
  <c r="K8" i="300"/>
  <c r="J8" i="300"/>
  <c r="H8" i="300"/>
  <c r="G8" i="300"/>
  <c r="F8" i="300"/>
  <c r="D8" i="300"/>
  <c r="P9" i="300"/>
  <c r="Q9" i="300" s="1"/>
  <c r="N9" i="300"/>
  <c r="M9" i="300"/>
  <c r="L9" i="300"/>
  <c r="K9" i="300"/>
  <c r="J9" i="300"/>
  <c r="H9" i="300"/>
  <c r="G9" i="300"/>
  <c r="F9" i="300"/>
  <c r="D9" i="300"/>
  <c r="P7" i="299"/>
  <c r="Q7" i="299" s="1"/>
  <c r="N7" i="299"/>
  <c r="M7" i="299"/>
  <c r="L7" i="299"/>
  <c r="K7" i="299"/>
  <c r="J7" i="299"/>
  <c r="H7" i="299"/>
  <c r="G7" i="299"/>
  <c r="F7" i="299"/>
  <c r="D7" i="299"/>
  <c r="C177" i="29"/>
  <c r="E177" i="29"/>
  <c r="C2" i="300"/>
  <c r="P6" i="234"/>
  <c r="Q6" i="234" s="1"/>
  <c r="P6" i="235"/>
  <c r="Q6" i="235" s="1"/>
  <c r="P15" i="300"/>
  <c r="Q15" i="300" s="1"/>
  <c r="N15" i="300"/>
  <c r="M15" i="300"/>
  <c r="L15" i="300"/>
  <c r="K15" i="300"/>
  <c r="J15" i="300"/>
  <c r="H15" i="300"/>
  <c r="G15" i="300"/>
  <c r="F15" i="300"/>
  <c r="P14" i="300"/>
  <c r="Q14" i="300" s="1"/>
  <c r="N14" i="300"/>
  <c r="M14" i="300"/>
  <c r="L14" i="300"/>
  <c r="K14" i="300"/>
  <c r="J14" i="300"/>
  <c r="H14" i="300"/>
  <c r="G14" i="300"/>
  <c r="F14" i="300"/>
  <c r="I3" i="300"/>
  <c r="G3" i="300"/>
  <c r="E3" i="300"/>
  <c r="I2" i="300"/>
  <c r="G2" i="300"/>
  <c r="C391" i="29"/>
  <c r="E391" i="29"/>
  <c r="E191" i="31"/>
  <c r="J191" i="31"/>
  <c r="Y75" i="30"/>
  <c r="V75" i="30"/>
  <c r="G75" i="30"/>
  <c r="G56" i="236" s="1"/>
  <c r="Y46" i="30"/>
  <c r="V46" i="30"/>
  <c r="G46" i="30"/>
  <c r="G37" i="232" s="1"/>
  <c r="Y95" i="30"/>
  <c r="V95" i="30"/>
  <c r="G95" i="30"/>
  <c r="G36" i="232" s="1"/>
  <c r="F49" i="236"/>
  <c r="G49" i="236"/>
  <c r="H49" i="236"/>
  <c r="J49" i="236"/>
  <c r="K49" i="236"/>
  <c r="L49" i="236"/>
  <c r="M49" i="236"/>
  <c r="N49" i="236"/>
  <c r="P49" i="236"/>
  <c r="Q49" i="236" s="1"/>
  <c r="F50" i="236"/>
  <c r="G50" i="236"/>
  <c r="H50" i="236"/>
  <c r="J50" i="236"/>
  <c r="K50" i="236"/>
  <c r="L50" i="236"/>
  <c r="M50" i="236"/>
  <c r="N50" i="236"/>
  <c r="P50" i="236"/>
  <c r="Q50" i="236" s="1"/>
  <c r="F43" i="236"/>
  <c r="G43" i="236"/>
  <c r="H43" i="236"/>
  <c r="J43" i="236"/>
  <c r="K43" i="236"/>
  <c r="L43" i="236"/>
  <c r="M43" i="236"/>
  <c r="N43" i="236"/>
  <c r="P43" i="236"/>
  <c r="Q43" i="236" s="1"/>
  <c r="F44" i="236"/>
  <c r="G44" i="236"/>
  <c r="H44" i="236"/>
  <c r="J44" i="236"/>
  <c r="K44" i="236"/>
  <c r="L44" i="236"/>
  <c r="M44" i="236"/>
  <c r="N44" i="236"/>
  <c r="P44" i="236"/>
  <c r="Q44" i="236" s="1"/>
  <c r="F45" i="236"/>
  <c r="G45" i="236"/>
  <c r="H45" i="236"/>
  <c r="J45" i="236"/>
  <c r="K45" i="236"/>
  <c r="L45" i="236"/>
  <c r="M45" i="236"/>
  <c r="N45" i="236"/>
  <c r="P45" i="236"/>
  <c r="Q45" i="236" s="1"/>
  <c r="F46" i="236"/>
  <c r="G46" i="236"/>
  <c r="H46" i="236"/>
  <c r="J46" i="236"/>
  <c r="K46" i="236"/>
  <c r="L46" i="236"/>
  <c r="M46" i="236"/>
  <c r="N46" i="236"/>
  <c r="P46" i="236"/>
  <c r="Q46" i="236" s="1"/>
  <c r="J25" i="236"/>
  <c r="K25" i="236"/>
  <c r="L25" i="236"/>
  <c r="M25" i="236"/>
  <c r="N25" i="236"/>
  <c r="P25" i="236"/>
  <c r="Q25" i="236" s="1"/>
  <c r="F25" i="236"/>
  <c r="G25" i="236"/>
  <c r="H25" i="236"/>
  <c r="D25" i="236"/>
  <c r="D27" i="236"/>
  <c r="F27" i="236"/>
  <c r="G27" i="236"/>
  <c r="H27" i="236"/>
  <c r="J27" i="236"/>
  <c r="K27" i="236"/>
  <c r="L27" i="236"/>
  <c r="M27" i="236"/>
  <c r="N27" i="236"/>
  <c r="P27" i="236"/>
  <c r="Q27" i="236" s="1"/>
  <c r="D28" i="236"/>
  <c r="F28" i="236"/>
  <c r="G28" i="236"/>
  <c r="H28" i="236"/>
  <c r="J28" i="236"/>
  <c r="K28" i="236"/>
  <c r="L28" i="236"/>
  <c r="M28" i="236"/>
  <c r="N28" i="236"/>
  <c r="P28" i="236"/>
  <c r="Q28" i="236" s="1"/>
  <c r="D29" i="236"/>
  <c r="F29" i="236"/>
  <c r="G29" i="236"/>
  <c r="H29" i="236"/>
  <c r="J29" i="236"/>
  <c r="K29" i="236"/>
  <c r="L29" i="236"/>
  <c r="M29" i="236"/>
  <c r="N29" i="236"/>
  <c r="P29" i="236"/>
  <c r="Q29" i="236" s="1"/>
  <c r="D30" i="236"/>
  <c r="F30" i="236"/>
  <c r="G30" i="236"/>
  <c r="H30" i="236"/>
  <c r="J30" i="236"/>
  <c r="K30" i="236"/>
  <c r="L30" i="236"/>
  <c r="M30" i="236"/>
  <c r="N30" i="236"/>
  <c r="P30" i="236"/>
  <c r="Q30" i="236" s="1"/>
  <c r="D31" i="236"/>
  <c r="F31" i="236"/>
  <c r="G31" i="236"/>
  <c r="H31" i="236"/>
  <c r="J31" i="236"/>
  <c r="K31" i="236"/>
  <c r="L31" i="236"/>
  <c r="M31" i="236"/>
  <c r="N31" i="236"/>
  <c r="P31" i="236"/>
  <c r="Q31" i="236" s="1"/>
  <c r="C333" i="29"/>
  <c r="C334" i="29"/>
  <c r="C335" i="29"/>
  <c r="C336" i="29"/>
  <c r="C337" i="29"/>
  <c r="C338" i="29"/>
  <c r="C339" i="29"/>
  <c r="C327" i="29"/>
  <c r="C328" i="29"/>
  <c r="C329" i="29"/>
  <c r="E334" i="29"/>
  <c r="E335" i="29"/>
  <c r="E338" i="29"/>
  <c r="E110" i="29"/>
  <c r="E82" i="29"/>
  <c r="C82" i="29"/>
  <c r="E100" i="29"/>
  <c r="C100" i="29"/>
  <c r="D29" i="213"/>
  <c r="F29" i="213"/>
  <c r="G29" i="213"/>
  <c r="H29" i="213"/>
  <c r="J29" i="213"/>
  <c r="K29" i="213"/>
  <c r="L29" i="213"/>
  <c r="M29" i="213"/>
  <c r="N29" i="213"/>
  <c r="P29" i="213"/>
  <c r="Q29" i="213" s="1"/>
  <c r="D30" i="213"/>
  <c r="F30" i="213"/>
  <c r="G30" i="213"/>
  <c r="H30" i="213"/>
  <c r="J30" i="213"/>
  <c r="K30" i="213"/>
  <c r="L30" i="213"/>
  <c r="M30" i="213"/>
  <c r="N30" i="213"/>
  <c r="P30" i="213"/>
  <c r="Q30" i="213" s="1"/>
  <c r="J44" i="213"/>
  <c r="K44" i="213"/>
  <c r="L44" i="213"/>
  <c r="M44" i="213"/>
  <c r="N44" i="213"/>
  <c r="P44" i="213"/>
  <c r="Q44" i="213" s="1"/>
  <c r="F44" i="213"/>
  <c r="G44" i="213"/>
  <c r="H44" i="213"/>
  <c r="J12" i="172"/>
  <c r="K12" i="172"/>
  <c r="L12" i="172"/>
  <c r="M12" i="172"/>
  <c r="N12" i="172"/>
  <c r="P12" i="172"/>
  <c r="Q12" i="172" s="1"/>
  <c r="F12" i="172"/>
  <c r="G12" i="172"/>
  <c r="H12" i="172"/>
  <c r="D12" i="172"/>
  <c r="J11" i="172"/>
  <c r="K11" i="172"/>
  <c r="L11" i="172"/>
  <c r="M11" i="172"/>
  <c r="N11" i="172"/>
  <c r="P11" i="172"/>
  <c r="Q11" i="172" s="1"/>
  <c r="F11" i="172"/>
  <c r="G11" i="172"/>
  <c r="H11" i="172"/>
  <c r="D11" i="172"/>
  <c r="I506" i="28"/>
  <c r="F18" i="106"/>
  <c r="F17" i="106"/>
  <c r="F16" i="106"/>
  <c r="F29" i="298"/>
  <c r="F28" i="298"/>
  <c r="F27" i="298"/>
  <c r="F26" i="298"/>
  <c r="F25" i="298"/>
  <c r="F24" i="298"/>
  <c r="F23" i="298"/>
  <c r="F22" i="298"/>
  <c r="F21" i="298"/>
  <c r="F20" i="298"/>
  <c r="F19" i="298"/>
  <c r="F6" i="265"/>
  <c r="F5" i="265"/>
  <c r="F6" i="266"/>
  <c r="F5" i="266"/>
  <c r="F13" i="267"/>
  <c r="F12" i="267"/>
  <c r="F11" i="267"/>
  <c r="F10" i="267"/>
  <c r="F9" i="267"/>
  <c r="F8" i="267"/>
  <c r="F7" i="267"/>
  <c r="F14" i="264"/>
  <c r="F13" i="264"/>
  <c r="F12" i="264"/>
  <c r="F11" i="264"/>
  <c r="F10" i="264"/>
  <c r="F9" i="264"/>
  <c r="F8" i="226"/>
  <c r="F7" i="226"/>
  <c r="F20" i="214"/>
  <c r="F17" i="214"/>
  <c r="F16" i="214"/>
  <c r="F15" i="214"/>
  <c r="F14" i="214"/>
  <c r="F13" i="214"/>
  <c r="F12" i="214"/>
  <c r="F11" i="214"/>
  <c r="F10" i="214"/>
  <c r="F12" i="225"/>
  <c r="F10" i="225"/>
  <c r="F9" i="225"/>
  <c r="F8" i="225"/>
  <c r="F7" i="225"/>
  <c r="F8" i="224"/>
  <c r="F8" i="223"/>
  <c r="F8" i="222"/>
  <c r="F11" i="221"/>
  <c r="F9" i="221"/>
  <c r="F8" i="221"/>
  <c r="F7" i="221"/>
  <c r="F12" i="220"/>
  <c r="F11" i="220"/>
  <c r="F10" i="220"/>
  <c r="F9" i="220"/>
  <c r="F8" i="220"/>
  <c r="F7" i="220"/>
  <c r="F13" i="219"/>
  <c r="F12" i="219"/>
  <c r="F11" i="219"/>
  <c r="F10" i="219"/>
  <c r="F9" i="219"/>
  <c r="F8" i="219"/>
  <c r="F13" i="218"/>
  <c r="F12" i="218"/>
  <c r="F11" i="218"/>
  <c r="F10" i="218"/>
  <c r="F9" i="218"/>
  <c r="F32" i="213"/>
  <c r="F31" i="213"/>
  <c r="F28" i="213"/>
  <c r="F27" i="213"/>
  <c r="F26" i="213"/>
  <c r="F25" i="213"/>
  <c r="F8" i="297"/>
  <c r="F7" i="297"/>
  <c r="F9" i="250"/>
  <c r="F8" i="250"/>
  <c r="F7" i="250"/>
  <c r="F14" i="249"/>
  <c r="F12" i="249"/>
  <c r="F11" i="249"/>
  <c r="F10" i="249"/>
  <c r="F9" i="249"/>
  <c r="F7" i="249"/>
  <c r="F15" i="212"/>
  <c r="F14" i="212"/>
  <c r="F13" i="212"/>
  <c r="F21" i="211"/>
  <c r="F20" i="211"/>
  <c r="F19" i="211"/>
  <c r="F15" i="175"/>
  <c r="F14" i="175"/>
  <c r="F13" i="175"/>
  <c r="F12" i="175"/>
  <c r="F11" i="175"/>
  <c r="F10" i="175"/>
  <c r="F9" i="175"/>
  <c r="F8" i="175"/>
  <c r="F15" i="174"/>
  <c r="F14" i="174"/>
  <c r="F13" i="174"/>
  <c r="F12" i="174"/>
  <c r="F11" i="174"/>
  <c r="F10" i="174"/>
  <c r="F9" i="174"/>
  <c r="F11" i="173"/>
  <c r="F10" i="173"/>
  <c r="F9" i="173"/>
  <c r="F10" i="172"/>
  <c r="F9" i="172"/>
  <c r="F8" i="172"/>
  <c r="F7" i="172"/>
  <c r="F6" i="172"/>
  <c r="F19" i="171"/>
  <c r="F18" i="171"/>
  <c r="F17" i="171"/>
  <c r="F16" i="171"/>
  <c r="F15" i="171"/>
  <c r="F14" i="171"/>
  <c r="F13" i="171"/>
  <c r="F18" i="124"/>
  <c r="F17" i="124"/>
  <c r="F16" i="124"/>
  <c r="F15" i="124"/>
  <c r="F14" i="124"/>
  <c r="F13" i="124"/>
  <c r="F12" i="124"/>
  <c r="F34" i="123"/>
  <c r="F33" i="123"/>
  <c r="F32" i="123"/>
  <c r="F31" i="123"/>
  <c r="F30" i="123"/>
  <c r="F29" i="123"/>
  <c r="F28" i="123"/>
  <c r="F27" i="123"/>
  <c r="F26" i="123"/>
  <c r="F25" i="123"/>
  <c r="F24" i="123"/>
  <c r="F23" i="123"/>
  <c r="F22" i="123"/>
  <c r="F21" i="123"/>
  <c r="F20" i="123"/>
  <c r="F19" i="123"/>
  <c r="F18" i="123"/>
  <c r="F17" i="123"/>
  <c r="F16" i="143"/>
  <c r="F15" i="143"/>
  <c r="F14" i="143"/>
  <c r="F13" i="143"/>
  <c r="F12" i="143"/>
  <c r="F16" i="142"/>
  <c r="F15" i="142"/>
  <c r="F14" i="142"/>
  <c r="F13" i="142"/>
  <c r="F12" i="142"/>
  <c r="F11" i="142"/>
  <c r="F10" i="139"/>
  <c r="F10" i="138"/>
  <c r="F9" i="138"/>
  <c r="F8" i="138"/>
  <c r="F7" i="138"/>
  <c r="F16" i="137"/>
  <c r="F15" i="137"/>
  <c r="F14" i="137"/>
  <c r="F13" i="137"/>
  <c r="F12" i="137"/>
  <c r="F16" i="144"/>
  <c r="F15" i="144"/>
  <c r="F14" i="144"/>
  <c r="F13" i="144"/>
  <c r="F12" i="144"/>
  <c r="F11" i="144"/>
  <c r="F11" i="135"/>
  <c r="F10" i="135"/>
  <c r="F15" i="104"/>
  <c r="F14" i="104"/>
  <c r="F13" i="104"/>
  <c r="F12" i="104"/>
  <c r="F11" i="104"/>
  <c r="F10" i="105"/>
  <c r="F16" i="103"/>
  <c r="F15" i="103"/>
  <c r="F14" i="103"/>
  <c r="F13" i="103"/>
  <c r="F12" i="103"/>
  <c r="F15" i="102"/>
  <c r="F14" i="102"/>
  <c r="F13" i="102"/>
  <c r="F12" i="102"/>
  <c r="F11" i="102"/>
  <c r="F16" i="101"/>
  <c r="F15" i="101"/>
  <c r="F14" i="101"/>
  <c r="F13" i="101"/>
  <c r="F12" i="101"/>
  <c r="F11" i="101"/>
  <c r="F8" i="263"/>
  <c r="F7" i="134"/>
  <c r="F5" i="99"/>
  <c r="F10" i="98"/>
  <c r="F14" i="97"/>
  <c r="F13" i="97"/>
  <c r="F12" i="97"/>
  <c r="F11" i="97"/>
  <c r="F10" i="97"/>
  <c r="F9" i="96"/>
  <c r="F8" i="96"/>
  <c r="F7" i="96"/>
  <c r="F15" i="95"/>
  <c r="F14" i="95"/>
  <c r="F13" i="95"/>
  <c r="F12" i="95"/>
  <c r="F11" i="95"/>
  <c r="F16" i="94"/>
  <c r="F15" i="94"/>
  <c r="F14" i="94"/>
  <c r="F13" i="94"/>
  <c r="F12" i="94"/>
  <c r="F11" i="94"/>
  <c r="F11" i="93"/>
  <c r="F10" i="93"/>
  <c r="F11" i="141"/>
  <c r="F10" i="141"/>
  <c r="F9" i="141"/>
  <c r="F8" i="141"/>
  <c r="F7" i="141"/>
  <c r="F9" i="140"/>
  <c r="F10" i="92"/>
  <c r="F9" i="92"/>
  <c r="F8" i="92"/>
  <c r="F7" i="92"/>
  <c r="F9" i="91"/>
  <c r="F8" i="91"/>
  <c r="F7" i="91"/>
  <c r="F14" i="84"/>
  <c r="F13" i="84"/>
  <c r="F12" i="84"/>
  <c r="F11" i="84"/>
  <c r="F10" i="84"/>
  <c r="F9" i="84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36" i="236"/>
  <c r="F35" i="236"/>
  <c r="F34" i="236"/>
  <c r="F33" i="236"/>
  <c r="F32" i="236"/>
  <c r="F26" i="236"/>
  <c r="F21" i="232"/>
  <c r="F20" i="232"/>
  <c r="F19" i="232"/>
  <c r="F18" i="232"/>
  <c r="F17" i="232"/>
  <c r="F16" i="232"/>
  <c r="F15" i="232"/>
  <c r="F14" i="232"/>
  <c r="F13" i="232"/>
  <c r="F12" i="232"/>
  <c r="F16" i="233"/>
  <c r="F15" i="233"/>
  <c r="F14" i="233"/>
  <c r="F13" i="233"/>
  <c r="F12" i="233"/>
  <c r="F11" i="233"/>
  <c r="F10" i="233"/>
  <c r="F9" i="233"/>
  <c r="F15" i="234"/>
  <c r="F14" i="234"/>
  <c r="F13" i="234"/>
  <c r="F12" i="234"/>
  <c r="F11" i="234"/>
  <c r="F15" i="235"/>
  <c r="F14" i="235"/>
  <c r="F13" i="235"/>
  <c r="F12" i="235"/>
  <c r="F11" i="235"/>
  <c r="F20" i="164"/>
  <c r="F19" i="164"/>
  <c r="F18" i="164"/>
  <c r="F17" i="164"/>
  <c r="F16" i="164"/>
  <c r="F15" i="164"/>
  <c r="F14" i="164"/>
  <c r="F13" i="164"/>
  <c r="F12" i="164"/>
  <c r="F11" i="164"/>
  <c r="F10" i="164"/>
  <c r="F20" i="131"/>
  <c r="F19" i="131"/>
  <c r="F18" i="131"/>
  <c r="F17" i="131"/>
  <c r="F16" i="131"/>
  <c r="F15" i="131"/>
  <c r="F14" i="131"/>
  <c r="F13" i="131"/>
  <c r="F12" i="131"/>
  <c r="F11" i="131"/>
  <c r="F10" i="131"/>
  <c r="F30" i="163"/>
  <c r="F29" i="163"/>
  <c r="F28" i="163"/>
  <c r="F27" i="163"/>
  <c r="F26" i="163"/>
  <c r="F25" i="163"/>
  <c r="F24" i="163"/>
  <c r="F23" i="163"/>
  <c r="F22" i="162"/>
  <c r="F21" i="162"/>
  <c r="F20" i="162"/>
  <c r="F19" i="162"/>
  <c r="F18" i="162"/>
  <c r="F17" i="162"/>
  <c r="F16" i="162"/>
  <c r="F15" i="162"/>
  <c r="F14" i="162"/>
  <c r="F13" i="162"/>
  <c r="F12" i="162"/>
  <c r="F11" i="162"/>
  <c r="F21" i="157"/>
  <c r="F20" i="157"/>
  <c r="F19" i="157"/>
  <c r="F18" i="157"/>
  <c r="F17" i="157"/>
  <c r="F16" i="157"/>
  <c r="F15" i="157"/>
  <c r="F14" i="157"/>
  <c r="F13" i="157"/>
  <c r="F12" i="157"/>
  <c r="F11" i="157"/>
  <c r="F10" i="157"/>
  <c r="F18" i="156"/>
  <c r="F17" i="156"/>
  <c r="F16" i="156"/>
  <c r="F15" i="156"/>
  <c r="F14" i="156"/>
  <c r="F13" i="156"/>
  <c r="F12" i="156"/>
  <c r="F11" i="156"/>
  <c r="F10" i="156"/>
  <c r="F11" i="155"/>
  <c r="F10" i="155"/>
  <c r="F9" i="155"/>
  <c r="F8" i="155"/>
  <c r="F14" i="154"/>
  <c r="F13" i="154"/>
  <c r="F12" i="154"/>
  <c r="F11" i="154"/>
  <c r="F10" i="154"/>
  <c r="F23" i="150"/>
  <c r="F22" i="150"/>
  <c r="F21" i="150"/>
  <c r="F20" i="150"/>
  <c r="F19" i="150"/>
  <c r="F18" i="150"/>
  <c r="F17" i="150"/>
  <c r="F16" i="150"/>
  <c r="F15" i="150"/>
  <c r="F14" i="150"/>
  <c r="F11" i="296"/>
  <c r="F10" i="296"/>
  <c r="F9" i="296"/>
  <c r="F8" i="296"/>
  <c r="F7" i="296"/>
  <c r="F30" i="146"/>
  <c r="F29" i="146"/>
  <c r="F28" i="146"/>
  <c r="F27" i="146"/>
  <c r="F26" i="146"/>
  <c r="F25" i="146"/>
  <c r="F24" i="146"/>
  <c r="F23" i="146"/>
  <c r="F22" i="145"/>
  <c r="F21" i="145"/>
  <c r="F20" i="145"/>
  <c r="F19" i="145"/>
  <c r="F18" i="145"/>
  <c r="F17" i="145"/>
  <c r="F16" i="145"/>
  <c r="F15" i="145"/>
  <c r="F14" i="145"/>
  <c r="F13" i="145"/>
  <c r="F12" i="145"/>
  <c r="F11" i="145"/>
  <c r="F11" i="294"/>
  <c r="F10" i="294"/>
  <c r="F9" i="294"/>
  <c r="F8" i="294"/>
  <c r="F7" i="294"/>
  <c r="F21" i="149"/>
  <c r="F20" i="149"/>
  <c r="F19" i="149"/>
  <c r="F18" i="149"/>
  <c r="F17" i="149"/>
  <c r="F16" i="149"/>
  <c r="F15" i="149"/>
  <c r="F14" i="149"/>
  <c r="F13" i="149"/>
  <c r="F12" i="149"/>
  <c r="F11" i="149"/>
  <c r="F10" i="149"/>
  <c r="F18" i="148"/>
  <c r="F17" i="148"/>
  <c r="F16" i="148"/>
  <c r="F15" i="148"/>
  <c r="F14" i="148"/>
  <c r="F13" i="148"/>
  <c r="F12" i="148"/>
  <c r="F11" i="148"/>
  <c r="F10" i="148"/>
  <c r="F11" i="147"/>
  <c r="F10" i="147"/>
  <c r="F9" i="147"/>
  <c r="F8" i="147"/>
  <c r="F14" i="133"/>
  <c r="F13" i="133"/>
  <c r="F12" i="133"/>
  <c r="F11" i="133"/>
  <c r="F10" i="133"/>
  <c r="F23" i="159"/>
  <c r="F22" i="159"/>
  <c r="F21" i="159"/>
  <c r="F20" i="159"/>
  <c r="F19" i="159"/>
  <c r="F18" i="159"/>
  <c r="F17" i="159"/>
  <c r="F16" i="159"/>
  <c r="F15" i="159"/>
  <c r="F14" i="159"/>
  <c r="F10" i="197"/>
  <c r="F9" i="197"/>
  <c r="F8" i="197"/>
  <c r="F7" i="197"/>
  <c r="F10" i="196"/>
  <c r="F9" i="196"/>
  <c r="F8" i="196"/>
  <c r="F7" i="196"/>
  <c r="F74" i="128"/>
  <c r="F73" i="128"/>
  <c r="F72" i="128"/>
  <c r="F71" i="128"/>
  <c r="F70" i="128"/>
  <c r="F69" i="128"/>
  <c r="F68" i="128"/>
  <c r="F67" i="128"/>
  <c r="F66" i="128"/>
  <c r="F65" i="128"/>
  <c r="F64" i="128"/>
  <c r="F63" i="128"/>
  <c r="F62" i="128"/>
  <c r="F61" i="128"/>
  <c r="F60" i="128"/>
  <c r="F59" i="128"/>
  <c r="F58" i="128"/>
  <c r="F57" i="128"/>
  <c r="F56" i="128"/>
  <c r="F55" i="128"/>
  <c r="F54" i="128"/>
  <c r="F53" i="128"/>
  <c r="F52" i="128"/>
  <c r="F51" i="128"/>
  <c r="F50" i="128"/>
  <c r="F49" i="128"/>
  <c r="F48" i="128"/>
  <c r="F47" i="128"/>
  <c r="F46" i="128"/>
  <c r="F45" i="128"/>
  <c r="F44" i="128"/>
  <c r="F43" i="128"/>
  <c r="F42" i="128"/>
  <c r="F41" i="128"/>
  <c r="F40" i="128"/>
  <c r="F39" i="128"/>
  <c r="F38" i="128"/>
  <c r="F37" i="128"/>
  <c r="F36" i="128"/>
  <c r="F35" i="128"/>
  <c r="F34" i="128"/>
  <c r="F33" i="128"/>
  <c r="F32" i="128"/>
  <c r="F31" i="128"/>
  <c r="F21" i="127"/>
  <c r="F24" i="195"/>
  <c r="F23" i="195"/>
  <c r="F22" i="195"/>
  <c r="F21" i="195"/>
  <c r="F20" i="195"/>
  <c r="F19" i="195"/>
  <c r="F18" i="195"/>
  <c r="F17" i="195"/>
  <c r="F16" i="195"/>
  <c r="F15" i="195"/>
  <c r="F14" i="195"/>
  <c r="F13" i="195"/>
  <c r="F12" i="195"/>
  <c r="F11" i="195"/>
  <c r="F13" i="230"/>
  <c r="F12" i="230"/>
  <c r="F11" i="230"/>
  <c r="F10" i="230"/>
  <c r="F20" i="229"/>
  <c r="F19" i="229"/>
  <c r="F18" i="229"/>
  <c r="F17" i="229"/>
  <c r="F16" i="229"/>
  <c r="F15" i="229"/>
  <c r="F14" i="229"/>
  <c r="F13" i="229"/>
  <c r="F36" i="201"/>
  <c r="F35" i="201"/>
  <c r="F34" i="201"/>
  <c r="F33" i="201"/>
  <c r="F32" i="201"/>
  <c r="F31" i="201"/>
  <c r="F30" i="201"/>
  <c r="F29" i="201"/>
  <c r="F28" i="201"/>
  <c r="F27" i="201"/>
  <c r="F26" i="201"/>
  <c r="F25" i="201"/>
  <c r="F24" i="201"/>
  <c r="F23" i="201"/>
  <c r="F22" i="201"/>
  <c r="F21" i="201"/>
  <c r="F20" i="201"/>
  <c r="F19" i="201"/>
  <c r="F17" i="228"/>
  <c r="F16" i="228"/>
  <c r="F15" i="228"/>
  <c r="F14" i="228"/>
  <c r="F13" i="228"/>
  <c r="F12" i="228"/>
  <c r="F11" i="228"/>
  <c r="F10" i="228"/>
  <c r="F10" i="204"/>
  <c r="F9" i="204"/>
  <c r="F8" i="204"/>
  <c r="F17" i="205"/>
  <c r="F16" i="205"/>
  <c r="F15" i="205"/>
  <c r="F14" i="205"/>
  <c r="F13" i="205"/>
  <c r="F12" i="205"/>
  <c r="F11" i="205"/>
  <c r="F13" i="203"/>
  <c r="F12" i="203"/>
  <c r="F11" i="203"/>
  <c r="F10" i="203"/>
  <c r="F9" i="203"/>
  <c r="F21" i="202"/>
  <c r="F20" i="202"/>
  <c r="F19" i="202"/>
  <c r="F18" i="202"/>
  <c r="F17" i="202"/>
  <c r="F16" i="202"/>
  <c r="F15" i="202"/>
  <c r="F14" i="202"/>
  <c r="F36" i="200"/>
  <c r="F35" i="200"/>
  <c r="F34" i="200"/>
  <c r="F33" i="200"/>
  <c r="F32" i="200"/>
  <c r="F31" i="200"/>
  <c r="F30" i="200"/>
  <c r="F29" i="200"/>
  <c r="F28" i="200"/>
  <c r="F27" i="200"/>
  <c r="F26" i="200"/>
  <c r="F25" i="200"/>
  <c r="F24" i="200"/>
  <c r="F23" i="200"/>
  <c r="F22" i="200"/>
  <c r="F21" i="200"/>
  <c r="F20" i="200"/>
  <c r="F19" i="200"/>
  <c r="F22" i="199"/>
  <c r="F21" i="199"/>
  <c r="F20" i="199"/>
  <c r="F19" i="199"/>
  <c r="F18" i="199"/>
  <c r="F17" i="199"/>
  <c r="F13" i="199"/>
  <c r="F22" i="198"/>
  <c r="F21" i="198"/>
  <c r="F20" i="198"/>
  <c r="F19" i="198"/>
  <c r="F18" i="198"/>
  <c r="F17" i="198"/>
  <c r="F13" i="198"/>
  <c r="F18" i="194"/>
  <c r="F17" i="194"/>
  <c r="F16" i="194"/>
  <c r="F15" i="194"/>
  <c r="F14" i="194"/>
  <c r="F13" i="194"/>
  <c r="F12" i="194"/>
  <c r="F11" i="194"/>
  <c r="F71" i="193"/>
  <c r="F70" i="193"/>
  <c r="F69" i="193"/>
  <c r="F68" i="193"/>
  <c r="F67" i="193"/>
  <c r="F66" i="193"/>
  <c r="F65" i="193"/>
  <c r="F64" i="193"/>
  <c r="F63" i="193"/>
  <c r="F62" i="193"/>
  <c r="F61" i="193"/>
  <c r="F60" i="193"/>
  <c r="F59" i="193"/>
  <c r="F58" i="193"/>
  <c r="F57" i="193"/>
  <c r="F56" i="193"/>
  <c r="F55" i="193"/>
  <c r="F54" i="193"/>
  <c r="F53" i="193"/>
  <c r="F52" i="193"/>
  <c r="F51" i="193"/>
  <c r="F50" i="193"/>
  <c r="F49" i="193"/>
  <c r="F48" i="193"/>
  <c r="F47" i="193"/>
  <c r="F46" i="193"/>
  <c r="F45" i="193"/>
  <c r="F44" i="193"/>
  <c r="F43" i="193"/>
  <c r="F42" i="193"/>
  <c r="F41" i="193"/>
  <c r="F40" i="193"/>
  <c r="F39" i="193"/>
  <c r="F38" i="193"/>
  <c r="F37" i="193"/>
  <c r="F36" i="193"/>
  <c r="F35" i="193"/>
  <c r="F34" i="193"/>
  <c r="F33" i="193"/>
  <c r="F32" i="193"/>
  <c r="F31" i="193"/>
  <c r="F30" i="193"/>
  <c r="F29" i="193"/>
  <c r="F28" i="193"/>
  <c r="F27" i="193"/>
  <c r="F13" i="192"/>
  <c r="F12" i="192"/>
  <c r="F11" i="192"/>
  <c r="F10" i="192"/>
  <c r="F9" i="192"/>
  <c r="F8" i="192"/>
  <c r="F7" i="192"/>
  <c r="F6" i="192"/>
  <c r="F5" i="192"/>
  <c r="F8" i="227"/>
  <c r="F7" i="227"/>
  <c r="F16" i="231"/>
  <c r="F15" i="231"/>
  <c r="F14" i="231"/>
  <c r="F13" i="231"/>
  <c r="F11" i="231"/>
  <c r="F10" i="231"/>
  <c r="F9" i="231"/>
  <c r="F18" i="191"/>
  <c r="F14" i="181"/>
  <c r="F13" i="181"/>
  <c r="F12" i="181"/>
  <c r="F11" i="181"/>
  <c r="F10" i="181"/>
  <c r="F9" i="181"/>
  <c r="F8" i="181"/>
  <c r="F7" i="181"/>
  <c r="F24" i="190"/>
  <c r="F23" i="190"/>
  <c r="F22" i="190"/>
  <c r="F21" i="190"/>
  <c r="F20" i="190"/>
  <c r="F19" i="190"/>
  <c r="F18" i="190"/>
  <c r="F17" i="190"/>
  <c r="F16" i="190"/>
  <c r="F15" i="190"/>
  <c r="F14" i="190"/>
  <c r="F13" i="190"/>
  <c r="F12" i="190"/>
  <c r="F11" i="190"/>
  <c r="F19" i="180"/>
  <c r="F18" i="180"/>
  <c r="F17" i="180"/>
  <c r="F16" i="180"/>
  <c r="F15" i="180"/>
  <c r="F14" i="180"/>
  <c r="F13" i="180"/>
  <c r="F12" i="180"/>
  <c r="F11" i="180"/>
  <c r="F20" i="189"/>
  <c r="F19" i="189"/>
  <c r="F18" i="189"/>
  <c r="F17" i="189"/>
  <c r="F16" i="189"/>
  <c r="F15" i="189"/>
  <c r="F14" i="189"/>
  <c r="F13" i="189"/>
  <c r="F12" i="189"/>
  <c r="F11" i="189"/>
  <c r="F15" i="188"/>
  <c r="F14" i="188"/>
  <c r="F13" i="188"/>
  <c r="F12" i="188"/>
  <c r="F11" i="188"/>
  <c r="F10" i="188"/>
  <c r="F9" i="188"/>
  <c r="F20" i="179"/>
  <c r="F19" i="179"/>
  <c r="F18" i="179"/>
  <c r="F17" i="179"/>
  <c r="F16" i="179"/>
  <c r="F15" i="179"/>
  <c r="F14" i="179"/>
  <c r="F13" i="179"/>
  <c r="F35" i="165"/>
  <c r="F34" i="165"/>
  <c r="F33" i="165"/>
  <c r="F32" i="165"/>
  <c r="F31" i="165"/>
  <c r="F30" i="165"/>
  <c r="F29" i="165"/>
  <c r="F28" i="165"/>
  <c r="F27" i="165"/>
  <c r="F26" i="165"/>
  <c r="F25" i="165"/>
  <c r="F24" i="165"/>
  <c r="F23" i="165"/>
  <c r="F22" i="165"/>
  <c r="F21" i="165"/>
  <c r="F20" i="165"/>
  <c r="F19" i="165"/>
  <c r="F18" i="165"/>
  <c r="F13" i="288"/>
  <c r="F12" i="288"/>
  <c r="F11" i="288"/>
  <c r="F13" i="287"/>
  <c r="F12" i="287"/>
  <c r="F11" i="287"/>
  <c r="F15" i="286"/>
  <c r="F14" i="286"/>
  <c r="F13" i="286"/>
  <c r="F15" i="285"/>
  <c r="F14" i="285"/>
  <c r="F13" i="285"/>
  <c r="F13" i="284"/>
  <c r="F12" i="284"/>
  <c r="F11" i="284"/>
  <c r="F13" i="283"/>
  <c r="F12" i="283"/>
  <c r="F11" i="283"/>
  <c r="F11" i="187"/>
  <c r="F10" i="187"/>
  <c r="F22" i="178"/>
  <c r="F21" i="178"/>
  <c r="F20" i="178"/>
  <c r="F18" i="270"/>
  <c r="F17" i="270"/>
  <c r="F16" i="270"/>
  <c r="F15" i="270"/>
  <c r="F14" i="270"/>
  <c r="F13" i="270"/>
  <c r="F12" i="270"/>
  <c r="F11" i="270"/>
  <c r="F10" i="270"/>
  <c r="F17" i="269"/>
  <c r="F16" i="269"/>
  <c r="F15" i="269"/>
  <c r="F14" i="269"/>
  <c r="F13" i="269"/>
  <c r="F12" i="269"/>
  <c r="F11" i="269"/>
  <c r="F10" i="269"/>
  <c r="F9" i="269"/>
  <c r="F9" i="268"/>
  <c r="F8" i="268"/>
  <c r="F7" i="268"/>
  <c r="F8" i="186"/>
  <c r="F7" i="186"/>
  <c r="F8" i="185"/>
  <c r="F7" i="185"/>
  <c r="F8" i="184"/>
  <c r="F7" i="184"/>
  <c r="F8" i="183"/>
  <c r="F7" i="183"/>
  <c r="F9" i="182"/>
  <c r="F8" i="182"/>
  <c r="F7" i="182"/>
  <c r="F33" i="177"/>
  <c r="F32" i="177"/>
  <c r="F31" i="177"/>
  <c r="F30" i="177"/>
  <c r="F17" i="209"/>
  <c r="F16" i="209"/>
  <c r="F15" i="209"/>
  <c r="F14" i="209"/>
  <c r="F13" i="209"/>
  <c r="F12" i="209"/>
  <c r="F11" i="209"/>
  <c r="F10" i="209"/>
  <c r="F9" i="209"/>
  <c r="F15" i="282"/>
  <c r="F14" i="282"/>
  <c r="F13" i="282"/>
  <c r="F15" i="281"/>
  <c r="F14" i="281"/>
  <c r="F13" i="281"/>
  <c r="F20" i="280"/>
  <c r="F19" i="280"/>
  <c r="F18" i="280"/>
  <c r="F17" i="280"/>
  <c r="F16" i="280"/>
  <c r="F15" i="280"/>
  <c r="F14" i="280"/>
  <c r="F20" i="279"/>
  <c r="F19" i="279"/>
  <c r="F18" i="279"/>
  <c r="F17" i="279"/>
  <c r="F16" i="279"/>
  <c r="F15" i="279"/>
  <c r="F14" i="279"/>
  <c r="F7" i="256"/>
  <c r="F6" i="256"/>
  <c r="F5" i="256"/>
  <c r="F5" i="254"/>
  <c r="F22" i="167"/>
  <c r="F21" i="167"/>
  <c r="F20" i="167"/>
  <c r="F8" i="169"/>
  <c r="F7" i="169"/>
  <c r="F8" i="168"/>
  <c r="F7" i="168"/>
  <c r="F21" i="166"/>
  <c r="F20" i="166"/>
  <c r="F19" i="166"/>
  <c r="F11" i="118"/>
  <c r="F10" i="118"/>
  <c r="F9" i="118"/>
  <c r="F9" i="117"/>
  <c r="F8" i="117"/>
  <c r="F7" i="116"/>
  <c r="F47" i="114"/>
  <c r="F44" i="114"/>
  <c r="F43" i="114"/>
  <c r="F42" i="114"/>
  <c r="F41" i="114"/>
  <c r="F40" i="114"/>
  <c r="F39" i="114"/>
  <c r="F38" i="114"/>
  <c r="F37" i="114"/>
  <c r="F36" i="114"/>
  <c r="F35" i="114"/>
  <c r="F34" i="114"/>
  <c r="F33" i="114"/>
  <c r="F32" i="114"/>
  <c r="F31" i="114"/>
  <c r="F30" i="114"/>
  <c r="F29" i="114"/>
  <c r="F28" i="114"/>
  <c r="F27" i="114"/>
  <c r="F13" i="278"/>
  <c r="F12" i="278"/>
  <c r="F11" i="278"/>
  <c r="F13" i="277"/>
  <c r="F12" i="277"/>
  <c r="F11" i="277"/>
  <c r="F15" i="276"/>
  <c r="F14" i="276"/>
  <c r="F13" i="276"/>
  <c r="F7" i="289"/>
  <c r="F10" i="262"/>
  <c r="F9" i="262"/>
  <c r="F15" i="275"/>
  <c r="F14" i="275"/>
  <c r="F13" i="275"/>
  <c r="F14" i="113"/>
  <c r="F13" i="113"/>
  <c r="F10" i="252"/>
  <c r="F9" i="252"/>
  <c r="F8" i="252"/>
  <c r="F7" i="252"/>
  <c r="F10" i="251"/>
  <c r="F9" i="251"/>
  <c r="F8" i="251"/>
  <c r="F7" i="251"/>
  <c r="F8" i="207"/>
  <c r="F7" i="207"/>
  <c r="F8" i="206"/>
  <c r="F7" i="206"/>
  <c r="F7" i="115"/>
  <c r="F21" i="112"/>
  <c r="F20" i="112"/>
  <c r="F19" i="112"/>
  <c r="F6" i="73"/>
  <c r="F5" i="73"/>
  <c r="F12" i="52"/>
  <c r="F11" i="52"/>
  <c r="F10" i="52"/>
  <c r="F9" i="52"/>
  <c r="F8" i="52"/>
  <c r="F7" i="52"/>
  <c r="F14" i="51"/>
  <c r="F13" i="51"/>
  <c r="F12" i="51"/>
  <c r="F11" i="51"/>
  <c r="F6" i="260"/>
  <c r="F5" i="260"/>
  <c r="F10" i="80"/>
  <c r="F9" i="80"/>
  <c r="F8" i="80"/>
  <c r="F7" i="80"/>
  <c r="F14" i="50"/>
  <c r="F13" i="50"/>
  <c r="F12" i="50"/>
  <c r="F11" i="50"/>
  <c r="F8" i="119"/>
  <c r="F7" i="119"/>
  <c r="F6" i="72"/>
  <c r="F5" i="72"/>
  <c r="F8" i="71"/>
  <c r="F7" i="71"/>
  <c r="F11" i="68"/>
  <c r="F10" i="68"/>
  <c r="F9" i="68"/>
  <c r="F8" i="68"/>
  <c r="F10" i="67"/>
  <c r="F9" i="67"/>
  <c r="F8" i="67"/>
  <c r="F7" i="67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9" i="66"/>
  <c r="F8" i="66"/>
  <c r="F11" i="65"/>
  <c r="F11" i="64"/>
  <c r="F22" i="48"/>
  <c r="F21" i="48"/>
  <c r="F20" i="48"/>
  <c r="F19" i="48"/>
  <c r="F18" i="48"/>
  <c r="F17" i="48"/>
  <c r="F16" i="48"/>
  <c r="F15" i="48"/>
  <c r="F9" i="293"/>
  <c r="F8" i="293"/>
  <c r="F7" i="293"/>
  <c r="F9" i="81"/>
  <c r="F8" i="81"/>
  <c r="F7" i="81"/>
  <c r="F6" i="76"/>
  <c r="F5" i="76"/>
  <c r="F10" i="63"/>
  <c r="F9" i="63"/>
  <c r="F8" i="63"/>
  <c r="F7" i="63"/>
  <c r="F6" i="62"/>
  <c r="F5" i="62"/>
  <c r="F27" i="61"/>
  <c r="F26" i="61"/>
  <c r="F25" i="61"/>
  <c r="F24" i="61"/>
  <c r="F23" i="61"/>
  <c r="F22" i="61"/>
  <c r="F21" i="61"/>
  <c r="F20" i="61"/>
  <c r="F19" i="61"/>
  <c r="F18" i="61"/>
  <c r="F17" i="61"/>
  <c r="F16" i="61"/>
  <c r="F15" i="61"/>
  <c r="F12" i="60"/>
  <c r="F11" i="60"/>
  <c r="F12" i="59"/>
  <c r="F11" i="59"/>
  <c r="F10" i="59"/>
  <c r="F9" i="59"/>
  <c r="F10" i="58"/>
  <c r="F9" i="58"/>
  <c r="F8" i="58"/>
  <c r="F9" i="57"/>
  <c r="F8" i="57"/>
  <c r="F7" i="57"/>
  <c r="F7" i="56"/>
  <c r="F12" i="55"/>
  <c r="F11" i="55"/>
  <c r="F9" i="54"/>
  <c r="F8" i="54"/>
  <c r="F7" i="54"/>
  <c r="F27" i="47"/>
  <c r="F26" i="47"/>
  <c r="F25" i="47"/>
  <c r="F24" i="47"/>
  <c r="F9" i="292"/>
  <c r="F16" i="243"/>
  <c r="F15" i="243"/>
  <c r="F14" i="243"/>
  <c r="F13" i="243"/>
  <c r="F12" i="243"/>
  <c r="F11" i="243"/>
  <c r="F10" i="243"/>
  <c r="F8" i="243"/>
  <c r="F7" i="243"/>
  <c r="F11" i="125"/>
  <c r="F10" i="125"/>
  <c r="F9" i="125"/>
  <c r="F8" i="125"/>
  <c r="F7" i="125"/>
  <c r="F6" i="125"/>
  <c r="F5" i="125"/>
  <c r="F11" i="126"/>
  <c r="F10" i="126"/>
  <c r="F9" i="126"/>
  <c r="F8" i="126"/>
  <c r="F7" i="126"/>
  <c r="F6" i="126"/>
  <c r="F5" i="126"/>
  <c r="F11" i="239"/>
  <c r="F10" i="239"/>
  <c r="F9" i="239"/>
  <c r="F11" i="238"/>
  <c r="F10" i="238"/>
  <c r="F9" i="238"/>
  <c r="F5" i="237"/>
  <c r="F15" i="161"/>
  <c r="F14" i="161"/>
  <c r="F13" i="161"/>
  <c r="F12" i="161"/>
  <c r="F11" i="161"/>
  <c r="F10" i="161"/>
  <c r="F9" i="161"/>
  <c r="F11" i="241"/>
  <c r="F10" i="241"/>
  <c r="F9" i="241"/>
  <c r="F5" i="242"/>
  <c r="F18" i="240"/>
  <c r="F17" i="240"/>
  <c r="F16" i="240"/>
  <c r="F15" i="240"/>
  <c r="F14" i="240"/>
  <c r="F13" i="240"/>
  <c r="F12" i="240"/>
  <c r="F11" i="240"/>
  <c r="F10" i="240"/>
  <c r="F9" i="240"/>
  <c r="F5" i="160"/>
  <c r="F18" i="108"/>
  <c r="F17" i="108"/>
  <c r="F16" i="108"/>
  <c r="F15" i="108"/>
  <c r="F14" i="108"/>
  <c r="F13" i="108"/>
  <c r="F12" i="108"/>
  <c r="F11" i="108"/>
  <c r="F10" i="108"/>
  <c r="F9" i="108"/>
  <c r="F8" i="108"/>
  <c r="F7" i="108"/>
  <c r="F19" i="107"/>
  <c r="F18" i="107"/>
  <c r="F17" i="107"/>
  <c r="F16" i="107"/>
  <c r="F15" i="107"/>
  <c r="F14" i="107"/>
  <c r="F13" i="107"/>
  <c r="F12" i="107"/>
  <c r="F11" i="107"/>
  <c r="F10" i="107"/>
  <c r="F9" i="107"/>
  <c r="F8" i="107"/>
  <c r="F7" i="107"/>
  <c r="F6" i="107"/>
  <c r="F5" i="107"/>
  <c r="F10" i="244"/>
  <c r="F9" i="244"/>
  <c r="F8" i="244"/>
  <c r="F7" i="244"/>
  <c r="F6" i="244"/>
  <c r="F5" i="244"/>
  <c r="F24" i="2"/>
  <c r="F23" i="2"/>
  <c r="F22" i="2"/>
  <c r="G18" i="106"/>
  <c r="G17" i="106"/>
  <c r="G16" i="106"/>
  <c r="G29" i="298"/>
  <c r="G28" i="298"/>
  <c r="G27" i="298"/>
  <c r="G26" i="298"/>
  <c r="G25" i="298"/>
  <c r="G24" i="298"/>
  <c r="G23" i="298"/>
  <c r="G22" i="298"/>
  <c r="G21" i="298"/>
  <c r="G20" i="298"/>
  <c r="G19" i="298"/>
  <c r="G6" i="265"/>
  <c r="G5" i="265"/>
  <c r="G6" i="266"/>
  <c r="G5" i="266"/>
  <c r="G13" i="267"/>
  <c r="G12" i="267"/>
  <c r="G11" i="267"/>
  <c r="G10" i="267"/>
  <c r="G9" i="267"/>
  <c r="G8" i="267"/>
  <c r="G7" i="267"/>
  <c r="G14" i="264"/>
  <c r="G13" i="264"/>
  <c r="G12" i="264"/>
  <c r="G11" i="264"/>
  <c r="G10" i="264"/>
  <c r="G9" i="264"/>
  <c r="G8" i="226"/>
  <c r="G7" i="226"/>
  <c r="G20" i="214"/>
  <c r="G17" i="214"/>
  <c r="G16" i="214"/>
  <c r="G15" i="214"/>
  <c r="G14" i="214"/>
  <c r="G13" i="214"/>
  <c r="G12" i="214"/>
  <c r="G11" i="214"/>
  <c r="G10" i="214"/>
  <c r="G12" i="225"/>
  <c r="G10" i="225"/>
  <c r="G9" i="225"/>
  <c r="G8" i="225"/>
  <c r="G7" i="225"/>
  <c r="G8" i="224"/>
  <c r="G8" i="223"/>
  <c r="G8" i="222"/>
  <c r="G11" i="221"/>
  <c r="G9" i="221"/>
  <c r="G8" i="221"/>
  <c r="G7" i="221"/>
  <c r="G12" i="220"/>
  <c r="G11" i="220"/>
  <c r="G10" i="220"/>
  <c r="G9" i="220"/>
  <c r="G8" i="220"/>
  <c r="G7" i="220"/>
  <c r="G13" i="219"/>
  <c r="G12" i="219"/>
  <c r="G11" i="219"/>
  <c r="G10" i="219"/>
  <c r="G9" i="219"/>
  <c r="G8" i="219"/>
  <c r="G13" i="218"/>
  <c r="G12" i="218"/>
  <c r="G11" i="218"/>
  <c r="G10" i="218"/>
  <c r="G9" i="218"/>
  <c r="G32" i="213"/>
  <c r="G31" i="213"/>
  <c r="G28" i="213"/>
  <c r="G27" i="213"/>
  <c r="G26" i="213"/>
  <c r="G25" i="213"/>
  <c r="G8" i="297"/>
  <c r="G7" i="297"/>
  <c r="G9" i="250"/>
  <c r="G8" i="250"/>
  <c r="G7" i="250"/>
  <c r="G14" i="249"/>
  <c r="G12" i="249"/>
  <c r="G11" i="249"/>
  <c r="G10" i="249"/>
  <c r="G9" i="249"/>
  <c r="G7" i="249"/>
  <c r="G15" i="212"/>
  <c r="G14" i="212"/>
  <c r="G13" i="212"/>
  <c r="G21" i="211"/>
  <c r="G20" i="211"/>
  <c r="G19" i="211"/>
  <c r="G15" i="175"/>
  <c r="G14" i="175"/>
  <c r="G13" i="175"/>
  <c r="G12" i="175"/>
  <c r="G11" i="175"/>
  <c r="G10" i="175"/>
  <c r="G9" i="175"/>
  <c r="G8" i="175"/>
  <c r="G15" i="174"/>
  <c r="G14" i="174"/>
  <c r="G13" i="174"/>
  <c r="G12" i="174"/>
  <c r="G11" i="174"/>
  <c r="G10" i="174"/>
  <c r="G9" i="174"/>
  <c r="G11" i="173"/>
  <c r="G10" i="173"/>
  <c r="G9" i="173"/>
  <c r="G10" i="172"/>
  <c r="G9" i="172"/>
  <c r="G8" i="172"/>
  <c r="G7" i="172"/>
  <c r="G6" i="172"/>
  <c r="G20" i="171"/>
  <c r="G19" i="171"/>
  <c r="G18" i="171"/>
  <c r="G17" i="171"/>
  <c r="G16" i="171"/>
  <c r="G15" i="171"/>
  <c r="G14" i="171"/>
  <c r="G13" i="171"/>
  <c r="G18" i="124"/>
  <c r="G17" i="124"/>
  <c r="G16" i="124"/>
  <c r="G15" i="124"/>
  <c r="G14" i="124"/>
  <c r="G13" i="124"/>
  <c r="G12" i="124"/>
  <c r="G34" i="123"/>
  <c r="G33" i="123"/>
  <c r="G32" i="123"/>
  <c r="G31" i="123"/>
  <c r="G30" i="123"/>
  <c r="G29" i="123"/>
  <c r="G28" i="123"/>
  <c r="G27" i="123"/>
  <c r="G26" i="123"/>
  <c r="G25" i="123"/>
  <c r="G24" i="123"/>
  <c r="G23" i="123"/>
  <c r="G22" i="123"/>
  <c r="G21" i="123"/>
  <c r="G20" i="123"/>
  <c r="G19" i="123"/>
  <c r="G18" i="123"/>
  <c r="G17" i="123"/>
  <c r="G16" i="143"/>
  <c r="G15" i="143"/>
  <c r="G14" i="143"/>
  <c r="G13" i="143"/>
  <c r="G12" i="143"/>
  <c r="G16" i="142"/>
  <c r="G15" i="142"/>
  <c r="G14" i="142"/>
  <c r="G13" i="142"/>
  <c r="G12" i="142"/>
  <c r="G11" i="142"/>
  <c r="G10" i="139"/>
  <c r="G10" i="138"/>
  <c r="G9" i="138"/>
  <c r="G8" i="138"/>
  <c r="G7" i="138"/>
  <c r="G16" i="137"/>
  <c r="G15" i="137"/>
  <c r="G14" i="137"/>
  <c r="G13" i="137"/>
  <c r="G12" i="137"/>
  <c r="G16" i="144"/>
  <c r="G15" i="144"/>
  <c r="G14" i="144"/>
  <c r="G13" i="144"/>
  <c r="G12" i="144"/>
  <c r="G11" i="144"/>
  <c r="G11" i="135"/>
  <c r="G10" i="135"/>
  <c r="G15" i="104"/>
  <c r="G14" i="104"/>
  <c r="G13" i="104"/>
  <c r="G12" i="104"/>
  <c r="G11" i="104"/>
  <c r="G10" i="105"/>
  <c r="G16" i="103"/>
  <c r="G15" i="103"/>
  <c r="G14" i="103"/>
  <c r="G13" i="103"/>
  <c r="G12" i="103"/>
  <c r="G15" i="102"/>
  <c r="G14" i="102"/>
  <c r="G13" i="102"/>
  <c r="G12" i="102"/>
  <c r="G11" i="102"/>
  <c r="G16" i="101"/>
  <c r="G15" i="101"/>
  <c r="G14" i="101"/>
  <c r="G13" i="101"/>
  <c r="G12" i="101"/>
  <c r="G11" i="101"/>
  <c r="G8" i="263"/>
  <c r="G7" i="134"/>
  <c r="G5" i="99"/>
  <c r="G10" i="98"/>
  <c r="G14" i="97"/>
  <c r="G13" i="97"/>
  <c r="G12" i="97"/>
  <c r="G11" i="97"/>
  <c r="G10" i="97"/>
  <c r="G9" i="96"/>
  <c r="G8" i="96"/>
  <c r="G7" i="96"/>
  <c r="G15" i="95"/>
  <c r="G14" i="95"/>
  <c r="G13" i="95"/>
  <c r="G12" i="95"/>
  <c r="G11" i="95"/>
  <c r="G16" i="94"/>
  <c r="G15" i="94"/>
  <c r="G14" i="94"/>
  <c r="G13" i="94"/>
  <c r="G12" i="94"/>
  <c r="G11" i="94"/>
  <c r="G11" i="93"/>
  <c r="G10" i="93"/>
  <c r="G11" i="141"/>
  <c r="G10" i="141"/>
  <c r="G9" i="141"/>
  <c r="G8" i="141"/>
  <c r="G7" i="141"/>
  <c r="G9" i="140"/>
  <c r="G10" i="92"/>
  <c r="G9" i="92"/>
  <c r="G8" i="92"/>
  <c r="G7" i="92"/>
  <c r="G9" i="91"/>
  <c r="G8" i="91"/>
  <c r="G7" i="91"/>
  <c r="G14" i="84"/>
  <c r="G13" i="84"/>
  <c r="G12" i="84"/>
  <c r="G11" i="84"/>
  <c r="G10" i="84"/>
  <c r="G9" i="84"/>
  <c r="G34" i="83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36" i="236"/>
  <c r="G35" i="236"/>
  <c r="G34" i="236"/>
  <c r="G33" i="236"/>
  <c r="G32" i="236"/>
  <c r="G26" i="236"/>
  <c r="G21" i="232"/>
  <c r="G20" i="232"/>
  <c r="G19" i="232"/>
  <c r="G18" i="232"/>
  <c r="G17" i="232"/>
  <c r="G16" i="232"/>
  <c r="G15" i="232"/>
  <c r="G14" i="232"/>
  <c r="G13" i="232"/>
  <c r="G12" i="232"/>
  <c r="G16" i="233"/>
  <c r="G15" i="233"/>
  <c r="G14" i="233"/>
  <c r="G13" i="233"/>
  <c r="G12" i="233"/>
  <c r="G11" i="233"/>
  <c r="G10" i="233"/>
  <c r="G9" i="233"/>
  <c r="G15" i="234"/>
  <c r="G14" i="234"/>
  <c r="G13" i="234"/>
  <c r="G12" i="234"/>
  <c r="G11" i="234"/>
  <c r="G15" i="235"/>
  <c r="G14" i="235"/>
  <c r="G13" i="235"/>
  <c r="G12" i="235"/>
  <c r="G11" i="235"/>
  <c r="G20" i="164"/>
  <c r="G19" i="164"/>
  <c r="G18" i="164"/>
  <c r="G17" i="164"/>
  <c r="G16" i="164"/>
  <c r="G15" i="164"/>
  <c r="G14" i="164"/>
  <c r="G13" i="164"/>
  <c r="G12" i="164"/>
  <c r="G11" i="164"/>
  <c r="G10" i="164"/>
  <c r="G20" i="131"/>
  <c r="G19" i="131"/>
  <c r="G18" i="131"/>
  <c r="G17" i="131"/>
  <c r="G16" i="131"/>
  <c r="G15" i="131"/>
  <c r="G14" i="131"/>
  <c r="G13" i="131"/>
  <c r="G12" i="131"/>
  <c r="G11" i="131"/>
  <c r="G10" i="131"/>
  <c r="G30" i="163"/>
  <c r="G29" i="163"/>
  <c r="G28" i="163"/>
  <c r="G27" i="163"/>
  <c r="G26" i="163"/>
  <c r="G25" i="163"/>
  <c r="G24" i="163"/>
  <c r="G23" i="163"/>
  <c r="G22" i="162"/>
  <c r="G21" i="162"/>
  <c r="G20" i="162"/>
  <c r="G19" i="162"/>
  <c r="G18" i="162"/>
  <c r="G17" i="162"/>
  <c r="G16" i="162"/>
  <c r="G15" i="162"/>
  <c r="G14" i="162"/>
  <c r="G13" i="162"/>
  <c r="G12" i="162"/>
  <c r="G11" i="162"/>
  <c r="G21" i="157"/>
  <c r="G20" i="157"/>
  <c r="G19" i="157"/>
  <c r="G18" i="157"/>
  <c r="G17" i="157"/>
  <c r="G16" i="157"/>
  <c r="G15" i="157"/>
  <c r="G14" i="157"/>
  <c r="G13" i="157"/>
  <c r="G12" i="157"/>
  <c r="G11" i="157"/>
  <c r="G10" i="157"/>
  <c r="G18" i="156"/>
  <c r="G17" i="156"/>
  <c r="G16" i="156"/>
  <c r="G15" i="156"/>
  <c r="G14" i="156"/>
  <c r="G13" i="156"/>
  <c r="G12" i="156"/>
  <c r="G11" i="156"/>
  <c r="G10" i="156"/>
  <c r="G11" i="155"/>
  <c r="G10" i="155"/>
  <c r="G9" i="155"/>
  <c r="G8" i="155"/>
  <c r="G14" i="154"/>
  <c r="G13" i="154"/>
  <c r="G12" i="154"/>
  <c r="G11" i="154"/>
  <c r="G10" i="154"/>
  <c r="G23" i="150"/>
  <c r="G22" i="150"/>
  <c r="G21" i="150"/>
  <c r="G20" i="150"/>
  <c r="G19" i="150"/>
  <c r="G18" i="150"/>
  <c r="G17" i="150"/>
  <c r="G16" i="150"/>
  <c r="G15" i="150"/>
  <c r="G14" i="150"/>
  <c r="G11" i="296"/>
  <c r="G10" i="296"/>
  <c r="G9" i="296"/>
  <c r="G8" i="296"/>
  <c r="G7" i="296"/>
  <c r="G30" i="146"/>
  <c r="G29" i="146"/>
  <c r="G28" i="146"/>
  <c r="G27" i="146"/>
  <c r="G26" i="146"/>
  <c r="G25" i="146"/>
  <c r="G24" i="146"/>
  <c r="G23" i="146"/>
  <c r="G22" i="145"/>
  <c r="G21" i="145"/>
  <c r="G20" i="145"/>
  <c r="G19" i="145"/>
  <c r="G18" i="145"/>
  <c r="G17" i="145"/>
  <c r="G16" i="145"/>
  <c r="G15" i="145"/>
  <c r="G14" i="145"/>
  <c r="G13" i="145"/>
  <c r="G12" i="145"/>
  <c r="G11" i="145"/>
  <c r="G11" i="294"/>
  <c r="G10" i="294"/>
  <c r="G9" i="294"/>
  <c r="G8" i="294"/>
  <c r="G7" i="294"/>
  <c r="G21" i="149"/>
  <c r="G20" i="149"/>
  <c r="G19" i="149"/>
  <c r="G18" i="149"/>
  <c r="G17" i="149"/>
  <c r="G16" i="149"/>
  <c r="G15" i="149"/>
  <c r="G14" i="149"/>
  <c r="G13" i="149"/>
  <c r="G12" i="149"/>
  <c r="G11" i="149"/>
  <c r="G10" i="149"/>
  <c r="G18" i="148"/>
  <c r="G17" i="148"/>
  <c r="G16" i="148"/>
  <c r="G15" i="148"/>
  <c r="G14" i="148"/>
  <c r="G13" i="148"/>
  <c r="G12" i="148"/>
  <c r="G11" i="148"/>
  <c r="G10" i="148"/>
  <c r="G11" i="147"/>
  <c r="G10" i="147"/>
  <c r="G9" i="147"/>
  <c r="G8" i="147"/>
  <c r="G14" i="133"/>
  <c r="G13" i="133"/>
  <c r="G12" i="133"/>
  <c r="G11" i="133"/>
  <c r="G10" i="133"/>
  <c r="G23" i="159"/>
  <c r="G22" i="159"/>
  <c r="G21" i="159"/>
  <c r="G20" i="159"/>
  <c r="G19" i="159"/>
  <c r="G18" i="159"/>
  <c r="G17" i="159"/>
  <c r="G16" i="159"/>
  <c r="G15" i="159"/>
  <c r="G14" i="159"/>
  <c r="G10" i="197"/>
  <c r="G9" i="197"/>
  <c r="G8" i="197"/>
  <c r="G7" i="197"/>
  <c r="G10" i="196"/>
  <c r="G9" i="196"/>
  <c r="G8" i="196"/>
  <c r="G7" i="196"/>
  <c r="G74" i="128"/>
  <c r="G73" i="128"/>
  <c r="G72" i="128"/>
  <c r="G71" i="128"/>
  <c r="G70" i="128"/>
  <c r="G69" i="128"/>
  <c r="G68" i="128"/>
  <c r="G67" i="128"/>
  <c r="G66" i="128"/>
  <c r="G65" i="128"/>
  <c r="G64" i="128"/>
  <c r="G63" i="128"/>
  <c r="G62" i="128"/>
  <c r="G61" i="128"/>
  <c r="G60" i="128"/>
  <c r="G59" i="128"/>
  <c r="G58" i="128"/>
  <c r="G57" i="128"/>
  <c r="G56" i="128"/>
  <c r="G55" i="128"/>
  <c r="G54" i="128"/>
  <c r="G53" i="128"/>
  <c r="G52" i="128"/>
  <c r="G51" i="128"/>
  <c r="G50" i="128"/>
  <c r="G49" i="128"/>
  <c r="G48" i="128"/>
  <c r="G47" i="128"/>
  <c r="G46" i="128"/>
  <c r="G45" i="128"/>
  <c r="G44" i="128"/>
  <c r="G43" i="128"/>
  <c r="G42" i="128"/>
  <c r="G41" i="128"/>
  <c r="G40" i="128"/>
  <c r="G39" i="128"/>
  <c r="G38" i="128"/>
  <c r="G37" i="128"/>
  <c r="G36" i="128"/>
  <c r="G35" i="128"/>
  <c r="G34" i="128"/>
  <c r="G33" i="128"/>
  <c r="G32" i="128"/>
  <c r="G31" i="128"/>
  <c r="G21" i="127"/>
  <c r="G24" i="195"/>
  <c r="G23" i="195"/>
  <c r="G22" i="195"/>
  <c r="G21" i="195"/>
  <c r="G20" i="195"/>
  <c r="G19" i="195"/>
  <c r="G18" i="195"/>
  <c r="G17" i="195"/>
  <c r="G16" i="195"/>
  <c r="G15" i="195"/>
  <c r="G14" i="195"/>
  <c r="G13" i="195"/>
  <c r="G12" i="195"/>
  <c r="G11" i="195"/>
  <c r="G13" i="230"/>
  <c r="G12" i="230"/>
  <c r="G11" i="230"/>
  <c r="G10" i="230"/>
  <c r="G20" i="229"/>
  <c r="G19" i="229"/>
  <c r="G18" i="229"/>
  <c r="G17" i="229"/>
  <c r="G16" i="229"/>
  <c r="G15" i="229"/>
  <c r="G14" i="229"/>
  <c r="G13" i="229"/>
  <c r="G36" i="201"/>
  <c r="G35" i="201"/>
  <c r="G34" i="201"/>
  <c r="G33" i="201"/>
  <c r="G32" i="201"/>
  <c r="G31" i="201"/>
  <c r="G30" i="201"/>
  <c r="G29" i="201"/>
  <c r="G28" i="201"/>
  <c r="G27" i="201"/>
  <c r="G26" i="201"/>
  <c r="G25" i="201"/>
  <c r="G24" i="201"/>
  <c r="G23" i="201"/>
  <c r="G22" i="201"/>
  <c r="G21" i="201"/>
  <c r="G20" i="201"/>
  <c r="G19" i="201"/>
  <c r="G17" i="228"/>
  <c r="G16" i="228"/>
  <c r="G15" i="228"/>
  <c r="G14" i="228"/>
  <c r="G13" i="228"/>
  <c r="G12" i="228"/>
  <c r="G11" i="228"/>
  <c r="G10" i="228"/>
  <c r="G10" i="204"/>
  <c r="G9" i="204"/>
  <c r="G8" i="204"/>
  <c r="G17" i="205"/>
  <c r="G16" i="205"/>
  <c r="G15" i="205"/>
  <c r="G14" i="205"/>
  <c r="G13" i="205"/>
  <c r="G12" i="205"/>
  <c r="G11" i="205"/>
  <c r="G13" i="203"/>
  <c r="G12" i="203"/>
  <c r="G11" i="203"/>
  <c r="G10" i="203"/>
  <c r="G9" i="203"/>
  <c r="G21" i="202"/>
  <c r="G20" i="202"/>
  <c r="G19" i="202"/>
  <c r="G18" i="202"/>
  <c r="G17" i="202"/>
  <c r="G16" i="202"/>
  <c r="G15" i="202"/>
  <c r="G14" i="202"/>
  <c r="G36" i="200"/>
  <c r="G35" i="200"/>
  <c r="G34" i="200"/>
  <c r="G33" i="200"/>
  <c r="G32" i="200"/>
  <c r="G31" i="200"/>
  <c r="G30" i="200"/>
  <c r="G29" i="200"/>
  <c r="G28" i="200"/>
  <c r="G27" i="200"/>
  <c r="G26" i="200"/>
  <c r="G25" i="200"/>
  <c r="G24" i="200"/>
  <c r="G23" i="200"/>
  <c r="G22" i="200"/>
  <c r="G21" i="200"/>
  <c r="G20" i="200"/>
  <c r="G19" i="200"/>
  <c r="G22" i="199"/>
  <c r="G21" i="199"/>
  <c r="G20" i="199"/>
  <c r="G19" i="199"/>
  <c r="G18" i="199"/>
  <c r="G17" i="199"/>
  <c r="G13" i="199"/>
  <c r="G22" i="198"/>
  <c r="G21" i="198"/>
  <c r="G20" i="198"/>
  <c r="G19" i="198"/>
  <c r="G18" i="198"/>
  <c r="G17" i="198"/>
  <c r="G13" i="198"/>
  <c r="G18" i="194"/>
  <c r="G17" i="194"/>
  <c r="G16" i="194"/>
  <c r="G15" i="194"/>
  <c r="G14" i="194"/>
  <c r="G13" i="194"/>
  <c r="G12" i="194"/>
  <c r="G11" i="194"/>
  <c r="G71" i="193"/>
  <c r="G70" i="193"/>
  <c r="G69" i="193"/>
  <c r="G68" i="193"/>
  <c r="G67" i="193"/>
  <c r="G66" i="193"/>
  <c r="G65" i="193"/>
  <c r="G64" i="193"/>
  <c r="G63" i="193"/>
  <c r="G62" i="193"/>
  <c r="G61" i="193"/>
  <c r="G60" i="193"/>
  <c r="G59" i="193"/>
  <c r="G58" i="193"/>
  <c r="G57" i="193"/>
  <c r="G56" i="193"/>
  <c r="G55" i="193"/>
  <c r="G54" i="193"/>
  <c r="G53" i="193"/>
  <c r="G52" i="193"/>
  <c r="G51" i="193"/>
  <c r="G50" i="193"/>
  <c r="G49" i="193"/>
  <c r="G48" i="193"/>
  <c r="G47" i="193"/>
  <c r="G46" i="193"/>
  <c r="G45" i="193"/>
  <c r="G44" i="193"/>
  <c r="G43" i="193"/>
  <c r="G42" i="193"/>
  <c r="G41" i="193"/>
  <c r="G40" i="193"/>
  <c r="G39" i="193"/>
  <c r="G38" i="193"/>
  <c r="G37" i="193"/>
  <c r="G36" i="193"/>
  <c r="G35" i="193"/>
  <c r="G34" i="193"/>
  <c r="G33" i="193"/>
  <c r="G32" i="193"/>
  <c r="G31" i="193"/>
  <c r="G30" i="193"/>
  <c r="G29" i="193"/>
  <c r="G28" i="193"/>
  <c r="G27" i="193"/>
  <c r="G13" i="192"/>
  <c r="G12" i="192"/>
  <c r="G11" i="192"/>
  <c r="G10" i="192"/>
  <c r="G9" i="192"/>
  <c r="G8" i="192"/>
  <c r="G7" i="192"/>
  <c r="G6" i="192"/>
  <c r="G5" i="192"/>
  <c r="G8" i="227"/>
  <c r="G7" i="227"/>
  <c r="G16" i="231"/>
  <c r="G15" i="231"/>
  <c r="G14" i="231"/>
  <c r="G13" i="231"/>
  <c r="G11" i="231"/>
  <c r="G10" i="231"/>
  <c r="G9" i="231"/>
  <c r="G18" i="191"/>
  <c r="G14" i="181"/>
  <c r="G13" i="181"/>
  <c r="G12" i="181"/>
  <c r="G11" i="181"/>
  <c r="G10" i="181"/>
  <c r="G9" i="181"/>
  <c r="G8" i="181"/>
  <c r="G7" i="181"/>
  <c r="G24" i="190"/>
  <c r="G23" i="190"/>
  <c r="G22" i="190"/>
  <c r="G21" i="190"/>
  <c r="G20" i="190"/>
  <c r="G19" i="190"/>
  <c r="G18" i="190"/>
  <c r="G17" i="190"/>
  <c r="G16" i="190"/>
  <c r="G15" i="190"/>
  <c r="G14" i="190"/>
  <c r="G13" i="190"/>
  <c r="G12" i="190"/>
  <c r="G11" i="190"/>
  <c r="G19" i="180"/>
  <c r="G18" i="180"/>
  <c r="G17" i="180"/>
  <c r="G16" i="180"/>
  <c r="G15" i="180"/>
  <c r="G14" i="180"/>
  <c r="G13" i="180"/>
  <c r="G12" i="180"/>
  <c r="G11" i="180"/>
  <c r="G20" i="189"/>
  <c r="G19" i="189"/>
  <c r="G18" i="189"/>
  <c r="G17" i="189"/>
  <c r="G16" i="189"/>
  <c r="G15" i="189"/>
  <c r="G14" i="189"/>
  <c r="G13" i="189"/>
  <c r="G12" i="189"/>
  <c r="G11" i="189"/>
  <c r="G15" i="188"/>
  <c r="G14" i="188"/>
  <c r="G13" i="188"/>
  <c r="G12" i="188"/>
  <c r="G11" i="188"/>
  <c r="G10" i="188"/>
  <c r="G9" i="188"/>
  <c r="G20" i="179"/>
  <c r="G19" i="179"/>
  <c r="G18" i="179"/>
  <c r="G17" i="179"/>
  <c r="G16" i="179"/>
  <c r="G15" i="179"/>
  <c r="G14" i="179"/>
  <c r="G13" i="179"/>
  <c r="G35" i="165"/>
  <c r="G34" i="165"/>
  <c r="G33" i="165"/>
  <c r="G32" i="165"/>
  <c r="G31" i="165"/>
  <c r="G30" i="165"/>
  <c r="G29" i="165"/>
  <c r="G28" i="165"/>
  <c r="G27" i="165"/>
  <c r="G26" i="165"/>
  <c r="G25" i="165"/>
  <c r="G24" i="165"/>
  <c r="G23" i="165"/>
  <c r="G22" i="165"/>
  <c r="G21" i="165"/>
  <c r="G20" i="165"/>
  <c r="G19" i="165"/>
  <c r="G18" i="165"/>
  <c r="G13" i="288"/>
  <c r="G12" i="288"/>
  <c r="G11" i="288"/>
  <c r="G13" i="287"/>
  <c r="G12" i="287"/>
  <c r="G11" i="287"/>
  <c r="G15" i="286"/>
  <c r="G14" i="286"/>
  <c r="G13" i="286"/>
  <c r="G15" i="285"/>
  <c r="G14" i="285"/>
  <c r="G13" i="285"/>
  <c r="G13" i="284"/>
  <c r="G12" i="284"/>
  <c r="G11" i="284"/>
  <c r="G13" i="283"/>
  <c r="G12" i="283"/>
  <c r="G11" i="283"/>
  <c r="G11" i="187"/>
  <c r="G10" i="187"/>
  <c r="G22" i="178"/>
  <c r="G21" i="178"/>
  <c r="G20" i="178"/>
  <c r="G18" i="270"/>
  <c r="G17" i="270"/>
  <c r="G16" i="270"/>
  <c r="G15" i="270"/>
  <c r="G14" i="270"/>
  <c r="G13" i="270"/>
  <c r="G12" i="270"/>
  <c r="G11" i="270"/>
  <c r="G10" i="270"/>
  <c r="G17" i="269"/>
  <c r="G16" i="269"/>
  <c r="G15" i="269"/>
  <c r="G14" i="269"/>
  <c r="G13" i="269"/>
  <c r="G12" i="269"/>
  <c r="G11" i="269"/>
  <c r="G10" i="269"/>
  <c r="G9" i="269"/>
  <c r="G9" i="268"/>
  <c r="G8" i="268"/>
  <c r="G7" i="268"/>
  <c r="G8" i="186"/>
  <c r="G7" i="186"/>
  <c r="G8" i="185"/>
  <c r="G7" i="185"/>
  <c r="G8" i="184"/>
  <c r="G7" i="184"/>
  <c r="G8" i="183"/>
  <c r="G7" i="183"/>
  <c r="G9" i="182"/>
  <c r="G8" i="182"/>
  <c r="G7" i="182"/>
  <c r="G33" i="177"/>
  <c r="G32" i="177"/>
  <c r="G31" i="177"/>
  <c r="G30" i="177"/>
  <c r="G17" i="209"/>
  <c r="G16" i="209"/>
  <c r="G15" i="209"/>
  <c r="G14" i="209"/>
  <c r="G13" i="209"/>
  <c r="G12" i="209"/>
  <c r="G11" i="209"/>
  <c r="G10" i="209"/>
  <c r="G9" i="209"/>
  <c r="G15" i="282"/>
  <c r="G14" i="282"/>
  <c r="G13" i="282"/>
  <c r="G15" i="281"/>
  <c r="G14" i="281"/>
  <c r="G13" i="281"/>
  <c r="G20" i="280"/>
  <c r="G19" i="280"/>
  <c r="G18" i="280"/>
  <c r="G17" i="280"/>
  <c r="G16" i="280"/>
  <c r="G15" i="280"/>
  <c r="G14" i="280"/>
  <c r="G20" i="279"/>
  <c r="G19" i="279"/>
  <c r="G18" i="279"/>
  <c r="G17" i="279"/>
  <c r="G16" i="279"/>
  <c r="G15" i="279"/>
  <c r="G14" i="279"/>
  <c r="G7" i="256"/>
  <c r="G6" i="256"/>
  <c r="G5" i="256"/>
  <c r="G5" i="254"/>
  <c r="G22" i="167"/>
  <c r="G21" i="167"/>
  <c r="G20" i="167"/>
  <c r="G8" i="169"/>
  <c r="G7" i="169"/>
  <c r="G8" i="168"/>
  <c r="G7" i="168"/>
  <c r="G21" i="166"/>
  <c r="G20" i="166"/>
  <c r="G19" i="166"/>
  <c r="G11" i="118"/>
  <c r="G10" i="118"/>
  <c r="G9" i="118"/>
  <c r="G9" i="117"/>
  <c r="G8" i="117"/>
  <c r="G7" i="116"/>
  <c r="G47" i="114"/>
  <c r="G44" i="114"/>
  <c r="G43" i="114"/>
  <c r="G42" i="114"/>
  <c r="G41" i="114"/>
  <c r="G40" i="114"/>
  <c r="G39" i="114"/>
  <c r="G38" i="114"/>
  <c r="G37" i="114"/>
  <c r="G36" i="114"/>
  <c r="G35" i="114"/>
  <c r="G34" i="114"/>
  <c r="G33" i="114"/>
  <c r="G32" i="114"/>
  <c r="G31" i="114"/>
  <c r="G30" i="114"/>
  <c r="G29" i="114"/>
  <c r="G28" i="114"/>
  <c r="G27" i="114"/>
  <c r="G13" i="278"/>
  <c r="G12" i="278"/>
  <c r="G11" i="278"/>
  <c r="G13" i="277"/>
  <c r="G12" i="277"/>
  <c r="G11" i="277"/>
  <c r="G15" i="276"/>
  <c r="G14" i="276"/>
  <c r="G13" i="276"/>
  <c r="G7" i="289"/>
  <c r="G10" i="262"/>
  <c r="G9" i="262"/>
  <c r="G15" i="275"/>
  <c r="G14" i="275"/>
  <c r="G13" i="275"/>
  <c r="G14" i="113"/>
  <c r="G13" i="113"/>
  <c r="G10" i="252"/>
  <c r="G9" i="252"/>
  <c r="G8" i="252"/>
  <c r="G7" i="252"/>
  <c r="G10" i="251"/>
  <c r="G9" i="251"/>
  <c r="G8" i="251"/>
  <c r="G7" i="251"/>
  <c r="G8" i="207"/>
  <c r="G7" i="207"/>
  <c r="G8" i="206"/>
  <c r="G7" i="206"/>
  <c r="G7" i="115"/>
  <c r="G21" i="112"/>
  <c r="G20" i="112"/>
  <c r="G19" i="112"/>
  <c r="G6" i="73"/>
  <c r="G5" i="73"/>
  <c r="G12" i="52"/>
  <c r="G11" i="52"/>
  <c r="G10" i="52"/>
  <c r="G9" i="52"/>
  <c r="G8" i="52"/>
  <c r="G7" i="52"/>
  <c r="G14" i="51"/>
  <c r="G13" i="51"/>
  <c r="G12" i="51"/>
  <c r="G11" i="51"/>
  <c r="G6" i="260"/>
  <c r="G5" i="260"/>
  <c r="G10" i="80"/>
  <c r="G9" i="80"/>
  <c r="G8" i="80"/>
  <c r="G7" i="80"/>
  <c r="G14" i="50"/>
  <c r="G13" i="50"/>
  <c r="G12" i="50"/>
  <c r="G11" i="50"/>
  <c r="G8" i="119"/>
  <c r="G7" i="119"/>
  <c r="G6" i="72"/>
  <c r="G5" i="72"/>
  <c r="G8" i="71"/>
  <c r="G7" i="71"/>
  <c r="G11" i="68"/>
  <c r="G10" i="68"/>
  <c r="G9" i="68"/>
  <c r="G8" i="68"/>
  <c r="G10" i="67"/>
  <c r="G9" i="67"/>
  <c r="G8" i="67"/>
  <c r="G7" i="67"/>
  <c r="G40" i="49"/>
  <c r="G39" i="49"/>
  <c r="G38" i="49"/>
  <c r="G37" i="49"/>
  <c r="G36" i="49"/>
  <c r="G35" i="49"/>
  <c r="G34" i="49"/>
  <c r="G33" i="49"/>
  <c r="G32" i="49"/>
  <c r="G31" i="49"/>
  <c r="G30" i="49"/>
  <c r="G29" i="49"/>
  <c r="G28" i="49"/>
  <c r="G27" i="49"/>
  <c r="G26" i="49"/>
  <c r="G25" i="49"/>
  <c r="G24" i="49"/>
  <c r="G9" i="66"/>
  <c r="G8" i="66"/>
  <c r="G11" i="65"/>
  <c r="G11" i="64"/>
  <c r="G22" i="48"/>
  <c r="G21" i="48"/>
  <c r="G20" i="48"/>
  <c r="G19" i="48"/>
  <c r="G18" i="48"/>
  <c r="G17" i="48"/>
  <c r="G16" i="48"/>
  <c r="G15" i="48"/>
  <c r="G9" i="293"/>
  <c r="G8" i="293"/>
  <c r="G7" i="293"/>
  <c r="G9" i="81"/>
  <c r="G8" i="81"/>
  <c r="G7" i="81"/>
  <c r="G6" i="76"/>
  <c r="G5" i="76"/>
  <c r="G10" i="63"/>
  <c r="G9" i="63"/>
  <c r="G8" i="63"/>
  <c r="G7" i="63"/>
  <c r="G6" i="62"/>
  <c r="G5" i="62"/>
  <c r="G27" i="61"/>
  <c r="G26" i="61"/>
  <c r="G25" i="61"/>
  <c r="G24" i="61"/>
  <c r="G23" i="61"/>
  <c r="G22" i="61"/>
  <c r="G21" i="61"/>
  <c r="G20" i="61"/>
  <c r="G19" i="61"/>
  <c r="G18" i="61"/>
  <c r="G17" i="61"/>
  <c r="G16" i="61"/>
  <c r="G15" i="61"/>
  <c r="G12" i="60"/>
  <c r="G11" i="60"/>
  <c r="G12" i="59"/>
  <c r="G11" i="59"/>
  <c r="G10" i="59"/>
  <c r="G9" i="59"/>
  <c r="G10" i="58"/>
  <c r="G9" i="58"/>
  <c r="G8" i="58"/>
  <c r="G9" i="57"/>
  <c r="G8" i="57"/>
  <c r="G7" i="57"/>
  <c r="G7" i="56"/>
  <c r="G12" i="55"/>
  <c r="G11" i="55"/>
  <c r="G9" i="54"/>
  <c r="G8" i="54"/>
  <c r="G7" i="54"/>
  <c r="G27" i="47"/>
  <c r="G26" i="47"/>
  <c r="G25" i="47"/>
  <c r="G24" i="47"/>
  <c r="G9" i="292"/>
  <c r="G16" i="243"/>
  <c r="G15" i="243"/>
  <c r="G14" i="243"/>
  <c r="G13" i="243"/>
  <c r="G12" i="243"/>
  <c r="G11" i="243"/>
  <c r="G10" i="243"/>
  <c r="G8" i="243"/>
  <c r="G7" i="243"/>
  <c r="G11" i="125"/>
  <c r="G10" i="125"/>
  <c r="G9" i="125"/>
  <c r="G8" i="125"/>
  <c r="G7" i="125"/>
  <c r="G6" i="125"/>
  <c r="G5" i="125"/>
  <c r="G11" i="126"/>
  <c r="G10" i="126"/>
  <c r="G9" i="126"/>
  <c r="G8" i="126"/>
  <c r="G7" i="126"/>
  <c r="G6" i="126"/>
  <c r="G5" i="126"/>
  <c r="G11" i="239"/>
  <c r="G10" i="239"/>
  <c r="G9" i="239"/>
  <c r="G11" i="238"/>
  <c r="G10" i="238"/>
  <c r="G9" i="238"/>
  <c r="G5" i="237"/>
  <c r="G15" i="161"/>
  <c r="G14" i="161"/>
  <c r="G13" i="161"/>
  <c r="G12" i="161"/>
  <c r="G11" i="161"/>
  <c r="G10" i="161"/>
  <c r="G9" i="161"/>
  <c r="G11" i="241"/>
  <c r="G10" i="241"/>
  <c r="G9" i="241"/>
  <c r="G5" i="242"/>
  <c r="G18" i="240"/>
  <c r="G17" i="240"/>
  <c r="G16" i="240"/>
  <c r="G15" i="240"/>
  <c r="G14" i="240"/>
  <c r="G13" i="240"/>
  <c r="G12" i="240"/>
  <c r="G11" i="240"/>
  <c r="G10" i="240"/>
  <c r="G9" i="240"/>
  <c r="G5" i="160"/>
  <c r="G18" i="108"/>
  <c r="G17" i="108"/>
  <c r="G16" i="108"/>
  <c r="G15" i="108"/>
  <c r="G14" i="108"/>
  <c r="G13" i="108"/>
  <c r="G12" i="108"/>
  <c r="G11" i="108"/>
  <c r="G10" i="108"/>
  <c r="G9" i="108"/>
  <c r="G8" i="108"/>
  <c r="G7" i="108"/>
  <c r="G19" i="107"/>
  <c r="G18" i="107"/>
  <c r="G17" i="107"/>
  <c r="G16" i="107"/>
  <c r="G15" i="107"/>
  <c r="G14" i="107"/>
  <c r="G13" i="107"/>
  <c r="G12" i="107"/>
  <c r="G11" i="107"/>
  <c r="G10" i="107"/>
  <c r="G9" i="107"/>
  <c r="G8" i="107"/>
  <c r="G7" i="107"/>
  <c r="G6" i="107"/>
  <c r="G5" i="107"/>
  <c r="G10" i="244"/>
  <c r="G9" i="244"/>
  <c r="G8" i="244"/>
  <c r="G7" i="244"/>
  <c r="G6" i="244"/>
  <c r="G5" i="244"/>
  <c r="G24" i="2"/>
  <c r="G23" i="2"/>
  <c r="G22" i="2"/>
  <c r="H18" i="106"/>
  <c r="H17" i="106"/>
  <c r="H16" i="106"/>
  <c r="H29" i="298"/>
  <c r="H28" i="298"/>
  <c r="H27" i="298"/>
  <c r="H26" i="298"/>
  <c r="H25" i="298"/>
  <c r="H24" i="298"/>
  <c r="H23" i="298"/>
  <c r="H22" i="298"/>
  <c r="H21" i="298"/>
  <c r="H20" i="298"/>
  <c r="H19" i="298"/>
  <c r="H6" i="265"/>
  <c r="H5" i="265"/>
  <c r="H6" i="266"/>
  <c r="H5" i="266"/>
  <c r="H13" i="267"/>
  <c r="H12" i="267"/>
  <c r="H11" i="267"/>
  <c r="H10" i="267"/>
  <c r="H9" i="267"/>
  <c r="H8" i="267"/>
  <c r="H7" i="267"/>
  <c r="H14" i="264"/>
  <c r="H13" i="264"/>
  <c r="H12" i="264"/>
  <c r="H11" i="264"/>
  <c r="H10" i="264"/>
  <c r="H9" i="264"/>
  <c r="H8" i="226"/>
  <c r="H7" i="226"/>
  <c r="H20" i="214"/>
  <c r="H17" i="214"/>
  <c r="H16" i="214"/>
  <c r="H15" i="214"/>
  <c r="H14" i="214"/>
  <c r="H13" i="214"/>
  <c r="H12" i="214"/>
  <c r="H11" i="214"/>
  <c r="H10" i="214"/>
  <c r="H12" i="225"/>
  <c r="H10" i="225"/>
  <c r="H9" i="225"/>
  <c r="H8" i="225"/>
  <c r="H7" i="225"/>
  <c r="H8" i="224"/>
  <c r="H8" i="223"/>
  <c r="H8" i="222"/>
  <c r="H11" i="221"/>
  <c r="H9" i="221"/>
  <c r="H8" i="221"/>
  <c r="H7" i="221"/>
  <c r="H12" i="220"/>
  <c r="H11" i="220"/>
  <c r="H10" i="220"/>
  <c r="H9" i="220"/>
  <c r="H8" i="220"/>
  <c r="H7" i="220"/>
  <c r="H13" i="219"/>
  <c r="H12" i="219"/>
  <c r="H11" i="219"/>
  <c r="H10" i="219"/>
  <c r="H9" i="219"/>
  <c r="H8" i="219"/>
  <c r="H13" i="218"/>
  <c r="H12" i="218"/>
  <c r="H11" i="218"/>
  <c r="H10" i="218"/>
  <c r="H9" i="218"/>
  <c r="H32" i="213"/>
  <c r="H31" i="213"/>
  <c r="H28" i="213"/>
  <c r="H27" i="213"/>
  <c r="H26" i="213"/>
  <c r="H25" i="213"/>
  <c r="H8" i="297"/>
  <c r="H7" i="297"/>
  <c r="H9" i="250"/>
  <c r="H8" i="250"/>
  <c r="H7" i="250"/>
  <c r="H14" i="249"/>
  <c r="H12" i="249"/>
  <c r="H11" i="249"/>
  <c r="H10" i="249"/>
  <c r="H9" i="249"/>
  <c r="H7" i="249"/>
  <c r="H15" i="212"/>
  <c r="H14" i="212"/>
  <c r="H13" i="212"/>
  <c r="H21" i="211"/>
  <c r="H20" i="211"/>
  <c r="H19" i="211"/>
  <c r="H15" i="175"/>
  <c r="H14" i="175"/>
  <c r="H13" i="175"/>
  <c r="H12" i="175"/>
  <c r="H11" i="175"/>
  <c r="H10" i="175"/>
  <c r="H9" i="175"/>
  <c r="H8" i="175"/>
  <c r="H15" i="174"/>
  <c r="H14" i="174"/>
  <c r="H13" i="174"/>
  <c r="H12" i="174"/>
  <c r="H11" i="174"/>
  <c r="H10" i="174"/>
  <c r="H9" i="174"/>
  <c r="H11" i="173"/>
  <c r="H10" i="173"/>
  <c r="H9" i="173"/>
  <c r="H10" i="172"/>
  <c r="H9" i="172"/>
  <c r="H8" i="172"/>
  <c r="H7" i="172"/>
  <c r="H6" i="172"/>
  <c r="H20" i="171"/>
  <c r="H19" i="171"/>
  <c r="H18" i="171"/>
  <c r="H17" i="171"/>
  <c r="H16" i="171"/>
  <c r="H15" i="171"/>
  <c r="H14" i="171"/>
  <c r="H13" i="171"/>
  <c r="H18" i="124"/>
  <c r="H17" i="124"/>
  <c r="H16" i="124"/>
  <c r="H15" i="124"/>
  <c r="H14" i="124"/>
  <c r="H13" i="124"/>
  <c r="H12" i="124"/>
  <c r="H34" i="123"/>
  <c r="H33" i="123"/>
  <c r="H32" i="123"/>
  <c r="H31" i="123"/>
  <c r="H30" i="123"/>
  <c r="H29" i="123"/>
  <c r="H28" i="123"/>
  <c r="H27" i="123"/>
  <c r="H26" i="123"/>
  <c r="H25" i="123"/>
  <c r="H24" i="123"/>
  <c r="H23" i="123"/>
  <c r="H22" i="123"/>
  <c r="H21" i="123"/>
  <c r="H20" i="123"/>
  <c r="H19" i="123"/>
  <c r="H18" i="123"/>
  <c r="H17" i="123"/>
  <c r="H16" i="143"/>
  <c r="H15" i="143"/>
  <c r="H14" i="143"/>
  <c r="H13" i="143"/>
  <c r="H12" i="143"/>
  <c r="H16" i="142"/>
  <c r="H15" i="142"/>
  <c r="H14" i="142"/>
  <c r="H13" i="142"/>
  <c r="H12" i="142"/>
  <c r="H11" i="142"/>
  <c r="H10" i="139"/>
  <c r="H10" i="138"/>
  <c r="H9" i="138"/>
  <c r="H8" i="138"/>
  <c r="H7" i="138"/>
  <c r="H16" i="137"/>
  <c r="H15" i="137"/>
  <c r="H14" i="137"/>
  <c r="H13" i="137"/>
  <c r="H12" i="137"/>
  <c r="H16" i="144"/>
  <c r="H15" i="144"/>
  <c r="H14" i="144"/>
  <c r="H13" i="144"/>
  <c r="H12" i="144"/>
  <c r="H11" i="144"/>
  <c r="H11" i="135"/>
  <c r="H10" i="135"/>
  <c r="H15" i="104"/>
  <c r="H14" i="104"/>
  <c r="H13" i="104"/>
  <c r="H12" i="104"/>
  <c r="H11" i="104"/>
  <c r="H10" i="105"/>
  <c r="H16" i="103"/>
  <c r="H15" i="103"/>
  <c r="H14" i="103"/>
  <c r="H13" i="103"/>
  <c r="H12" i="103"/>
  <c r="H15" i="102"/>
  <c r="H14" i="102"/>
  <c r="H13" i="102"/>
  <c r="H12" i="102"/>
  <c r="H11" i="102"/>
  <c r="H16" i="101"/>
  <c r="H15" i="101"/>
  <c r="H14" i="101"/>
  <c r="H13" i="101"/>
  <c r="H12" i="101"/>
  <c r="H11" i="101"/>
  <c r="H8" i="263"/>
  <c r="H7" i="134"/>
  <c r="H5" i="99"/>
  <c r="H10" i="98"/>
  <c r="H14" i="97"/>
  <c r="H13" i="97"/>
  <c r="H12" i="97"/>
  <c r="H11" i="97"/>
  <c r="H10" i="97"/>
  <c r="H9" i="96"/>
  <c r="H8" i="96"/>
  <c r="H7" i="96"/>
  <c r="H15" i="95"/>
  <c r="H14" i="95"/>
  <c r="H13" i="95"/>
  <c r="H12" i="95"/>
  <c r="H11" i="95"/>
  <c r="H16" i="94"/>
  <c r="H15" i="94"/>
  <c r="H14" i="94"/>
  <c r="H13" i="94"/>
  <c r="H12" i="94"/>
  <c r="H11" i="94"/>
  <c r="H11" i="93"/>
  <c r="H10" i="93"/>
  <c r="H11" i="141"/>
  <c r="H10" i="141"/>
  <c r="H9" i="141"/>
  <c r="H8" i="141"/>
  <c r="H7" i="141"/>
  <c r="H9" i="140"/>
  <c r="H10" i="92"/>
  <c r="H9" i="92"/>
  <c r="H8" i="92"/>
  <c r="H7" i="92"/>
  <c r="H9" i="91"/>
  <c r="H8" i="91"/>
  <c r="H7" i="91"/>
  <c r="H14" i="84"/>
  <c r="H13" i="84"/>
  <c r="H12" i="84"/>
  <c r="H11" i="84"/>
  <c r="H10" i="84"/>
  <c r="H9" i="84"/>
  <c r="H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H21" i="83"/>
  <c r="H20" i="83"/>
  <c r="H19" i="83"/>
  <c r="H18" i="83"/>
  <c r="H17" i="83"/>
  <c r="H16" i="83"/>
  <c r="H15" i="83"/>
  <c r="H36" i="236"/>
  <c r="H35" i="236"/>
  <c r="H34" i="236"/>
  <c r="H33" i="236"/>
  <c r="H32" i="236"/>
  <c r="H26" i="236"/>
  <c r="H21" i="232"/>
  <c r="H20" i="232"/>
  <c r="H19" i="232"/>
  <c r="H18" i="232"/>
  <c r="H17" i="232"/>
  <c r="H16" i="232"/>
  <c r="H15" i="232"/>
  <c r="H14" i="232"/>
  <c r="H13" i="232"/>
  <c r="H12" i="232"/>
  <c r="H16" i="233"/>
  <c r="H15" i="233"/>
  <c r="H14" i="233"/>
  <c r="H13" i="233"/>
  <c r="H12" i="233"/>
  <c r="H11" i="233"/>
  <c r="H10" i="233"/>
  <c r="H9" i="233"/>
  <c r="H15" i="234"/>
  <c r="H14" i="234"/>
  <c r="H13" i="234"/>
  <c r="H12" i="234"/>
  <c r="H11" i="234"/>
  <c r="H15" i="235"/>
  <c r="H14" i="235"/>
  <c r="H13" i="235"/>
  <c r="H12" i="235"/>
  <c r="H11" i="235"/>
  <c r="H20" i="164"/>
  <c r="H19" i="164"/>
  <c r="H18" i="164"/>
  <c r="H17" i="164"/>
  <c r="H16" i="164"/>
  <c r="H15" i="164"/>
  <c r="H14" i="164"/>
  <c r="H13" i="164"/>
  <c r="H12" i="164"/>
  <c r="H11" i="164"/>
  <c r="H10" i="164"/>
  <c r="H20" i="131"/>
  <c r="H19" i="131"/>
  <c r="H18" i="131"/>
  <c r="H17" i="131"/>
  <c r="H16" i="131"/>
  <c r="H15" i="131"/>
  <c r="H14" i="131"/>
  <c r="H13" i="131"/>
  <c r="H12" i="131"/>
  <c r="H11" i="131"/>
  <c r="H10" i="131"/>
  <c r="H30" i="163"/>
  <c r="H29" i="163"/>
  <c r="H28" i="163"/>
  <c r="H27" i="163"/>
  <c r="H26" i="163"/>
  <c r="H25" i="163"/>
  <c r="H24" i="163"/>
  <c r="H23" i="163"/>
  <c r="H22" i="162"/>
  <c r="H21" i="162"/>
  <c r="H20" i="162"/>
  <c r="H19" i="162"/>
  <c r="H18" i="162"/>
  <c r="H17" i="162"/>
  <c r="H16" i="162"/>
  <c r="H15" i="162"/>
  <c r="H14" i="162"/>
  <c r="H13" i="162"/>
  <c r="H12" i="162"/>
  <c r="H11" i="162"/>
  <c r="H21" i="157"/>
  <c r="H20" i="157"/>
  <c r="H19" i="157"/>
  <c r="H18" i="157"/>
  <c r="H17" i="157"/>
  <c r="H16" i="157"/>
  <c r="H15" i="157"/>
  <c r="H14" i="157"/>
  <c r="H13" i="157"/>
  <c r="H12" i="157"/>
  <c r="H11" i="157"/>
  <c r="H10" i="157"/>
  <c r="H18" i="156"/>
  <c r="H17" i="156"/>
  <c r="H16" i="156"/>
  <c r="H15" i="156"/>
  <c r="H14" i="156"/>
  <c r="H13" i="156"/>
  <c r="H12" i="156"/>
  <c r="H11" i="156"/>
  <c r="H10" i="156"/>
  <c r="H11" i="155"/>
  <c r="H10" i="155"/>
  <c r="H9" i="155"/>
  <c r="H8" i="155"/>
  <c r="H14" i="154"/>
  <c r="H13" i="154"/>
  <c r="H12" i="154"/>
  <c r="H11" i="154"/>
  <c r="H10" i="154"/>
  <c r="H23" i="150"/>
  <c r="H22" i="150"/>
  <c r="H21" i="150"/>
  <c r="H20" i="150"/>
  <c r="H19" i="150"/>
  <c r="H18" i="150"/>
  <c r="H17" i="150"/>
  <c r="H16" i="150"/>
  <c r="H15" i="150"/>
  <c r="H14" i="150"/>
  <c r="H11" i="296"/>
  <c r="H10" i="296"/>
  <c r="H9" i="296"/>
  <c r="H8" i="296"/>
  <c r="H7" i="296"/>
  <c r="H30" i="146"/>
  <c r="H29" i="146"/>
  <c r="H28" i="146"/>
  <c r="H27" i="146"/>
  <c r="H26" i="146"/>
  <c r="H25" i="146"/>
  <c r="H24" i="146"/>
  <c r="H23" i="146"/>
  <c r="H22" i="145"/>
  <c r="H21" i="145"/>
  <c r="H20" i="145"/>
  <c r="H19" i="145"/>
  <c r="H18" i="145"/>
  <c r="H17" i="145"/>
  <c r="H16" i="145"/>
  <c r="H15" i="145"/>
  <c r="H14" i="145"/>
  <c r="H13" i="145"/>
  <c r="H12" i="145"/>
  <c r="H11" i="145"/>
  <c r="H11" i="294"/>
  <c r="H10" i="294"/>
  <c r="H9" i="294"/>
  <c r="H8" i="294"/>
  <c r="H7" i="294"/>
  <c r="H21" i="149"/>
  <c r="H20" i="149"/>
  <c r="H19" i="149"/>
  <c r="H18" i="149"/>
  <c r="H17" i="149"/>
  <c r="H16" i="149"/>
  <c r="H15" i="149"/>
  <c r="H14" i="149"/>
  <c r="H13" i="149"/>
  <c r="H12" i="149"/>
  <c r="H11" i="149"/>
  <c r="H10" i="149"/>
  <c r="H18" i="148"/>
  <c r="H17" i="148"/>
  <c r="H16" i="148"/>
  <c r="H15" i="148"/>
  <c r="H14" i="148"/>
  <c r="H13" i="148"/>
  <c r="H12" i="148"/>
  <c r="H11" i="148"/>
  <c r="H10" i="148"/>
  <c r="H11" i="147"/>
  <c r="H10" i="147"/>
  <c r="H9" i="147"/>
  <c r="H8" i="147"/>
  <c r="H14" i="133"/>
  <c r="H13" i="133"/>
  <c r="H12" i="133"/>
  <c r="H11" i="133"/>
  <c r="H10" i="133"/>
  <c r="H23" i="159"/>
  <c r="H22" i="159"/>
  <c r="H21" i="159"/>
  <c r="H20" i="159"/>
  <c r="H19" i="159"/>
  <c r="H18" i="159"/>
  <c r="H17" i="159"/>
  <c r="H16" i="159"/>
  <c r="H15" i="159"/>
  <c r="H14" i="159"/>
  <c r="H10" i="197"/>
  <c r="H9" i="197"/>
  <c r="H8" i="197"/>
  <c r="H7" i="197"/>
  <c r="H10" i="196"/>
  <c r="H9" i="196"/>
  <c r="H8" i="196"/>
  <c r="H7" i="196"/>
  <c r="H74" i="128"/>
  <c r="H73" i="128"/>
  <c r="H72" i="128"/>
  <c r="H71" i="128"/>
  <c r="H70" i="128"/>
  <c r="H69" i="128"/>
  <c r="H68" i="128"/>
  <c r="H67" i="128"/>
  <c r="H66" i="128"/>
  <c r="H65" i="128"/>
  <c r="H64" i="128"/>
  <c r="H63" i="128"/>
  <c r="H62" i="128"/>
  <c r="H61" i="128"/>
  <c r="H60" i="128"/>
  <c r="H59" i="128"/>
  <c r="H58" i="128"/>
  <c r="H57" i="128"/>
  <c r="H56" i="128"/>
  <c r="H55" i="128"/>
  <c r="H54" i="128"/>
  <c r="H53" i="128"/>
  <c r="H52" i="128"/>
  <c r="H51" i="128"/>
  <c r="H50" i="128"/>
  <c r="H49" i="128"/>
  <c r="H48" i="128"/>
  <c r="H47" i="128"/>
  <c r="H46" i="128"/>
  <c r="H45" i="128"/>
  <c r="H44" i="128"/>
  <c r="H43" i="128"/>
  <c r="H42" i="128"/>
  <c r="H41" i="128"/>
  <c r="H40" i="128"/>
  <c r="H39" i="128"/>
  <c r="H38" i="128"/>
  <c r="H37" i="128"/>
  <c r="H36" i="128"/>
  <c r="H35" i="128"/>
  <c r="H34" i="128"/>
  <c r="H33" i="128"/>
  <c r="H32" i="128"/>
  <c r="H31" i="128"/>
  <c r="H21" i="127"/>
  <c r="H24" i="195"/>
  <c r="H23" i="195"/>
  <c r="H22" i="195"/>
  <c r="H21" i="195"/>
  <c r="H20" i="195"/>
  <c r="H19" i="195"/>
  <c r="H18" i="195"/>
  <c r="H17" i="195"/>
  <c r="H16" i="195"/>
  <c r="H15" i="195"/>
  <c r="H14" i="195"/>
  <c r="H13" i="195"/>
  <c r="H12" i="195"/>
  <c r="H11" i="195"/>
  <c r="H13" i="230"/>
  <c r="H12" i="230"/>
  <c r="H11" i="230"/>
  <c r="H10" i="230"/>
  <c r="H20" i="229"/>
  <c r="H19" i="229"/>
  <c r="H18" i="229"/>
  <c r="H17" i="229"/>
  <c r="H16" i="229"/>
  <c r="H15" i="229"/>
  <c r="H14" i="229"/>
  <c r="H13" i="229"/>
  <c r="H36" i="201"/>
  <c r="H35" i="201"/>
  <c r="H34" i="201"/>
  <c r="H33" i="201"/>
  <c r="H32" i="201"/>
  <c r="H31" i="201"/>
  <c r="H30" i="201"/>
  <c r="H29" i="201"/>
  <c r="H28" i="201"/>
  <c r="H27" i="201"/>
  <c r="H26" i="201"/>
  <c r="H25" i="201"/>
  <c r="H24" i="201"/>
  <c r="H23" i="201"/>
  <c r="H22" i="201"/>
  <c r="H21" i="201"/>
  <c r="H20" i="201"/>
  <c r="H19" i="201"/>
  <c r="H17" i="228"/>
  <c r="H16" i="228"/>
  <c r="H15" i="228"/>
  <c r="H14" i="228"/>
  <c r="H13" i="228"/>
  <c r="H12" i="228"/>
  <c r="H11" i="228"/>
  <c r="H10" i="228"/>
  <c r="H10" i="204"/>
  <c r="H9" i="204"/>
  <c r="H8" i="204"/>
  <c r="H17" i="205"/>
  <c r="H16" i="205"/>
  <c r="H15" i="205"/>
  <c r="H14" i="205"/>
  <c r="H13" i="205"/>
  <c r="H12" i="205"/>
  <c r="H11" i="205"/>
  <c r="H13" i="203"/>
  <c r="H12" i="203"/>
  <c r="H11" i="203"/>
  <c r="H10" i="203"/>
  <c r="H9" i="203"/>
  <c r="H21" i="202"/>
  <c r="H20" i="202"/>
  <c r="H19" i="202"/>
  <c r="H18" i="202"/>
  <c r="H17" i="202"/>
  <c r="H16" i="202"/>
  <c r="H15" i="202"/>
  <c r="H14" i="202"/>
  <c r="H36" i="200"/>
  <c r="H35" i="200"/>
  <c r="H34" i="200"/>
  <c r="H33" i="200"/>
  <c r="H32" i="200"/>
  <c r="H31" i="200"/>
  <c r="H30" i="200"/>
  <c r="H29" i="200"/>
  <c r="H28" i="200"/>
  <c r="H27" i="200"/>
  <c r="H26" i="200"/>
  <c r="H25" i="200"/>
  <c r="H24" i="200"/>
  <c r="H23" i="200"/>
  <c r="H22" i="200"/>
  <c r="H21" i="200"/>
  <c r="H20" i="200"/>
  <c r="H19" i="200"/>
  <c r="H22" i="199"/>
  <c r="H21" i="199"/>
  <c r="H20" i="199"/>
  <c r="H19" i="199"/>
  <c r="H18" i="199"/>
  <c r="H17" i="199"/>
  <c r="H13" i="199"/>
  <c r="H22" i="198"/>
  <c r="H21" i="198"/>
  <c r="H20" i="198"/>
  <c r="H19" i="198"/>
  <c r="H18" i="198"/>
  <c r="H17" i="198"/>
  <c r="H13" i="198"/>
  <c r="H18" i="194"/>
  <c r="H17" i="194"/>
  <c r="H16" i="194"/>
  <c r="H15" i="194"/>
  <c r="H14" i="194"/>
  <c r="H13" i="194"/>
  <c r="H12" i="194"/>
  <c r="H11" i="194"/>
  <c r="H71" i="193"/>
  <c r="H70" i="193"/>
  <c r="H69" i="193"/>
  <c r="H68" i="193"/>
  <c r="H67" i="193"/>
  <c r="H66" i="193"/>
  <c r="H65" i="193"/>
  <c r="H64" i="193"/>
  <c r="H63" i="193"/>
  <c r="H62" i="193"/>
  <c r="H61" i="193"/>
  <c r="H60" i="193"/>
  <c r="H59" i="193"/>
  <c r="H58" i="193"/>
  <c r="H57" i="193"/>
  <c r="H56" i="193"/>
  <c r="H55" i="193"/>
  <c r="H54" i="193"/>
  <c r="H53" i="193"/>
  <c r="H52" i="193"/>
  <c r="H51" i="193"/>
  <c r="H50" i="193"/>
  <c r="H49" i="193"/>
  <c r="H48" i="193"/>
  <c r="H47" i="193"/>
  <c r="H46" i="193"/>
  <c r="H45" i="193"/>
  <c r="H44" i="193"/>
  <c r="H43" i="193"/>
  <c r="H42" i="193"/>
  <c r="H41" i="193"/>
  <c r="H40" i="193"/>
  <c r="H39" i="193"/>
  <c r="H38" i="193"/>
  <c r="H37" i="193"/>
  <c r="H36" i="193"/>
  <c r="H35" i="193"/>
  <c r="H34" i="193"/>
  <c r="H33" i="193"/>
  <c r="H32" i="193"/>
  <c r="H31" i="193"/>
  <c r="H30" i="193"/>
  <c r="H29" i="193"/>
  <c r="H28" i="193"/>
  <c r="H27" i="193"/>
  <c r="H13" i="192"/>
  <c r="H12" i="192"/>
  <c r="H11" i="192"/>
  <c r="H10" i="192"/>
  <c r="H9" i="192"/>
  <c r="H8" i="192"/>
  <c r="H7" i="192"/>
  <c r="H6" i="192"/>
  <c r="H5" i="192"/>
  <c r="H8" i="227"/>
  <c r="H7" i="227"/>
  <c r="H16" i="231"/>
  <c r="H15" i="231"/>
  <c r="H14" i="231"/>
  <c r="H13" i="231"/>
  <c r="H11" i="231"/>
  <c r="H10" i="231"/>
  <c r="H9" i="231"/>
  <c r="H18" i="191"/>
  <c r="H14" i="181"/>
  <c r="H13" i="181"/>
  <c r="H12" i="181"/>
  <c r="H11" i="181"/>
  <c r="H10" i="181"/>
  <c r="H9" i="181"/>
  <c r="H8" i="181"/>
  <c r="H7" i="181"/>
  <c r="H24" i="190"/>
  <c r="H23" i="190"/>
  <c r="H22" i="190"/>
  <c r="H21" i="190"/>
  <c r="H20" i="190"/>
  <c r="H19" i="190"/>
  <c r="H18" i="190"/>
  <c r="H17" i="190"/>
  <c r="H16" i="190"/>
  <c r="H15" i="190"/>
  <c r="H14" i="190"/>
  <c r="H13" i="190"/>
  <c r="H12" i="190"/>
  <c r="H11" i="190"/>
  <c r="H19" i="180"/>
  <c r="H18" i="180"/>
  <c r="H17" i="180"/>
  <c r="H16" i="180"/>
  <c r="H15" i="180"/>
  <c r="H14" i="180"/>
  <c r="H13" i="180"/>
  <c r="H12" i="180"/>
  <c r="H11" i="180"/>
  <c r="H20" i="189"/>
  <c r="H19" i="189"/>
  <c r="H18" i="189"/>
  <c r="H17" i="189"/>
  <c r="H16" i="189"/>
  <c r="H15" i="189"/>
  <c r="H14" i="189"/>
  <c r="H13" i="189"/>
  <c r="H12" i="189"/>
  <c r="H11" i="189"/>
  <c r="H15" i="188"/>
  <c r="H14" i="188"/>
  <c r="H13" i="188"/>
  <c r="H12" i="188"/>
  <c r="H11" i="188"/>
  <c r="H10" i="188"/>
  <c r="H9" i="188"/>
  <c r="H20" i="179"/>
  <c r="H19" i="179"/>
  <c r="H18" i="179"/>
  <c r="H17" i="179"/>
  <c r="H16" i="179"/>
  <c r="H15" i="179"/>
  <c r="H14" i="179"/>
  <c r="H13" i="179"/>
  <c r="H35" i="165"/>
  <c r="H34" i="165"/>
  <c r="H33" i="165"/>
  <c r="H32" i="165"/>
  <c r="H31" i="165"/>
  <c r="H30" i="165"/>
  <c r="H29" i="165"/>
  <c r="H28" i="165"/>
  <c r="H27" i="165"/>
  <c r="H26" i="165"/>
  <c r="H25" i="165"/>
  <c r="H24" i="165"/>
  <c r="H23" i="165"/>
  <c r="H22" i="165"/>
  <c r="H21" i="165"/>
  <c r="H20" i="165"/>
  <c r="H19" i="165"/>
  <c r="H18" i="165"/>
  <c r="H13" i="288"/>
  <c r="H12" i="288"/>
  <c r="H11" i="288"/>
  <c r="H13" i="287"/>
  <c r="H12" i="287"/>
  <c r="H11" i="287"/>
  <c r="H15" i="286"/>
  <c r="H14" i="286"/>
  <c r="H13" i="286"/>
  <c r="H15" i="285"/>
  <c r="H14" i="285"/>
  <c r="H13" i="285"/>
  <c r="H13" i="284"/>
  <c r="H12" i="284"/>
  <c r="H11" i="284"/>
  <c r="H13" i="283"/>
  <c r="H12" i="283"/>
  <c r="H11" i="283"/>
  <c r="H11" i="187"/>
  <c r="H10" i="187"/>
  <c r="H22" i="178"/>
  <c r="H21" i="178"/>
  <c r="H20" i="178"/>
  <c r="H18" i="270"/>
  <c r="H17" i="270"/>
  <c r="H16" i="270"/>
  <c r="H15" i="270"/>
  <c r="H14" i="270"/>
  <c r="H13" i="270"/>
  <c r="H12" i="270"/>
  <c r="H11" i="270"/>
  <c r="H10" i="270"/>
  <c r="H17" i="269"/>
  <c r="H16" i="269"/>
  <c r="H15" i="269"/>
  <c r="H14" i="269"/>
  <c r="H13" i="269"/>
  <c r="H12" i="269"/>
  <c r="H11" i="269"/>
  <c r="H10" i="269"/>
  <c r="H9" i="269"/>
  <c r="H9" i="268"/>
  <c r="H8" i="268"/>
  <c r="H7" i="268"/>
  <c r="H8" i="186"/>
  <c r="H7" i="186"/>
  <c r="H8" i="185"/>
  <c r="H7" i="185"/>
  <c r="H8" i="184"/>
  <c r="H7" i="184"/>
  <c r="H8" i="183"/>
  <c r="H7" i="183"/>
  <c r="H9" i="182"/>
  <c r="H8" i="182"/>
  <c r="H7" i="182"/>
  <c r="H33" i="177"/>
  <c r="H32" i="177"/>
  <c r="H31" i="177"/>
  <c r="H30" i="177"/>
  <c r="H17" i="209"/>
  <c r="H16" i="209"/>
  <c r="H15" i="209"/>
  <c r="H14" i="209"/>
  <c r="H13" i="209"/>
  <c r="H12" i="209"/>
  <c r="H11" i="209"/>
  <c r="H10" i="209"/>
  <c r="H9" i="209"/>
  <c r="H15" i="282"/>
  <c r="H14" i="282"/>
  <c r="H13" i="282"/>
  <c r="H15" i="281"/>
  <c r="H14" i="281"/>
  <c r="H13" i="281"/>
  <c r="H20" i="280"/>
  <c r="H19" i="280"/>
  <c r="H18" i="280"/>
  <c r="H17" i="280"/>
  <c r="H16" i="280"/>
  <c r="H15" i="280"/>
  <c r="H14" i="280"/>
  <c r="H20" i="279"/>
  <c r="H19" i="279"/>
  <c r="H18" i="279"/>
  <c r="H17" i="279"/>
  <c r="H16" i="279"/>
  <c r="H15" i="279"/>
  <c r="H14" i="279"/>
  <c r="H7" i="256"/>
  <c r="H6" i="256"/>
  <c r="H5" i="256"/>
  <c r="H5" i="254"/>
  <c r="H22" i="167"/>
  <c r="H21" i="167"/>
  <c r="H20" i="167"/>
  <c r="H8" i="169"/>
  <c r="H7" i="169"/>
  <c r="H8" i="168"/>
  <c r="H7" i="168"/>
  <c r="H21" i="166"/>
  <c r="H20" i="166"/>
  <c r="H19" i="166"/>
  <c r="H11" i="118"/>
  <c r="H10" i="118"/>
  <c r="H9" i="118"/>
  <c r="H9" i="117"/>
  <c r="H8" i="117"/>
  <c r="H7" i="116"/>
  <c r="H47" i="114"/>
  <c r="H44" i="114"/>
  <c r="H43" i="114"/>
  <c r="H42" i="114"/>
  <c r="H41" i="114"/>
  <c r="H40" i="114"/>
  <c r="H39" i="114"/>
  <c r="H38" i="114"/>
  <c r="H37" i="114"/>
  <c r="H36" i="114"/>
  <c r="H35" i="114"/>
  <c r="H34" i="114"/>
  <c r="H33" i="114"/>
  <c r="H32" i="114"/>
  <c r="H31" i="114"/>
  <c r="H30" i="114"/>
  <c r="H29" i="114"/>
  <c r="H28" i="114"/>
  <c r="H27" i="114"/>
  <c r="H13" i="278"/>
  <c r="H12" i="278"/>
  <c r="H11" i="278"/>
  <c r="H13" i="277"/>
  <c r="H12" i="277"/>
  <c r="H11" i="277"/>
  <c r="H15" i="276"/>
  <c r="H14" i="276"/>
  <c r="H13" i="276"/>
  <c r="H7" i="289"/>
  <c r="H10" i="262"/>
  <c r="H9" i="262"/>
  <c r="H15" i="275"/>
  <c r="H14" i="275"/>
  <c r="H13" i="275"/>
  <c r="H14" i="113"/>
  <c r="H13" i="113"/>
  <c r="H10" i="252"/>
  <c r="H9" i="252"/>
  <c r="H8" i="252"/>
  <c r="H7" i="252"/>
  <c r="H10" i="251"/>
  <c r="H9" i="251"/>
  <c r="H8" i="251"/>
  <c r="H7" i="251"/>
  <c r="H8" i="207"/>
  <c r="H7" i="207"/>
  <c r="H8" i="206"/>
  <c r="H7" i="206"/>
  <c r="H7" i="115"/>
  <c r="H21" i="112"/>
  <c r="H20" i="112"/>
  <c r="H19" i="112"/>
  <c r="H6" i="73"/>
  <c r="H5" i="73"/>
  <c r="H12" i="52"/>
  <c r="H11" i="52"/>
  <c r="H10" i="52"/>
  <c r="H9" i="52"/>
  <c r="H8" i="52"/>
  <c r="H7" i="52"/>
  <c r="H14" i="51"/>
  <c r="H13" i="51"/>
  <c r="H12" i="51"/>
  <c r="H11" i="51"/>
  <c r="H6" i="260"/>
  <c r="H5" i="260"/>
  <c r="H10" i="80"/>
  <c r="H9" i="80"/>
  <c r="H8" i="80"/>
  <c r="H7" i="80"/>
  <c r="H14" i="50"/>
  <c r="H13" i="50"/>
  <c r="H12" i="50"/>
  <c r="H11" i="50"/>
  <c r="H8" i="119"/>
  <c r="H7" i="119"/>
  <c r="H6" i="72"/>
  <c r="H5" i="72"/>
  <c r="H8" i="71"/>
  <c r="H7" i="71"/>
  <c r="H11" i="68"/>
  <c r="H10" i="68"/>
  <c r="H9" i="68"/>
  <c r="H8" i="68"/>
  <c r="H10" i="67"/>
  <c r="H9" i="67"/>
  <c r="H8" i="67"/>
  <c r="H7" i="67"/>
  <c r="H40" i="49"/>
  <c r="H39" i="49"/>
  <c r="H38" i="49"/>
  <c r="H37" i="49"/>
  <c r="H36" i="49"/>
  <c r="H35" i="49"/>
  <c r="H34" i="49"/>
  <c r="H33" i="49"/>
  <c r="H32" i="49"/>
  <c r="H31" i="49"/>
  <c r="H30" i="49"/>
  <c r="H29" i="49"/>
  <c r="H28" i="49"/>
  <c r="H27" i="49"/>
  <c r="H26" i="49"/>
  <c r="H25" i="49"/>
  <c r="H24" i="49"/>
  <c r="H9" i="66"/>
  <c r="H8" i="66"/>
  <c r="H11" i="65"/>
  <c r="H11" i="64"/>
  <c r="H22" i="48"/>
  <c r="H21" i="48"/>
  <c r="H20" i="48"/>
  <c r="H19" i="48"/>
  <c r="H18" i="48"/>
  <c r="H17" i="48"/>
  <c r="H16" i="48"/>
  <c r="H15" i="48"/>
  <c r="H9" i="293"/>
  <c r="H8" i="293"/>
  <c r="H7" i="293"/>
  <c r="H9" i="81"/>
  <c r="H8" i="81"/>
  <c r="H7" i="81"/>
  <c r="H6" i="76"/>
  <c r="H5" i="76"/>
  <c r="H10" i="63"/>
  <c r="H9" i="63"/>
  <c r="H8" i="63"/>
  <c r="H7" i="63"/>
  <c r="H6" i="62"/>
  <c r="H5" i="62"/>
  <c r="H27" i="61"/>
  <c r="H26" i="61"/>
  <c r="H25" i="61"/>
  <c r="H24" i="61"/>
  <c r="H23" i="61"/>
  <c r="H22" i="61"/>
  <c r="H21" i="61"/>
  <c r="H20" i="61"/>
  <c r="H19" i="61"/>
  <c r="H18" i="61"/>
  <c r="H17" i="61"/>
  <c r="H16" i="61"/>
  <c r="H15" i="61"/>
  <c r="H12" i="60"/>
  <c r="H11" i="60"/>
  <c r="H12" i="59"/>
  <c r="H11" i="59"/>
  <c r="H10" i="59"/>
  <c r="H9" i="59"/>
  <c r="H10" i="58"/>
  <c r="H9" i="58"/>
  <c r="H8" i="58"/>
  <c r="H9" i="57"/>
  <c r="H8" i="57"/>
  <c r="H7" i="57"/>
  <c r="H7" i="56"/>
  <c r="H12" i="55"/>
  <c r="H11" i="55"/>
  <c r="H9" i="54"/>
  <c r="H8" i="54"/>
  <c r="H7" i="54"/>
  <c r="H27" i="47"/>
  <c r="H26" i="47"/>
  <c r="H25" i="47"/>
  <c r="H24" i="47"/>
  <c r="H9" i="292"/>
  <c r="H16" i="243"/>
  <c r="H15" i="243"/>
  <c r="H14" i="243"/>
  <c r="H13" i="243"/>
  <c r="H12" i="243"/>
  <c r="H11" i="243"/>
  <c r="H10" i="243"/>
  <c r="H8" i="243"/>
  <c r="H7" i="243"/>
  <c r="H11" i="125"/>
  <c r="H10" i="125"/>
  <c r="H9" i="125"/>
  <c r="H8" i="125"/>
  <c r="H7" i="125"/>
  <c r="H6" i="125"/>
  <c r="H5" i="125"/>
  <c r="H11" i="126"/>
  <c r="H10" i="126"/>
  <c r="H9" i="126"/>
  <c r="H8" i="126"/>
  <c r="H7" i="126"/>
  <c r="H6" i="126"/>
  <c r="H5" i="126"/>
  <c r="H11" i="239"/>
  <c r="H10" i="239"/>
  <c r="H9" i="239"/>
  <c r="H11" i="238"/>
  <c r="H10" i="238"/>
  <c r="H9" i="238"/>
  <c r="H5" i="237"/>
  <c r="H15" i="161"/>
  <c r="H14" i="161"/>
  <c r="H13" i="161"/>
  <c r="H12" i="161"/>
  <c r="H11" i="161"/>
  <c r="H10" i="161"/>
  <c r="H9" i="161"/>
  <c r="H11" i="241"/>
  <c r="H10" i="241"/>
  <c r="H9" i="241"/>
  <c r="H5" i="242"/>
  <c r="H18" i="240"/>
  <c r="H17" i="240"/>
  <c r="H16" i="240"/>
  <c r="H15" i="240"/>
  <c r="H14" i="240"/>
  <c r="H13" i="240"/>
  <c r="H12" i="240"/>
  <c r="H11" i="240"/>
  <c r="H10" i="240"/>
  <c r="H9" i="240"/>
  <c r="H5" i="160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H19" i="107"/>
  <c r="H18" i="107"/>
  <c r="H17" i="107"/>
  <c r="H16" i="107"/>
  <c r="H15" i="107"/>
  <c r="H14" i="107"/>
  <c r="H13" i="107"/>
  <c r="H12" i="107"/>
  <c r="H11" i="107"/>
  <c r="H10" i="107"/>
  <c r="H9" i="107"/>
  <c r="H8" i="107"/>
  <c r="H7" i="107"/>
  <c r="H6" i="107"/>
  <c r="H5" i="107"/>
  <c r="H10" i="244"/>
  <c r="H9" i="244"/>
  <c r="H8" i="244"/>
  <c r="H7" i="244"/>
  <c r="H6" i="244"/>
  <c r="H5" i="244"/>
  <c r="H24" i="2"/>
  <c r="H23" i="2"/>
  <c r="H22" i="2"/>
  <c r="J18" i="106"/>
  <c r="J17" i="106"/>
  <c r="J16" i="106"/>
  <c r="J29" i="298"/>
  <c r="J28" i="298"/>
  <c r="J27" i="298"/>
  <c r="J26" i="298"/>
  <c r="J25" i="298"/>
  <c r="J24" i="298"/>
  <c r="J23" i="298"/>
  <c r="J22" i="298"/>
  <c r="J21" i="298"/>
  <c r="J20" i="298"/>
  <c r="J19" i="298"/>
  <c r="J6" i="265"/>
  <c r="J5" i="265"/>
  <c r="J6" i="266"/>
  <c r="J5" i="266"/>
  <c r="J13" i="267"/>
  <c r="J12" i="267"/>
  <c r="J11" i="267"/>
  <c r="J10" i="267"/>
  <c r="J9" i="267"/>
  <c r="J8" i="267"/>
  <c r="J7" i="267"/>
  <c r="J14" i="264"/>
  <c r="J13" i="264"/>
  <c r="J12" i="264"/>
  <c r="J11" i="264"/>
  <c r="J10" i="264"/>
  <c r="J9" i="264"/>
  <c r="J8" i="226"/>
  <c r="J7" i="226"/>
  <c r="J20" i="214"/>
  <c r="J17" i="214"/>
  <c r="J16" i="214"/>
  <c r="J15" i="214"/>
  <c r="J14" i="214"/>
  <c r="J13" i="214"/>
  <c r="J12" i="214"/>
  <c r="J11" i="214"/>
  <c r="J10" i="214"/>
  <c r="J12" i="225"/>
  <c r="J10" i="225"/>
  <c r="J9" i="225"/>
  <c r="J8" i="225"/>
  <c r="J7" i="225"/>
  <c r="J8" i="224"/>
  <c r="J8" i="223"/>
  <c r="J8" i="222"/>
  <c r="J11" i="221"/>
  <c r="J9" i="221"/>
  <c r="J8" i="221"/>
  <c r="J7" i="221"/>
  <c r="J12" i="220"/>
  <c r="J11" i="220"/>
  <c r="J10" i="220"/>
  <c r="J9" i="220"/>
  <c r="J8" i="220"/>
  <c r="J7" i="220"/>
  <c r="J13" i="219"/>
  <c r="J12" i="219"/>
  <c r="J11" i="219"/>
  <c r="J10" i="219"/>
  <c r="J9" i="219"/>
  <c r="J8" i="219"/>
  <c r="J13" i="218"/>
  <c r="J12" i="218"/>
  <c r="J11" i="218"/>
  <c r="J10" i="218"/>
  <c r="J9" i="218"/>
  <c r="J32" i="213"/>
  <c r="J31" i="213"/>
  <c r="J28" i="213"/>
  <c r="J27" i="213"/>
  <c r="J26" i="213"/>
  <c r="J25" i="213"/>
  <c r="J8" i="297"/>
  <c r="J7" i="297"/>
  <c r="J9" i="250"/>
  <c r="J8" i="250"/>
  <c r="J7" i="250"/>
  <c r="J14" i="249"/>
  <c r="J12" i="249"/>
  <c r="J11" i="249"/>
  <c r="J10" i="249"/>
  <c r="J9" i="249"/>
  <c r="J7" i="249"/>
  <c r="J15" i="212"/>
  <c r="J14" i="212"/>
  <c r="J13" i="212"/>
  <c r="J21" i="211"/>
  <c r="J20" i="211"/>
  <c r="J19" i="211"/>
  <c r="J15" i="175"/>
  <c r="J14" i="175"/>
  <c r="J13" i="175"/>
  <c r="J12" i="175"/>
  <c r="J11" i="175"/>
  <c r="J10" i="175"/>
  <c r="J9" i="175"/>
  <c r="J8" i="175"/>
  <c r="J15" i="174"/>
  <c r="J14" i="174"/>
  <c r="J13" i="174"/>
  <c r="J12" i="174"/>
  <c r="J11" i="174"/>
  <c r="J10" i="174"/>
  <c r="J9" i="174"/>
  <c r="J11" i="173"/>
  <c r="J10" i="173"/>
  <c r="J9" i="173"/>
  <c r="J10" i="172"/>
  <c r="J9" i="172"/>
  <c r="J8" i="172"/>
  <c r="J7" i="172"/>
  <c r="J6" i="172"/>
  <c r="J20" i="171"/>
  <c r="J19" i="171"/>
  <c r="J18" i="171"/>
  <c r="J17" i="171"/>
  <c r="J16" i="171"/>
  <c r="J15" i="171"/>
  <c r="J14" i="171"/>
  <c r="J13" i="171"/>
  <c r="J18" i="124"/>
  <c r="J17" i="124"/>
  <c r="J16" i="124"/>
  <c r="J15" i="124"/>
  <c r="J14" i="124"/>
  <c r="J13" i="124"/>
  <c r="J12" i="124"/>
  <c r="J34" i="123"/>
  <c r="J33" i="123"/>
  <c r="J32" i="123"/>
  <c r="J31" i="123"/>
  <c r="J30" i="123"/>
  <c r="J29" i="123"/>
  <c r="J28" i="123"/>
  <c r="J27" i="123"/>
  <c r="J26" i="123"/>
  <c r="J25" i="123"/>
  <c r="J24" i="123"/>
  <c r="J23" i="123"/>
  <c r="J22" i="123"/>
  <c r="J21" i="123"/>
  <c r="J20" i="123"/>
  <c r="J19" i="123"/>
  <c r="J18" i="123"/>
  <c r="J17" i="123"/>
  <c r="J16" i="143"/>
  <c r="J15" i="143"/>
  <c r="J14" i="143"/>
  <c r="J13" i="143"/>
  <c r="J12" i="143"/>
  <c r="J16" i="142"/>
  <c r="J15" i="142"/>
  <c r="J14" i="142"/>
  <c r="J13" i="142"/>
  <c r="J12" i="142"/>
  <c r="J11" i="142"/>
  <c r="J10" i="139"/>
  <c r="J10" i="138"/>
  <c r="J9" i="138"/>
  <c r="J8" i="138"/>
  <c r="J7" i="138"/>
  <c r="J16" i="137"/>
  <c r="J15" i="137"/>
  <c r="J14" i="137"/>
  <c r="J13" i="137"/>
  <c r="J12" i="137"/>
  <c r="J16" i="144"/>
  <c r="J15" i="144"/>
  <c r="J14" i="144"/>
  <c r="J13" i="144"/>
  <c r="J12" i="144"/>
  <c r="J11" i="144"/>
  <c r="J11" i="135"/>
  <c r="J10" i="135"/>
  <c r="J15" i="104"/>
  <c r="J14" i="104"/>
  <c r="J13" i="104"/>
  <c r="J12" i="104"/>
  <c r="J11" i="104"/>
  <c r="J10" i="105"/>
  <c r="J16" i="103"/>
  <c r="J15" i="103"/>
  <c r="J14" i="103"/>
  <c r="J13" i="103"/>
  <c r="J12" i="103"/>
  <c r="J15" i="102"/>
  <c r="J14" i="102"/>
  <c r="J13" i="102"/>
  <c r="J12" i="102"/>
  <c r="J11" i="102"/>
  <c r="J16" i="101"/>
  <c r="J15" i="101"/>
  <c r="J14" i="101"/>
  <c r="J13" i="101"/>
  <c r="J12" i="101"/>
  <c r="J11" i="101"/>
  <c r="J8" i="263"/>
  <c r="J7" i="134"/>
  <c r="J5" i="99"/>
  <c r="J10" i="98"/>
  <c r="J14" i="97"/>
  <c r="J13" i="97"/>
  <c r="J12" i="97"/>
  <c r="J11" i="97"/>
  <c r="J10" i="97"/>
  <c r="J9" i="96"/>
  <c r="J8" i="96"/>
  <c r="J7" i="96"/>
  <c r="J15" i="95"/>
  <c r="J14" i="95"/>
  <c r="J13" i="95"/>
  <c r="J12" i="95"/>
  <c r="J11" i="95"/>
  <c r="J16" i="94"/>
  <c r="J15" i="94"/>
  <c r="J14" i="94"/>
  <c r="J13" i="94"/>
  <c r="J12" i="94"/>
  <c r="J11" i="94"/>
  <c r="J11" i="93"/>
  <c r="J10" i="93"/>
  <c r="J11" i="141"/>
  <c r="J10" i="141"/>
  <c r="J9" i="141"/>
  <c r="J8" i="141"/>
  <c r="J7" i="141"/>
  <c r="J9" i="140"/>
  <c r="J10" i="92"/>
  <c r="J9" i="92"/>
  <c r="J8" i="92"/>
  <c r="J7" i="92"/>
  <c r="J9" i="91"/>
  <c r="J8" i="91"/>
  <c r="J7" i="91"/>
  <c r="J14" i="84"/>
  <c r="J13" i="84"/>
  <c r="J12" i="84"/>
  <c r="J11" i="84"/>
  <c r="J10" i="84"/>
  <c r="J9" i="84"/>
  <c r="J34" i="83"/>
  <c r="J33" i="83"/>
  <c r="J32" i="83"/>
  <c r="J31" i="83"/>
  <c r="J30" i="83"/>
  <c r="J29" i="83"/>
  <c r="J28" i="83"/>
  <c r="J27" i="83"/>
  <c r="J26" i="83"/>
  <c r="J25" i="83"/>
  <c r="J24" i="83"/>
  <c r="J23" i="83"/>
  <c r="J22" i="83"/>
  <c r="J21" i="83"/>
  <c r="J20" i="83"/>
  <c r="J19" i="83"/>
  <c r="J18" i="83"/>
  <c r="J17" i="83"/>
  <c r="J16" i="83"/>
  <c r="J15" i="83"/>
  <c r="J36" i="236"/>
  <c r="J35" i="236"/>
  <c r="J34" i="236"/>
  <c r="J33" i="236"/>
  <c r="J32" i="236"/>
  <c r="J26" i="236"/>
  <c r="J21" i="232"/>
  <c r="J20" i="232"/>
  <c r="J19" i="232"/>
  <c r="J18" i="232"/>
  <c r="J17" i="232"/>
  <c r="J16" i="232"/>
  <c r="J15" i="232"/>
  <c r="J14" i="232"/>
  <c r="J13" i="232"/>
  <c r="J12" i="232"/>
  <c r="J16" i="233"/>
  <c r="J15" i="233"/>
  <c r="J14" i="233"/>
  <c r="J13" i="233"/>
  <c r="J12" i="233"/>
  <c r="J11" i="233"/>
  <c r="J10" i="233"/>
  <c r="J9" i="233"/>
  <c r="J15" i="234"/>
  <c r="J14" i="234"/>
  <c r="J13" i="234"/>
  <c r="J12" i="234"/>
  <c r="J11" i="234"/>
  <c r="J15" i="235"/>
  <c r="J14" i="235"/>
  <c r="J13" i="235"/>
  <c r="J12" i="235"/>
  <c r="J11" i="235"/>
  <c r="J20" i="164"/>
  <c r="J19" i="164"/>
  <c r="J18" i="164"/>
  <c r="J17" i="164"/>
  <c r="J16" i="164"/>
  <c r="J15" i="164"/>
  <c r="J14" i="164"/>
  <c r="J13" i="164"/>
  <c r="J12" i="164"/>
  <c r="J11" i="164"/>
  <c r="J10" i="164"/>
  <c r="J20" i="131"/>
  <c r="J19" i="131"/>
  <c r="J18" i="131"/>
  <c r="J17" i="131"/>
  <c r="J16" i="131"/>
  <c r="J15" i="131"/>
  <c r="J14" i="131"/>
  <c r="J13" i="131"/>
  <c r="J12" i="131"/>
  <c r="J11" i="131"/>
  <c r="J10" i="131"/>
  <c r="J30" i="163"/>
  <c r="J29" i="163"/>
  <c r="J28" i="163"/>
  <c r="J27" i="163"/>
  <c r="J26" i="163"/>
  <c r="J25" i="163"/>
  <c r="J24" i="163"/>
  <c r="J23" i="163"/>
  <c r="J22" i="162"/>
  <c r="J21" i="162"/>
  <c r="J20" i="162"/>
  <c r="J19" i="162"/>
  <c r="J18" i="162"/>
  <c r="J17" i="162"/>
  <c r="J16" i="162"/>
  <c r="J15" i="162"/>
  <c r="J14" i="162"/>
  <c r="J13" i="162"/>
  <c r="J12" i="162"/>
  <c r="J11" i="162"/>
  <c r="J21" i="157"/>
  <c r="J20" i="157"/>
  <c r="J19" i="157"/>
  <c r="J18" i="157"/>
  <c r="J17" i="157"/>
  <c r="J16" i="157"/>
  <c r="J15" i="157"/>
  <c r="J14" i="157"/>
  <c r="J13" i="157"/>
  <c r="J12" i="157"/>
  <c r="J11" i="157"/>
  <c r="J10" i="157"/>
  <c r="J18" i="156"/>
  <c r="J17" i="156"/>
  <c r="J16" i="156"/>
  <c r="J15" i="156"/>
  <c r="J14" i="156"/>
  <c r="J13" i="156"/>
  <c r="J12" i="156"/>
  <c r="J11" i="156"/>
  <c r="J10" i="156"/>
  <c r="J11" i="155"/>
  <c r="J10" i="155"/>
  <c r="J9" i="155"/>
  <c r="J8" i="155"/>
  <c r="J14" i="154"/>
  <c r="J13" i="154"/>
  <c r="J12" i="154"/>
  <c r="J11" i="154"/>
  <c r="J10" i="154"/>
  <c r="J23" i="150"/>
  <c r="J22" i="150"/>
  <c r="J21" i="150"/>
  <c r="J20" i="150"/>
  <c r="J19" i="150"/>
  <c r="J18" i="150"/>
  <c r="J17" i="150"/>
  <c r="J16" i="150"/>
  <c r="J15" i="150"/>
  <c r="J14" i="150"/>
  <c r="J11" i="296"/>
  <c r="J10" i="296"/>
  <c r="J9" i="296"/>
  <c r="J8" i="296"/>
  <c r="J7" i="296"/>
  <c r="J30" i="146"/>
  <c r="J29" i="146"/>
  <c r="J28" i="146"/>
  <c r="J27" i="146"/>
  <c r="J26" i="146"/>
  <c r="J25" i="146"/>
  <c r="J24" i="146"/>
  <c r="J23" i="146"/>
  <c r="J22" i="145"/>
  <c r="J21" i="145"/>
  <c r="J20" i="145"/>
  <c r="J19" i="145"/>
  <c r="J18" i="145"/>
  <c r="J17" i="145"/>
  <c r="J16" i="145"/>
  <c r="J15" i="145"/>
  <c r="J14" i="145"/>
  <c r="J13" i="145"/>
  <c r="J12" i="145"/>
  <c r="J11" i="145"/>
  <c r="J11" i="294"/>
  <c r="J10" i="294"/>
  <c r="J9" i="294"/>
  <c r="J8" i="294"/>
  <c r="J7" i="294"/>
  <c r="J21" i="149"/>
  <c r="J20" i="149"/>
  <c r="J19" i="149"/>
  <c r="J18" i="149"/>
  <c r="J17" i="149"/>
  <c r="J16" i="149"/>
  <c r="J15" i="149"/>
  <c r="J14" i="149"/>
  <c r="J13" i="149"/>
  <c r="J12" i="149"/>
  <c r="J11" i="149"/>
  <c r="J10" i="149"/>
  <c r="J18" i="148"/>
  <c r="J17" i="148"/>
  <c r="J16" i="148"/>
  <c r="J15" i="148"/>
  <c r="J14" i="148"/>
  <c r="J13" i="148"/>
  <c r="J12" i="148"/>
  <c r="J11" i="148"/>
  <c r="J10" i="148"/>
  <c r="J11" i="147"/>
  <c r="J10" i="147"/>
  <c r="J9" i="147"/>
  <c r="J8" i="147"/>
  <c r="J14" i="133"/>
  <c r="J13" i="133"/>
  <c r="J12" i="133"/>
  <c r="J11" i="133"/>
  <c r="J10" i="133"/>
  <c r="J23" i="159"/>
  <c r="J22" i="159"/>
  <c r="J21" i="159"/>
  <c r="J20" i="159"/>
  <c r="J19" i="159"/>
  <c r="J18" i="159"/>
  <c r="J17" i="159"/>
  <c r="J16" i="159"/>
  <c r="J15" i="159"/>
  <c r="J14" i="159"/>
  <c r="J10" i="197"/>
  <c r="J9" i="197"/>
  <c r="J8" i="197"/>
  <c r="J7" i="197"/>
  <c r="J10" i="196"/>
  <c r="J9" i="196"/>
  <c r="J8" i="196"/>
  <c r="J7" i="196"/>
  <c r="J74" i="128"/>
  <c r="J73" i="128"/>
  <c r="J72" i="128"/>
  <c r="J71" i="128"/>
  <c r="J70" i="128"/>
  <c r="J69" i="128"/>
  <c r="J68" i="128"/>
  <c r="J67" i="128"/>
  <c r="J66" i="128"/>
  <c r="J65" i="128"/>
  <c r="J64" i="128"/>
  <c r="J63" i="128"/>
  <c r="J62" i="128"/>
  <c r="J61" i="128"/>
  <c r="J60" i="128"/>
  <c r="J59" i="128"/>
  <c r="J58" i="128"/>
  <c r="J57" i="128"/>
  <c r="J56" i="128"/>
  <c r="J55" i="128"/>
  <c r="J54" i="128"/>
  <c r="J53" i="128"/>
  <c r="J52" i="128"/>
  <c r="J51" i="128"/>
  <c r="J50" i="128"/>
  <c r="J49" i="128"/>
  <c r="J48" i="128"/>
  <c r="J47" i="128"/>
  <c r="J46" i="128"/>
  <c r="J45" i="128"/>
  <c r="J44" i="128"/>
  <c r="J43" i="128"/>
  <c r="J42" i="128"/>
  <c r="J41" i="128"/>
  <c r="J40" i="128"/>
  <c r="J39" i="128"/>
  <c r="J38" i="128"/>
  <c r="J37" i="128"/>
  <c r="J36" i="128"/>
  <c r="J35" i="128"/>
  <c r="J34" i="128"/>
  <c r="J33" i="128"/>
  <c r="J32" i="128"/>
  <c r="J31" i="128"/>
  <c r="J21" i="127"/>
  <c r="J24" i="195"/>
  <c r="J23" i="195"/>
  <c r="J22" i="195"/>
  <c r="J21" i="195"/>
  <c r="J20" i="195"/>
  <c r="J19" i="195"/>
  <c r="J18" i="195"/>
  <c r="J17" i="195"/>
  <c r="J16" i="195"/>
  <c r="J15" i="195"/>
  <c r="J14" i="195"/>
  <c r="J13" i="195"/>
  <c r="J12" i="195"/>
  <c r="J11" i="195"/>
  <c r="J13" i="230"/>
  <c r="J12" i="230"/>
  <c r="J11" i="230"/>
  <c r="J10" i="230"/>
  <c r="J20" i="229"/>
  <c r="J19" i="229"/>
  <c r="J18" i="229"/>
  <c r="J17" i="229"/>
  <c r="J16" i="229"/>
  <c r="J15" i="229"/>
  <c r="J14" i="229"/>
  <c r="J13" i="229"/>
  <c r="J36" i="201"/>
  <c r="J35" i="201"/>
  <c r="J34" i="201"/>
  <c r="J33" i="201"/>
  <c r="J32" i="201"/>
  <c r="J31" i="201"/>
  <c r="J30" i="201"/>
  <c r="J29" i="201"/>
  <c r="J28" i="201"/>
  <c r="J27" i="201"/>
  <c r="J26" i="201"/>
  <c r="J25" i="201"/>
  <c r="J24" i="201"/>
  <c r="J23" i="201"/>
  <c r="J22" i="201"/>
  <c r="J21" i="201"/>
  <c r="J20" i="201"/>
  <c r="J19" i="201"/>
  <c r="J17" i="228"/>
  <c r="J16" i="228"/>
  <c r="J15" i="228"/>
  <c r="J14" i="228"/>
  <c r="J13" i="228"/>
  <c r="J12" i="228"/>
  <c r="J11" i="228"/>
  <c r="J10" i="228"/>
  <c r="J10" i="204"/>
  <c r="J9" i="204"/>
  <c r="J8" i="204"/>
  <c r="J17" i="205"/>
  <c r="J16" i="205"/>
  <c r="J15" i="205"/>
  <c r="J14" i="205"/>
  <c r="J13" i="205"/>
  <c r="J12" i="205"/>
  <c r="J11" i="205"/>
  <c r="J13" i="203"/>
  <c r="J12" i="203"/>
  <c r="J11" i="203"/>
  <c r="J10" i="203"/>
  <c r="J9" i="203"/>
  <c r="J21" i="202"/>
  <c r="J20" i="202"/>
  <c r="J19" i="202"/>
  <c r="J18" i="202"/>
  <c r="J17" i="202"/>
  <c r="J16" i="202"/>
  <c r="J15" i="202"/>
  <c r="J14" i="202"/>
  <c r="J36" i="200"/>
  <c r="J35" i="200"/>
  <c r="J34" i="200"/>
  <c r="J33" i="200"/>
  <c r="J32" i="200"/>
  <c r="J31" i="200"/>
  <c r="J30" i="200"/>
  <c r="J29" i="200"/>
  <c r="J28" i="200"/>
  <c r="J27" i="200"/>
  <c r="J26" i="200"/>
  <c r="J25" i="200"/>
  <c r="J24" i="200"/>
  <c r="J23" i="200"/>
  <c r="J22" i="200"/>
  <c r="J21" i="200"/>
  <c r="J20" i="200"/>
  <c r="J19" i="200"/>
  <c r="J22" i="199"/>
  <c r="J21" i="199"/>
  <c r="J20" i="199"/>
  <c r="J19" i="199"/>
  <c r="J18" i="199"/>
  <c r="J17" i="199"/>
  <c r="J13" i="199"/>
  <c r="J22" i="198"/>
  <c r="J21" i="198"/>
  <c r="J20" i="198"/>
  <c r="J19" i="198"/>
  <c r="J18" i="198"/>
  <c r="J17" i="198"/>
  <c r="J13" i="198"/>
  <c r="J18" i="194"/>
  <c r="J17" i="194"/>
  <c r="J16" i="194"/>
  <c r="J15" i="194"/>
  <c r="J14" i="194"/>
  <c r="J13" i="194"/>
  <c r="J12" i="194"/>
  <c r="J11" i="194"/>
  <c r="J71" i="193"/>
  <c r="J70" i="193"/>
  <c r="J69" i="193"/>
  <c r="J68" i="193"/>
  <c r="J67" i="193"/>
  <c r="J66" i="193"/>
  <c r="J65" i="193"/>
  <c r="J64" i="193"/>
  <c r="J63" i="193"/>
  <c r="J62" i="193"/>
  <c r="J61" i="193"/>
  <c r="J60" i="193"/>
  <c r="J59" i="193"/>
  <c r="J58" i="193"/>
  <c r="J57" i="193"/>
  <c r="J56" i="193"/>
  <c r="J55" i="193"/>
  <c r="J54" i="193"/>
  <c r="J53" i="193"/>
  <c r="J52" i="193"/>
  <c r="J51" i="193"/>
  <c r="J50" i="193"/>
  <c r="J49" i="193"/>
  <c r="J48" i="193"/>
  <c r="J47" i="193"/>
  <c r="J46" i="193"/>
  <c r="J45" i="193"/>
  <c r="J44" i="193"/>
  <c r="J43" i="193"/>
  <c r="J42" i="193"/>
  <c r="J41" i="193"/>
  <c r="J40" i="193"/>
  <c r="J39" i="193"/>
  <c r="J38" i="193"/>
  <c r="J37" i="193"/>
  <c r="J36" i="193"/>
  <c r="J35" i="193"/>
  <c r="J34" i="193"/>
  <c r="J33" i="193"/>
  <c r="J32" i="193"/>
  <c r="J31" i="193"/>
  <c r="J30" i="193"/>
  <c r="J29" i="193"/>
  <c r="J28" i="193"/>
  <c r="J27" i="193"/>
  <c r="J13" i="192"/>
  <c r="J12" i="192"/>
  <c r="J11" i="192"/>
  <c r="J10" i="192"/>
  <c r="J9" i="192"/>
  <c r="J8" i="192"/>
  <c r="J7" i="192"/>
  <c r="J6" i="192"/>
  <c r="J5" i="192"/>
  <c r="J8" i="227"/>
  <c r="J7" i="227"/>
  <c r="J16" i="231"/>
  <c r="J15" i="231"/>
  <c r="J14" i="231"/>
  <c r="J13" i="231"/>
  <c r="J11" i="231"/>
  <c r="J10" i="231"/>
  <c r="J9" i="231"/>
  <c r="J18" i="191"/>
  <c r="J14" i="181"/>
  <c r="J13" i="181"/>
  <c r="J12" i="181"/>
  <c r="J11" i="181"/>
  <c r="J10" i="181"/>
  <c r="J9" i="181"/>
  <c r="J8" i="181"/>
  <c r="J7" i="181"/>
  <c r="J24" i="190"/>
  <c r="J23" i="190"/>
  <c r="J22" i="190"/>
  <c r="J21" i="190"/>
  <c r="J20" i="190"/>
  <c r="J19" i="190"/>
  <c r="J18" i="190"/>
  <c r="J17" i="190"/>
  <c r="J16" i="190"/>
  <c r="J15" i="190"/>
  <c r="J14" i="190"/>
  <c r="J13" i="190"/>
  <c r="J12" i="190"/>
  <c r="J11" i="190"/>
  <c r="J19" i="180"/>
  <c r="J18" i="180"/>
  <c r="J17" i="180"/>
  <c r="J16" i="180"/>
  <c r="J15" i="180"/>
  <c r="J14" i="180"/>
  <c r="J13" i="180"/>
  <c r="J12" i="180"/>
  <c r="J11" i="180"/>
  <c r="J20" i="189"/>
  <c r="J19" i="189"/>
  <c r="J18" i="189"/>
  <c r="J17" i="189"/>
  <c r="J16" i="189"/>
  <c r="J15" i="189"/>
  <c r="J14" i="189"/>
  <c r="J13" i="189"/>
  <c r="J12" i="189"/>
  <c r="J11" i="189"/>
  <c r="J15" i="188"/>
  <c r="J14" i="188"/>
  <c r="J13" i="188"/>
  <c r="J12" i="188"/>
  <c r="J11" i="188"/>
  <c r="J10" i="188"/>
  <c r="J9" i="188"/>
  <c r="J20" i="179"/>
  <c r="J19" i="179"/>
  <c r="J18" i="179"/>
  <c r="J17" i="179"/>
  <c r="J16" i="179"/>
  <c r="J15" i="179"/>
  <c r="J14" i="179"/>
  <c r="J13" i="179"/>
  <c r="J35" i="165"/>
  <c r="J34" i="165"/>
  <c r="J33" i="165"/>
  <c r="J32" i="165"/>
  <c r="J31" i="165"/>
  <c r="J30" i="165"/>
  <c r="J29" i="165"/>
  <c r="J28" i="165"/>
  <c r="J27" i="165"/>
  <c r="J26" i="165"/>
  <c r="J25" i="165"/>
  <c r="J24" i="165"/>
  <c r="J23" i="165"/>
  <c r="J22" i="165"/>
  <c r="J21" i="165"/>
  <c r="J20" i="165"/>
  <c r="J19" i="165"/>
  <c r="J18" i="165"/>
  <c r="J13" i="288"/>
  <c r="J12" i="288"/>
  <c r="J11" i="288"/>
  <c r="J13" i="287"/>
  <c r="J12" i="287"/>
  <c r="J11" i="287"/>
  <c r="J15" i="286"/>
  <c r="J14" i="286"/>
  <c r="J13" i="286"/>
  <c r="J15" i="285"/>
  <c r="J14" i="285"/>
  <c r="J13" i="285"/>
  <c r="J13" i="284"/>
  <c r="J12" i="284"/>
  <c r="J11" i="284"/>
  <c r="J13" i="283"/>
  <c r="J12" i="283"/>
  <c r="J11" i="283"/>
  <c r="J11" i="187"/>
  <c r="J10" i="187"/>
  <c r="J22" i="178"/>
  <c r="J21" i="178"/>
  <c r="J20" i="178"/>
  <c r="J18" i="270"/>
  <c r="J17" i="270"/>
  <c r="J16" i="270"/>
  <c r="J15" i="270"/>
  <c r="J14" i="270"/>
  <c r="J13" i="270"/>
  <c r="J12" i="270"/>
  <c r="J11" i="270"/>
  <c r="J10" i="270"/>
  <c r="J17" i="269"/>
  <c r="J16" i="269"/>
  <c r="J15" i="269"/>
  <c r="J14" i="269"/>
  <c r="J13" i="269"/>
  <c r="J12" i="269"/>
  <c r="J11" i="269"/>
  <c r="J10" i="269"/>
  <c r="J9" i="269"/>
  <c r="J9" i="268"/>
  <c r="J8" i="268"/>
  <c r="J7" i="268"/>
  <c r="J8" i="186"/>
  <c r="J7" i="186"/>
  <c r="J8" i="185"/>
  <c r="J7" i="185"/>
  <c r="J8" i="184"/>
  <c r="J7" i="184"/>
  <c r="J8" i="183"/>
  <c r="J7" i="183"/>
  <c r="J9" i="182"/>
  <c r="J8" i="182"/>
  <c r="J7" i="182"/>
  <c r="J33" i="177"/>
  <c r="J32" i="177"/>
  <c r="J31" i="177"/>
  <c r="J30" i="177"/>
  <c r="J17" i="209"/>
  <c r="J16" i="209"/>
  <c r="J15" i="209"/>
  <c r="J14" i="209"/>
  <c r="J13" i="209"/>
  <c r="J12" i="209"/>
  <c r="J11" i="209"/>
  <c r="J10" i="209"/>
  <c r="J9" i="209"/>
  <c r="J15" i="282"/>
  <c r="J14" i="282"/>
  <c r="J13" i="282"/>
  <c r="J15" i="281"/>
  <c r="J14" i="281"/>
  <c r="J13" i="281"/>
  <c r="J20" i="280"/>
  <c r="J19" i="280"/>
  <c r="J18" i="280"/>
  <c r="J17" i="280"/>
  <c r="J16" i="280"/>
  <c r="J15" i="280"/>
  <c r="J14" i="280"/>
  <c r="J20" i="279"/>
  <c r="J19" i="279"/>
  <c r="J18" i="279"/>
  <c r="J17" i="279"/>
  <c r="J16" i="279"/>
  <c r="J15" i="279"/>
  <c r="J14" i="279"/>
  <c r="J7" i="256"/>
  <c r="J6" i="256"/>
  <c r="J5" i="256"/>
  <c r="J5" i="254"/>
  <c r="J22" i="167"/>
  <c r="J21" i="167"/>
  <c r="J20" i="167"/>
  <c r="J8" i="169"/>
  <c r="J7" i="169"/>
  <c r="J8" i="168"/>
  <c r="J7" i="168"/>
  <c r="J21" i="166"/>
  <c r="J20" i="166"/>
  <c r="J19" i="166"/>
  <c r="J11" i="118"/>
  <c r="J10" i="118"/>
  <c r="J9" i="118"/>
  <c r="J9" i="117"/>
  <c r="J8" i="117"/>
  <c r="J7" i="116"/>
  <c r="J47" i="114"/>
  <c r="J44" i="114"/>
  <c r="J43" i="114"/>
  <c r="J42" i="114"/>
  <c r="J41" i="114"/>
  <c r="J40" i="114"/>
  <c r="J39" i="114"/>
  <c r="J38" i="114"/>
  <c r="J37" i="114"/>
  <c r="J36" i="114"/>
  <c r="J35" i="114"/>
  <c r="J34" i="114"/>
  <c r="J33" i="114"/>
  <c r="J32" i="114"/>
  <c r="J31" i="114"/>
  <c r="J30" i="114"/>
  <c r="J29" i="114"/>
  <c r="J28" i="114"/>
  <c r="J27" i="114"/>
  <c r="J13" i="278"/>
  <c r="J12" i="278"/>
  <c r="J11" i="278"/>
  <c r="J13" i="277"/>
  <c r="J12" i="277"/>
  <c r="J11" i="277"/>
  <c r="J15" i="276"/>
  <c r="J14" i="276"/>
  <c r="J13" i="276"/>
  <c r="J7" i="289"/>
  <c r="J10" i="262"/>
  <c r="J9" i="262"/>
  <c r="J15" i="275"/>
  <c r="J14" i="275"/>
  <c r="J13" i="275"/>
  <c r="J14" i="113"/>
  <c r="J13" i="113"/>
  <c r="J10" i="252"/>
  <c r="J9" i="252"/>
  <c r="J8" i="252"/>
  <c r="J7" i="252"/>
  <c r="J10" i="251"/>
  <c r="J9" i="251"/>
  <c r="J8" i="251"/>
  <c r="J7" i="251"/>
  <c r="J8" i="207"/>
  <c r="J7" i="207"/>
  <c r="J8" i="206"/>
  <c r="J7" i="206"/>
  <c r="J7" i="115"/>
  <c r="J21" i="112"/>
  <c r="J20" i="112"/>
  <c r="J19" i="112"/>
  <c r="J6" i="73"/>
  <c r="J5" i="73"/>
  <c r="J12" i="52"/>
  <c r="J11" i="52"/>
  <c r="J10" i="52"/>
  <c r="J9" i="52"/>
  <c r="J8" i="52"/>
  <c r="J7" i="52"/>
  <c r="J14" i="51"/>
  <c r="J13" i="51"/>
  <c r="J12" i="51"/>
  <c r="J11" i="51"/>
  <c r="J6" i="260"/>
  <c r="J5" i="260"/>
  <c r="J10" i="80"/>
  <c r="J9" i="80"/>
  <c r="J8" i="80"/>
  <c r="J7" i="80"/>
  <c r="J14" i="50"/>
  <c r="J13" i="50"/>
  <c r="J12" i="50"/>
  <c r="J11" i="50"/>
  <c r="J8" i="119"/>
  <c r="J7" i="119"/>
  <c r="J6" i="72"/>
  <c r="J5" i="72"/>
  <c r="J8" i="71"/>
  <c r="J7" i="71"/>
  <c r="J11" i="68"/>
  <c r="J10" i="68"/>
  <c r="J9" i="68"/>
  <c r="J8" i="68"/>
  <c r="J10" i="67"/>
  <c r="J9" i="67"/>
  <c r="J8" i="67"/>
  <c r="J7" i="67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9" i="66"/>
  <c r="J8" i="66"/>
  <c r="J11" i="65"/>
  <c r="J11" i="64"/>
  <c r="J22" i="48"/>
  <c r="J21" i="48"/>
  <c r="J20" i="48"/>
  <c r="J19" i="48"/>
  <c r="J18" i="48"/>
  <c r="J17" i="48"/>
  <c r="J16" i="48"/>
  <c r="J15" i="48"/>
  <c r="J9" i="293"/>
  <c r="J8" i="293"/>
  <c r="J7" i="293"/>
  <c r="J9" i="81"/>
  <c r="J8" i="81"/>
  <c r="J7" i="81"/>
  <c r="J6" i="76"/>
  <c r="J5" i="76"/>
  <c r="J10" i="63"/>
  <c r="J9" i="63"/>
  <c r="J8" i="63"/>
  <c r="J7" i="63"/>
  <c r="J6" i="62"/>
  <c r="J5" i="62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2" i="60"/>
  <c r="J11" i="60"/>
  <c r="J12" i="59"/>
  <c r="J11" i="59"/>
  <c r="J10" i="59"/>
  <c r="J9" i="59"/>
  <c r="J10" i="58"/>
  <c r="J9" i="58"/>
  <c r="J8" i="58"/>
  <c r="J9" i="57"/>
  <c r="J8" i="57"/>
  <c r="J7" i="57"/>
  <c r="J7" i="56"/>
  <c r="J12" i="55"/>
  <c r="J11" i="55"/>
  <c r="J9" i="54"/>
  <c r="J8" i="54"/>
  <c r="J7" i="54"/>
  <c r="J27" i="47"/>
  <c r="J26" i="47"/>
  <c r="J25" i="47"/>
  <c r="J24" i="47"/>
  <c r="J9" i="292"/>
  <c r="J16" i="243"/>
  <c r="J15" i="243"/>
  <c r="J14" i="243"/>
  <c r="J13" i="243"/>
  <c r="J12" i="243"/>
  <c r="J11" i="243"/>
  <c r="J10" i="243"/>
  <c r="J8" i="243"/>
  <c r="J7" i="243"/>
  <c r="J11" i="125"/>
  <c r="J10" i="125"/>
  <c r="J9" i="125"/>
  <c r="J8" i="125"/>
  <c r="J7" i="125"/>
  <c r="J6" i="125"/>
  <c r="J5" i="125"/>
  <c r="J11" i="126"/>
  <c r="J10" i="126"/>
  <c r="J9" i="126"/>
  <c r="J8" i="126"/>
  <c r="J7" i="126"/>
  <c r="J6" i="126"/>
  <c r="J5" i="126"/>
  <c r="J11" i="239"/>
  <c r="J10" i="239"/>
  <c r="J9" i="239"/>
  <c r="J11" i="238"/>
  <c r="J10" i="238"/>
  <c r="J9" i="238"/>
  <c r="J5" i="237"/>
  <c r="J15" i="161"/>
  <c r="J14" i="161"/>
  <c r="J13" i="161"/>
  <c r="J12" i="161"/>
  <c r="J11" i="161"/>
  <c r="J10" i="161"/>
  <c r="J9" i="161"/>
  <c r="J11" i="241"/>
  <c r="J10" i="241"/>
  <c r="J9" i="241"/>
  <c r="J5" i="242"/>
  <c r="J18" i="240"/>
  <c r="J17" i="240"/>
  <c r="J16" i="240"/>
  <c r="J15" i="240"/>
  <c r="J14" i="240"/>
  <c r="J13" i="240"/>
  <c r="J12" i="240"/>
  <c r="J11" i="240"/>
  <c r="J10" i="240"/>
  <c r="J9" i="240"/>
  <c r="J5" i="160"/>
  <c r="J18" i="108"/>
  <c r="J17" i="108"/>
  <c r="J16" i="108"/>
  <c r="J15" i="108"/>
  <c r="J14" i="108"/>
  <c r="J13" i="108"/>
  <c r="J12" i="108"/>
  <c r="J11" i="108"/>
  <c r="J10" i="108"/>
  <c r="J9" i="108"/>
  <c r="J8" i="108"/>
  <c r="J7" i="108"/>
  <c r="J19" i="107"/>
  <c r="J18" i="107"/>
  <c r="J17" i="107"/>
  <c r="J16" i="107"/>
  <c r="J15" i="107"/>
  <c r="J14" i="107"/>
  <c r="J13" i="107"/>
  <c r="J12" i="107"/>
  <c r="J11" i="107"/>
  <c r="J10" i="107"/>
  <c r="J9" i="107"/>
  <c r="J8" i="107"/>
  <c r="J7" i="107"/>
  <c r="J6" i="107"/>
  <c r="J5" i="107"/>
  <c r="J10" i="244"/>
  <c r="J9" i="244"/>
  <c r="J8" i="244"/>
  <c r="J7" i="244"/>
  <c r="J6" i="244"/>
  <c r="J5" i="244"/>
  <c r="J24" i="2"/>
  <c r="J23" i="2"/>
  <c r="J22" i="2"/>
  <c r="K25" i="298"/>
  <c r="K24" i="298"/>
  <c r="K23" i="298"/>
  <c r="K9" i="298"/>
  <c r="K8" i="298"/>
  <c r="K20" i="298"/>
  <c r="K19" i="298"/>
  <c r="K18" i="298"/>
  <c r="K13" i="298"/>
  <c r="K12" i="298"/>
  <c r="K11" i="298"/>
  <c r="K10" i="298"/>
  <c r="K21" i="298"/>
  <c r="K22" i="298"/>
  <c r="K37" i="298"/>
  <c r="K36" i="298"/>
  <c r="K35" i="298"/>
  <c r="K34" i="298"/>
  <c r="K33" i="298"/>
  <c r="K32" i="298"/>
  <c r="K27" i="298"/>
  <c r="K26" i="298"/>
  <c r="K41" i="298"/>
  <c r="K40" i="298"/>
  <c r="K39" i="298"/>
  <c r="K38" i="298"/>
  <c r="K29" i="298"/>
  <c r="K28" i="298"/>
  <c r="K43" i="298"/>
  <c r="K42" i="298"/>
  <c r="K52" i="298"/>
  <c r="K44" i="298"/>
  <c r="L25" i="298"/>
  <c r="L24" i="298"/>
  <c r="L23" i="298"/>
  <c r="L9" i="298"/>
  <c r="L8" i="298"/>
  <c r="L20" i="298"/>
  <c r="L19" i="298"/>
  <c r="L18" i="298"/>
  <c r="L13" i="298"/>
  <c r="L12" i="298"/>
  <c r="L11" i="298"/>
  <c r="L10" i="298"/>
  <c r="L21" i="298"/>
  <c r="L22" i="298"/>
  <c r="L37" i="298"/>
  <c r="L36" i="298"/>
  <c r="L35" i="298"/>
  <c r="L34" i="298"/>
  <c r="L33" i="298"/>
  <c r="L32" i="298"/>
  <c r="L27" i="298"/>
  <c r="L26" i="298"/>
  <c r="L41" i="298"/>
  <c r="L40" i="298"/>
  <c r="L39" i="298"/>
  <c r="L38" i="298"/>
  <c r="L29" i="298"/>
  <c r="L28" i="298"/>
  <c r="L43" i="298"/>
  <c r="L42" i="298"/>
  <c r="L52" i="298"/>
  <c r="L44" i="298"/>
  <c r="M25" i="298"/>
  <c r="M24" i="298"/>
  <c r="M23" i="298"/>
  <c r="M9" i="298"/>
  <c r="M8" i="298"/>
  <c r="M20" i="298"/>
  <c r="M19" i="298"/>
  <c r="M18" i="298"/>
  <c r="M13" i="298"/>
  <c r="M12" i="298"/>
  <c r="M11" i="298"/>
  <c r="M10" i="298"/>
  <c r="M21" i="298"/>
  <c r="M22" i="298"/>
  <c r="M37" i="298"/>
  <c r="M36" i="298"/>
  <c r="M35" i="298"/>
  <c r="M34" i="298"/>
  <c r="M33" i="298"/>
  <c r="M32" i="298"/>
  <c r="M27" i="298"/>
  <c r="M26" i="298"/>
  <c r="M41" i="298"/>
  <c r="M40" i="298"/>
  <c r="M39" i="298"/>
  <c r="M38" i="298"/>
  <c r="M29" i="298"/>
  <c r="M28" i="298"/>
  <c r="M43" i="298"/>
  <c r="M42" i="298"/>
  <c r="M52" i="298"/>
  <c r="M44" i="298"/>
  <c r="N25" i="298"/>
  <c r="N24" i="298"/>
  <c r="N23" i="298"/>
  <c r="N9" i="298"/>
  <c r="N8" i="298"/>
  <c r="N20" i="298"/>
  <c r="N19" i="298"/>
  <c r="N18" i="298"/>
  <c r="N13" i="298"/>
  <c r="N12" i="298"/>
  <c r="N11" i="298"/>
  <c r="N10" i="298"/>
  <c r="N21" i="298"/>
  <c r="N22" i="298"/>
  <c r="N37" i="298"/>
  <c r="N36" i="298"/>
  <c r="N35" i="298"/>
  <c r="N34" i="298"/>
  <c r="N33" i="298"/>
  <c r="N32" i="298"/>
  <c r="N27" i="298"/>
  <c r="N26" i="298"/>
  <c r="N41" i="298"/>
  <c r="N40" i="298"/>
  <c r="N39" i="298"/>
  <c r="N38" i="298"/>
  <c r="N29" i="298"/>
  <c r="N28" i="298"/>
  <c r="N43" i="298"/>
  <c r="N42" i="298"/>
  <c r="N52" i="298"/>
  <c r="N44" i="298"/>
  <c r="P20" i="48"/>
  <c r="Q20" i="48" s="1"/>
  <c r="N20" i="48"/>
  <c r="M20" i="48"/>
  <c r="L20" i="48"/>
  <c r="K20" i="48"/>
  <c r="D20" i="48"/>
  <c r="C389" i="29"/>
  <c r="E389" i="29"/>
  <c r="C2" i="299"/>
  <c r="E190" i="31"/>
  <c r="J190" i="31"/>
  <c r="P10" i="299"/>
  <c r="Q10" i="299" s="1"/>
  <c r="N10" i="299"/>
  <c r="M10" i="299"/>
  <c r="L10" i="299"/>
  <c r="K10" i="299"/>
  <c r="J10" i="299"/>
  <c r="H10" i="299"/>
  <c r="G10" i="299"/>
  <c r="F10" i="299"/>
  <c r="P9" i="299"/>
  <c r="Q9" i="299" s="1"/>
  <c r="N9" i="299"/>
  <c r="M9" i="299"/>
  <c r="L9" i="299"/>
  <c r="K9" i="299"/>
  <c r="J9" i="299"/>
  <c r="H9" i="299"/>
  <c r="G9" i="299"/>
  <c r="F9" i="299"/>
  <c r="I3" i="299"/>
  <c r="G3" i="299"/>
  <c r="E3" i="299"/>
  <c r="I2" i="299"/>
  <c r="G2" i="299"/>
  <c r="P15" i="234"/>
  <c r="Q15" i="234" s="1"/>
  <c r="N15" i="234"/>
  <c r="M15" i="234"/>
  <c r="L15" i="234"/>
  <c r="K15" i="234"/>
  <c r="D15" i="234"/>
  <c r="P14" i="234"/>
  <c r="Q14" i="234" s="1"/>
  <c r="N14" i="234"/>
  <c r="M14" i="234"/>
  <c r="L14" i="234"/>
  <c r="K14" i="234"/>
  <c r="D14" i="234"/>
  <c r="P13" i="234"/>
  <c r="Q13" i="234" s="1"/>
  <c r="N13" i="234"/>
  <c r="M13" i="234"/>
  <c r="L13" i="234"/>
  <c r="K13" i="234"/>
  <c r="D13" i="234"/>
  <c r="P15" i="235"/>
  <c r="Q15" i="235" s="1"/>
  <c r="N15" i="235"/>
  <c r="M15" i="235"/>
  <c r="L15" i="235"/>
  <c r="K15" i="235"/>
  <c r="D15" i="235"/>
  <c r="P14" i="235"/>
  <c r="Q14" i="235" s="1"/>
  <c r="N14" i="235"/>
  <c r="M14" i="235"/>
  <c r="L14" i="235"/>
  <c r="K14" i="235"/>
  <c r="D14" i="235"/>
  <c r="P13" i="235"/>
  <c r="Q13" i="235" s="1"/>
  <c r="N13" i="235"/>
  <c r="M13" i="235"/>
  <c r="L13" i="235"/>
  <c r="K13" i="235"/>
  <c r="D13" i="235"/>
  <c r="P20" i="214"/>
  <c r="Q20" i="214" s="1"/>
  <c r="N20" i="214"/>
  <c r="M20" i="214"/>
  <c r="L20" i="214"/>
  <c r="K20" i="214"/>
  <c r="D20" i="214"/>
  <c r="P17" i="214"/>
  <c r="Q17" i="214" s="1"/>
  <c r="N17" i="214"/>
  <c r="M17" i="214"/>
  <c r="L17" i="214"/>
  <c r="K17" i="214"/>
  <c r="D17" i="214"/>
  <c r="P12" i="220"/>
  <c r="Q12" i="220" s="1"/>
  <c r="N12" i="220"/>
  <c r="M12" i="220"/>
  <c r="L12" i="220"/>
  <c r="K12" i="220"/>
  <c r="D12" i="220"/>
  <c r="P11" i="220"/>
  <c r="Q11" i="220" s="1"/>
  <c r="N11" i="220"/>
  <c r="M11" i="220"/>
  <c r="L11" i="220"/>
  <c r="K11" i="220"/>
  <c r="D11" i="220"/>
  <c r="P13" i="219"/>
  <c r="Q13" i="219" s="1"/>
  <c r="N13" i="219"/>
  <c r="M13" i="219"/>
  <c r="L13" i="219"/>
  <c r="K13" i="219"/>
  <c r="D13" i="219"/>
  <c r="P12" i="219"/>
  <c r="Q12" i="219" s="1"/>
  <c r="N12" i="219"/>
  <c r="M12" i="219"/>
  <c r="L12" i="219"/>
  <c r="K12" i="219"/>
  <c r="D12" i="219"/>
  <c r="P16" i="144"/>
  <c r="Q16" i="144" s="1"/>
  <c r="N16" i="144"/>
  <c r="M16" i="144"/>
  <c r="L16" i="144"/>
  <c r="K16" i="144"/>
  <c r="D16" i="144"/>
  <c r="P15" i="144"/>
  <c r="Q15" i="144" s="1"/>
  <c r="N15" i="144"/>
  <c r="M15" i="144"/>
  <c r="L15" i="144"/>
  <c r="K15" i="144"/>
  <c r="D15" i="144"/>
  <c r="P16" i="142"/>
  <c r="Q16" i="142" s="1"/>
  <c r="N16" i="142"/>
  <c r="M16" i="142"/>
  <c r="L16" i="142"/>
  <c r="K16" i="142"/>
  <c r="D16" i="142"/>
  <c r="P15" i="142"/>
  <c r="Q15" i="142" s="1"/>
  <c r="N15" i="142"/>
  <c r="M15" i="142"/>
  <c r="L15" i="142"/>
  <c r="K15" i="142"/>
  <c r="D15" i="142"/>
  <c r="P16" i="101"/>
  <c r="Q16" i="101" s="1"/>
  <c r="N16" i="101"/>
  <c r="M16" i="101"/>
  <c r="L16" i="101"/>
  <c r="K16" i="101"/>
  <c r="D16" i="101"/>
  <c r="P15" i="101"/>
  <c r="Q15" i="101" s="1"/>
  <c r="N15" i="101"/>
  <c r="M15" i="101"/>
  <c r="L15" i="101"/>
  <c r="K15" i="101"/>
  <c r="D15" i="101"/>
  <c r="P16" i="94"/>
  <c r="Q16" i="94" s="1"/>
  <c r="N16" i="94"/>
  <c r="M16" i="94"/>
  <c r="L16" i="94"/>
  <c r="K16" i="94"/>
  <c r="D16" i="94"/>
  <c r="P15" i="94"/>
  <c r="Q15" i="94" s="1"/>
  <c r="N15" i="94"/>
  <c r="M15" i="94"/>
  <c r="L15" i="94"/>
  <c r="K15" i="94"/>
  <c r="D15" i="94"/>
  <c r="F18" i="94"/>
  <c r="G18" i="94"/>
  <c r="H18" i="94"/>
  <c r="J18" i="94"/>
  <c r="K18" i="94"/>
  <c r="L18" i="94"/>
  <c r="M18" i="94"/>
  <c r="N18" i="94"/>
  <c r="P47" i="114"/>
  <c r="N47" i="114"/>
  <c r="M47" i="114"/>
  <c r="L47" i="114"/>
  <c r="K47" i="114"/>
  <c r="D47" i="114"/>
  <c r="P44" i="114"/>
  <c r="N44" i="114"/>
  <c r="M44" i="114"/>
  <c r="L44" i="114"/>
  <c r="K44" i="114"/>
  <c r="D44" i="114"/>
  <c r="P43" i="114"/>
  <c r="N43" i="114"/>
  <c r="M43" i="114"/>
  <c r="L43" i="114"/>
  <c r="K43" i="114"/>
  <c r="D43" i="114"/>
  <c r="P42" i="114"/>
  <c r="N42" i="114"/>
  <c r="M42" i="114"/>
  <c r="L42" i="114"/>
  <c r="K42" i="114"/>
  <c r="D42" i="114"/>
  <c r="B44" i="114"/>
  <c r="B43" i="114"/>
  <c r="B42" i="114"/>
  <c r="P40" i="49"/>
  <c r="N40" i="49"/>
  <c r="M40" i="49"/>
  <c r="L40" i="49"/>
  <c r="K40" i="49"/>
  <c r="D40" i="49"/>
  <c r="P39" i="49"/>
  <c r="N39" i="49"/>
  <c r="M39" i="49"/>
  <c r="L39" i="49"/>
  <c r="K39" i="49"/>
  <c r="D39" i="49"/>
  <c r="P22" i="48"/>
  <c r="Q22" i="48" s="1"/>
  <c r="N22" i="48"/>
  <c r="M22" i="48"/>
  <c r="L22" i="48"/>
  <c r="K22" i="48"/>
  <c r="D22" i="48"/>
  <c r="P21" i="48"/>
  <c r="Q21" i="48" s="1"/>
  <c r="N21" i="48"/>
  <c r="M21" i="48"/>
  <c r="L21" i="48"/>
  <c r="K21" i="48"/>
  <c r="D21" i="48"/>
  <c r="Y37" i="30"/>
  <c r="V37" i="30"/>
  <c r="G37" i="30"/>
  <c r="Y29" i="30"/>
  <c r="V29" i="30"/>
  <c r="G29" i="30"/>
  <c r="Y30" i="30"/>
  <c r="V30" i="30"/>
  <c r="G30" i="30"/>
  <c r="Y33" i="30"/>
  <c r="V33" i="30"/>
  <c r="G33" i="30"/>
  <c r="G40" i="298" s="1"/>
  <c r="Y24" i="30"/>
  <c r="V24" i="30"/>
  <c r="G24" i="30"/>
  <c r="P44" i="298"/>
  <c r="Q44" i="298" s="1"/>
  <c r="J44" i="298"/>
  <c r="H44" i="298"/>
  <c r="D44" i="298"/>
  <c r="P43" i="298"/>
  <c r="Q43" i="298" s="1"/>
  <c r="J43" i="298"/>
  <c r="H43" i="298"/>
  <c r="D43" i="298"/>
  <c r="P42" i="298"/>
  <c r="Q42" i="298" s="1"/>
  <c r="J42" i="298"/>
  <c r="H42" i="298"/>
  <c r="D42" i="298"/>
  <c r="P41" i="298"/>
  <c r="Q41" i="298" s="1"/>
  <c r="J41" i="298"/>
  <c r="H41" i="298"/>
  <c r="D41" i="298"/>
  <c r="P37" i="298"/>
  <c r="Q37" i="298" s="1"/>
  <c r="J37" i="298"/>
  <c r="H37" i="298"/>
  <c r="G37" i="298"/>
  <c r="F37" i="298"/>
  <c r="P36" i="298"/>
  <c r="Q36" i="298" s="1"/>
  <c r="J36" i="298"/>
  <c r="H36" i="298"/>
  <c r="G36" i="298"/>
  <c r="F36" i="298"/>
  <c r="P35" i="298"/>
  <c r="Q35" i="298" s="1"/>
  <c r="J35" i="298"/>
  <c r="H35" i="298"/>
  <c r="G35" i="298"/>
  <c r="F35" i="298"/>
  <c r="P29" i="298"/>
  <c r="Q29" i="298" s="1"/>
  <c r="D29" i="298"/>
  <c r="P28" i="298"/>
  <c r="Q28" i="298" s="1"/>
  <c r="D28" i="298"/>
  <c r="P27" i="298"/>
  <c r="Q27" i="298" s="1"/>
  <c r="D27" i="298"/>
  <c r="P26" i="298"/>
  <c r="Q26" i="298" s="1"/>
  <c r="D26" i="298"/>
  <c r="P25" i="298"/>
  <c r="Q25" i="298" s="1"/>
  <c r="D25" i="298"/>
  <c r="P24" i="298"/>
  <c r="Q24" i="298" s="1"/>
  <c r="D24" i="298"/>
  <c r="P23" i="298"/>
  <c r="Q23" i="298" s="1"/>
  <c r="D23" i="298"/>
  <c r="P22" i="298"/>
  <c r="Q22" i="298" s="1"/>
  <c r="D22" i="298"/>
  <c r="C2" i="298"/>
  <c r="C105" i="29"/>
  <c r="C107" i="29"/>
  <c r="C108" i="29"/>
  <c r="C109" i="29"/>
  <c r="C110" i="29"/>
  <c r="C111" i="29"/>
  <c r="E105" i="29"/>
  <c r="E107" i="29"/>
  <c r="E108" i="29"/>
  <c r="E109" i="29"/>
  <c r="E111" i="29"/>
  <c r="O16" i="2"/>
  <c r="E274" i="31"/>
  <c r="J274" i="31"/>
  <c r="P40" i="298"/>
  <c r="Q40" i="298" s="1"/>
  <c r="J40" i="298"/>
  <c r="H40" i="298"/>
  <c r="D40" i="298"/>
  <c r="P39" i="298"/>
  <c r="Q39" i="298" s="1"/>
  <c r="J39" i="298"/>
  <c r="H39" i="298"/>
  <c r="D39" i="298"/>
  <c r="P34" i="298"/>
  <c r="Q34" i="298" s="1"/>
  <c r="J34" i="298"/>
  <c r="H34" i="298"/>
  <c r="G34" i="298"/>
  <c r="F34" i="298"/>
  <c r="P33" i="298"/>
  <c r="Q33" i="298" s="1"/>
  <c r="J33" i="298"/>
  <c r="H33" i="298"/>
  <c r="G33" i="298"/>
  <c r="F33" i="298"/>
  <c r="P21" i="298"/>
  <c r="Q21" i="298" s="1"/>
  <c r="D21" i="298"/>
  <c r="P20" i="298"/>
  <c r="Q20" i="298" s="1"/>
  <c r="D20" i="298"/>
  <c r="P19" i="298"/>
  <c r="Q19" i="298" s="1"/>
  <c r="D19" i="298"/>
  <c r="I3" i="298"/>
  <c r="G3" i="298"/>
  <c r="E3" i="298"/>
  <c r="I2" i="298"/>
  <c r="G2" i="298"/>
  <c r="P18" i="280"/>
  <c r="Q18" i="280" s="1"/>
  <c r="P13" i="212"/>
  <c r="Q13" i="212" s="1"/>
  <c r="J258" i="31"/>
  <c r="E258" i="31"/>
  <c r="C2" i="297"/>
  <c r="F10" i="297"/>
  <c r="G10" i="297"/>
  <c r="H10" i="297"/>
  <c r="J10" i="297"/>
  <c r="K10" i="297"/>
  <c r="L10" i="297"/>
  <c r="M10" i="297"/>
  <c r="N10" i="297"/>
  <c r="P10" i="297"/>
  <c r="Q10" i="297" s="1"/>
  <c r="D7" i="297"/>
  <c r="K7" i="297"/>
  <c r="L7" i="297"/>
  <c r="M7" i="297"/>
  <c r="N7" i="297"/>
  <c r="P7" i="297"/>
  <c r="Q7" i="297" s="1"/>
  <c r="D8" i="297"/>
  <c r="K8" i="297"/>
  <c r="L8" i="297"/>
  <c r="M8" i="297"/>
  <c r="N8" i="297"/>
  <c r="P8" i="297"/>
  <c r="Q8" i="297" s="1"/>
  <c r="G2" i="297"/>
  <c r="I2" i="297"/>
  <c r="E3" i="297"/>
  <c r="G3" i="297"/>
  <c r="I3" i="297"/>
  <c r="K20" i="280"/>
  <c r="L20" i="280"/>
  <c r="M20" i="280"/>
  <c r="N20" i="280"/>
  <c r="P20" i="280"/>
  <c r="Q20" i="280" s="1"/>
  <c r="D20" i="280"/>
  <c r="K20" i="279"/>
  <c r="L20" i="279"/>
  <c r="M20" i="279"/>
  <c r="N20" i="279"/>
  <c r="P20" i="279"/>
  <c r="Q20" i="279" s="1"/>
  <c r="D20" i="279"/>
  <c r="K10" i="80"/>
  <c r="L10" i="80"/>
  <c r="M10" i="80"/>
  <c r="N10" i="80"/>
  <c r="P10" i="80"/>
  <c r="Q10" i="80" s="1"/>
  <c r="D10" i="80"/>
  <c r="C375" i="29"/>
  <c r="C278" i="29"/>
  <c r="E364" i="29"/>
  <c r="C364" i="29"/>
  <c r="C2" i="296"/>
  <c r="P13" i="296"/>
  <c r="Q13" i="296" s="1"/>
  <c r="N13" i="296"/>
  <c r="M13" i="296"/>
  <c r="L13" i="296"/>
  <c r="K13" i="296"/>
  <c r="J13" i="296"/>
  <c r="H13" i="296"/>
  <c r="G13" i="296"/>
  <c r="F13" i="296"/>
  <c r="P11" i="296"/>
  <c r="Q11" i="296" s="1"/>
  <c r="N11" i="296"/>
  <c r="M11" i="296"/>
  <c r="L11" i="296"/>
  <c r="K11" i="296"/>
  <c r="D11" i="296"/>
  <c r="P10" i="296"/>
  <c r="Q10" i="296" s="1"/>
  <c r="N10" i="296"/>
  <c r="M10" i="296"/>
  <c r="L10" i="296"/>
  <c r="K10" i="296"/>
  <c r="D10" i="296"/>
  <c r="P9" i="296"/>
  <c r="Q9" i="296" s="1"/>
  <c r="N9" i="296"/>
  <c r="M9" i="296"/>
  <c r="L9" i="296"/>
  <c r="K9" i="296"/>
  <c r="D9" i="296"/>
  <c r="P8" i="296"/>
  <c r="Q8" i="296" s="1"/>
  <c r="N8" i="296"/>
  <c r="M8" i="296"/>
  <c r="L8" i="296"/>
  <c r="K8" i="296"/>
  <c r="D8" i="296"/>
  <c r="P7" i="296"/>
  <c r="Q7" i="296" s="1"/>
  <c r="N7" i="296"/>
  <c r="M7" i="296"/>
  <c r="L7" i="296"/>
  <c r="K7" i="296"/>
  <c r="D7" i="296"/>
  <c r="I3" i="296"/>
  <c r="G3" i="296"/>
  <c r="E3" i="296"/>
  <c r="I2" i="296"/>
  <c r="G2" i="296"/>
  <c r="P13" i="294"/>
  <c r="Q13" i="294" s="1"/>
  <c r="N13" i="294"/>
  <c r="M13" i="294"/>
  <c r="L13" i="294"/>
  <c r="K13" i="294"/>
  <c r="J13" i="294"/>
  <c r="H13" i="294"/>
  <c r="G13" i="294"/>
  <c r="F13" i="294"/>
  <c r="E176" i="31"/>
  <c r="J176" i="31"/>
  <c r="P30" i="177"/>
  <c r="Q30" i="177" s="1"/>
  <c r="N30" i="177"/>
  <c r="M30" i="177"/>
  <c r="L30" i="177"/>
  <c r="K30" i="177"/>
  <c r="D30" i="177"/>
  <c r="C2" i="295"/>
  <c r="E115" i="31"/>
  <c r="J115" i="31"/>
  <c r="I3" i="295"/>
  <c r="G3" i="295"/>
  <c r="E3" i="295"/>
  <c r="I2" i="295"/>
  <c r="G2" i="295"/>
  <c r="E191" i="29"/>
  <c r="C191" i="29"/>
  <c r="E176" i="29"/>
  <c r="C176" i="29"/>
  <c r="Y97" i="30"/>
  <c r="V97" i="30"/>
  <c r="G97" i="30"/>
  <c r="P11" i="294"/>
  <c r="Q11" i="294" s="1"/>
  <c r="N11" i="294"/>
  <c r="M11" i="294"/>
  <c r="L11" i="294"/>
  <c r="K11" i="294"/>
  <c r="D11" i="294"/>
  <c r="C358" i="29"/>
  <c r="E358" i="29"/>
  <c r="P9" i="150"/>
  <c r="Q9" i="150" s="1"/>
  <c r="C2" i="294"/>
  <c r="P9" i="159"/>
  <c r="Q9" i="159" s="1"/>
  <c r="P10" i="294"/>
  <c r="Q10" i="294" s="1"/>
  <c r="N10" i="294"/>
  <c r="M10" i="294"/>
  <c r="L10" i="294"/>
  <c r="K10" i="294"/>
  <c r="D10" i="294"/>
  <c r="P9" i="294"/>
  <c r="Q9" i="294" s="1"/>
  <c r="N9" i="294"/>
  <c r="M9" i="294"/>
  <c r="L9" i="294"/>
  <c r="K9" i="294"/>
  <c r="D9" i="294"/>
  <c r="P8" i="294"/>
  <c r="Q8" i="294" s="1"/>
  <c r="N8" i="294"/>
  <c r="M8" i="294"/>
  <c r="L8" i="294"/>
  <c r="K8" i="294"/>
  <c r="D8" i="294"/>
  <c r="P7" i="294"/>
  <c r="Q7" i="294" s="1"/>
  <c r="N7" i="294"/>
  <c r="M7" i="294"/>
  <c r="L7" i="294"/>
  <c r="K7" i="294"/>
  <c r="D7" i="294"/>
  <c r="I3" i="294"/>
  <c r="G3" i="294"/>
  <c r="E3" i="294"/>
  <c r="I2" i="294"/>
  <c r="G2" i="294"/>
  <c r="E173" i="31"/>
  <c r="J173" i="31"/>
  <c r="C225" i="29"/>
  <c r="C170" i="29"/>
  <c r="C161" i="29"/>
  <c r="P27" i="47"/>
  <c r="Q27" i="47" s="1"/>
  <c r="N27" i="47"/>
  <c r="M27" i="47"/>
  <c r="L27" i="47"/>
  <c r="K27" i="47"/>
  <c r="D27" i="47"/>
  <c r="P42" i="47"/>
  <c r="Q42" i="47" s="1"/>
  <c r="N42" i="47"/>
  <c r="M42" i="47"/>
  <c r="L42" i="47"/>
  <c r="K42" i="47"/>
  <c r="J42" i="47"/>
  <c r="H42" i="47"/>
  <c r="D42" i="47"/>
  <c r="P41" i="47"/>
  <c r="Q41" i="47" s="1"/>
  <c r="N41" i="47"/>
  <c r="M41" i="47"/>
  <c r="L41" i="47"/>
  <c r="K41" i="47"/>
  <c r="J41" i="47"/>
  <c r="H41" i="47"/>
  <c r="D41" i="47"/>
  <c r="C2" i="293"/>
  <c r="Y18" i="30"/>
  <c r="V18" i="30"/>
  <c r="G18" i="30"/>
  <c r="G41" i="47" s="1"/>
  <c r="Y5" i="30"/>
  <c r="V5" i="30"/>
  <c r="G5" i="30"/>
  <c r="G42" i="47" s="1"/>
  <c r="J28" i="31"/>
  <c r="P12" i="293"/>
  <c r="Q12" i="293" s="1"/>
  <c r="N12" i="293"/>
  <c r="M12" i="293"/>
  <c r="L12" i="293"/>
  <c r="K12" i="293"/>
  <c r="J12" i="293"/>
  <c r="H12" i="293"/>
  <c r="G12" i="293"/>
  <c r="F12" i="293"/>
  <c r="P11" i="293"/>
  <c r="Q11" i="293" s="1"/>
  <c r="N11" i="293"/>
  <c r="M11" i="293"/>
  <c r="L11" i="293"/>
  <c r="K11" i="293"/>
  <c r="J11" i="293"/>
  <c r="H11" i="293"/>
  <c r="G11" i="293"/>
  <c r="F11" i="293"/>
  <c r="P9" i="293"/>
  <c r="Q9" i="293" s="1"/>
  <c r="N9" i="293"/>
  <c r="M9" i="293"/>
  <c r="L9" i="293"/>
  <c r="K9" i="293"/>
  <c r="D9" i="293"/>
  <c r="P8" i="293"/>
  <c r="Q8" i="293" s="1"/>
  <c r="N8" i="293"/>
  <c r="M8" i="293"/>
  <c r="L8" i="293"/>
  <c r="K8" i="293"/>
  <c r="D8" i="293"/>
  <c r="P7" i="293"/>
  <c r="Q7" i="293" s="1"/>
  <c r="N7" i="293"/>
  <c r="M7" i="293"/>
  <c r="L7" i="293"/>
  <c r="K7" i="293"/>
  <c r="D7" i="293"/>
  <c r="I3" i="293"/>
  <c r="G3" i="293"/>
  <c r="E3" i="293"/>
  <c r="I2" i="293"/>
  <c r="G2" i="293"/>
  <c r="P20" i="179"/>
  <c r="Q20" i="179" s="1"/>
  <c r="N20" i="179"/>
  <c r="M20" i="179"/>
  <c r="L20" i="179"/>
  <c r="K20" i="179"/>
  <c r="D20" i="179"/>
  <c r="P19" i="179"/>
  <c r="Q19" i="179" s="1"/>
  <c r="N19" i="179"/>
  <c r="M19" i="179"/>
  <c r="L19" i="179"/>
  <c r="K19" i="179"/>
  <c r="D19" i="179"/>
  <c r="P31" i="179"/>
  <c r="Q31" i="179" s="1"/>
  <c r="N31" i="179"/>
  <c r="M31" i="179"/>
  <c r="L31" i="179"/>
  <c r="K31" i="179"/>
  <c r="J31" i="179"/>
  <c r="H31" i="179"/>
  <c r="D31" i="179"/>
  <c r="P30" i="179"/>
  <c r="Q30" i="179" s="1"/>
  <c r="N30" i="179"/>
  <c r="M30" i="179"/>
  <c r="L30" i="179"/>
  <c r="K30" i="179"/>
  <c r="J30" i="179"/>
  <c r="H30" i="179"/>
  <c r="D30" i="179"/>
  <c r="Y4" i="30"/>
  <c r="V4" i="30"/>
  <c r="G4" i="30"/>
  <c r="G31" i="179" s="1"/>
  <c r="V16" i="30"/>
  <c r="Y16" i="30"/>
  <c r="G16" i="30"/>
  <c r="G30" i="179" s="1"/>
  <c r="C2" i="164"/>
  <c r="C2" i="131"/>
  <c r="Y2" i="30"/>
  <c r="Y3" i="30"/>
  <c r="Y6" i="30"/>
  <c r="Y7" i="30"/>
  <c r="Y8" i="30"/>
  <c r="Y9" i="30"/>
  <c r="Y10" i="30"/>
  <c r="Y11" i="30"/>
  <c r="Y12" i="30"/>
  <c r="Y13" i="30"/>
  <c r="Y14" i="30"/>
  <c r="Y15" i="30"/>
  <c r="Y17" i="30"/>
  <c r="Y19" i="30"/>
  <c r="Y20" i="30"/>
  <c r="Y21" i="30"/>
  <c r="Y22" i="30"/>
  <c r="Y23" i="30"/>
  <c r="Y26" i="30"/>
  <c r="Y28" i="30"/>
  <c r="Y32" i="30"/>
  <c r="Y35" i="30"/>
  <c r="Y36" i="30"/>
  <c r="Y39" i="30"/>
  <c r="Y38" i="30"/>
  <c r="Y40" i="30"/>
  <c r="Y41" i="30"/>
  <c r="Y44" i="30"/>
  <c r="Y45" i="30"/>
  <c r="Y47" i="30"/>
  <c r="Y49" i="30"/>
  <c r="Y50" i="30"/>
  <c r="Y51" i="30"/>
  <c r="Y52" i="30"/>
  <c r="Y53" i="30"/>
  <c r="Y54" i="30"/>
  <c r="Y55" i="30"/>
  <c r="Y56" i="30"/>
  <c r="Y57" i="30"/>
  <c r="Y58" i="30"/>
  <c r="Y59" i="30"/>
  <c r="Y61" i="30"/>
  <c r="Y62" i="30"/>
  <c r="Y64" i="30"/>
  <c r="Y65" i="30"/>
  <c r="Y66" i="30"/>
  <c r="Y67" i="30"/>
  <c r="Y68" i="30"/>
  <c r="Y69" i="30"/>
  <c r="Y70" i="30"/>
  <c r="Y71" i="30"/>
  <c r="Y72" i="30"/>
  <c r="Y76" i="30"/>
  <c r="Y77" i="30"/>
  <c r="Y78" i="30"/>
  <c r="Y79" i="30"/>
  <c r="Y80" i="30"/>
  <c r="Y81" i="30"/>
  <c r="Y82" i="30"/>
  <c r="Y83" i="30"/>
  <c r="Y84" i="30"/>
  <c r="Y85" i="30"/>
  <c r="Y86" i="30"/>
  <c r="Y87" i="30"/>
  <c r="Y88" i="30"/>
  <c r="Y89" i="30"/>
  <c r="Y90" i="30"/>
  <c r="Y91" i="30"/>
  <c r="Y92" i="30"/>
  <c r="Y93" i="30"/>
  <c r="Y94" i="30"/>
  <c r="Y96" i="30"/>
  <c r="Y98" i="30"/>
  <c r="Y99" i="30"/>
  <c r="Y100" i="30"/>
  <c r="Y101" i="30"/>
  <c r="Y102" i="30"/>
  <c r="Y103" i="30"/>
  <c r="Y104" i="30"/>
  <c r="Y105" i="30"/>
  <c r="Y106" i="30"/>
  <c r="Y107" i="30"/>
  <c r="Y108" i="30"/>
  <c r="Y109" i="30"/>
  <c r="Y110" i="30"/>
  <c r="Y111" i="30"/>
  <c r="Y112" i="30"/>
  <c r="Y113" i="30"/>
  <c r="Y114" i="30"/>
  <c r="Y115" i="30"/>
  <c r="Y116" i="30"/>
  <c r="Y117" i="30"/>
  <c r="Y118" i="30"/>
  <c r="Y119" i="30"/>
  <c r="Y120" i="30"/>
  <c r="Y121" i="30"/>
  <c r="Y122" i="30"/>
  <c r="Y123" i="30"/>
  <c r="Y124" i="30"/>
  <c r="Y125" i="30"/>
  <c r="Y126" i="30"/>
  <c r="Y127" i="30"/>
  <c r="Y128" i="30"/>
  <c r="Y129" i="30"/>
  <c r="Y130" i="30"/>
  <c r="Y131" i="30"/>
  <c r="Y132" i="30"/>
  <c r="Y133" i="30"/>
  <c r="Y134" i="30"/>
  <c r="Y135" i="30"/>
  <c r="Y136" i="30"/>
  <c r="Y137" i="30"/>
  <c r="Y138" i="30"/>
  <c r="Y139" i="30"/>
  <c r="Y140" i="30"/>
  <c r="Y141" i="30"/>
  <c r="Y142" i="30"/>
  <c r="Y143" i="30"/>
  <c r="Y144" i="30"/>
  <c r="Y145" i="30"/>
  <c r="C2" i="282"/>
  <c r="C2" i="281"/>
  <c r="V53" i="30"/>
  <c r="G53" i="30"/>
  <c r="C2" i="284"/>
  <c r="C2" i="283"/>
  <c r="K74" i="128"/>
  <c r="L74" i="128"/>
  <c r="M74" i="128"/>
  <c r="N74" i="128"/>
  <c r="P74" i="128"/>
  <c r="Q74" i="128" s="1"/>
  <c r="D74" i="128"/>
  <c r="J98" i="128"/>
  <c r="K98" i="128"/>
  <c r="L98" i="128"/>
  <c r="M98" i="128"/>
  <c r="N98" i="128"/>
  <c r="P98" i="128"/>
  <c r="Q98" i="128" s="1"/>
  <c r="H98" i="128"/>
  <c r="D98" i="128"/>
  <c r="D21" i="232"/>
  <c r="K21" i="232"/>
  <c r="L21" i="232"/>
  <c r="M21" i="232"/>
  <c r="N21" i="232"/>
  <c r="P21" i="232"/>
  <c r="Q21" i="232" s="1"/>
  <c r="V142" i="30"/>
  <c r="G142" i="30"/>
  <c r="G34" i="232" s="1"/>
  <c r="V119" i="30"/>
  <c r="G119" i="30"/>
  <c r="G35" i="232" s="1"/>
  <c r="V137" i="30"/>
  <c r="G137" i="30"/>
  <c r="G33" i="232" s="1"/>
  <c r="K71" i="193"/>
  <c r="L71" i="193"/>
  <c r="M71" i="193"/>
  <c r="N71" i="193"/>
  <c r="P71" i="193"/>
  <c r="Q71" i="193" s="1"/>
  <c r="D71" i="193"/>
  <c r="P28" i="2"/>
  <c r="N28" i="2"/>
  <c r="M28" i="2"/>
  <c r="L28" i="2"/>
  <c r="K28" i="2"/>
  <c r="J28" i="2"/>
  <c r="H28" i="2"/>
  <c r="G28" i="2"/>
  <c r="F28" i="2"/>
  <c r="D28" i="2"/>
  <c r="P23" i="243"/>
  <c r="Q23" i="243" s="1"/>
  <c r="N23" i="243"/>
  <c r="M23" i="243"/>
  <c r="L23" i="243"/>
  <c r="K23" i="243"/>
  <c r="J23" i="243"/>
  <c r="H23" i="243"/>
  <c r="G23" i="243"/>
  <c r="F23" i="243"/>
  <c r="D23" i="243"/>
  <c r="P40" i="47"/>
  <c r="N40" i="47"/>
  <c r="M40" i="47"/>
  <c r="L40" i="47"/>
  <c r="K40" i="47"/>
  <c r="J40" i="47"/>
  <c r="H40" i="47"/>
  <c r="D40" i="47"/>
  <c r="P39" i="47"/>
  <c r="N39" i="47"/>
  <c r="M39" i="47"/>
  <c r="L39" i="47"/>
  <c r="K39" i="47"/>
  <c r="J39" i="47"/>
  <c r="H39" i="47"/>
  <c r="D39" i="47"/>
  <c r="P38" i="47"/>
  <c r="N38" i="47"/>
  <c r="M38" i="47"/>
  <c r="L38" i="47"/>
  <c r="K38" i="47"/>
  <c r="J38" i="47"/>
  <c r="H38" i="47"/>
  <c r="D38" i="47"/>
  <c r="P37" i="47"/>
  <c r="N37" i="47"/>
  <c r="M37" i="47"/>
  <c r="L37" i="47"/>
  <c r="K37" i="47"/>
  <c r="J37" i="47"/>
  <c r="H37" i="47"/>
  <c r="D37" i="47"/>
  <c r="P36" i="47"/>
  <c r="N36" i="47"/>
  <c r="M36" i="47"/>
  <c r="L36" i="47"/>
  <c r="K36" i="47"/>
  <c r="J36" i="47"/>
  <c r="H36" i="47"/>
  <c r="D36" i="47"/>
  <c r="P35" i="47"/>
  <c r="N35" i="47"/>
  <c r="M35" i="47"/>
  <c r="L35" i="47"/>
  <c r="K35" i="47"/>
  <c r="J35" i="47"/>
  <c r="H35" i="47"/>
  <c r="D35" i="47"/>
  <c r="P34" i="47"/>
  <c r="N34" i="47"/>
  <c r="M34" i="47"/>
  <c r="L34" i="47"/>
  <c r="K34" i="47"/>
  <c r="J34" i="47"/>
  <c r="H34" i="47"/>
  <c r="D34" i="47"/>
  <c r="P33" i="47"/>
  <c r="N33" i="47"/>
  <c r="M33" i="47"/>
  <c r="L33" i="47"/>
  <c r="K33" i="47"/>
  <c r="J33" i="47"/>
  <c r="H33" i="47"/>
  <c r="D33" i="47"/>
  <c r="P32" i="47"/>
  <c r="N32" i="47"/>
  <c r="M32" i="47"/>
  <c r="L32" i="47"/>
  <c r="K32" i="47"/>
  <c r="J32" i="47"/>
  <c r="H32" i="47"/>
  <c r="D32" i="47"/>
  <c r="P31" i="47"/>
  <c r="N31" i="47"/>
  <c r="M31" i="47"/>
  <c r="L31" i="47"/>
  <c r="K31" i="47"/>
  <c r="J31" i="47"/>
  <c r="H31" i="47"/>
  <c r="D31" i="47"/>
  <c r="P30" i="47"/>
  <c r="N30" i="47"/>
  <c r="M30" i="47"/>
  <c r="L30" i="47"/>
  <c r="K30" i="47"/>
  <c r="J30" i="47"/>
  <c r="H30" i="47"/>
  <c r="D30" i="47"/>
  <c r="P29" i="47"/>
  <c r="N29" i="47"/>
  <c r="M29" i="47"/>
  <c r="L29" i="47"/>
  <c r="K29" i="47"/>
  <c r="J29" i="47"/>
  <c r="H29" i="47"/>
  <c r="D29" i="47"/>
  <c r="P20" i="51"/>
  <c r="N20" i="51"/>
  <c r="M20" i="51"/>
  <c r="L20" i="51"/>
  <c r="K20" i="51"/>
  <c r="J20" i="51"/>
  <c r="H20" i="51"/>
  <c r="D20" i="51"/>
  <c r="P19" i="51"/>
  <c r="N19" i="51"/>
  <c r="M19" i="51"/>
  <c r="L19" i="51"/>
  <c r="K19" i="51"/>
  <c r="J19" i="51"/>
  <c r="H19" i="51"/>
  <c r="D19" i="51"/>
  <c r="P28" i="112"/>
  <c r="Q28" i="112" s="1"/>
  <c r="N28" i="112"/>
  <c r="M28" i="112"/>
  <c r="L28" i="112"/>
  <c r="K28" i="112"/>
  <c r="J28" i="112"/>
  <c r="H28" i="112"/>
  <c r="D28" i="112"/>
  <c r="P27" i="112"/>
  <c r="Q27" i="112" s="1"/>
  <c r="N27" i="112"/>
  <c r="M27" i="112"/>
  <c r="L27" i="112"/>
  <c r="K27" i="112"/>
  <c r="J27" i="112"/>
  <c r="H27" i="112"/>
  <c r="D27" i="112"/>
  <c r="P26" i="112"/>
  <c r="Q26" i="112" s="1"/>
  <c r="N26" i="112"/>
  <c r="M26" i="112"/>
  <c r="L26" i="112"/>
  <c r="K26" i="112"/>
  <c r="J26" i="112"/>
  <c r="H26" i="112"/>
  <c r="D26" i="112"/>
  <c r="P25" i="112"/>
  <c r="Q25" i="112" s="1"/>
  <c r="N25" i="112"/>
  <c r="M25" i="112"/>
  <c r="L25" i="112"/>
  <c r="K25" i="112"/>
  <c r="J25" i="112"/>
  <c r="H25" i="112"/>
  <c r="D25" i="112"/>
  <c r="P24" i="112"/>
  <c r="Q24" i="112" s="1"/>
  <c r="N24" i="112"/>
  <c r="M24" i="112"/>
  <c r="L24" i="112"/>
  <c r="K24" i="112"/>
  <c r="J24" i="112"/>
  <c r="H24" i="112"/>
  <c r="D24" i="112"/>
  <c r="P23" i="112"/>
  <c r="N23" i="112"/>
  <c r="M23" i="112"/>
  <c r="L23" i="112"/>
  <c r="K23" i="112"/>
  <c r="J23" i="112"/>
  <c r="H23" i="112"/>
  <c r="D23" i="112"/>
  <c r="P20" i="113"/>
  <c r="Q20" i="113" s="1"/>
  <c r="N20" i="113"/>
  <c r="M20" i="113"/>
  <c r="L20" i="113"/>
  <c r="K20" i="113"/>
  <c r="J20" i="113"/>
  <c r="H20" i="113"/>
  <c r="D20" i="113"/>
  <c r="P19" i="113"/>
  <c r="Q19" i="113" s="1"/>
  <c r="N19" i="113"/>
  <c r="M19" i="113"/>
  <c r="L19" i="113"/>
  <c r="K19" i="113"/>
  <c r="J19" i="113"/>
  <c r="H19" i="113"/>
  <c r="D19" i="113"/>
  <c r="P18" i="113"/>
  <c r="Q18" i="113" s="1"/>
  <c r="N18" i="113"/>
  <c r="M18" i="113"/>
  <c r="L18" i="113"/>
  <c r="K18" i="113"/>
  <c r="J18" i="113"/>
  <c r="H18" i="113"/>
  <c r="D18" i="113"/>
  <c r="P17" i="113"/>
  <c r="N17" i="113"/>
  <c r="M17" i="113"/>
  <c r="L17" i="113"/>
  <c r="K17" i="113"/>
  <c r="J17" i="113"/>
  <c r="H17" i="113"/>
  <c r="D17" i="113"/>
  <c r="P16" i="113"/>
  <c r="N16" i="113"/>
  <c r="M16" i="113"/>
  <c r="L16" i="113"/>
  <c r="K16" i="113"/>
  <c r="J16" i="113"/>
  <c r="H16" i="113"/>
  <c r="D16" i="113"/>
  <c r="P21" i="275"/>
  <c r="Q21" i="275" s="1"/>
  <c r="N21" i="275"/>
  <c r="M21" i="275"/>
  <c r="L21" i="275"/>
  <c r="K21" i="275"/>
  <c r="J21" i="275"/>
  <c r="H21" i="275"/>
  <c r="D21" i="275"/>
  <c r="P20" i="275"/>
  <c r="Q20" i="275" s="1"/>
  <c r="N20" i="275"/>
  <c r="M20" i="275"/>
  <c r="L20" i="275"/>
  <c r="K20" i="275"/>
  <c r="J20" i="275"/>
  <c r="H20" i="275"/>
  <c r="D20" i="275"/>
  <c r="P19" i="275"/>
  <c r="Q19" i="275" s="1"/>
  <c r="N19" i="275"/>
  <c r="M19" i="275"/>
  <c r="L19" i="275"/>
  <c r="K19" i="275"/>
  <c r="J19" i="275"/>
  <c r="H19" i="275"/>
  <c r="D19" i="275"/>
  <c r="P21" i="276"/>
  <c r="Q21" i="276" s="1"/>
  <c r="N21" i="276"/>
  <c r="M21" i="276"/>
  <c r="L21" i="276"/>
  <c r="K21" i="276"/>
  <c r="J21" i="276"/>
  <c r="H21" i="276"/>
  <c r="D21" i="276"/>
  <c r="P20" i="276"/>
  <c r="Q20" i="276" s="1"/>
  <c r="N20" i="276"/>
  <c r="M20" i="276"/>
  <c r="L20" i="276"/>
  <c r="K20" i="276"/>
  <c r="J20" i="276"/>
  <c r="H20" i="276"/>
  <c r="D20" i="276"/>
  <c r="P19" i="276"/>
  <c r="Q19" i="276" s="1"/>
  <c r="N19" i="276"/>
  <c r="M19" i="276"/>
  <c r="L19" i="276"/>
  <c r="K19" i="276"/>
  <c r="J19" i="276"/>
  <c r="H19" i="276"/>
  <c r="D19" i="276"/>
  <c r="P18" i="277"/>
  <c r="Q18" i="277" s="1"/>
  <c r="N18" i="277"/>
  <c r="M18" i="277"/>
  <c r="L18" i="277"/>
  <c r="K18" i="277"/>
  <c r="J18" i="277"/>
  <c r="H18" i="277"/>
  <c r="D18" i="277"/>
  <c r="P17" i="277"/>
  <c r="Q17" i="277" s="1"/>
  <c r="N17" i="277"/>
  <c r="M17" i="277"/>
  <c r="L17" i="277"/>
  <c r="K17" i="277"/>
  <c r="J17" i="277"/>
  <c r="H17" i="277"/>
  <c r="D17" i="277"/>
  <c r="P18" i="278"/>
  <c r="Q18" i="278" s="1"/>
  <c r="N18" i="278"/>
  <c r="M18" i="278"/>
  <c r="L18" i="278"/>
  <c r="K18" i="278"/>
  <c r="J18" i="278"/>
  <c r="H18" i="278"/>
  <c r="D18" i="278"/>
  <c r="P17" i="278"/>
  <c r="Q17" i="278" s="1"/>
  <c r="N17" i="278"/>
  <c r="M17" i="278"/>
  <c r="L17" i="278"/>
  <c r="K17" i="278"/>
  <c r="J17" i="278"/>
  <c r="H17" i="278"/>
  <c r="D17" i="278"/>
  <c r="P62" i="114"/>
  <c r="N62" i="114"/>
  <c r="M62" i="114"/>
  <c r="L62" i="114"/>
  <c r="K62" i="114"/>
  <c r="J62" i="114"/>
  <c r="H62" i="114"/>
  <c r="D62" i="114"/>
  <c r="P29" i="166"/>
  <c r="Q29" i="166" s="1"/>
  <c r="N29" i="166"/>
  <c r="M29" i="166"/>
  <c r="L29" i="166"/>
  <c r="K29" i="166"/>
  <c r="J29" i="166"/>
  <c r="H29" i="166"/>
  <c r="D29" i="166"/>
  <c r="P28" i="166"/>
  <c r="Q28" i="166" s="1"/>
  <c r="N28" i="166"/>
  <c r="M28" i="166"/>
  <c r="L28" i="166"/>
  <c r="K28" i="166"/>
  <c r="J28" i="166"/>
  <c r="H28" i="166"/>
  <c r="D28" i="166"/>
  <c r="P27" i="166"/>
  <c r="Q27" i="166" s="1"/>
  <c r="N27" i="166"/>
  <c r="M27" i="166"/>
  <c r="L27" i="166"/>
  <c r="K27" i="166"/>
  <c r="J27" i="166"/>
  <c r="H27" i="166"/>
  <c r="D27" i="166"/>
  <c r="P26" i="166"/>
  <c r="Q26" i="166" s="1"/>
  <c r="N26" i="166"/>
  <c r="M26" i="166"/>
  <c r="L26" i="166"/>
  <c r="K26" i="166"/>
  <c r="J26" i="166"/>
  <c r="H26" i="166"/>
  <c r="D26" i="166"/>
  <c r="P25" i="166"/>
  <c r="Q25" i="166" s="1"/>
  <c r="N25" i="166"/>
  <c r="M25" i="166"/>
  <c r="L25" i="166"/>
  <c r="K25" i="166"/>
  <c r="J25" i="166"/>
  <c r="H25" i="166"/>
  <c r="D25" i="166"/>
  <c r="P24" i="166"/>
  <c r="Q24" i="166" s="1"/>
  <c r="N24" i="166"/>
  <c r="M24" i="166"/>
  <c r="L24" i="166"/>
  <c r="K24" i="166"/>
  <c r="J24" i="166"/>
  <c r="H24" i="166"/>
  <c r="D24" i="166"/>
  <c r="P23" i="166"/>
  <c r="Q23" i="166" s="1"/>
  <c r="N23" i="166"/>
  <c r="M23" i="166"/>
  <c r="L23" i="166"/>
  <c r="K23" i="166"/>
  <c r="J23" i="166"/>
  <c r="H23" i="166"/>
  <c r="D23" i="166"/>
  <c r="P30" i="167"/>
  <c r="Q30" i="167" s="1"/>
  <c r="N30" i="167"/>
  <c r="M30" i="167"/>
  <c r="L30" i="167"/>
  <c r="K30" i="167"/>
  <c r="J30" i="167"/>
  <c r="H30" i="167"/>
  <c r="D30" i="167"/>
  <c r="P29" i="167"/>
  <c r="N29" i="167"/>
  <c r="M29" i="167"/>
  <c r="L29" i="167"/>
  <c r="K29" i="167"/>
  <c r="J29" i="167"/>
  <c r="H29" i="167"/>
  <c r="D29" i="167"/>
  <c r="P28" i="167"/>
  <c r="N28" i="167"/>
  <c r="M28" i="167"/>
  <c r="L28" i="167"/>
  <c r="K28" i="167"/>
  <c r="J28" i="167"/>
  <c r="H28" i="167"/>
  <c r="D28" i="167"/>
  <c r="P27" i="167"/>
  <c r="N27" i="167"/>
  <c r="M27" i="167"/>
  <c r="L27" i="167"/>
  <c r="K27" i="167"/>
  <c r="J27" i="167"/>
  <c r="H27" i="167"/>
  <c r="D27" i="167"/>
  <c r="P26" i="167"/>
  <c r="N26" i="167"/>
  <c r="M26" i="167"/>
  <c r="L26" i="167"/>
  <c r="K26" i="167"/>
  <c r="J26" i="167"/>
  <c r="H26" i="167"/>
  <c r="D26" i="167"/>
  <c r="P25" i="167"/>
  <c r="N25" i="167"/>
  <c r="M25" i="167"/>
  <c r="L25" i="167"/>
  <c r="K25" i="167"/>
  <c r="J25" i="167"/>
  <c r="H25" i="167"/>
  <c r="D25" i="167"/>
  <c r="P24" i="167"/>
  <c r="N24" i="167"/>
  <c r="M24" i="167"/>
  <c r="L24" i="167"/>
  <c r="K24" i="167"/>
  <c r="J24" i="167"/>
  <c r="H24" i="167"/>
  <c r="D24" i="167"/>
  <c r="P30" i="279"/>
  <c r="Q30" i="279" s="1"/>
  <c r="N30" i="279"/>
  <c r="M30" i="279"/>
  <c r="L30" i="279"/>
  <c r="K30" i="279"/>
  <c r="J30" i="279"/>
  <c r="H30" i="279"/>
  <c r="D30" i="279"/>
  <c r="P29" i="279"/>
  <c r="Q29" i="279" s="1"/>
  <c r="N29" i="279"/>
  <c r="M29" i="279"/>
  <c r="L29" i="279"/>
  <c r="K29" i="279"/>
  <c r="J29" i="279"/>
  <c r="H29" i="279"/>
  <c r="D29" i="279"/>
  <c r="P28" i="279"/>
  <c r="Q28" i="279" s="1"/>
  <c r="N28" i="279"/>
  <c r="M28" i="279"/>
  <c r="L28" i="279"/>
  <c r="K28" i="279"/>
  <c r="J28" i="279"/>
  <c r="H28" i="279"/>
  <c r="D28" i="279"/>
  <c r="P30" i="280"/>
  <c r="Q30" i="280" s="1"/>
  <c r="N30" i="280"/>
  <c r="M30" i="280"/>
  <c r="L30" i="280"/>
  <c r="K30" i="280"/>
  <c r="J30" i="280"/>
  <c r="H30" i="280"/>
  <c r="D30" i="280"/>
  <c r="P29" i="280"/>
  <c r="Q29" i="280" s="1"/>
  <c r="N29" i="280"/>
  <c r="M29" i="280"/>
  <c r="L29" i="280"/>
  <c r="K29" i="280"/>
  <c r="J29" i="280"/>
  <c r="H29" i="280"/>
  <c r="D29" i="280"/>
  <c r="P28" i="280"/>
  <c r="Q28" i="280" s="1"/>
  <c r="N28" i="280"/>
  <c r="M28" i="280"/>
  <c r="L28" i="280"/>
  <c r="K28" i="280"/>
  <c r="J28" i="280"/>
  <c r="H28" i="280"/>
  <c r="D28" i="280"/>
  <c r="P21" i="281"/>
  <c r="Q21" i="281" s="1"/>
  <c r="N21" i="281"/>
  <c r="M21" i="281"/>
  <c r="L21" i="281"/>
  <c r="K21" i="281"/>
  <c r="J21" i="281"/>
  <c r="H21" i="281"/>
  <c r="D21" i="281"/>
  <c r="P20" i="281"/>
  <c r="Q20" i="281" s="1"/>
  <c r="N20" i="281"/>
  <c r="M20" i="281"/>
  <c r="L20" i="281"/>
  <c r="K20" i="281"/>
  <c r="J20" i="281"/>
  <c r="H20" i="281"/>
  <c r="D20" i="281"/>
  <c r="P19" i="281"/>
  <c r="Q19" i="281" s="1"/>
  <c r="N19" i="281"/>
  <c r="M19" i="281"/>
  <c r="L19" i="281"/>
  <c r="K19" i="281"/>
  <c r="J19" i="281"/>
  <c r="H19" i="281"/>
  <c r="D19" i="281"/>
  <c r="P21" i="282"/>
  <c r="Q21" i="282" s="1"/>
  <c r="N21" i="282"/>
  <c r="M21" i="282"/>
  <c r="L21" i="282"/>
  <c r="K21" i="282"/>
  <c r="J21" i="282"/>
  <c r="H21" i="282"/>
  <c r="D21" i="282"/>
  <c r="P20" i="282"/>
  <c r="Q20" i="282" s="1"/>
  <c r="N20" i="282"/>
  <c r="M20" i="282"/>
  <c r="L20" i="282"/>
  <c r="K20" i="282"/>
  <c r="J20" i="282"/>
  <c r="H20" i="282"/>
  <c r="D20" i="282"/>
  <c r="P19" i="282"/>
  <c r="Q19" i="282" s="1"/>
  <c r="N19" i="282"/>
  <c r="M19" i="282"/>
  <c r="L19" i="282"/>
  <c r="K19" i="282"/>
  <c r="J19" i="282"/>
  <c r="H19" i="282"/>
  <c r="D19" i="282"/>
  <c r="P49" i="177"/>
  <c r="Q49" i="177" s="1"/>
  <c r="N49" i="177"/>
  <c r="M49" i="177"/>
  <c r="L49" i="177"/>
  <c r="K49" i="177"/>
  <c r="J49" i="177"/>
  <c r="H49" i="177"/>
  <c r="D49" i="177"/>
  <c r="P48" i="177"/>
  <c r="Q48" i="177" s="1"/>
  <c r="N48" i="177"/>
  <c r="M48" i="177"/>
  <c r="L48" i="177"/>
  <c r="K48" i="177"/>
  <c r="J48" i="177"/>
  <c r="H48" i="177"/>
  <c r="D48" i="177"/>
  <c r="P47" i="177"/>
  <c r="Q47" i="177" s="1"/>
  <c r="N47" i="177"/>
  <c r="M47" i="177"/>
  <c r="L47" i="177"/>
  <c r="K47" i="177"/>
  <c r="J47" i="177"/>
  <c r="H47" i="177"/>
  <c r="D47" i="177"/>
  <c r="P46" i="177"/>
  <c r="Q46" i="177" s="1"/>
  <c r="N46" i="177"/>
  <c r="M46" i="177"/>
  <c r="L46" i="177"/>
  <c r="K46" i="177"/>
  <c r="J46" i="177"/>
  <c r="H46" i="177"/>
  <c r="D46" i="177"/>
  <c r="P45" i="177"/>
  <c r="N45" i="177"/>
  <c r="M45" i="177"/>
  <c r="L45" i="177"/>
  <c r="K45" i="177"/>
  <c r="J45" i="177"/>
  <c r="H45" i="177"/>
  <c r="D45" i="177"/>
  <c r="P44" i="177"/>
  <c r="N44" i="177"/>
  <c r="M44" i="177"/>
  <c r="L44" i="177"/>
  <c r="K44" i="177"/>
  <c r="J44" i="177"/>
  <c r="H44" i="177"/>
  <c r="D44" i="177"/>
  <c r="P43" i="177"/>
  <c r="N43" i="177"/>
  <c r="M43" i="177"/>
  <c r="L43" i="177"/>
  <c r="K43" i="177"/>
  <c r="J43" i="177"/>
  <c r="H43" i="177"/>
  <c r="D43" i="177"/>
  <c r="P42" i="177"/>
  <c r="N42" i="177"/>
  <c r="M42" i="177"/>
  <c r="L42" i="177"/>
  <c r="K42" i="177"/>
  <c r="J42" i="177"/>
  <c r="H42" i="177"/>
  <c r="D42" i="177"/>
  <c r="P41" i="177"/>
  <c r="N41" i="177"/>
  <c r="M41" i="177"/>
  <c r="L41" i="177"/>
  <c r="K41" i="177"/>
  <c r="J41" i="177"/>
  <c r="H41" i="177"/>
  <c r="D41" i="177"/>
  <c r="P40" i="177"/>
  <c r="N40" i="177"/>
  <c r="M40" i="177"/>
  <c r="L40" i="177"/>
  <c r="K40" i="177"/>
  <c r="J40" i="177"/>
  <c r="H40" i="177"/>
  <c r="D40" i="177"/>
  <c r="P39" i="177"/>
  <c r="N39" i="177"/>
  <c r="M39" i="177"/>
  <c r="L39" i="177"/>
  <c r="K39" i="177"/>
  <c r="J39" i="177"/>
  <c r="H39" i="177"/>
  <c r="D39" i="177"/>
  <c r="P38" i="177"/>
  <c r="N38" i="177"/>
  <c r="M38" i="177"/>
  <c r="L38" i="177"/>
  <c r="K38" i="177"/>
  <c r="J38" i="177"/>
  <c r="H38" i="177"/>
  <c r="D38" i="177"/>
  <c r="P37" i="177"/>
  <c r="N37" i="177"/>
  <c r="M37" i="177"/>
  <c r="L37" i="177"/>
  <c r="K37" i="177"/>
  <c r="J37" i="177"/>
  <c r="H37" i="177"/>
  <c r="D37" i="177"/>
  <c r="P36" i="177"/>
  <c r="N36" i="177"/>
  <c r="M36" i="177"/>
  <c r="L36" i="177"/>
  <c r="K36" i="177"/>
  <c r="J36" i="177"/>
  <c r="H36" i="177"/>
  <c r="D36" i="177"/>
  <c r="P35" i="177"/>
  <c r="N35" i="177"/>
  <c r="M35" i="177"/>
  <c r="L35" i="177"/>
  <c r="K35" i="177"/>
  <c r="J35" i="177"/>
  <c r="H35" i="177"/>
  <c r="D35" i="177"/>
  <c r="P30" i="178"/>
  <c r="N30" i="178"/>
  <c r="M30" i="178"/>
  <c r="L30" i="178"/>
  <c r="K30" i="178"/>
  <c r="J30" i="178"/>
  <c r="H30" i="178"/>
  <c r="D30" i="178"/>
  <c r="P29" i="178"/>
  <c r="N29" i="178"/>
  <c r="M29" i="178"/>
  <c r="L29" i="178"/>
  <c r="K29" i="178"/>
  <c r="J29" i="178"/>
  <c r="H29" i="178"/>
  <c r="D29" i="178"/>
  <c r="P28" i="178"/>
  <c r="N28" i="178"/>
  <c r="M28" i="178"/>
  <c r="L28" i="178"/>
  <c r="K28" i="178"/>
  <c r="J28" i="178"/>
  <c r="H28" i="178"/>
  <c r="D28" i="178"/>
  <c r="P27" i="178"/>
  <c r="N27" i="178"/>
  <c r="M27" i="178"/>
  <c r="L27" i="178"/>
  <c r="K27" i="178"/>
  <c r="J27" i="178"/>
  <c r="H27" i="178"/>
  <c r="D27" i="178"/>
  <c r="P26" i="178"/>
  <c r="N26" i="178"/>
  <c r="M26" i="178"/>
  <c r="L26" i="178"/>
  <c r="K26" i="178"/>
  <c r="J26" i="178"/>
  <c r="H26" i="178"/>
  <c r="D26" i="178"/>
  <c r="P25" i="178"/>
  <c r="N25" i="178"/>
  <c r="M25" i="178"/>
  <c r="L25" i="178"/>
  <c r="K25" i="178"/>
  <c r="J25" i="178"/>
  <c r="H25" i="178"/>
  <c r="D25" i="178"/>
  <c r="P24" i="178"/>
  <c r="N24" i="178"/>
  <c r="M24" i="178"/>
  <c r="L24" i="178"/>
  <c r="K24" i="178"/>
  <c r="J24" i="178"/>
  <c r="H24" i="178"/>
  <c r="D24" i="178"/>
  <c r="P18" i="283"/>
  <c r="Q18" i="283" s="1"/>
  <c r="N18" i="283"/>
  <c r="M18" i="283"/>
  <c r="L18" i="283"/>
  <c r="K18" i="283"/>
  <c r="J18" i="283"/>
  <c r="H18" i="283"/>
  <c r="D18" i="283"/>
  <c r="P17" i="283"/>
  <c r="Q17" i="283" s="1"/>
  <c r="N17" i="283"/>
  <c r="M17" i="283"/>
  <c r="L17" i="283"/>
  <c r="K17" i="283"/>
  <c r="J17" i="283"/>
  <c r="H17" i="283"/>
  <c r="D17" i="283"/>
  <c r="P18" i="284"/>
  <c r="Q18" i="284" s="1"/>
  <c r="N18" i="284"/>
  <c r="M18" i="284"/>
  <c r="L18" i="284"/>
  <c r="K18" i="284"/>
  <c r="J18" i="284"/>
  <c r="H18" i="284"/>
  <c r="D18" i="284"/>
  <c r="P17" i="284"/>
  <c r="Q17" i="284" s="1"/>
  <c r="N17" i="284"/>
  <c r="M17" i="284"/>
  <c r="L17" i="284"/>
  <c r="K17" i="284"/>
  <c r="J17" i="284"/>
  <c r="H17" i="284"/>
  <c r="D17" i="284"/>
  <c r="P21" i="285"/>
  <c r="Q21" i="285" s="1"/>
  <c r="N21" i="285"/>
  <c r="M21" i="285"/>
  <c r="L21" i="285"/>
  <c r="K21" i="285"/>
  <c r="J21" i="285"/>
  <c r="H21" i="285"/>
  <c r="D21" i="285"/>
  <c r="P20" i="285"/>
  <c r="Q20" i="285" s="1"/>
  <c r="N20" i="285"/>
  <c r="M20" i="285"/>
  <c r="L20" i="285"/>
  <c r="K20" i="285"/>
  <c r="J20" i="285"/>
  <c r="H20" i="285"/>
  <c r="D20" i="285"/>
  <c r="P19" i="285"/>
  <c r="Q19" i="285" s="1"/>
  <c r="N19" i="285"/>
  <c r="M19" i="285"/>
  <c r="L19" i="285"/>
  <c r="K19" i="285"/>
  <c r="J19" i="285"/>
  <c r="H19" i="285"/>
  <c r="D19" i="285"/>
  <c r="P21" i="286"/>
  <c r="Q21" i="286" s="1"/>
  <c r="N21" i="286"/>
  <c r="M21" i="286"/>
  <c r="L21" i="286"/>
  <c r="K21" i="286"/>
  <c r="J21" i="286"/>
  <c r="H21" i="286"/>
  <c r="D21" i="286"/>
  <c r="P20" i="286"/>
  <c r="Q20" i="286" s="1"/>
  <c r="N20" i="286"/>
  <c r="M20" i="286"/>
  <c r="L20" i="286"/>
  <c r="K20" i="286"/>
  <c r="J20" i="286"/>
  <c r="H20" i="286"/>
  <c r="D20" i="286"/>
  <c r="P19" i="286"/>
  <c r="Q19" i="286" s="1"/>
  <c r="N19" i="286"/>
  <c r="M19" i="286"/>
  <c r="L19" i="286"/>
  <c r="K19" i="286"/>
  <c r="J19" i="286"/>
  <c r="H19" i="286"/>
  <c r="D19" i="286"/>
  <c r="P18" i="287"/>
  <c r="Q18" i="287" s="1"/>
  <c r="N18" i="287"/>
  <c r="M18" i="287"/>
  <c r="L18" i="287"/>
  <c r="K18" i="287"/>
  <c r="J18" i="287"/>
  <c r="H18" i="287"/>
  <c r="D18" i="287"/>
  <c r="P17" i="287"/>
  <c r="Q17" i="287" s="1"/>
  <c r="N17" i="287"/>
  <c r="M17" i="287"/>
  <c r="L17" i="287"/>
  <c r="K17" i="287"/>
  <c r="J17" i="287"/>
  <c r="H17" i="287"/>
  <c r="D17" i="287"/>
  <c r="P18" i="288"/>
  <c r="Q18" i="288" s="1"/>
  <c r="P15" i="178" s="1"/>
  <c r="Q15" i="178" s="1"/>
  <c r="N18" i="288"/>
  <c r="M18" i="288"/>
  <c r="L18" i="288"/>
  <c r="K18" i="288"/>
  <c r="J18" i="288"/>
  <c r="H18" i="288"/>
  <c r="D18" i="288"/>
  <c r="P17" i="288"/>
  <c r="Q17" i="288" s="1"/>
  <c r="N17" i="288"/>
  <c r="M17" i="288"/>
  <c r="L17" i="288"/>
  <c r="K17" i="288"/>
  <c r="J17" i="288"/>
  <c r="H17" i="288"/>
  <c r="D17" i="288"/>
  <c r="P50" i="165"/>
  <c r="N50" i="165"/>
  <c r="M50" i="165"/>
  <c r="L50" i="165"/>
  <c r="K50" i="165"/>
  <c r="J50" i="165"/>
  <c r="H50" i="165"/>
  <c r="D50" i="165"/>
  <c r="P29" i="179"/>
  <c r="N29" i="179"/>
  <c r="M29" i="179"/>
  <c r="L29" i="179"/>
  <c r="K29" i="179"/>
  <c r="J29" i="179"/>
  <c r="H29" i="179"/>
  <c r="D29" i="179"/>
  <c r="P22" i="191"/>
  <c r="N22" i="191"/>
  <c r="M22" i="191"/>
  <c r="L22" i="191"/>
  <c r="K22" i="191"/>
  <c r="J22" i="191"/>
  <c r="H22" i="191"/>
  <c r="G22" i="191"/>
  <c r="F22" i="191"/>
  <c r="D22" i="191"/>
  <c r="P25" i="231"/>
  <c r="Q25" i="231" s="1"/>
  <c r="N25" i="231"/>
  <c r="M25" i="231"/>
  <c r="L25" i="231"/>
  <c r="K25" i="231"/>
  <c r="J25" i="231"/>
  <c r="H25" i="231"/>
  <c r="D25" i="231"/>
  <c r="P24" i="231"/>
  <c r="Q24" i="231" s="1"/>
  <c r="N24" i="231"/>
  <c r="M24" i="231"/>
  <c r="L24" i="231"/>
  <c r="K24" i="231"/>
  <c r="J24" i="231"/>
  <c r="H24" i="231"/>
  <c r="D24" i="231"/>
  <c r="P23" i="231"/>
  <c r="Q23" i="231" s="1"/>
  <c r="N23" i="231"/>
  <c r="M23" i="231"/>
  <c r="L23" i="231"/>
  <c r="K23" i="231"/>
  <c r="J23" i="231"/>
  <c r="H23" i="231"/>
  <c r="D23" i="231"/>
  <c r="P22" i="231"/>
  <c r="Q22" i="231" s="1"/>
  <c r="N22" i="231"/>
  <c r="M22" i="231"/>
  <c r="L22" i="231"/>
  <c r="K22" i="231"/>
  <c r="J22" i="231"/>
  <c r="H22" i="231"/>
  <c r="D22" i="231"/>
  <c r="P21" i="231"/>
  <c r="Q21" i="231" s="1"/>
  <c r="N21" i="231"/>
  <c r="M21" i="231"/>
  <c r="L21" i="231"/>
  <c r="K21" i="231"/>
  <c r="J21" i="231"/>
  <c r="H21" i="231"/>
  <c r="D21" i="231"/>
  <c r="P22" i="192"/>
  <c r="N22" i="192"/>
  <c r="M22" i="192"/>
  <c r="L22" i="192"/>
  <c r="K22" i="192"/>
  <c r="J22" i="192"/>
  <c r="H22" i="192"/>
  <c r="D22" i="192"/>
  <c r="P21" i="192"/>
  <c r="N21" i="192"/>
  <c r="M21" i="192"/>
  <c r="L21" i="192"/>
  <c r="K21" i="192"/>
  <c r="J21" i="192"/>
  <c r="H21" i="192"/>
  <c r="D21" i="192"/>
  <c r="P20" i="192"/>
  <c r="N20" i="192"/>
  <c r="M20" i="192"/>
  <c r="L20" i="192"/>
  <c r="K20" i="192"/>
  <c r="J20" i="192"/>
  <c r="H20" i="192"/>
  <c r="D20" i="192"/>
  <c r="P92" i="193"/>
  <c r="Q92" i="193" s="1"/>
  <c r="N92" i="193"/>
  <c r="M92" i="193"/>
  <c r="L92" i="193"/>
  <c r="K92" i="193"/>
  <c r="J92" i="193"/>
  <c r="H92" i="193"/>
  <c r="D92" i="193"/>
  <c r="P91" i="193"/>
  <c r="N91" i="193"/>
  <c r="M91" i="193"/>
  <c r="L91" i="193"/>
  <c r="K91" i="193"/>
  <c r="J91" i="193"/>
  <c r="H91" i="193"/>
  <c r="D91" i="193"/>
  <c r="P90" i="193"/>
  <c r="N90" i="193"/>
  <c r="M90" i="193"/>
  <c r="L90" i="193"/>
  <c r="K90" i="193"/>
  <c r="J90" i="193"/>
  <c r="H90" i="193"/>
  <c r="D90" i="193"/>
  <c r="P89" i="193"/>
  <c r="N89" i="193"/>
  <c r="M89" i="193"/>
  <c r="L89" i="193"/>
  <c r="K89" i="193"/>
  <c r="J89" i="193"/>
  <c r="H89" i="193"/>
  <c r="D89" i="193"/>
  <c r="P88" i="193"/>
  <c r="N88" i="193"/>
  <c r="M88" i="193"/>
  <c r="L88" i="193"/>
  <c r="K88" i="193"/>
  <c r="J88" i="193"/>
  <c r="H88" i="193"/>
  <c r="D88" i="193"/>
  <c r="P87" i="193"/>
  <c r="N87" i="193"/>
  <c r="M87" i="193"/>
  <c r="L87" i="193"/>
  <c r="K87" i="193"/>
  <c r="J87" i="193"/>
  <c r="H87" i="193"/>
  <c r="D87" i="193"/>
  <c r="P25" i="127"/>
  <c r="N25" i="127"/>
  <c r="M25" i="127"/>
  <c r="L25" i="127"/>
  <c r="K25" i="127"/>
  <c r="J25" i="127"/>
  <c r="H25" i="127"/>
  <c r="G25" i="127"/>
  <c r="F25" i="127"/>
  <c r="D25" i="127"/>
  <c r="P97" i="128"/>
  <c r="N97" i="128"/>
  <c r="M97" i="128"/>
  <c r="L97" i="128"/>
  <c r="K97" i="128"/>
  <c r="J97" i="128"/>
  <c r="H97" i="128"/>
  <c r="D97" i="128"/>
  <c r="P96" i="128"/>
  <c r="N96" i="128"/>
  <c r="M96" i="128"/>
  <c r="L96" i="128"/>
  <c r="K96" i="128"/>
  <c r="J96" i="128"/>
  <c r="H96" i="128"/>
  <c r="D96" i="128"/>
  <c r="P95" i="128"/>
  <c r="N95" i="128"/>
  <c r="M95" i="128"/>
  <c r="L95" i="128"/>
  <c r="K95" i="128"/>
  <c r="J95" i="128"/>
  <c r="H95" i="128"/>
  <c r="D95" i="128"/>
  <c r="P94" i="128"/>
  <c r="N94" i="128"/>
  <c r="M94" i="128"/>
  <c r="L94" i="128"/>
  <c r="K94" i="128"/>
  <c r="J94" i="128"/>
  <c r="H94" i="128"/>
  <c r="D94" i="128"/>
  <c r="P93" i="128"/>
  <c r="N93" i="128"/>
  <c r="M93" i="128"/>
  <c r="L93" i="128"/>
  <c r="K93" i="128"/>
  <c r="J93" i="128"/>
  <c r="H93" i="128"/>
  <c r="D93" i="128"/>
  <c r="P92" i="128"/>
  <c r="N92" i="128"/>
  <c r="M92" i="128"/>
  <c r="L92" i="128"/>
  <c r="K92" i="128"/>
  <c r="J92" i="128"/>
  <c r="H92" i="128"/>
  <c r="D92" i="128"/>
  <c r="P91" i="128"/>
  <c r="N91" i="128"/>
  <c r="M91" i="128"/>
  <c r="L91" i="128"/>
  <c r="K91" i="128"/>
  <c r="J91" i="128"/>
  <c r="H91" i="128"/>
  <c r="D91" i="128"/>
  <c r="P90" i="128"/>
  <c r="N90" i="128"/>
  <c r="M90" i="128"/>
  <c r="L90" i="128"/>
  <c r="K90" i="128"/>
  <c r="J90" i="128"/>
  <c r="H90" i="128"/>
  <c r="D90" i="128"/>
  <c r="P89" i="128"/>
  <c r="N89" i="128"/>
  <c r="M89" i="128"/>
  <c r="L89" i="128"/>
  <c r="K89" i="128"/>
  <c r="J89" i="128"/>
  <c r="H89" i="128"/>
  <c r="D89" i="128"/>
  <c r="P21" i="235"/>
  <c r="Q21" i="235" s="1"/>
  <c r="N21" i="235"/>
  <c r="M21" i="235"/>
  <c r="L21" i="235"/>
  <c r="K21" i="235"/>
  <c r="J21" i="235"/>
  <c r="H21" i="235"/>
  <c r="G21" i="235"/>
  <c r="F21" i="235"/>
  <c r="D21" i="235"/>
  <c r="P21" i="234"/>
  <c r="Q21" i="234" s="1"/>
  <c r="N21" i="234"/>
  <c r="M21" i="234"/>
  <c r="L21" i="234"/>
  <c r="K21" i="234"/>
  <c r="J21" i="234"/>
  <c r="H21" i="234"/>
  <c r="G21" i="234"/>
  <c r="F21" i="234"/>
  <c r="D21" i="234"/>
  <c r="P25" i="233"/>
  <c r="Q25" i="233" s="1"/>
  <c r="N25" i="233"/>
  <c r="M25" i="233"/>
  <c r="L25" i="233"/>
  <c r="K25" i="233"/>
  <c r="J25" i="233"/>
  <c r="H25" i="233"/>
  <c r="D25" i="233"/>
  <c r="P24" i="233"/>
  <c r="Q24" i="233" s="1"/>
  <c r="N24" i="233"/>
  <c r="M24" i="233"/>
  <c r="L24" i="233"/>
  <c r="K24" i="233"/>
  <c r="J24" i="233"/>
  <c r="H24" i="233"/>
  <c r="D24" i="233"/>
  <c r="P23" i="233"/>
  <c r="Q23" i="233" s="1"/>
  <c r="N23" i="233"/>
  <c r="M23" i="233"/>
  <c r="L23" i="233"/>
  <c r="K23" i="233"/>
  <c r="J23" i="233"/>
  <c r="H23" i="233"/>
  <c r="D23" i="233"/>
  <c r="P22" i="233"/>
  <c r="Q22" i="233" s="1"/>
  <c r="N22" i="233"/>
  <c r="M22" i="233"/>
  <c r="L22" i="233"/>
  <c r="K22" i="233"/>
  <c r="J22" i="233"/>
  <c r="H22" i="233"/>
  <c r="D22" i="233"/>
  <c r="P21" i="233"/>
  <c r="Q21" i="233" s="1"/>
  <c r="N21" i="233"/>
  <c r="M21" i="233"/>
  <c r="L21" i="233"/>
  <c r="K21" i="233"/>
  <c r="J21" i="233"/>
  <c r="H21" i="233"/>
  <c r="D21" i="233"/>
  <c r="P35" i="232"/>
  <c r="Q35" i="232" s="1"/>
  <c r="N35" i="232"/>
  <c r="M35" i="232"/>
  <c r="L35" i="232"/>
  <c r="K35" i="232"/>
  <c r="J35" i="232"/>
  <c r="H35" i="232"/>
  <c r="D35" i="232"/>
  <c r="P34" i="232"/>
  <c r="Q34" i="232" s="1"/>
  <c r="N34" i="232"/>
  <c r="M34" i="232"/>
  <c r="L34" i="232"/>
  <c r="K34" i="232"/>
  <c r="J34" i="232"/>
  <c r="H34" i="232"/>
  <c r="D34" i="232"/>
  <c r="P33" i="232"/>
  <c r="Q33" i="232" s="1"/>
  <c r="N33" i="232"/>
  <c r="M33" i="232"/>
  <c r="L33" i="232"/>
  <c r="K33" i="232"/>
  <c r="J33" i="232"/>
  <c r="H33" i="232"/>
  <c r="D33" i="232"/>
  <c r="P56" i="236"/>
  <c r="Q56" i="236" s="1"/>
  <c r="N56" i="236"/>
  <c r="M56" i="236"/>
  <c r="L56" i="236"/>
  <c r="K56" i="236"/>
  <c r="J56" i="236"/>
  <c r="H56" i="236"/>
  <c r="D56" i="236"/>
  <c r="P47" i="83"/>
  <c r="Q47" i="83" s="1"/>
  <c r="N47" i="83"/>
  <c r="M47" i="83"/>
  <c r="L47" i="83"/>
  <c r="K47" i="83"/>
  <c r="J47" i="83"/>
  <c r="H47" i="83"/>
  <c r="D47" i="83"/>
  <c r="P46" i="83"/>
  <c r="Q46" i="83" s="1"/>
  <c r="N46" i="83"/>
  <c r="M46" i="83"/>
  <c r="L46" i="83"/>
  <c r="K46" i="83"/>
  <c r="J46" i="83"/>
  <c r="H46" i="83"/>
  <c r="D46" i="83"/>
  <c r="P45" i="83"/>
  <c r="N45" i="83"/>
  <c r="M45" i="83"/>
  <c r="L45" i="83"/>
  <c r="K45" i="83"/>
  <c r="J45" i="83"/>
  <c r="H45" i="83"/>
  <c r="D45" i="83"/>
  <c r="P44" i="83"/>
  <c r="N44" i="83"/>
  <c r="M44" i="83"/>
  <c r="L44" i="83"/>
  <c r="K44" i="83"/>
  <c r="J44" i="83"/>
  <c r="H44" i="83"/>
  <c r="D44" i="83"/>
  <c r="P43" i="83"/>
  <c r="N43" i="83"/>
  <c r="M43" i="83"/>
  <c r="L43" i="83"/>
  <c r="K43" i="83"/>
  <c r="J43" i="83"/>
  <c r="H43" i="83"/>
  <c r="D43" i="83"/>
  <c r="P42" i="83"/>
  <c r="N42" i="83"/>
  <c r="M42" i="83"/>
  <c r="L42" i="83"/>
  <c r="K42" i="83"/>
  <c r="J42" i="83"/>
  <c r="H42" i="83"/>
  <c r="D42" i="83"/>
  <c r="P41" i="83"/>
  <c r="N41" i="83"/>
  <c r="M41" i="83"/>
  <c r="L41" i="83"/>
  <c r="K41" i="83"/>
  <c r="J41" i="83"/>
  <c r="H41" i="83"/>
  <c r="D41" i="83"/>
  <c r="P40" i="83"/>
  <c r="N40" i="83"/>
  <c r="M40" i="83"/>
  <c r="L40" i="83"/>
  <c r="K40" i="83"/>
  <c r="J40" i="83"/>
  <c r="H40" i="83"/>
  <c r="D40" i="83"/>
  <c r="P39" i="83"/>
  <c r="N39" i="83"/>
  <c r="M39" i="83"/>
  <c r="L39" i="83"/>
  <c r="K39" i="83"/>
  <c r="J39" i="83"/>
  <c r="H39" i="83"/>
  <c r="D39" i="83"/>
  <c r="P18" i="93"/>
  <c r="N18" i="93"/>
  <c r="M18" i="93"/>
  <c r="L18" i="93"/>
  <c r="K18" i="93"/>
  <c r="J18" i="93"/>
  <c r="H18" i="93"/>
  <c r="D18" i="93"/>
  <c r="P19" i="135"/>
  <c r="N19" i="135"/>
  <c r="M19" i="135"/>
  <c r="L19" i="135"/>
  <c r="K19" i="135"/>
  <c r="J19" i="135"/>
  <c r="H19" i="135"/>
  <c r="D19" i="135"/>
  <c r="P18" i="135"/>
  <c r="N18" i="135"/>
  <c r="M18" i="135"/>
  <c r="L18" i="135"/>
  <c r="K18" i="135"/>
  <c r="J18" i="135"/>
  <c r="H18" i="135"/>
  <c r="D18" i="135"/>
  <c r="P46" i="123"/>
  <c r="N46" i="123"/>
  <c r="M46" i="123"/>
  <c r="L46" i="123"/>
  <c r="K46" i="123"/>
  <c r="J46" i="123"/>
  <c r="H46" i="123"/>
  <c r="D46" i="123"/>
  <c r="P45" i="123"/>
  <c r="N45" i="123"/>
  <c r="M45" i="123"/>
  <c r="L45" i="123"/>
  <c r="K45" i="123"/>
  <c r="J45" i="123"/>
  <c r="H45" i="123"/>
  <c r="D45" i="123"/>
  <c r="P33" i="171"/>
  <c r="N33" i="171"/>
  <c r="M33" i="171"/>
  <c r="L33" i="171"/>
  <c r="K33" i="171"/>
  <c r="J33" i="171"/>
  <c r="H33" i="171"/>
  <c r="D33" i="171"/>
  <c r="P40" i="211"/>
  <c r="Q40" i="211" s="1"/>
  <c r="N40" i="211"/>
  <c r="M40" i="211"/>
  <c r="L40" i="211"/>
  <c r="K40" i="211"/>
  <c r="J40" i="211"/>
  <c r="H40" i="211"/>
  <c r="D40" i="211"/>
  <c r="P39" i="211"/>
  <c r="Q39" i="211" s="1"/>
  <c r="N39" i="211"/>
  <c r="M39" i="211"/>
  <c r="L39" i="211"/>
  <c r="K39" i="211"/>
  <c r="J39" i="211"/>
  <c r="H39" i="211"/>
  <c r="D39" i="211"/>
  <c r="P38" i="211"/>
  <c r="Q38" i="211" s="1"/>
  <c r="N38" i="211"/>
  <c r="M38" i="211"/>
  <c r="L38" i="211"/>
  <c r="K38" i="211"/>
  <c r="J38" i="211"/>
  <c r="H38" i="211"/>
  <c r="D38" i="211"/>
  <c r="P37" i="211"/>
  <c r="Q37" i="211" s="1"/>
  <c r="N37" i="211"/>
  <c r="M37" i="211"/>
  <c r="L37" i="211"/>
  <c r="K37" i="211"/>
  <c r="J37" i="211"/>
  <c r="H37" i="211"/>
  <c r="D37" i="211"/>
  <c r="P36" i="211"/>
  <c r="Q36" i="211" s="1"/>
  <c r="N36" i="211"/>
  <c r="M36" i="211"/>
  <c r="L36" i="211"/>
  <c r="K36" i="211"/>
  <c r="J36" i="211"/>
  <c r="H36" i="211"/>
  <c r="D36" i="211"/>
  <c r="P35" i="211"/>
  <c r="Q35" i="211" s="1"/>
  <c r="N35" i="211"/>
  <c r="M35" i="211"/>
  <c r="L35" i="211"/>
  <c r="K35" i="211"/>
  <c r="J35" i="211"/>
  <c r="H35" i="211"/>
  <c r="D35" i="211"/>
  <c r="P34" i="211"/>
  <c r="Q34" i="211" s="1"/>
  <c r="N34" i="211"/>
  <c r="M34" i="211"/>
  <c r="L34" i="211"/>
  <c r="K34" i="211"/>
  <c r="J34" i="211"/>
  <c r="H34" i="211"/>
  <c r="D34" i="211"/>
  <c r="P33" i="211"/>
  <c r="Q33" i="211" s="1"/>
  <c r="N33" i="211"/>
  <c r="M33" i="211"/>
  <c r="L33" i="211"/>
  <c r="K33" i="211"/>
  <c r="J33" i="211"/>
  <c r="H33" i="211"/>
  <c r="D33" i="211"/>
  <c r="P32" i="211"/>
  <c r="Q32" i="211" s="1"/>
  <c r="N32" i="211"/>
  <c r="M32" i="211"/>
  <c r="L32" i="211"/>
  <c r="K32" i="211"/>
  <c r="J32" i="211"/>
  <c r="H32" i="211"/>
  <c r="D32" i="211"/>
  <c r="P31" i="211"/>
  <c r="Q31" i="211" s="1"/>
  <c r="N31" i="211"/>
  <c r="M31" i="211"/>
  <c r="L31" i="211"/>
  <c r="K31" i="211"/>
  <c r="J31" i="211"/>
  <c r="H31" i="211"/>
  <c r="D31" i="211"/>
  <c r="P30" i="211"/>
  <c r="Q30" i="211" s="1"/>
  <c r="N30" i="211"/>
  <c r="M30" i="211"/>
  <c r="L30" i="211"/>
  <c r="K30" i="211"/>
  <c r="J30" i="211"/>
  <c r="H30" i="211"/>
  <c r="D30" i="211"/>
  <c r="P29" i="211"/>
  <c r="Q29" i="211" s="1"/>
  <c r="N29" i="211"/>
  <c r="M29" i="211"/>
  <c r="L29" i="211"/>
  <c r="K29" i="211"/>
  <c r="J29" i="211"/>
  <c r="H29" i="211"/>
  <c r="D29" i="211"/>
  <c r="P28" i="211"/>
  <c r="Q28" i="211" s="1"/>
  <c r="N28" i="211"/>
  <c r="M28" i="211"/>
  <c r="L28" i="211"/>
  <c r="K28" i="211"/>
  <c r="J28" i="211"/>
  <c r="H28" i="211"/>
  <c r="D28" i="211"/>
  <c r="P27" i="211"/>
  <c r="Q27" i="211" s="1"/>
  <c r="N27" i="211"/>
  <c r="M27" i="211"/>
  <c r="L27" i="211"/>
  <c r="K27" i="211"/>
  <c r="J27" i="211"/>
  <c r="H27" i="211"/>
  <c r="D27" i="211"/>
  <c r="P26" i="211"/>
  <c r="Q26" i="211" s="1"/>
  <c r="N26" i="211"/>
  <c r="M26" i="211"/>
  <c r="L26" i="211"/>
  <c r="K26" i="211"/>
  <c r="J26" i="211"/>
  <c r="H26" i="211"/>
  <c r="D26" i="211"/>
  <c r="P25" i="211"/>
  <c r="Q25" i="211" s="1"/>
  <c r="N25" i="211"/>
  <c r="M25" i="211"/>
  <c r="L25" i="211"/>
  <c r="K25" i="211"/>
  <c r="J25" i="211"/>
  <c r="H25" i="211"/>
  <c r="D25" i="211"/>
  <c r="P24" i="211"/>
  <c r="Q24" i="211" s="1"/>
  <c r="N24" i="211"/>
  <c r="M24" i="211"/>
  <c r="L24" i="211"/>
  <c r="K24" i="211"/>
  <c r="J24" i="211"/>
  <c r="H24" i="211"/>
  <c r="D24" i="211"/>
  <c r="P21" i="212"/>
  <c r="Q21" i="212" s="1"/>
  <c r="N21" i="212"/>
  <c r="M21" i="212"/>
  <c r="L21" i="212"/>
  <c r="K21" i="212"/>
  <c r="J21" i="212"/>
  <c r="H21" i="212"/>
  <c r="D21" i="212"/>
  <c r="P20" i="212"/>
  <c r="Q20" i="212" s="1"/>
  <c r="N20" i="212"/>
  <c r="M20" i="212"/>
  <c r="L20" i="212"/>
  <c r="K20" i="212"/>
  <c r="J20" i="212"/>
  <c r="H20" i="212"/>
  <c r="D20" i="212"/>
  <c r="P19" i="212"/>
  <c r="Q19" i="212" s="1"/>
  <c r="N19" i="212"/>
  <c r="M19" i="212"/>
  <c r="L19" i="212"/>
  <c r="K19" i="212"/>
  <c r="J19" i="212"/>
  <c r="H19" i="212"/>
  <c r="D19" i="212"/>
  <c r="P24" i="106"/>
  <c r="N24" i="106"/>
  <c r="M24" i="106"/>
  <c r="L24" i="106"/>
  <c r="K24" i="106"/>
  <c r="J24" i="106"/>
  <c r="H24" i="106"/>
  <c r="G24" i="106"/>
  <c r="F24" i="106"/>
  <c r="D24" i="106"/>
  <c r="P23" i="106"/>
  <c r="N23" i="106"/>
  <c r="M23" i="106"/>
  <c r="L23" i="106"/>
  <c r="K23" i="106"/>
  <c r="J23" i="106"/>
  <c r="H23" i="106"/>
  <c r="G23" i="106"/>
  <c r="F23" i="106"/>
  <c r="D23" i="106"/>
  <c r="P20" i="50"/>
  <c r="N20" i="50"/>
  <c r="M20" i="50"/>
  <c r="L20" i="50"/>
  <c r="K20" i="50"/>
  <c r="J20" i="50"/>
  <c r="H20" i="50"/>
  <c r="D20" i="50"/>
  <c r="P19" i="50"/>
  <c r="N19" i="50"/>
  <c r="M19" i="50"/>
  <c r="L19" i="50"/>
  <c r="K19" i="50"/>
  <c r="J19" i="50"/>
  <c r="H19" i="50"/>
  <c r="D19" i="50"/>
  <c r="C234" i="29"/>
  <c r="C231" i="29"/>
  <c r="C223" i="29"/>
  <c r="C281" i="29"/>
  <c r="C274" i="29"/>
  <c r="C264" i="29"/>
  <c r="C263" i="29"/>
  <c r="C394" i="29"/>
  <c r="C298" i="29"/>
  <c r="C291" i="29"/>
  <c r="C285" i="29"/>
  <c r="K8" i="227"/>
  <c r="L8" i="227"/>
  <c r="M8" i="227"/>
  <c r="N8" i="227"/>
  <c r="P8" i="227"/>
  <c r="Q8" i="227" s="1"/>
  <c r="D8" i="227"/>
  <c r="K9" i="54"/>
  <c r="L9" i="54"/>
  <c r="M9" i="54"/>
  <c r="N9" i="54"/>
  <c r="P9" i="54"/>
  <c r="Q9" i="54" s="1"/>
  <c r="D9" i="54"/>
  <c r="K18" i="106"/>
  <c r="L18" i="106"/>
  <c r="M18" i="106"/>
  <c r="N18" i="106"/>
  <c r="K16" i="106"/>
  <c r="L16" i="106"/>
  <c r="M16" i="106"/>
  <c r="N16" i="106"/>
  <c r="K17" i="106"/>
  <c r="L17" i="106"/>
  <c r="M17" i="106"/>
  <c r="N17" i="106"/>
  <c r="K36" i="236"/>
  <c r="L36" i="236"/>
  <c r="M36" i="236"/>
  <c r="N36" i="236"/>
  <c r="K35" i="236"/>
  <c r="L35" i="236"/>
  <c r="M35" i="236"/>
  <c r="N35" i="236"/>
  <c r="K34" i="236"/>
  <c r="L34" i="236"/>
  <c r="M34" i="236"/>
  <c r="N34" i="236"/>
  <c r="K33" i="236"/>
  <c r="L33" i="236"/>
  <c r="M33" i="236"/>
  <c r="N33" i="236"/>
  <c r="K32" i="236"/>
  <c r="L32" i="236"/>
  <c r="M32" i="236"/>
  <c r="N32" i="236"/>
  <c r="K26" i="236"/>
  <c r="L26" i="236"/>
  <c r="M26" i="236"/>
  <c r="N26" i="236"/>
  <c r="Q5" i="236"/>
  <c r="K12" i="234"/>
  <c r="L12" i="234"/>
  <c r="M12" i="234"/>
  <c r="N12" i="234"/>
  <c r="K12" i="235"/>
  <c r="L12" i="235"/>
  <c r="M12" i="235"/>
  <c r="N12" i="235"/>
  <c r="K24" i="2"/>
  <c r="L24" i="2"/>
  <c r="M24" i="2"/>
  <c r="N24" i="2"/>
  <c r="K23" i="2"/>
  <c r="L23" i="2"/>
  <c r="M23" i="2"/>
  <c r="N23" i="2"/>
  <c r="K22" i="2"/>
  <c r="L22" i="2"/>
  <c r="M22" i="2"/>
  <c r="N22" i="2"/>
  <c r="K5" i="244"/>
  <c r="L5" i="244"/>
  <c r="M5" i="244"/>
  <c r="N5" i="244"/>
  <c r="K6" i="244"/>
  <c r="L6" i="244"/>
  <c r="M6" i="244"/>
  <c r="N6" i="244"/>
  <c r="K7" i="244"/>
  <c r="L7" i="244"/>
  <c r="M7" i="244"/>
  <c r="N7" i="244"/>
  <c r="K8" i="244"/>
  <c r="L8" i="244"/>
  <c r="M8" i="244"/>
  <c r="N8" i="244"/>
  <c r="K9" i="244"/>
  <c r="L9" i="244"/>
  <c r="M9" i="244"/>
  <c r="N9" i="244"/>
  <c r="K10" i="244"/>
  <c r="L10" i="244"/>
  <c r="M10" i="244"/>
  <c r="N10" i="244"/>
  <c r="K19" i="107"/>
  <c r="L19" i="107"/>
  <c r="M19" i="107"/>
  <c r="N19" i="107"/>
  <c r="K18" i="107"/>
  <c r="L18" i="107"/>
  <c r="M18" i="107"/>
  <c r="N18" i="107"/>
  <c r="K17" i="107"/>
  <c r="L17" i="107"/>
  <c r="M17" i="107"/>
  <c r="N17" i="107"/>
  <c r="K16" i="107"/>
  <c r="L16" i="107"/>
  <c r="M16" i="107"/>
  <c r="N16" i="107"/>
  <c r="K15" i="107"/>
  <c r="L15" i="107"/>
  <c r="M15" i="107"/>
  <c r="N15" i="107"/>
  <c r="K14" i="107"/>
  <c r="L14" i="107"/>
  <c r="M14" i="107"/>
  <c r="N14" i="107"/>
  <c r="K13" i="107"/>
  <c r="L13" i="107"/>
  <c r="M13" i="107"/>
  <c r="N13" i="107"/>
  <c r="K12" i="107"/>
  <c r="L12" i="107"/>
  <c r="M12" i="107"/>
  <c r="N12" i="107"/>
  <c r="K11" i="107"/>
  <c r="L11" i="107"/>
  <c r="M11" i="107"/>
  <c r="N11" i="107"/>
  <c r="K10" i="107"/>
  <c r="L10" i="107"/>
  <c r="M10" i="107"/>
  <c r="N10" i="107"/>
  <c r="K9" i="107"/>
  <c r="L9" i="107"/>
  <c r="M9" i="107"/>
  <c r="N9" i="107"/>
  <c r="K8" i="107"/>
  <c r="L8" i="107"/>
  <c r="M8" i="107"/>
  <c r="N8" i="107"/>
  <c r="K7" i="107"/>
  <c r="L7" i="107"/>
  <c r="M7" i="107"/>
  <c r="N7" i="107"/>
  <c r="K6" i="107"/>
  <c r="L6" i="107"/>
  <c r="M6" i="107"/>
  <c r="N6" i="107"/>
  <c r="K5" i="107"/>
  <c r="L5" i="107"/>
  <c r="M5" i="107"/>
  <c r="N5" i="107"/>
  <c r="K18" i="108"/>
  <c r="L18" i="108"/>
  <c r="M18" i="108"/>
  <c r="N18" i="108"/>
  <c r="K17" i="108"/>
  <c r="L17" i="108"/>
  <c r="M17" i="108"/>
  <c r="N17" i="108"/>
  <c r="K16" i="108"/>
  <c r="L16" i="108"/>
  <c r="M16" i="108"/>
  <c r="N16" i="108"/>
  <c r="K15" i="108"/>
  <c r="L15" i="108"/>
  <c r="M15" i="108"/>
  <c r="N15" i="108"/>
  <c r="K14" i="108"/>
  <c r="L14" i="108"/>
  <c r="M14" i="108"/>
  <c r="N14" i="108"/>
  <c r="K13" i="108"/>
  <c r="L13" i="108"/>
  <c r="M13" i="108"/>
  <c r="N13" i="108"/>
  <c r="K12" i="108"/>
  <c r="L12" i="108"/>
  <c r="M12" i="108"/>
  <c r="N12" i="108"/>
  <c r="K11" i="108"/>
  <c r="L11" i="108"/>
  <c r="M11" i="108"/>
  <c r="N11" i="108"/>
  <c r="K10" i="108"/>
  <c r="L10" i="108"/>
  <c r="M10" i="108"/>
  <c r="N10" i="108"/>
  <c r="K9" i="108"/>
  <c r="L9" i="108"/>
  <c r="M9" i="108"/>
  <c r="N9" i="108"/>
  <c r="K8" i="108"/>
  <c r="L8" i="108"/>
  <c r="M8" i="108"/>
  <c r="N8" i="108"/>
  <c r="K7" i="108"/>
  <c r="L7" i="108"/>
  <c r="M7" i="108"/>
  <c r="N7" i="108"/>
  <c r="K5" i="160"/>
  <c r="L5" i="160"/>
  <c r="M5" i="160"/>
  <c r="N5" i="160"/>
  <c r="K18" i="240"/>
  <c r="L18" i="240"/>
  <c r="M18" i="240"/>
  <c r="N18" i="240"/>
  <c r="K17" i="240"/>
  <c r="L17" i="240"/>
  <c r="M17" i="240"/>
  <c r="N17" i="240"/>
  <c r="K16" i="240"/>
  <c r="L16" i="240"/>
  <c r="M16" i="240"/>
  <c r="N16" i="240"/>
  <c r="K15" i="240"/>
  <c r="L15" i="240"/>
  <c r="M15" i="240"/>
  <c r="N15" i="240"/>
  <c r="K14" i="240"/>
  <c r="L14" i="240"/>
  <c r="M14" i="240"/>
  <c r="N14" i="240"/>
  <c r="K13" i="240"/>
  <c r="L13" i="240"/>
  <c r="M13" i="240"/>
  <c r="N13" i="240"/>
  <c r="K12" i="240"/>
  <c r="L12" i="240"/>
  <c r="M12" i="240"/>
  <c r="N12" i="240"/>
  <c r="K11" i="240"/>
  <c r="L11" i="240"/>
  <c r="M11" i="240"/>
  <c r="N11" i="240"/>
  <c r="K10" i="240"/>
  <c r="L10" i="240"/>
  <c r="M10" i="240"/>
  <c r="N10" i="240"/>
  <c r="K9" i="240"/>
  <c r="L9" i="240"/>
  <c r="M9" i="240"/>
  <c r="N9" i="240"/>
  <c r="K5" i="242"/>
  <c r="L5" i="242"/>
  <c r="M5" i="242"/>
  <c r="N5" i="242"/>
  <c r="K11" i="241"/>
  <c r="L11" i="241"/>
  <c r="M11" i="241"/>
  <c r="N11" i="241"/>
  <c r="K10" i="241"/>
  <c r="L10" i="241"/>
  <c r="M10" i="241"/>
  <c r="N10" i="241"/>
  <c r="K9" i="241"/>
  <c r="L9" i="241"/>
  <c r="M9" i="241"/>
  <c r="N9" i="241"/>
  <c r="K15" i="161"/>
  <c r="L15" i="161"/>
  <c r="M15" i="161"/>
  <c r="N15" i="161"/>
  <c r="K14" i="161"/>
  <c r="L14" i="161"/>
  <c r="M14" i="161"/>
  <c r="N14" i="161"/>
  <c r="K13" i="161"/>
  <c r="L13" i="161"/>
  <c r="M13" i="161"/>
  <c r="N13" i="161"/>
  <c r="K12" i="161"/>
  <c r="L12" i="161"/>
  <c r="M12" i="161"/>
  <c r="N12" i="161"/>
  <c r="K11" i="161"/>
  <c r="L11" i="161"/>
  <c r="M11" i="161"/>
  <c r="N11" i="161"/>
  <c r="K10" i="161"/>
  <c r="L10" i="161"/>
  <c r="M10" i="161"/>
  <c r="N10" i="161"/>
  <c r="K9" i="161"/>
  <c r="L9" i="161"/>
  <c r="M9" i="161"/>
  <c r="N9" i="161"/>
  <c r="K5" i="237"/>
  <c r="L5" i="237"/>
  <c r="M5" i="237"/>
  <c r="N5" i="237"/>
  <c r="K11" i="238"/>
  <c r="L11" i="238"/>
  <c r="M11" i="238"/>
  <c r="N11" i="238"/>
  <c r="K10" i="238"/>
  <c r="L10" i="238"/>
  <c r="M10" i="238"/>
  <c r="N10" i="238"/>
  <c r="K9" i="238"/>
  <c r="L9" i="238"/>
  <c r="M9" i="238"/>
  <c r="N9" i="238"/>
  <c r="K11" i="239"/>
  <c r="L11" i="239"/>
  <c r="M11" i="239"/>
  <c r="N11" i="239"/>
  <c r="K10" i="239"/>
  <c r="L10" i="239"/>
  <c r="M10" i="239"/>
  <c r="N10" i="239"/>
  <c r="P10" i="239"/>
  <c r="Q10" i="239" s="1"/>
  <c r="K9" i="239"/>
  <c r="L9" i="239"/>
  <c r="M9" i="239"/>
  <c r="N9" i="239"/>
  <c r="P9" i="239"/>
  <c r="Q9" i="239" s="1"/>
  <c r="K11" i="126"/>
  <c r="L11" i="126"/>
  <c r="M11" i="126"/>
  <c r="N11" i="126"/>
  <c r="K10" i="126"/>
  <c r="L10" i="126"/>
  <c r="M10" i="126"/>
  <c r="N10" i="126"/>
  <c r="K9" i="126"/>
  <c r="L9" i="126"/>
  <c r="M9" i="126"/>
  <c r="N9" i="126"/>
  <c r="K8" i="126"/>
  <c r="L8" i="126"/>
  <c r="M8" i="126"/>
  <c r="N8" i="126"/>
  <c r="K7" i="126"/>
  <c r="L7" i="126"/>
  <c r="M7" i="126"/>
  <c r="N7" i="126"/>
  <c r="K6" i="126"/>
  <c r="L6" i="126"/>
  <c r="M6" i="126"/>
  <c r="N6" i="126"/>
  <c r="K5" i="126"/>
  <c r="L5" i="126"/>
  <c r="M5" i="126"/>
  <c r="N5" i="126"/>
  <c r="K11" i="125"/>
  <c r="L11" i="125"/>
  <c r="M11" i="125"/>
  <c r="N11" i="125"/>
  <c r="K10" i="125"/>
  <c r="L10" i="125"/>
  <c r="M10" i="125"/>
  <c r="N10" i="125"/>
  <c r="K9" i="125"/>
  <c r="L9" i="125"/>
  <c r="M9" i="125"/>
  <c r="N9" i="125"/>
  <c r="K8" i="125"/>
  <c r="L8" i="125"/>
  <c r="M8" i="125"/>
  <c r="N8" i="125"/>
  <c r="K7" i="125"/>
  <c r="L7" i="125"/>
  <c r="M7" i="125"/>
  <c r="N7" i="125"/>
  <c r="K6" i="125"/>
  <c r="L6" i="125"/>
  <c r="M6" i="125"/>
  <c r="N6" i="125"/>
  <c r="K5" i="125"/>
  <c r="L5" i="125"/>
  <c r="M5" i="125"/>
  <c r="N5" i="125"/>
  <c r="K16" i="243"/>
  <c r="L16" i="243"/>
  <c r="M16" i="243"/>
  <c r="N16" i="243"/>
  <c r="K15" i="243"/>
  <c r="L15" i="243"/>
  <c r="M15" i="243"/>
  <c r="N15" i="243"/>
  <c r="K13" i="243"/>
  <c r="L13" i="243"/>
  <c r="M13" i="243"/>
  <c r="N13" i="243"/>
  <c r="K14" i="243"/>
  <c r="L14" i="243"/>
  <c r="M14" i="243"/>
  <c r="N14" i="243"/>
  <c r="K12" i="243"/>
  <c r="L12" i="243"/>
  <c r="M12" i="243"/>
  <c r="N12" i="243"/>
  <c r="K11" i="243"/>
  <c r="L11" i="243"/>
  <c r="M11" i="243"/>
  <c r="N11" i="243"/>
  <c r="K10" i="243"/>
  <c r="L10" i="243"/>
  <c r="M10" i="243"/>
  <c r="N10" i="243"/>
  <c r="K8" i="243"/>
  <c r="L8" i="243"/>
  <c r="M8" i="243"/>
  <c r="N8" i="243"/>
  <c r="K7" i="243"/>
  <c r="L7" i="243"/>
  <c r="M7" i="243"/>
  <c r="N7" i="243"/>
  <c r="K9" i="292"/>
  <c r="L9" i="292"/>
  <c r="M9" i="292"/>
  <c r="N9" i="292"/>
  <c r="K26" i="47"/>
  <c r="L26" i="47"/>
  <c r="M26" i="47"/>
  <c r="N26" i="47"/>
  <c r="K25" i="47"/>
  <c r="L25" i="47"/>
  <c r="M25" i="47"/>
  <c r="N25" i="47"/>
  <c r="K24" i="47"/>
  <c r="L24" i="47"/>
  <c r="M24" i="47"/>
  <c r="N24" i="47"/>
  <c r="K7" i="54"/>
  <c r="L7" i="54"/>
  <c r="M7" i="54"/>
  <c r="N7" i="54"/>
  <c r="K8" i="54"/>
  <c r="L8" i="54"/>
  <c r="M8" i="54"/>
  <c r="N8" i="54"/>
  <c r="K12" i="55"/>
  <c r="L12" i="55"/>
  <c r="M12" i="55"/>
  <c r="N12" i="55"/>
  <c r="K11" i="55"/>
  <c r="L11" i="55"/>
  <c r="M11" i="55"/>
  <c r="N11" i="55"/>
  <c r="K7" i="56"/>
  <c r="L7" i="56"/>
  <c r="M7" i="56"/>
  <c r="N7" i="56"/>
  <c r="K9" i="57"/>
  <c r="L9" i="57"/>
  <c r="M9" i="57"/>
  <c r="N9" i="57"/>
  <c r="K8" i="57"/>
  <c r="L8" i="57"/>
  <c r="M8" i="57"/>
  <c r="N8" i="57"/>
  <c r="K7" i="57"/>
  <c r="L7" i="57"/>
  <c r="M7" i="57"/>
  <c r="N7" i="57"/>
  <c r="K10" i="58"/>
  <c r="L10" i="58"/>
  <c r="M10" i="58"/>
  <c r="N10" i="58"/>
  <c r="K9" i="58"/>
  <c r="L9" i="58"/>
  <c r="M9" i="58"/>
  <c r="N9" i="58"/>
  <c r="K8" i="58"/>
  <c r="L8" i="58"/>
  <c r="M8" i="58"/>
  <c r="N8" i="58"/>
  <c r="K12" i="59"/>
  <c r="L12" i="59"/>
  <c r="M12" i="59"/>
  <c r="N12" i="59"/>
  <c r="K11" i="59"/>
  <c r="L11" i="59"/>
  <c r="M11" i="59"/>
  <c r="N11" i="59"/>
  <c r="K10" i="59"/>
  <c r="L10" i="59"/>
  <c r="M10" i="59"/>
  <c r="N10" i="59"/>
  <c r="K9" i="59"/>
  <c r="L9" i="59"/>
  <c r="M9" i="59"/>
  <c r="N9" i="59"/>
  <c r="K12" i="60"/>
  <c r="L12" i="60"/>
  <c r="M12" i="60"/>
  <c r="N12" i="60"/>
  <c r="K11" i="60"/>
  <c r="L11" i="60"/>
  <c r="M11" i="60"/>
  <c r="N11" i="60"/>
  <c r="K27" i="61"/>
  <c r="L27" i="61"/>
  <c r="M27" i="61"/>
  <c r="N27" i="61"/>
  <c r="K26" i="61"/>
  <c r="L26" i="61"/>
  <c r="M26" i="61"/>
  <c r="N26" i="61"/>
  <c r="K25" i="61"/>
  <c r="L25" i="61"/>
  <c r="M25" i="61"/>
  <c r="N25" i="61"/>
  <c r="K24" i="61"/>
  <c r="L24" i="61"/>
  <c r="M24" i="61"/>
  <c r="N24" i="61"/>
  <c r="K23" i="61"/>
  <c r="L23" i="61"/>
  <c r="M23" i="61"/>
  <c r="N23" i="61"/>
  <c r="K22" i="61"/>
  <c r="L22" i="61"/>
  <c r="M22" i="61"/>
  <c r="N22" i="61"/>
  <c r="K21" i="61"/>
  <c r="L21" i="61"/>
  <c r="M21" i="61"/>
  <c r="N21" i="61"/>
  <c r="K20" i="61"/>
  <c r="L20" i="61"/>
  <c r="M20" i="61"/>
  <c r="N20" i="61"/>
  <c r="K19" i="61"/>
  <c r="L19" i="61"/>
  <c r="M19" i="61"/>
  <c r="N19" i="61"/>
  <c r="K18" i="61"/>
  <c r="L18" i="61"/>
  <c r="M18" i="61"/>
  <c r="N18" i="61"/>
  <c r="K17" i="61"/>
  <c r="L17" i="61"/>
  <c r="M17" i="61"/>
  <c r="N17" i="61"/>
  <c r="K16" i="61"/>
  <c r="L16" i="61"/>
  <c r="M16" i="61"/>
  <c r="N16" i="61"/>
  <c r="K15" i="61"/>
  <c r="L15" i="61"/>
  <c r="M15" i="61"/>
  <c r="N15" i="61"/>
  <c r="K6" i="62"/>
  <c r="L6" i="62"/>
  <c r="M6" i="62"/>
  <c r="N6" i="62"/>
  <c r="K5" i="62"/>
  <c r="L5" i="62"/>
  <c r="M5" i="62"/>
  <c r="N5" i="62"/>
  <c r="K10" i="63"/>
  <c r="L10" i="63"/>
  <c r="M10" i="63"/>
  <c r="N10" i="63"/>
  <c r="K9" i="63"/>
  <c r="L9" i="63"/>
  <c r="M9" i="63"/>
  <c r="N9" i="63"/>
  <c r="K8" i="63"/>
  <c r="L8" i="63"/>
  <c r="M8" i="63"/>
  <c r="N8" i="63"/>
  <c r="K7" i="63"/>
  <c r="L7" i="63"/>
  <c r="M7" i="63"/>
  <c r="N7" i="63"/>
  <c r="K6" i="76"/>
  <c r="L6" i="76"/>
  <c r="M6" i="76"/>
  <c r="N6" i="76"/>
  <c r="K5" i="76"/>
  <c r="L5" i="76"/>
  <c r="M5" i="76"/>
  <c r="N5" i="76"/>
  <c r="K9" i="81"/>
  <c r="L9" i="81"/>
  <c r="M9" i="81"/>
  <c r="N9" i="81"/>
  <c r="P9" i="81"/>
  <c r="Q9" i="81" s="1"/>
  <c r="D9" i="81"/>
  <c r="K8" i="81"/>
  <c r="L8" i="81"/>
  <c r="M8" i="81"/>
  <c r="N8" i="81"/>
  <c r="K7" i="81"/>
  <c r="L7" i="81"/>
  <c r="M7" i="81"/>
  <c r="N7" i="81"/>
  <c r="K19" i="48"/>
  <c r="L19" i="48"/>
  <c r="M19" i="48"/>
  <c r="N19" i="48"/>
  <c r="K18" i="48"/>
  <c r="L18" i="48"/>
  <c r="M18" i="48"/>
  <c r="N18" i="48"/>
  <c r="K17" i="48"/>
  <c r="L17" i="48"/>
  <c r="M17" i="48"/>
  <c r="N17" i="48"/>
  <c r="K16" i="48"/>
  <c r="L16" i="48"/>
  <c r="M16" i="48"/>
  <c r="N16" i="48"/>
  <c r="K15" i="48"/>
  <c r="L15" i="48"/>
  <c r="M15" i="48"/>
  <c r="N15" i="48"/>
  <c r="K11" i="64"/>
  <c r="L11" i="64"/>
  <c r="M11" i="64"/>
  <c r="N11" i="64"/>
  <c r="K11" i="65"/>
  <c r="L11" i="65"/>
  <c r="M11" i="65"/>
  <c r="N11" i="65"/>
  <c r="K9" i="66"/>
  <c r="L9" i="66"/>
  <c r="M9" i="66"/>
  <c r="N9" i="66"/>
  <c r="K8" i="66"/>
  <c r="L8" i="66"/>
  <c r="M8" i="66"/>
  <c r="N8" i="66"/>
  <c r="K38" i="49"/>
  <c r="L38" i="49"/>
  <c r="M38" i="49"/>
  <c r="N38" i="49"/>
  <c r="K37" i="49"/>
  <c r="L37" i="49"/>
  <c r="M37" i="49"/>
  <c r="N37" i="49"/>
  <c r="K36" i="49"/>
  <c r="L36" i="49"/>
  <c r="M36" i="49"/>
  <c r="N36" i="49"/>
  <c r="K35" i="49"/>
  <c r="L35" i="49"/>
  <c r="M35" i="49"/>
  <c r="N35" i="49"/>
  <c r="K34" i="49"/>
  <c r="L34" i="49"/>
  <c r="M34" i="49"/>
  <c r="N34" i="49"/>
  <c r="K33" i="49"/>
  <c r="L33" i="49"/>
  <c r="M33" i="49"/>
  <c r="N33" i="49"/>
  <c r="K32" i="49"/>
  <c r="L32" i="49"/>
  <c r="M32" i="49"/>
  <c r="N32" i="49"/>
  <c r="K31" i="49"/>
  <c r="L31" i="49"/>
  <c r="M31" i="49"/>
  <c r="N31" i="49"/>
  <c r="K30" i="49"/>
  <c r="L30" i="49"/>
  <c r="M30" i="49"/>
  <c r="N30" i="49"/>
  <c r="K29" i="49"/>
  <c r="L29" i="49"/>
  <c r="M29" i="49"/>
  <c r="N29" i="49"/>
  <c r="K28" i="49"/>
  <c r="L28" i="49"/>
  <c r="M28" i="49"/>
  <c r="N28" i="49"/>
  <c r="K27" i="49"/>
  <c r="L27" i="49"/>
  <c r="M27" i="49"/>
  <c r="N27" i="49"/>
  <c r="K26" i="49"/>
  <c r="L26" i="49"/>
  <c r="M26" i="49"/>
  <c r="N26" i="49"/>
  <c r="K25" i="49"/>
  <c r="L25" i="49"/>
  <c r="M25" i="49"/>
  <c r="N25" i="49"/>
  <c r="K24" i="49"/>
  <c r="L24" i="49"/>
  <c r="M24" i="49"/>
  <c r="N24" i="49"/>
  <c r="K10" i="67"/>
  <c r="L10" i="67"/>
  <c r="M10" i="67"/>
  <c r="N10" i="67"/>
  <c r="K9" i="67"/>
  <c r="L9" i="67"/>
  <c r="M9" i="67"/>
  <c r="N9" i="67"/>
  <c r="K8" i="67"/>
  <c r="L8" i="67"/>
  <c r="M8" i="67"/>
  <c r="N8" i="67"/>
  <c r="K7" i="67"/>
  <c r="L7" i="67"/>
  <c r="M7" i="67"/>
  <c r="N7" i="67"/>
  <c r="K11" i="68"/>
  <c r="L11" i="68"/>
  <c r="M11" i="68"/>
  <c r="N11" i="68"/>
  <c r="K10" i="68"/>
  <c r="L10" i="68"/>
  <c r="M10" i="68"/>
  <c r="N10" i="68"/>
  <c r="K9" i="68"/>
  <c r="L9" i="68"/>
  <c r="M9" i="68"/>
  <c r="N9" i="68"/>
  <c r="K8" i="68"/>
  <c r="L8" i="68"/>
  <c r="M8" i="68"/>
  <c r="N8" i="68"/>
  <c r="K8" i="71"/>
  <c r="L8" i="71"/>
  <c r="M8" i="71"/>
  <c r="N8" i="71"/>
  <c r="K7" i="71"/>
  <c r="L7" i="71"/>
  <c r="M7" i="71"/>
  <c r="N7" i="71"/>
  <c r="K6" i="72"/>
  <c r="L6" i="72"/>
  <c r="M6" i="72"/>
  <c r="N6" i="72"/>
  <c r="K5" i="72"/>
  <c r="L5" i="72"/>
  <c r="M5" i="72"/>
  <c r="N5" i="72"/>
  <c r="K8" i="119"/>
  <c r="L8" i="119"/>
  <c r="M8" i="119"/>
  <c r="N8" i="119"/>
  <c r="K7" i="119"/>
  <c r="L7" i="119"/>
  <c r="M7" i="119"/>
  <c r="N7" i="119"/>
  <c r="K14" i="50"/>
  <c r="L14" i="50"/>
  <c r="M14" i="50"/>
  <c r="N14" i="50"/>
  <c r="K13" i="50"/>
  <c r="L13" i="50"/>
  <c r="M13" i="50"/>
  <c r="N13" i="50"/>
  <c r="K12" i="50"/>
  <c r="L12" i="50"/>
  <c r="M12" i="50"/>
  <c r="N12" i="50"/>
  <c r="K11" i="50"/>
  <c r="L11" i="50"/>
  <c r="M11" i="50"/>
  <c r="N11" i="50"/>
  <c r="K9" i="80"/>
  <c r="L9" i="80"/>
  <c r="M9" i="80"/>
  <c r="N9" i="80"/>
  <c r="K8" i="80"/>
  <c r="L8" i="80"/>
  <c r="M8" i="80"/>
  <c r="N8" i="80"/>
  <c r="K7" i="80"/>
  <c r="L7" i="80"/>
  <c r="M7" i="80"/>
  <c r="N7" i="80"/>
  <c r="K6" i="260"/>
  <c r="L6" i="260"/>
  <c r="M6" i="260"/>
  <c r="N6" i="260"/>
  <c r="K5" i="260"/>
  <c r="L5" i="260"/>
  <c r="M5" i="260"/>
  <c r="N5" i="260"/>
  <c r="K14" i="51"/>
  <c r="L14" i="51"/>
  <c r="M14" i="51"/>
  <c r="N14" i="51"/>
  <c r="K13" i="51"/>
  <c r="L13" i="51"/>
  <c r="M13" i="51"/>
  <c r="N13" i="51"/>
  <c r="K12" i="51"/>
  <c r="L12" i="51"/>
  <c r="M12" i="51"/>
  <c r="N12" i="51"/>
  <c r="K11" i="51"/>
  <c r="L11" i="51"/>
  <c r="M11" i="51"/>
  <c r="N11" i="51"/>
  <c r="K12" i="52"/>
  <c r="L12" i="52"/>
  <c r="M12" i="52"/>
  <c r="N12" i="52"/>
  <c r="K11" i="52"/>
  <c r="L11" i="52"/>
  <c r="M11" i="52"/>
  <c r="N11" i="52"/>
  <c r="K10" i="52"/>
  <c r="L10" i="52"/>
  <c r="M10" i="52"/>
  <c r="N10" i="52"/>
  <c r="K9" i="52"/>
  <c r="L9" i="52"/>
  <c r="M9" i="52"/>
  <c r="N9" i="52"/>
  <c r="K7" i="52"/>
  <c r="L7" i="52"/>
  <c r="M7" i="52"/>
  <c r="N7" i="52"/>
  <c r="K8" i="52"/>
  <c r="L8" i="52"/>
  <c r="M8" i="52"/>
  <c r="N8" i="52"/>
  <c r="K6" i="73"/>
  <c r="L6" i="73"/>
  <c r="M6" i="73"/>
  <c r="N6" i="73"/>
  <c r="K5" i="73"/>
  <c r="L5" i="73"/>
  <c r="M5" i="73"/>
  <c r="N5" i="73"/>
  <c r="K21" i="112"/>
  <c r="L21" i="112"/>
  <c r="M21" i="112"/>
  <c r="N21" i="112"/>
  <c r="K20" i="112"/>
  <c r="L20" i="112"/>
  <c r="M20" i="112"/>
  <c r="N20" i="112"/>
  <c r="K19" i="112"/>
  <c r="L19" i="112"/>
  <c r="M19" i="112"/>
  <c r="N19" i="112"/>
  <c r="K7" i="115"/>
  <c r="L7" i="115"/>
  <c r="M7" i="115"/>
  <c r="N7" i="115"/>
  <c r="K8" i="206"/>
  <c r="L8" i="206"/>
  <c r="M8" i="206"/>
  <c r="N8" i="206"/>
  <c r="K7" i="206"/>
  <c r="L7" i="206"/>
  <c r="M7" i="206"/>
  <c r="N7" i="206"/>
  <c r="K8" i="207"/>
  <c r="L8" i="207"/>
  <c r="M8" i="207"/>
  <c r="N8" i="207"/>
  <c r="K7" i="207"/>
  <c r="L7" i="207"/>
  <c r="M7" i="207"/>
  <c r="N7" i="207"/>
  <c r="K10" i="251"/>
  <c r="L10" i="251"/>
  <c r="M10" i="251"/>
  <c r="N10" i="251"/>
  <c r="K9" i="251"/>
  <c r="L9" i="251"/>
  <c r="M9" i="251"/>
  <c r="N9" i="251"/>
  <c r="K8" i="251"/>
  <c r="L8" i="251"/>
  <c r="M8" i="251"/>
  <c r="N8" i="251"/>
  <c r="K7" i="251"/>
  <c r="L7" i="251"/>
  <c r="M7" i="251"/>
  <c r="N7" i="251"/>
  <c r="K10" i="252"/>
  <c r="L10" i="252"/>
  <c r="M10" i="252"/>
  <c r="N10" i="252"/>
  <c r="K9" i="252"/>
  <c r="L9" i="252"/>
  <c r="M9" i="252"/>
  <c r="N9" i="252"/>
  <c r="K8" i="252"/>
  <c r="L8" i="252"/>
  <c r="M8" i="252"/>
  <c r="N8" i="252"/>
  <c r="K7" i="252"/>
  <c r="L7" i="252"/>
  <c r="M7" i="252"/>
  <c r="N7" i="252"/>
  <c r="K14" i="113"/>
  <c r="L14" i="113"/>
  <c r="M14" i="113"/>
  <c r="N14" i="113"/>
  <c r="K13" i="113"/>
  <c r="L13" i="113"/>
  <c r="M13" i="113"/>
  <c r="N13" i="113"/>
  <c r="K15" i="275"/>
  <c r="L15" i="275"/>
  <c r="M15" i="275"/>
  <c r="N15" i="275"/>
  <c r="K14" i="275"/>
  <c r="L14" i="275"/>
  <c r="M14" i="275"/>
  <c r="N14" i="275"/>
  <c r="K13" i="275"/>
  <c r="L13" i="275"/>
  <c r="M13" i="275"/>
  <c r="N13" i="275"/>
  <c r="K10" i="262"/>
  <c r="L10" i="262"/>
  <c r="M10" i="262"/>
  <c r="N10" i="262"/>
  <c r="K9" i="262"/>
  <c r="L9" i="262"/>
  <c r="M9" i="262"/>
  <c r="N9" i="262"/>
  <c r="K7" i="289"/>
  <c r="L7" i="289"/>
  <c r="M7" i="289"/>
  <c r="N7" i="289"/>
  <c r="K15" i="276"/>
  <c r="L15" i="276"/>
  <c r="M15" i="276"/>
  <c r="N15" i="276"/>
  <c r="K14" i="276"/>
  <c r="L14" i="276"/>
  <c r="M14" i="276"/>
  <c r="N14" i="276"/>
  <c r="K13" i="276"/>
  <c r="L13" i="276"/>
  <c r="M13" i="276"/>
  <c r="N13" i="276"/>
  <c r="K13" i="277"/>
  <c r="L13" i="277"/>
  <c r="M13" i="277"/>
  <c r="N13" i="277"/>
  <c r="K12" i="277"/>
  <c r="L12" i="277"/>
  <c r="M12" i="277"/>
  <c r="N12" i="277"/>
  <c r="K11" i="277"/>
  <c r="L11" i="277"/>
  <c r="M11" i="277"/>
  <c r="N11" i="277"/>
  <c r="K13" i="278"/>
  <c r="L13" i="278"/>
  <c r="M13" i="278"/>
  <c r="N13" i="278"/>
  <c r="K12" i="278"/>
  <c r="L12" i="278"/>
  <c r="M12" i="278"/>
  <c r="N12" i="278"/>
  <c r="K11" i="278"/>
  <c r="L11" i="278"/>
  <c r="M11" i="278"/>
  <c r="N11" i="278"/>
  <c r="K41" i="114"/>
  <c r="L41" i="114"/>
  <c r="M41" i="114"/>
  <c r="N41" i="114"/>
  <c r="K40" i="114"/>
  <c r="L40" i="114"/>
  <c r="M40" i="114"/>
  <c r="N40" i="114"/>
  <c r="K39" i="114"/>
  <c r="L39" i="114"/>
  <c r="M39" i="114"/>
  <c r="N39" i="114"/>
  <c r="K38" i="114"/>
  <c r="L38" i="114"/>
  <c r="M38" i="114"/>
  <c r="N38" i="114"/>
  <c r="K37" i="114"/>
  <c r="L37" i="114"/>
  <c r="M37" i="114"/>
  <c r="N37" i="114"/>
  <c r="K36" i="114"/>
  <c r="L36" i="114"/>
  <c r="M36" i="114"/>
  <c r="N36" i="114"/>
  <c r="K35" i="114"/>
  <c r="L35" i="114"/>
  <c r="M35" i="114"/>
  <c r="N35" i="114"/>
  <c r="K34" i="114"/>
  <c r="L34" i="114"/>
  <c r="M34" i="114"/>
  <c r="N34" i="114"/>
  <c r="K33" i="114"/>
  <c r="L33" i="114"/>
  <c r="M33" i="114"/>
  <c r="N33" i="114"/>
  <c r="K32" i="114"/>
  <c r="L32" i="114"/>
  <c r="M32" i="114"/>
  <c r="N32" i="114"/>
  <c r="K31" i="114"/>
  <c r="L31" i="114"/>
  <c r="M31" i="114"/>
  <c r="N31" i="114"/>
  <c r="K30" i="114"/>
  <c r="L30" i="114"/>
  <c r="M30" i="114"/>
  <c r="N30" i="114"/>
  <c r="K29" i="114"/>
  <c r="L29" i="114"/>
  <c r="M29" i="114"/>
  <c r="N29" i="114"/>
  <c r="K28" i="114"/>
  <c r="L28" i="114"/>
  <c r="M28" i="114"/>
  <c r="N28" i="114"/>
  <c r="K27" i="114"/>
  <c r="L27" i="114"/>
  <c r="M27" i="114"/>
  <c r="N27" i="114"/>
  <c r="N7" i="116"/>
  <c r="M7" i="116"/>
  <c r="L7" i="116"/>
  <c r="K7" i="116"/>
  <c r="N9" i="117"/>
  <c r="M9" i="117"/>
  <c r="L9" i="117"/>
  <c r="K9" i="117"/>
  <c r="N8" i="117"/>
  <c r="M8" i="117"/>
  <c r="L8" i="117"/>
  <c r="K8" i="117"/>
  <c r="N11" i="118"/>
  <c r="M11" i="118"/>
  <c r="L11" i="118"/>
  <c r="K11" i="118"/>
  <c r="N10" i="118"/>
  <c r="M10" i="118"/>
  <c r="L10" i="118"/>
  <c r="K10" i="118"/>
  <c r="N9" i="118"/>
  <c r="M9" i="118"/>
  <c r="L9" i="118"/>
  <c r="K9" i="118"/>
  <c r="N21" i="166"/>
  <c r="M21" i="166"/>
  <c r="L21" i="166"/>
  <c r="K21" i="166"/>
  <c r="N20" i="166"/>
  <c r="M20" i="166"/>
  <c r="L20" i="166"/>
  <c r="K20" i="166"/>
  <c r="N19" i="166"/>
  <c r="M19" i="166"/>
  <c r="L19" i="166"/>
  <c r="K19" i="166"/>
  <c r="N8" i="168"/>
  <c r="M8" i="168"/>
  <c r="L8" i="168"/>
  <c r="K8" i="168"/>
  <c r="N7" i="168"/>
  <c r="M7" i="168"/>
  <c r="L7" i="168"/>
  <c r="K7" i="168"/>
  <c r="N8" i="169"/>
  <c r="M8" i="169"/>
  <c r="L8" i="169"/>
  <c r="K8" i="169"/>
  <c r="N7" i="169"/>
  <c r="M7" i="169"/>
  <c r="L7" i="169"/>
  <c r="K7" i="169"/>
  <c r="P22" i="167"/>
  <c r="Q22" i="167" s="1"/>
  <c r="N22" i="167"/>
  <c r="M22" i="167"/>
  <c r="L22" i="167"/>
  <c r="K22" i="167"/>
  <c r="P21" i="167"/>
  <c r="Q21" i="167" s="1"/>
  <c r="N21" i="167"/>
  <c r="M21" i="167"/>
  <c r="L21" i="167"/>
  <c r="K21" i="167"/>
  <c r="P20" i="167"/>
  <c r="Q20" i="167" s="1"/>
  <c r="N20" i="167"/>
  <c r="M20" i="167"/>
  <c r="L20" i="167"/>
  <c r="K20" i="167"/>
  <c r="P5" i="254"/>
  <c r="Q5" i="254" s="1"/>
  <c r="N5" i="254"/>
  <c r="M5" i="254"/>
  <c r="L5" i="254"/>
  <c r="K5" i="254"/>
  <c r="P7" i="256"/>
  <c r="Q7" i="256" s="1"/>
  <c r="N7" i="256"/>
  <c r="M7" i="256"/>
  <c r="L7" i="256"/>
  <c r="K7" i="256"/>
  <c r="P6" i="256"/>
  <c r="Q6" i="256" s="1"/>
  <c r="N6" i="256"/>
  <c r="M6" i="256"/>
  <c r="L6" i="256"/>
  <c r="K6" i="256"/>
  <c r="P5" i="256"/>
  <c r="Q5" i="256" s="1"/>
  <c r="N5" i="256"/>
  <c r="M5" i="256"/>
  <c r="L5" i="256"/>
  <c r="K5" i="256"/>
  <c r="P19" i="279"/>
  <c r="Q19" i="279" s="1"/>
  <c r="N19" i="279"/>
  <c r="M19" i="279"/>
  <c r="L19" i="279"/>
  <c r="K19" i="279"/>
  <c r="P18" i="279"/>
  <c r="Q18" i="279" s="1"/>
  <c r="N18" i="279"/>
  <c r="M18" i="279"/>
  <c r="L18" i="279"/>
  <c r="K18" i="279"/>
  <c r="P17" i="279"/>
  <c r="Q17" i="279" s="1"/>
  <c r="N17" i="279"/>
  <c r="M17" i="279"/>
  <c r="L17" i="279"/>
  <c r="K17" i="279"/>
  <c r="P16" i="279"/>
  <c r="Q16" i="279" s="1"/>
  <c r="N16" i="279"/>
  <c r="M16" i="279"/>
  <c r="L16" i="279"/>
  <c r="K16" i="279"/>
  <c r="P15" i="279"/>
  <c r="Q15" i="279" s="1"/>
  <c r="N15" i="279"/>
  <c r="M15" i="279"/>
  <c r="L15" i="279"/>
  <c r="K15" i="279"/>
  <c r="P14" i="279"/>
  <c r="Q14" i="279" s="1"/>
  <c r="N14" i="279"/>
  <c r="M14" i="279"/>
  <c r="L14" i="279"/>
  <c r="K14" i="279"/>
  <c r="P19" i="280"/>
  <c r="Q19" i="280" s="1"/>
  <c r="N19" i="280"/>
  <c r="M19" i="280"/>
  <c r="L19" i="280"/>
  <c r="K19" i="280"/>
  <c r="N18" i="280"/>
  <c r="M18" i="280"/>
  <c r="L18" i="280"/>
  <c r="K18" i="280"/>
  <c r="P17" i="280"/>
  <c r="Q17" i="280" s="1"/>
  <c r="N17" i="280"/>
  <c r="M17" i="280"/>
  <c r="L17" i="280"/>
  <c r="K17" i="280"/>
  <c r="P16" i="280"/>
  <c r="Q16" i="280" s="1"/>
  <c r="N16" i="280"/>
  <c r="M16" i="280"/>
  <c r="L16" i="280"/>
  <c r="K16" i="280"/>
  <c r="P15" i="280"/>
  <c r="Q15" i="280" s="1"/>
  <c r="N15" i="280"/>
  <c r="M15" i="280"/>
  <c r="L15" i="280"/>
  <c r="K15" i="280"/>
  <c r="P14" i="280"/>
  <c r="Q14" i="280" s="1"/>
  <c r="N14" i="280"/>
  <c r="M14" i="280"/>
  <c r="L14" i="280"/>
  <c r="K14" i="280"/>
  <c r="P15" i="281"/>
  <c r="Q15" i="281" s="1"/>
  <c r="N15" i="281"/>
  <c r="M15" i="281"/>
  <c r="L15" i="281"/>
  <c r="K15" i="281"/>
  <c r="P14" i="281"/>
  <c r="Q14" i="281" s="1"/>
  <c r="N14" i="281"/>
  <c r="M14" i="281"/>
  <c r="L14" i="281"/>
  <c r="K14" i="281"/>
  <c r="P13" i="281"/>
  <c r="Q13" i="281" s="1"/>
  <c r="N13" i="281"/>
  <c r="M13" i="281"/>
  <c r="L13" i="281"/>
  <c r="K13" i="281"/>
  <c r="P15" i="282"/>
  <c r="Q15" i="282" s="1"/>
  <c r="N15" i="282"/>
  <c r="M15" i="282"/>
  <c r="L15" i="282"/>
  <c r="K15" i="282"/>
  <c r="P14" i="282"/>
  <c r="Q14" i="282" s="1"/>
  <c r="N14" i="282"/>
  <c r="M14" i="282"/>
  <c r="L14" i="282"/>
  <c r="K14" i="282"/>
  <c r="P13" i="282"/>
  <c r="Q13" i="282" s="1"/>
  <c r="N13" i="282"/>
  <c r="M13" i="282"/>
  <c r="L13" i="282"/>
  <c r="K13" i="282"/>
  <c r="P17" i="209"/>
  <c r="Q17" i="209" s="1"/>
  <c r="N17" i="209"/>
  <c r="M17" i="209"/>
  <c r="L17" i="209"/>
  <c r="K17" i="209"/>
  <c r="P16" i="209"/>
  <c r="Q16" i="209" s="1"/>
  <c r="N16" i="209"/>
  <c r="M16" i="209"/>
  <c r="L16" i="209"/>
  <c r="K16" i="209"/>
  <c r="P15" i="209"/>
  <c r="Q15" i="209" s="1"/>
  <c r="N15" i="209"/>
  <c r="M15" i="209"/>
  <c r="L15" i="209"/>
  <c r="K15" i="209"/>
  <c r="P14" i="209"/>
  <c r="Q14" i="209" s="1"/>
  <c r="N14" i="209"/>
  <c r="M14" i="209"/>
  <c r="L14" i="209"/>
  <c r="K14" i="209"/>
  <c r="P13" i="209"/>
  <c r="Q13" i="209" s="1"/>
  <c r="N13" i="209"/>
  <c r="M13" i="209"/>
  <c r="L13" i="209"/>
  <c r="K13" i="209"/>
  <c r="P12" i="209"/>
  <c r="Q12" i="209" s="1"/>
  <c r="N12" i="209"/>
  <c r="M12" i="209"/>
  <c r="L12" i="209"/>
  <c r="K12" i="209"/>
  <c r="P11" i="209"/>
  <c r="Q11" i="209" s="1"/>
  <c r="N11" i="209"/>
  <c r="M11" i="209"/>
  <c r="L11" i="209"/>
  <c r="K11" i="209"/>
  <c r="P9" i="209"/>
  <c r="Q9" i="209" s="1"/>
  <c r="N9" i="209"/>
  <c r="M9" i="209"/>
  <c r="L9" i="209"/>
  <c r="K9" i="209"/>
  <c r="P10" i="209"/>
  <c r="Q10" i="209" s="1"/>
  <c r="N10" i="209"/>
  <c r="M10" i="209"/>
  <c r="L10" i="209"/>
  <c r="K10" i="209"/>
  <c r="P33" i="177"/>
  <c r="Q33" i="177" s="1"/>
  <c r="N33" i="177"/>
  <c r="M33" i="177"/>
  <c r="L33" i="177"/>
  <c r="K33" i="177"/>
  <c r="P32" i="177"/>
  <c r="Q32" i="177" s="1"/>
  <c r="N32" i="177"/>
  <c r="M32" i="177"/>
  <c r="L32" i="177"/>
  <c r="K32" i="177"/>
  <c r="P31" i="177"/>
  <c r="Q31" i="177" s="1"/>
  <c r="N31" i="177"/>
  <c r="M31" i="177"/>
  <c r="L31" i="177"/>
  <c r="K31" i="177"/>
  <c r="P9" i="182"/>
  <c r="Q9" i="182" s="1"/>
  <c r="N9" i="182"/>
  <c r="M9" i="182"/>
  <c r="L9" i="182"/>
  <c r="K9" i="182"/>
  <c r="P8" i="182"/>
  <c r="Q8" i="182" s="1"/>
  <c r="N8" i="182"/>
  <c r="M8" i="182"/>
  <c r="L8" i="182"/>
  <c r="K8" i="182"/>
  <c r="P7" i="182"/>
  <c r="Q7" i="182" s="1"/>
  <c r="N7" i="182"/>
  <c r="M7" i="182"/>
  <c r="L7" i="182"/>
  <c r="K7" i="182"/>
  <c r="P8" i="183"/>
  <c r="Q8" i="183" s="1"/>
  <c r="N8" i="183"/>
  <c r="M8" i="183"/>
  <c r="L8" i="183"/>
  <c r="K8" i="183"/>
  <c r="P7" i="183"/>
  <c r="Q7" i="183" s="1"/>
  <c r="N7" i="183"/>
  <c r="M7" i="183"/>
  <c r="L7" i="183"/>
  <c r="K7" i="183"/>
  <c r="P8" i="184"/>
  <c r="Q8" i="184" s="1"/>
  <c r="N8" i="184"/>
  <c r="M8" i="184"/>
  <c r="L8" i="184"/>
  <c r="K8" i="184"/>
  <c r="P7" i="184"/>
  <c r="Q7" i="184" s="1"/>
  <c r="N7" i="184"/>
  <c r="M7" i="184"/>
  <c r="L7" i="184"/>
  <c r="K7" i="184"/>
  <c r="P8" i="185"/>
  <c r="Q8" i="185" s="1"/>
  <c r="N8" i="185"/>
  <c r="M8" i="185"/>
  <c r="L8" i="185"/>
  <c r="K8" i="185"/>
  <c r="P7" i="185"/>
  <c r="Q7" i="185" s="1"/>
  <c r="N7" i="185"/>
  <c r="M7" i="185"/>
  <c r="L7" i="185"/>
  <c r="K7" i="185"/>
  <c r="P8" i="186"/>
  <c r="Q8" i="186" s="1"/>
  <c r="N8" i="186"/>
  <c r="M8" i="186"/>
  <c r="L8" i="186"/>
  <c r="K8" i="186"/>
  <c r="P7" i="186"/>
  <c r="Q7" i="186" s="1"/>
  <c r="N7" i="186"/>
  <c r="M7" i="186"/>
  <c r="L7" i="186"/>
  <c r="K7" i="186"/>
  <c r="P9" i="268"/>
  <c r="Q9" i="268" s="1"/>
  <c r="N9" i="268"/>
  <c r="M9" i="268"/>
  <c r="L9" i="268"/>
  <c r="K9" i="268"/>
  <c r="P8" i="268"/>
  <c r="Q8" i="268" s="1"/>
  <c r="N8" i="268"/>
  <c r="M8" i="268"/>
  <c r="L8" i="268"/>
  <c r="K8" i="268"/>
  <c r="P7" i="268"/>
  <c r="Q7" i="268" s="1"/>
  <c r="N7" i="268"/>
  <c r="M7" i="268"/>
  <c r="L7" i="268"/>
  <c r="K7" i="268"/>
  <c r="P17" i="269"/>
  <c r="Q17" i="269" s="1"/>
  <c r="N17" i="269"/>
  <c r="M17" i="269"/>
  <c r="L17" i="269"/>
  <c r="K17" i="269"/>
  <c r="P16" i="269"/>
  <c r="Q16" i="269" s="1"/>
  <c r="N16" i="269"/>
  <c r="M16" i="269"/>
  <c r="L16" i="269"/>
  <c r="K16" i="269"/>
  <c r="P15" i="269"/>
  <c r="Q15" i="269" s="1"/>
  <c r="N15" i="269"/>
  <c r="M15" i="269"/>
  <c r="L15" i="269"/>
  <c r="K15" i="269"/>
  <c r="P14" i="269"/>
  <c r="Q14" i="269" s="1"/>
  <c r="N14" i="269"/>
  <c r="M14" i="269"/>
  <c r="L14" i="269"/>
  <c r="K14" i="269"/>
  <c r="P13" i="269"/>
  <c r="Q13" i="269" s="1"/>
  <c r="N13" i="269"/>
  <c r="M13" i="269"/>
  <c r="L13" i="269"/>
  <c r="K13" i="269"/>
  <c r="P12" i="269"/>
  <c r="Q12" i="269" s="1"/>
  <c r="N12" i="269"/>
  <c r="M12" i="269"/>
  <c r="L12" i="269"/>
  <c r="K12" i="269"/>
  <c r="P11" i="269"/>
  <c r="Q11" i="269" s="1"/>
  <c r="N11" i="269"/>
  <c r="M11" i="269"/>
  <c r="L11" i="269"/>
  <c r="K11" i="269"/>
  <c r="P10" i="269"/>
  <c r="Q10" i="269" s="1"/>
  <c r="N10" i="269"/>
  <c r="M10" i="269"/>
  <c r="L10" i="269"/>
  <c r="K10" i="269"/>
  <c r="P9" i="269"/>
  <c r="Q9" i="269" s="1"/>
  <c r="N9" i="269"/>
  <c r="M9" i="269"/>
  <c r="L9" i="269"/>
  <c r="K9" i="269"/>
  <c r="P18" i="270"/>
  <c r="Q18" i="270" s="1"/>
  <c r="N18" i="270"/>
  <c r="M18" i="270"/>
  <c r="L18" i="270"/>
  <c r="K18" i="270"/>
  <c r="P17" i="270"/>
  <c r="Q17" i="270" s="1"/>
  <c r="N17" i="270"/>
  <c r="M17" i="270"/>
  <c r="L17" i="270"/>
  <c r="K17" i="270"/>
  <c r="P16" i="270"/>
  <c r="Q16" i="270" s="1"/>
  <c r="N16" i="270"/>
  <c r="M16" i="270"/>
  <c r="L16" i="270"/>
  <c r="K16" i="270"/>
  <c r="P15" i="270"/>
  <c r="Q15" i="270" s="1"/>
  <c r="N15" i="270"/>
  <c r="M15" i="270"/>
  <c r="L15" i="270"/>
  <c r="K15" i="270"/>
  <c r="P14" i="270"/>
  <c r="Q14" i="270" s="1"/>
  <c r="N14" i="270"/>
  <c r="M14" i="270"/>
  <c r="L14" i="270"/>
  <c r="K14" i="270"/>
  <c r="P13" i="270"/>
  <c r="Q13" i="270" s="1"/>
  <c r="N13" i="270"/>
  <c r="M13" i="270"/>
  <c r="L13" i="270"/>
  <c r="K13" i="270"/>
  <c r="P12" i="270"/>
  <c r="Q12" i="270" s="1"/>
  <c r="N12" i="270"/>
  <c r="M12" i="270"/>
  <c r="L12" i="270"/>
  <c r="K12" i="270"/>
  <c r="P11" i="270"/>
  <c r="Q11" i="270" s="1"/>
  <c r="N11" i="270"/>
  <c r="M11" i="270"/>
  <c r="L11" i="270"/>
  <c r="K11" i="270"/>
  <c r="P10" i="270"/>
  <c r="Q10" i="270" s="1"/>
  <c r="N10" i="270"/>
  <c r="M10" i="270"/>
  <c r="L10" i="270"/>
  <c r="K10" i="270"/>
  <c r="P22" i="178"/>
  <c r="Q22" i="178" s="1"/>
  <c r="N22" i="178"/>
  <c r="M22" i="178"/>
  <c r="L22" i="178"/>
  <c r="K22" i="178"/>
  <c r="P21" i="178"/>
  <c r="Q21" i="178" s="1"/>
  <c r="N21" i="178"/>
  <c r="M21" i="178"/>
  <c r="L21" i="178"/>
  <c r="K21" i="178"/>
  <c r="P20" i="178"/>
  <c r="Q20" i="178" s="1"/>
  <c r="N20" i="178"/>
  <c r="M20" i="178"/>
  <c r="L20" i="178"/>
  <c r="K20" i="178"/>
  <c r="P11" i="187"/>
  <c r="Q11" i="187" s="1"/>
  <c r="N11" i="187"/>
  <c r="M11" i="187"/>
  <c r="L11" i="187"/>
  <c r="K11" i="187"/>
  <c r="P10" i="187"/>
  <c r="Q10" i="187" s="1"/>
  <c r="N10" i="187"/>
  <c r="M10" i="187"/>
  <c r="L10" i="187"/>
  <c r="K10" i="187"/>
  <c r="P13" i="283"/>
  <c r="Q13" i="283" s="1"/>
  <c r="N13" i="283"/>
  <c r="M13" i="283"/>
  <c r="L13" i="283"/>
  <c r="K13" i="283"/>
  <c r="P12" i="283"/>
  <c r="Q12" i="283" s="1"/>
  <c r="N12" i="283"/>
  <c r="M12" i="283"/>
  <c r="L12" i="283"/>
  <c r="K12" i="283"/>
  <c r="P11" i="283"/>
  <c r="Q11" i="283" s="1"/>
  <c r="N11" i="283"/>
  <c r="M11" i="283"/>
  <c r="L11" i="283"/>
  <c r="K11" i="283"/>
  <c r="P13" i="284"/>
  <c r="Q13" i="284" s="1"/>
  <c r="N13" i="284"/>
  <c r="M13" i="284"/>
  <c r="L13" i="284"/>
  <c r="K13" i="284"/>
  <c r="P12" i="284"/>
  <c r="Q12" i="284" s="1"/>
  <c r="N12" i="284"/>
  <c r="M12" i="284"/>
  <c r="L12" i="284"/>
  <c r="K12" i="284"/>
  <c r="P11" i="284"/>
  <c r="Q11" i="284" s="1"/>
  <c r="N11" i="284"/>
  <c r="M11" i="284"/>
  <c r="L11" i="284"/>
  <c r="K11" i="284"/>
  <c r="P15" i="285"/>
  <c r="Q15" i="285" s="1"/>
  <c r="N15" i="285"/>
  <c r="M15" i="285"/>
  <c r="L15" i="285"/>
  <c r="K15" i="285"/>
  <c r="P14" i="285"/>
  <c r="Q14" i="285" s="1"/>
  <c r="N14" i="285"/>
  <c r="M14" i="285"/>
  <c r="L14" i="285"/>
  <c r="K14" i="285"/>
  <c r="P13" i="285"/>
  <c r="Q13" i="285" s="1"/>
  <c r="N13" i="285"/>
  <c r="M13" i="285"/>
  <c r="L13" i="285"/>
  <c r="K13" i="285"/>
  <c r="P15" i="286"/>
  <c r="Q15" i="286" s="1"/>
  <c r="N15" i="286"/>
  <c r="M15" i="286"/>
  <c r="L15" i="286"/>
  <c r="K15" i="286"/>
  <c r="P14" i="286"/>
  <c r="Q14" i="286" s="1"/>
  <c r="N14" i="286"/>
  <c r="M14" i="286"/>
  <c r="L14" i="286"/>
  <c r="K14" i="286"/>
  <c r="P13" i="286"/>
  <c r="Q13" i="286" s="1"/>
  <c r="N13" i="286"/>
  <c r="M13" i="286"/>
  <c r="L13" i="286"/>
  <c r="K13" i="286"/>
  <c r="P13" i="287"/>
  <c r="Q13" i="287" s="1"/>
  <c r="N13" i="287"/>
  <c r="M13" i="287"/>
  <c r="L13" i="287"/>
  <c r="K13" i="287"/>
  <c r="P12" i="287"/>
  <c r="Q12" i="287" s="1"/>
  <c r="N12" i="287"/>
  <c r="M12" i="287"/>
  <c r="L12" i="287"/>
  <c r="K12" i="287"/>
  <c r="P11" i="287"/>
  <c r="Q11" i="287" s="1"/>
  <c r="N11" i="287"/>
  <c r="M11" i="287"/>
  <c r="L11" i="287"/>
  <c r="K11" i="287"/>
  <c r="P13" i="288"/>
  <c r="Q13" i="288" s="1"/>
  <c r="N13" i="288"/>
  <c r="M13" i="288"/>
  <c r="L13" i="288"/>
  <c r="K13" i="288"/>
  <c r="P12" i="288"/>
  <c r="Q12" i="288" s="1"/>
  <c r="N12" i="288"/>
  <c r="M12" i="288"/>
  <c r="L12" i="288"/>
  <c r="K12" i="288"/>
  <c r="P11" i="288"/>
  <c r="Q11" i="288" s="1"/>
  <c r="N11" i="288"/>
  <c r="M11" i="288"/>
  <c r="L11" i="288"/>
  <c r="K11" i="288"/>
  <c r="P35" i="165"/>
  <c r="Q35" i="165" s="1"/>
  <c r="N35" i="165"/>
  <c r="M35" i="165"/>
  <c r="L35" i="165"/>
  <c r="K35" i="165"/>
  <c r="P34" i="165"/>
  <c r="Q34" i="165" s="1"/>
  <c r="N34" i="165"/>
  <c r="M34" i="165"/>
  <c r="L34" i="165"/>
  <c r="K34" i="165"/>
  <c r="P33" i="165"/>
  <c r="Q33" i="165" s="1"/>
  <c r="N33" i="165"/>
  <c r="M33" i="165"/>
  <c r="L33" i="165"/>
  <c r="K33" i="165"/>
  <c r="P32" i="165"/>
  <c r="Q32" i="165" s="1"/>
  <c r="N32" i="165"/>
  <c r="M32" i="165"/>
  <c r="L32" i="165"/>
  <c r="K32" i="165"/>
  <c r="P31" i="165"/>
  <c r="Q31" i="165" s="1"/>
  <c r="N31" i="165"/>
  <c r="M31" i="165"/>
  <c r="L31" i="165"/>
  <c r="K31" i="165"/>
  <c r="P30" i="165"/>
  <c r="Q30" i="165" s="1"/>
  <c r="N30" i="165"/>
  <c r="M30" i="165"/>
  <c r="L30" i="165"/>
  <c r="K30" i="165"/>
  <c r="P29" i="165"/>
  <c r="Q29" i="165" s="1"/>
  <c r="N29" i="165"/>
  <c r="M29" i="165"/>
  <c r="L29" i="165"/>
  <c r="K29" i="165"/>
  <c r="P28" i="165"/>
  <c r="Q28" i="165" s="1"/>
  <c r="N28" i="165"/>
  <c r="M28" i="165"/>
  <c r="L28" i="165"/>
  <c r="K28" i="165"/>
  <c r="P27" i="165"/>
  <c r="Q27" i="165" s="1"/>
  <c r="N27" i="165"/>
  <c r="M27" i="165"/>
  <c r="L27" i="165"/>
  <c r="K27" i="165"/>
  <c r="P26" i="165"/>
  <c r="Q26" i="165" s="1"/>
  <c r="N26" i="165"/>
  <c r="M26" i="165"/>
  <c r="L26" i="165"/>
  <c r="K26" i="165"/>
  <c r="P25" i="165"/>
  <c r="Q25" i="165" s="1"/>
  <c r="N25" i="165"/>
  <c r="M25" i="165"/>
  <c r="L25" i="165"/>
  <c r="K25" i="165"/>
  <c r="P24" i="165"/>
  <c r="Q24" i="165" s="1"/>
  <c r="N24" i="165"/>
  <c r="M24" i="165"/>
  <c r="L24" i="165"/>
  <c r="K24" i="165"/>
  <c r="P23" i="165"/>
  <c r="Q23" i="165" s="1"/>
  <c r="N23" i="165"/>
  <c r="M23" i="165"/>
  <c r="L23" i="165"/>
  <c r="K23" i="165"/>
  <c r="P22" i="165"/>
  <c r="Q22" i="165" s="1"/>
  <c r="N22" i="165"/>
  <c r="M22" i="165"/>
  <c r="L22" i="165"/>
  <c r="K22" i="165"/>
  <c r="P21" i="165"/>
  <c r="Q21" i="165" s="1"/>
  <c r="N21" i="165"/>
  <c r="M21" i="165"/>
  <c r="L21" i="165"/>
  <c r="K21" i="165"/>
  <c r="P20" i="165"/>
  <c r="Q20" i="165" s="1"/>
  <c r="N20" i="165"/>
  <c r="M20" i="165"/>
  <c r="L20" i="165"/>
  <c r="K20" i="165"/>
  <c r="P19" i="165"/>
  <c r="Q19" i="165" s="1"/>
  <c r="N19" i="165"/>
  <c r="M19" i="165"/>
  <c r="L19" i="165"/>
  <c r="K19" i="165"/>
  <c r="P18" i="165"/>
  <c r="Q18" i="165" s="1"/>
  <c r="N18" i="165"/>
  <c r="M18" i="165"/>
  <c r="L18" i="165"/>
  <c r="K18" i="165"/>
  <c r="P18" i="179"/>
  <c r="Q18" i="179" s="1"/>
  <c r="N18" i="179"/>
  <c r="M18" i="179"/>
  <c r="L18" i="179"/>
  <c r="K18" i="179"/>
  <c r="P17" i="179"/>
  <c r="Q17" i="179" s="1"/>
  <c r="N17" i="179"/>
  <c r="M17" i="179"/>
  <c r="L17" i="179"/>
  <c r="K17" i="179"/>
  <c r="P16" i="179"/>
  <c r="Q16" i="179" s="1"/>
  <c r="N16" i="179"/>
  <c r="M16" i="179"/>
  <c r="L16" i="179"/>
  <c r="K16" i="179"/>
  <c r="P15" i="179"/>
  <c r="Q15" i="179" s="1"/>
  <c r="N15" i="179"/>
  <c r="M15" i="179"/>
  <c r="L15" i="179"/>
  <c r="K15" i="179"/>
  <c r="P14" i="179"/>
  <c r="Q14" i="179" s="1"/>
  <c r="N14" i="179"/>
  <c r="M14" i="179"/>
  <c r="L14" i="179"/>
  <c r="K14" i="179"/>
  <c r="P13" i="179"/>
  <c r="Q13" i="179" s="1"/>
  <c r="N13" i="179"/>
  <c r="M13" i="179"/>
  <c r="L13" i="179"/>
  <c r="K13" i="179"/>
  <c r="P15" i="188"/>
  <c r="Q15" i="188" s="1"/>
  <c r="N15" i="188"/>
  <c r="M15" i="188"/>
  <c r="L15" i="188"/>
  <c r="K15" i="188"/>
  <c r="P14" i="188"/>
  <c r="Q14" i="188" s="1"/>
  <c r="N14" i="188"/>
  <c r="M14" i="188"/>
  <c r="L14" i="188"/>
  <c r="K14" i="188"/>
  <c r="P13" i="188"/>
  <c r="Q13" i="188" s="1"/>
  <c r="N13" i="188"/>
  <c r="M13" i="188"/>
  <c r="L13" i="188"/>
  <c r="K13" i="188"/>
  <c r="P12" i="188"/>
  <c r="Q12" i="188" s="1"/>
  <c r="N12" i="188"/>
  <c r="M12" i="188"/>
  <c r="L12" i="188"/>
  <c r="K12" i="188"/>
  <c r="P11" i="188"/>
  <c r="Q11" i="188" s="1"/>
  <c r="N11" i="188"/>
  <c r="M11" i="188"/>
  <c r="L11" i="188"/>
  <c r="K11" i="188"/>
  <c r="P10" i="188"/>
  <c r="Q10" i="188" s="1"/>
  <c r="N10" i="188"/>
  <c r="M10" i="188"/>
  <c r="L10" i="188"/>
  <c r="K10" i="188"/>
  <c r="P9" i="188"/>
  <c r="Q9" i="188" s="1"/>
  <c r="N9" i="188"/>
  <c r="M9" i="188"/>
  <c r="L9" i="188"/>
  <c r="K9" i="188"/>
  <c r="P20" i="189"/>
  <c r="Q20" i="189" s="1"/>
  <c r="N20" i="189"/>
  <c r="M20" i="189"/>
  <c r="L20" i="189"/>
  <c r="K20" i="189"/>
  <c r="P19" i="189"/>
  <c r="Q19" i="189" s="1"/>
  <c r="N19" i="189"/>
  <c r="M19" i="189"/>
  <c r="L19" i="189"/>
  <c r="K19" i="189"/>
  <c r="P18" i="189"/>
  <c r="Q18" i="189" s="1"/>
  <c r="N18" i="189"/>
  <c r="M18" i="189"/>
  <c r="L18" i="189"/>
  <c r="K18" i="189"/>
  <c r="P17" i="189"/>
  <c r="Q17" i="189" s="1"/>
  <c r="N17" i="189"/>
  <c r="M17" i="189"/>
  <c r="L17" i="189"/>
  <c r="K17" i="189"/>
  <c r="P16" i="189"/>
  <c r="Q16" i="189" s="1"/>
  <c r="N16" i="189"/>
  <c r="M16" i="189"/>
  <c r="L16" i="189"/>
  <c r="K16" i="189"/>
  <c r="P15" i="189"/>
  <c r="Q15" i="189" s="1"/>
  <c r="N15" i="189"/>
  <c r="M15" i="189"/>
  <c r="L15" i="189"/>
  <c r="K15" i="189"/>
  <c r="P14" i="189"/>
  <c r="Q14" i="189" s="1"/>
  <c r="N14" i="189"/>
  <c r="M14" i="189"/>
  <c r="L14" i="189"/>
  <c r="K14" i="189"/>
  <c r="P13" i="189"/>
  <c r="Q13" i="189" s="1"/>
  <c r="N13" i="189"/>
  <c r="M13" i="189"/>
  <c r="L13" i="189"/>
  <c r="K13" i="189"/>
  <c r="P12" i="189"/>
  <c r="Q12" i="189" s="1"/>
  <c r="N12" i="189"/>
  <c r="M12" i="189"/>
  <c r="L12" i="189"/>
  <c r="K12" i="189"/>
  <c r="P11" i="189"/>
  <c r="Q11" i="189" s="1"/>
  <c r="N11" i="189"/>
  <c r="M11" i="189"/>
  <c r="L11" i="189"/>
  <c r="K11" i="189"/>
  <c r="P19" i="180"/>
  <c r="Q19" i="180" s="1"/>
  <c r="N19" i="180"/>
  <c r="M19" i="180"/>
  <c r="L19" i="180"/>
  <c r="K19" i="180"/>
  <c r="P18" i="180"/>
  <c r="Q18" i="180" s="1"/>
  <c r="N18" i="180"/>
  <c r="M18" i="180"/>
  <c r="L18" i="180"/>
  <c r="K18" i="180"/>
  <c r="P17" i="180"/>
  <c r="Q17" i="180" s="1"/>
  <c r="N17" i="180"/>
  <c r="M17" i="180"/>
  <c r="L17" i="180"/>
  <c r="K17" i="180"/>
  <c r="P16" i="180"/>
  <c r="Q16" i="180" s="1"/>
  <c r="N16" i="180"/>
  <c r="M16" i="180"/>
  <c r="L16" i="180"/>
  <c r="K16" i="180"/>
  <c r="P15" i="180"/>
  <c r="Q15" i="180" s="1"/>
  <c r="N15" i="180"/>
  <c r="M15" i="180"/>
  <c r="L15" i="180"/>
  <c r="K15" i="180"/>
  <c r="P14" i="180"/>
  <c r="Q14" i="180" s="1"/>
  <c r="N14" i="180"/>
  <c r="M14" i="180"/>
  <c r="L14" i="180"/>
  <c r="K14" i="180"/>
  <c r="P13" i="180"/>
  <c r="Q13" i="180" s="1"/>
  <c r="N13" i="180"/>
  <c r="M13" i="180"/>
  <c r="L13" i="180"/>
  <c r="K13" i="180"/>
  <c r="P12" i="180"/>
  <c r="Q12" i="180" s="1"/>
  <c r="N12" i="180"/>
  <c r="M12" i="180"/>
  <c r="L12" i="180"/>
  <c r="K12" i="180"/>
  <c r="P11" i="180"/>
  <c r="Q11" i="180" s="1"/>
  <c r="N11" i="180"/>
  <c r="M11" i="180"/>
  <c r="L11" i="180"/>
  <c r="K11" i="180"/>
  <c r="P24" i="190"/>
  <c r="Q24" i="190" s="1"/>
  <c r="N24" i="190"/>
  <c r="M24" i="190"/>
  <c r="L24" i="190"/>
  <c r="K24" i="190"/>
  <c r="P23" i="190"/>
  <c r="Q23" i="190" s="1"/>
  <c r="N23" i="190"/>
  <c r="M23" i="190"/>
  <c r="L23" i="190"/>
  <c r="K23" i="190"/>
  <c r="P22" i="190"/>
  <c r="Q22" i="190" s="1"/>
  <c r="N22" i="190"/>
  <c r="M22" i="190"/>
  <c r="L22" i="190"/>
  <c r="K22" i="190"/>
  <c r="P20" i="190"/>
  <c r="Q20" i="190" s="1"/>
  <c r="N20" i="190"/>
  <c r="M20" i="190"/>
  <c r="L20" i="190"/>
  <c r="K20" i="190"/>
  <c r="P21" i="190"/>
  <c r="Q21" i="190" s="1"/>
  <c r="N21" i="190"/>
  <c r="M21" i="190"/>
  <c r="L21" i="190"/>
  <c r="K21" i="190"/>
  <c r="P19" i="190"/>
  <c r="Q19" i="190" s="1"/>
  <c r="N19" i="190"/>
  <c r="M19" i="190"/>
  <c r="L19" i="190"/>
  <c r="K19" i="190"/>
  <c r="P18" i="190"/>
  <c r="Q18" i="190" s="1"/>
  <c r="N18" i="190"/>
  <c r="M18" i="190"/>
  <c r="L18" i="190"/>
  <c r="K18" i="190"/>
  <c r="P17" i="190"/>
  <c r="Q17" i="190" s="1"/>
  <c r="N17" i="190"/>
  <c r="M17" i="190"/>
  <c r="L17" i="190"/>
  <c r="K17" i="190"/>
  <c r="P16" i="190"/>
  <c r="Q16" i="190" s="1"/>
  <c r="N16" i="190"/>
  <c r="M16" i="190"/>
  <c r="L16" i="190"/>
  <c r="K16" i="190"/>
  <c r="P15" i="190"/>
  <c r="Q15" i="190" s="1"/>
  <c r="N15" i="190"/>
  <c r="M15" i="190"/>
  <c r="L15" i="190"/>
  <c r="K15" i="190"/>
  <c r="P14" i="190"/>
  <c r="Q14" i="190" s="1"/>
  <c r="N14" i="190"/>
  <c r="M14" i="190"/>
  <c r="L14" i="190"/>
  <c r="K14" i="190"/>
  <c r="P13" i="190"/>
  <c r="Q13" i="190" s="1"/>
  <c r="N13" i="190"/>
  <c r="M13" i="190"/>
  <c r="L13" i="190"/>
  <c r="K13" i="190"/>
  <c r="P12" i="190"/>
  <c r="Q12" i="190" s="1"/>
  <c r="N12" i="190"/>
  <c r="M12" i="190"/>
  <c r="L12" i="190"/>
  <c r="K12" i="190"/>
  <c r="P11" i="190"/>
  <c r="Q11" i="190" s="1"/>
  <c r="N11" i="190"/>
  <c r="M11" i="190"/>
  <c r="L11" i="190"/>
  <c r="K11" i="190"/>
  <c r="P14" i="181"/>
  <c r="Q14" i="181" s="1"/>
  <c r="N14" i="181"/>
  <c r="M14" i="181"/>
  <c r="L14" i="181"/>
  <c r="K14" i="181"/>
  <c r="P13" i="181"/>
  <c r="Q13" i="181" s="1"/>
  <c r="N13" i="181"/>
  <c r="M13" i="181"/>
  <c r="L13" i="181"/>
  <c r="K13" i="181"/>
  <c r="P12" i="181"/>
  <c r="Q12" i="181" s="1"/>
  <c r="N12" i="181"/>
  <c r="M12" i="181"/>
  <c r="L12" i="181"/>
  <c r="K12" i="181"/>
  <c r="P11" i="181"/>
  <c r="Q11" i="181" s="1"/>
  <c r="N11" i="181"/>
  <c r="M11" i="181"/>
  <c r="L11" i="181"/>
  <c r="K11" i="181"/>
  <c r="P10" i="181"/>
  <c r="Q10" i="181" s="1"/>
  <c r="N10" i="181"/>
  <c r="M10" i="181"/>
  <c r="L10" i="181"/>
  <c r="K10" i="181"/>
  <c r="P9" i="181"/>
  <c r="Q9" i="181" s="1"/>
  <c r="N9" i="181"/>
  <c r="M9" i="181"/>
  <c r="L9" i="181"/>
  <c r="K9" i="181"/>
  <c r="P8" i="181"/>
  <c r="Q8" i="181" s="1"/>
  <c r="N8" i="181"/>
  <c r="M8" i="181"/>
  <c r="L8" i="181"/>
  <c r="K8" i="181"/>
  <c r="P7" i="181"/>
  <c r="Q7" i="181" s="1"/>
  <c r="N7" i="181"/>
  <c r="M7" i="181"/>
  <c r="L7" i="181"/>
  <c r="K7" i="181"/>
  <c r="P18" i="191"/>
  <c r="Q18" i="191" s="1"/>
  <c r="N18" i="191"/>
  <c r="M18" i="191"/>
  <c r="L18" i="191"/>
  <c r="K18" i="191"/>
  <c r="P16" i="231"/>
  <c r="Q16" i="231" s="1"/>
  <c r="N16" i="231"/>
  <c r="M16" i="231"/>
  <c r="L16" i="231"/>
  <c r="K16" i="231"/>
  <c r="P15" i="231"/>
  <c r="Q15" i="231" s="1"/>
  <c r="N15" i="231"/>
  <c r="M15" i="231"/>
  <c r="L15" i="231"/>
  <c r="K15" i="231"/>
  <c r="P14" i="231"/>
  <c r="Q14" i="231" s="1"/>
  <c r="N14" i="231"/>
  <c r="M14" i="231"/>
  <c r="L14" i="231"/>
  <c r="K14" i="231"/>
  <c r="P13" i="231"/>
  <c r="Q13" i="231" s="1"/>
  <c r="N13" i="231"/>
  <c r="M13" i="231"/>
  <c r="L13" i="231"/>
  <c r="K13" i="231"/>
  <c r="P11" i="231"/>
  <c r="Q11" i="231" s="1"/>
  <c r="N11" i="231"/>
  <c r="M11" i="231"/>
  <c r="L11" i="231"/>
  <c r="K11" i="231"/>
  <c r="P10" i="231"/>
  <c r="Q10" i="231" s="1"/>
  <c r="N10" i="231"/>
  <c r="M10" i="231"/>
  <c r="L10" i="231"/>
  <c r="K10" i="231"/>
  <c r="P9" i="231"/>
  <c r="Q9" i="231" s="1"/>
  <c r="N9" i="231"/>
  <c r="M9" i="231"/>
  <c r="L9" i="231"/>
  <c r="K9" i="231"/>
  <c r="P7" i="227"/>
  <c r="Q7" i="227" s="1"/>
  <c r="N7" i="227"/>
  <c r="M7" i="227"/>
  <c r="L7" i="227"/>
  <c r="K7" i="227"/>
  <c r="P13" i="192"/>
  <c r="Q13" i="192" s="1"/>
  <c r="N13" i="192"/>
  <c r="M13" i="192"/>
  <c r="L13" i="192"/>
  <c r="K13" i="192"/>
  <c r="P12" i="192"/>
  <c r="Q12" i="192" s="1"/>
  <c r="N12" i="192"/>
  <c r="M12" i="192"/>
  <c r="L12" i="192"/>
  <c r="K12" i="192"/>
  <c r="P11" i="192"/>
  <c r="Q11" i="192" s="1"/>
  <c r="N11" i="192"/>
  <c r="M11" i="192"/>
  <c r="L11" i="192"/>
  <c r="K11" i="192"/>
  <c r="P10" i="192"/>
  <c r="Q10" i="192" s="1"/>
  <c r="N10" i="192"/>
  <c r="M10" i="192"/>
  <c r="L10" i="192"/>
  <c r="K10" i="192"/>
  <c r="P9" i="192"/>
  <c r="Q9" i="192" s="1"/>
  <c r="N9" i="192"/>
  <c r="M9" i="192"/>
  <c r="L9" i="192"/>
  <c r="K9" i="192"/>
  <c r="P8" i="192"/>
  <c r="Q8" i="192" s="1"/>
  <c r="N8" i="192"/>
  <c r="M8" i="192"/>
  <c r="L8" i="192"/>
  <c r="K8" i="192"/>
  <c r="P7" i="192"/>
  <c r="Q7" i="192" s="1"/>
  <c r="N7" i="192"/>
  <c r="M7" i="192"/>
  <c r="L7" i="192"/>
  <c r="K7" i="192"/>
  <c r="P6" i="192"/>
  <c r="Q6" i="192" s="1"/>
  <c r="N6" i="192"/>
  <c r="M6" i="192"/>
  <c r="L6" i="192"/>
  <c r="K6" i="192"/>
  <c r="P5" i="192"/>
  <c r="Q5" i="192" s="1"/>
  <c r="N5" i="192"/>
  <c r="M5" i="192"/>
  <c r="L5" i="192"/>
  <c r="K5" i="192"/>
  <c r="P70" i="193"/>
  <c r="Q70" i="193" s="1"/>
  <c r="N70" i="193"/>
  <c r="M70" i="193"/>
  <c r="L70" i="193"/>
  <c r="K70" i="193"/>
  <c r="P69" i="193"/>
  <c r="Q69" i="193" s="1"/>
  <c r="N69" i="193"/>
  <c r="M69" i="193"/>
  <c r="L69" i="193"/>
  <c r="K69" i="193"/>
  <c r="P68" i="193"/>
  <c r="Q68" i="193" s="1"/>
  <c r="N68" i="193"/>
  <c r="M68" i="193"/>
  <c r="L68" i="193"/>
  <c r="K68" i="193"/>
  <c r="P67" i="193"/>
  <c r="Q67" i="193" s="1"/>
  <c r="N67" i="193"/>
  <c r="M67" i="193"/>
  <c r="L67" i="193"/>
  <c r="K67" i="193"/>
  <c r="P66" i="193"/>
  <c r="Q66" i="193" s="1"/>
  <c r="N66" i="193"/>
  <c r="M66" i="193"/>
  <c r="L66" i="193"/>
  <c r="K66" i="193"/>
  <c r="P65" i="193"/>
  <c r="Q65" i="193" s="1"/>
  <c r="N65" i="193"/>
  <c r="M65" i="193"/>
  <c r="L65" i="193"/>
  <c r="K65" i="193"/>
  <c r="P64" i="193"/>
  <c r="Q64" i="193" s="1"/>
  <c r="N64" i="193"/>
  <c r="M64" i="193"/>
  <c r="L64" i="193"/>
  <c r="K64" i="193"/>
  <c r="P63" i="193"/>
  <c r="Q63" i="193" s="1"/>
  <c r="N63" i="193"/>
  <c r="M63" i="193"/>
  <c r="L63" i="193"/>
  <c r="K63" i="193"/>
  <c r="P62" i="193"/>
  <c r="Q62" i="193" s="1"/>
  <c r="N62" i="193"/>
  <c r="M62" i="193"/>
  <c r="L62" i="193"/>
  <c r="K62" i="193"/>
  <c r="P61" i="193"/>
  <c r="Q61" i="193" s="1"/>
  <c r="N61" i="193"/>
  <c r="M61" i="193"/>
  <c r="L61" i="193"/>
  <c r="K61" i="193"/>
  <c r="P60" i="193"/>
  <c r="Q60" i="193" s="1"/>
  <c r="N60" i="193"/>
  <c r="M60" i="193"/>
  <c r="L60" i="193"/>
  <c r="K60" i="193"/>
  <c r="P59" i="193"/>
  <c r="Q59" i="193" s="1"/>
  <c r="N59" i="193"/>
  <c r="M59" i="193"/>
  <c r="L59" i="193"/>
  <c r="K59" i="193"/>
  <c r="P58" i="193"/>
  <c r="Q58" i="193" s="1"/>
  <c r="N58" i="193"/>
  <c r="M58" i="193"/>
  <c r="L58" i="193"/>
  <c r="K58" i="193"/>
  <c r="P57" i="193"/>
  <c r="Q57" i="193" s="1"/>
  <c r="N57" i="193"/>
  <c r="M57" i="193"/>
  <c r="L57" i="193"/>
  <c r="K57" i="193"/>
  <c r="P56" i="193"/>
  <c r="Q56" i="193" s="1"/>
  <c r="N56" i="193"/>
  <c r="M56" i="193"/>
  <c r="L56" i="193"/>
  <c r="K56" i="193"/>
  <c r="P55" i="193"/>
  <c r="Q55" i="193" s="1"/>
  <c r="N55" i="193"/>
  <c r="M55" i="193"/>
  <c r="L55" i="193"/>
  <c r="K55" i="193"/>
  <c r="P54" i="193"/>
  <c r="Q54" i="193" s="1"/>
  <c r="N54" i="193"/>
  <c r="M54" i="193"/>
  <c r="L54" i="193"/>
  <c r="K54" i="193"/>
  <c r="P53" i="193"/>
  <c r="Q53" i="193" s="1"/>
  <c r="N53" i="193"/>
  <c r="M53" i="193"/>
  <c r="L53" i="193"/>
  <c r="K53" i="193"/>
  <c r="P52" i="193"/>
  <c r="Q52" i="193" s="1"/>
  <c r="N52" i="193"/>
  <c r="M52" i="193"/>
  <c r="L52" i="193"/>
  <c r="K52" i="193"/>
  <c r="P51" i="193"/>
  <c r="Q51" i="193" s="1"/>
  <c r="N51" i="193"/>
  <c r="M51" i="193"/>
  <c r="L51" i="193"/>
  <c r="K51" i="193"/>
  <c r="P50" i="193"/>
  <c r="Q50" i="193" s="1"/>
  <c r="N50" i="193"/>
  <c r="M50" i="193"/>
  <c r="L50" i="193"/>
  <c r="K50" i="193"/>
  <c r="P49" i="193"/>
  <c r="Q49" i="193" s="1"/>
  <c r="N49" i="193"/>
  <c r="M49" i="193"/>
  <c r="L49" i="193"/>
  <c r="K49" i="193"/>
  <c r="P48" i="193"/>
  <c r="Q48" i="193" s="1"/>
  <c r="N48" i="193"/>
  <c r="M48" i="193"/>
  <c r="L48" i="193"/>
  <c r="K48" i="193"/>
  <c r="P47" i="193"/>
  <c r="Q47" i="193" s="1"/>
  <c r="N47" i="193"/>
  <c r="M47" i="193"/>
  <c r="L47" i="193"/>
  <c r="K47" i="193"/>
  <c r="P46" i="193"/>
  <c r="Q46" i="193" s="1"/>
  <c r="N46" i="193"/>
  <c r="M46" i="193"/>
  <c r="L46" i="193"/>
  <c r="K46" i="193"/>
  <c r="P45" i="193"/>
  <c r="Q45" i="193" s="1"/>
  <c r="N45" i="193"/>
  <c r="M45" i="193"/>
  <c r="L45" i="193"/>
  <c r="K45" i="193"/>
  <c r="P44" i="193"/>
  <c r="Q44" i="193" s="1"/>
  <c r="N44" i="193"/>
  <c r="M44" i="193"/>
  <c r="L44" i="193"/>
  <c r="K44" i="193"/>
  <c r="P43" i="193"/>
  <c r="Q43" i="193" s="1"/>
  <c r="N43" i="193"/>
  <c r="M43" i="193"/>
  <c r="L43" i="193"/>
  <c r="K43" i="193"/>
  <c r="P42" i="193"/>
  <c r="Q42" i="193" s="1"/>
  <c r="N42" i="193"/>
  <c r="M42" i="193"/>
  <c r="L42" i="193"/>
  <c r="K42" i="193"/>
  <c r="P41" i="193"/>
  <c r="Q41" i="193" s="1"/>
  <c r="N41" i="193"/>
  <c r="M41" i="193"/>
  <c r="L41" i="193"/>
  <c r="K41" i="193"/>
  <c r="P40" i="193"/>
  <c r="Q40" i="193" s="1"/>
  <c r="N40" i="193"/>
  <c r="M40" i="193"/>
  <c r="L40" i="193"/>
  <c r="K40" i="193"/>
  <c r="P39" i="193"/>
  <c r="Q39" i="193" s="1"/>
  <c r="N39" i="193"/>
  <c r="M39" i="193"/>
  <c r="L39" i="193"/>
  <c r="K39" i="193"/>
  <c r="P38" i="193"/>
  <c r="Q38" i="193" s="1"/>
  <c r="N38" i="193"/>
  <c r="M38" i="193"/>
  <c r="L38" i="193"/>
  <c r="K38" i="193"/>
  <c r="P37" i="193"/>
  <c r="Q37" i="193" s="1"/>
  <c r="N37" i="193"/>
  <c r="M37" i="193"/>
  <c r="L37" i="193"/>
  <c r="K37" i="193"/>
  <c r="P36" i="193"/>
  <c r="Q36" i="193" s="1"/>
  <c r="N36" i="193"/>
  <c r="M36" i="193"/>
  <c r="L36" i="193"/>
  <c r="K36" i="193"/>
  <c r="P35" i="193"/>
  <c r="Q35" i="193" s="1"/>
  <c r="N35" i="193"/>
  <c r="M35" i="193"/>
  <c r="L35" i="193"/>
  <c r="K35" i="193"/>
  <c r="P34" i="193"/>
  <c r="Q34" i="193" s="1"/>
  <c r="N34" i="193"/>
  <c r="M34" i="193"/>
  <c r="L34" i="193"/>
  <c r="K34" i="193"/>
  <c r="P33" i="193"/>
  <c r="Q33" i="193" s="1"/>
  <c r="N33" i="193"/>
  <c r="M33" i="193"/>
  <c r="L33" i="193"/>
  <c r="K33" i="193"/>
  <c r="P32" i="193"/>
  <c r="Q32" i="193" s="1"/>
  <c r="N32" i="193"/>
  <c r="M32" i="193"/>
  <c r="L32" i="193"/>
  <c r="K32" i="193"/>
  <c r="P31" i="193"/>
  <c r="Q31" i="193" s="1"/>
  <c r="N31" i="193"/>
  <c r="M31" i="193"/>
  <c r="L31" i="193"/>
  <c r="K31" i="193"/>
  <c r="P30" i="193"/>
  <c r="Q30" i="193" s="1"/>
  <c r="N30" i="193"/>
  <c r="M30" i="193"/>
  <c r="L30" i="193"/>
  <c r="K30" i="193"/>
  <c r="P29" i="193"/>
  <c r="Q29" i="193" s="1"/>
  <c r="N29" i="193"/>
  <c r="M29" i="193"/>
  <c r="L29" i="193"/>
  <c r="K29" i="193"/>
  <c r="P28" i="193"/>
  <c r="Q28" i="193" s="1"/>
  <c r="N28" i="193"/>
  <c r="M28" i="193"/>
  <c r="L28" i="193"/>
  <c r="K28" i="193"/>
  <c r="P27" i="193"/>
  <c r="Q27" i="193" s="1"/>
  <c r="N27" i="193"/>
  <c r="M27" i="193"/>
  <c r="L27" i="193"/>
  <c r="K27" i="193"/>
  <c r="P18" i="194"/>
  <c r="Q18" i="194" s="1"/>
  <c r="N18" i="194"/>
  <c r="M18" i="194"/>
  <c r="L18" i="194"/>
  <c r="K18" i="194"/>
  <c r="P17" i="194"/>
  <c r="Q17" i="194" s="1"/>
  <c r="N17" i="194"/>
  <c r="M17" i="194"/>
  <c r="L17" i="194"/>
  <c r="K17" i="194"/>
  <c r="P16" i="194"/>
  <c r="Q16" i="194" s="1"/>
  <c r="N16" i="194"/>
  <c r="M16" i="194"/>
  <c r="L16" i="194"/>
  <c r="K16" i="194"/>
  <c r="P15" i="194"/>
  <c r="Q15" i="194" s="1"/>
  <c r="N15" i="194"/>
  <c r="M15" i="194"/>
  <c r="L15" i="194"/>
  <c r="K15" i="194"/>
  <c r="P14" i="194"/>
  <c r="Q14" i="194" s="1"/>
  <c r="N14" i="194"/>
  <c r="M14" i="194"/>
  <c r="L14" i="194"/>
  <c r="K14" i="194"/>
  <c r="P13" i="194"/>
  <c r="Q13" i="194" s="1"/>
  <c r="N13" i="194"/>
  <c r="M13" i="194"/>
  <c r="L13" i="194"/>
  <c r="K13" i="194"/>
  <c r="P12" i="194"/>
  <c r="Q12" i="194" s="1"/>
  <c r="N12" i="194"/>
  <c r="M12" i="194"/>
  <c r="L12" i="194"/>
  <c r="K12" i="194"/>
  <c r="P11" i="194"/>
  <c r="Q11" i="194" s="1"/>
  <c r="N11" i="194"/>
  <c r="M11" i="194"/>
  <c r="L11" i="194"/>
  <c r="K11" i="194"/>
  <c r="P22" i="198"/>
  <c r="Q22" i="198" s="1"/>
  <c r="N22" i="198"/>
  <c r="M22" i="198"/>
  <c r="L22" i="198"/>
  <c r="K22" i="198"/>
  <c r="P21" i="198"/>
  <c r="Q21" i="198" s="1"/>
  <c r="N21" i="198"/>
  <c r="M21" i="198"/>
  <c r="L21" i="198"/>
  <c r="K21" i="198"/>
  <c r="P20" i="198"/>
  <c r="Q20" i="198" s="1"/>
  <c r="N20" i="198"/>
  <c r="M20" i="198"/>
  <c r="L20" i="198"/>
  <c r="K20" i="198"/>
  <c r="P19" i="198"/>
  <c r="Q19" i="198" s="1"/>
  <c r="N19" i="198"/>
  <c r="M19" i="198"/>
  <c r="L19" i="198"/>
  <c r="K19" i="198"/>
  <c r="P18" i="198"/>
  <c r="Q18" i="198" s="1"/>
  <c r="N18" i="198"/>
  <c r="M18" i="198"/>
  <c r="L18" i="198"/>
  <c r="K18" i="198"/>
  <c r="P17" i="198"/>
  <c r="Q17" i="198" s="1"/>
  <c r="N17" i="198"/>
  <c r="M17" i="198"/>
  <c r="L17" i="198"/>
  <c r="K17" i="198"/>
  <c r="P13" i="198"/>
  <c r="Q13" i="198" s="1"/>
  <c r="N13" i="198"/>
  <c r="M13" i="198"/>
  <c r="L13" i="198"/>
  <c r="K13" i="198"/>
  <c r="N22" i="199"/>
  <c r="M22" i="199"/>
  <c r="L22" i="199"/>
  <c r="K22" i="199"/>
  <c r="N21" i="199"/>
  <c r="M21" i="199"/>
  <c r="L21" i="199"/>
  <c r="K21" i="199"/>
  <c r="N20" i="199"/>
  <c r="M20" i="199"/>
  <c r="L20" i="199"/>
  <c r="K20" i="199"/>
  <c r="N19" i="199"/>
  <c r="M19" i="199"/>
  <c r="L19" i="199"/>
  <c r="K19" i="199"/>
  <c r="N18" i="199"/>
  <c r="M18" i="199"/>
  <c r="L18" i="199"/>
  <c r="K18" i="199"/>
  <c r="N17" i="199"/>
  <c r="M17" i="199"/>
  <c r="L17" i="199"/>
  <c r="K17" i="199"/>
  <c r="N13" i="199"/>
  <c r="M13" i="199"/>
  <c r="L13" i="199"/>
  <c r="K13" i="199"/>
  <c r="N36" i="200"/>
  <c r="M36" i="200"/>
  <c r="L36" i="200"/>
  <c r="K36" i="200"/>
  <c r="N35" i="200"/>
  <c r="M35" i="200"/>
  <c r="L35" i="200"/>
  <c r="K35" i="200"/>
  <c r="N34" i="200"/>
  <c r="M34" i="200"/>
  <c r="L34" i="200"/>
  <c r="K34" i="200"/>
  <c r="N33" i="200"/>
  <c r="M33" i="200"/>
  <c r="L33" i="200"/>
  <c r="K33" i="200"/>
  <c r="N32" i="200"/>
  <c r="M32" i="200"/>
  <c r="L32" i="200"/>
  <c r="K32" i="200"/>
  <c r="N31" i="200"/>
  <c r="M31" i="200"/>
  <c r="L31" i="200"/>
  <c r="K31" i="200"/>
  <c r="N30" i="200"/>
  <c r="M30" i="200"/>
  <c r="L30" i="200"/>
  <c r="K30" i="200"/>
  <c r="N29" i="200"/>
  <c r="M29" i="200"/>
  <c r="L29" i="200"/>
  <c r="K29" i="200"/>
  <c r="N28" i="200"/>
  <c r="M28" i="200"/>
  <c r="L28" i="200"/>
  <c r="K28" i="200"/>
  <c r="N27" i="200"/>
  <c r="M27" i="200"/>
  <c r="L27" i="200"/>
  <c r="K27" i="200"/>
  <c r="N26" i="200"/>
  <c r="M26" i="200"/>
  <c r="L26" i="200"/>
  <c r="K26" i="200"/>
  <c r="N25" i="200"/>
  <c r="M25" i="200"/>
  <c r="L25" i="200"/>
  <c r="K25" i="200"/>
  <c r="N24" i="200"/>
  <c r="M24" i="200"/>
  <c r="L24" i="200"/>
  <c r="K24" i="200"/>
  <c r="N23" i="200"/>
  <c r="M23" i="200"/>
  <c r="L23" i="200"/>
  <c r="K23" i="200"/>
  <c r="N22" i="200"/>
  <c r="M22" i="200"/>
  <c r="L22" i="200"/>
  <c r="K22" i="200"/>
  <c r="N21" i="200"/>
  <c r="M21" i="200"/>
  <c r="L21" i="200"/>
  <c r="K21" i="200"/>
  <c r="N20" i="200"/>
  <c r="M20" i="200"/>
  <c r="L20" i="200"/>
  <c r="K20" i="200"/>
  <c r="N19" i="200"/>
  <c r="M19" i="200"/>
  <c r="L19" i="200"/>
  <c r="K19" i="200"/>
  <c r="N21" i="202"/>
  <c r="M21" i="202"/>
  <c r="L21" i="202"/>
  <c r="K21" i="202"/>
  <c r="N20" i="202"/>
  <c r="M20" i="202"/>
  <c r="L20" i="202"/>
  <c r="K20" i="202"/>
  <c r="N19" i="202"/>
  <c r="M19" i="202"/>
  <c r="L19" i="202"/>
  <c r="K19" i="202"/>
  <c r="N18" i="202"/>
  <c r="M18" i="202"/>
  <c r="L18" i="202"/>
  <c r="K18" i="202"/>
  <c r="N17" i="202"/>
  <c r="M17" i="202"/>
  <c r="L17" i="202"/>
  <c r="K17" i="202"/>
  <c r="N16" i="202"/>
  <c r="M16" i="202"/>
  <c r="L16" i="202"/>
  <c r="K16" i="202"/>
  <c r="N15" i="202"/>
  <c r="M15" i="202"/>
  <c r="L15" i="202"/>
  <c r="K15" i="202"/>
  <c r="N14" i="202"/>
  <c r="M14" i="202"/>
  <c r="L14" i="202"/>
  <c r="K14" i="202"/>
  <c r="N13" i="203"/>
  <c r="M13" i="203"/>
  <c r="L13" i="203"/>
  <c r="K13" i="203"/>
  <c r="N12" i="203"/>
  <c r="M12" i="203"/>
  <c r="L12" i="203"/>
  <c r="K12" i="203"/>
  <c r="N11" i="203"/>
  <c r="M11" i="203"/>
  <c r="L11" i="203"/>
  <c r="K11" i="203"/>
  <c r="N10" i="203"/>
  <c r="M10" i="203"/>
  <c r="L10" i="203"/>
  <c r="K10" i="203"/>
  <c r="N9" i="203"/>
  <c r="M9" i="203"/>
  <c r="L9" i="203"/>
  <c r="K9" i="203"/>
  <c r="N17" i="205"/>
  <c r="M17" i="205"/>
  <c r="L17" i="205"/>
  <c r="K17" i="205"/>
  <c r="N16" i="205"/>
  <c r="M16" i="205"/>
  <c r="L16" i="205"/>
  <c r="K16" i="205"/>
  <c r="N15" i="205"/>
  <c r="M15" i="205"/>
  <c r="L15" i="205"/>
  <c r="K15" i="205"/>
  <c r="N14" i="205"/>
  <c r="M14" i="205"/>
  <c r="L14" i="205"/>
  <c r="K14" i="205"/>
  <c r="N13" i="205"/>
  <c r="M13" i="205"/>
  <c r="L13" i="205"/>
  <c r="K13" i="205"/>
  <c r="N12" i="205"/>
  <c r="M12" i="205"/>
  <c r="L12" i="205"/>
  <c r="K12" i="205"/>
  <c r="N11" i="205"/>
  <c r="M11" i="205"/>
  <c r="L11" i="205"/>
  <c r="K11" i="205"/>
  <c r="N10" i="204"/>
  <c r="M10" i="204"/>
  <c r="L10" i="204"/>
  <c r="K10" i="204"/>
  <c r="N9" i="204"/>
  <c r="M9" i="204"/>
  <c r="L9" i="204"/>
  <c r="K9" i="204"/>
  <c r="N8" i="204"/>
  <c r="M8" i="204"/>
  <c r="L8" i="204"/>
  <c r="K8" i="204"/>
  <c r="N17" i="228"/>
  <c r="M17" i="228"/>
  <c r="L17" i="228"/>
  <c r="K17" i="228"/>
  <c r="N16" i="228"/>
  <c r="M16" i="228"/>
  <c r="L16" i="228"/>
  <c r="K16" i="228"/>
  <c r="N15" i="228"/>
  <c r="M15" i="228"/>
  <c r="L15" i="228"/>
  <c r="K15" i="228"/>
  <c r="N14" i="228"/>
  <c r="M14" i="228"/>
  <c r="L14" i="228"/>
  <c r="K14" i="228"/>
  <c r="N13" i="228"/>
  <c r="M13" i="228"/>
  <c r="L13" i="228"/>
  <c r="K13" i="228"/>
  <c r="N12" i="228"/>
  <c r="M12" i="228"/>
  <c r="L12" i="228"/>
  <c r="K12" i="228"/>
  <c r="N11" i="228"/>
  <c r="M11" i="228"/>
  <c r="L11" i="228"/>
  <c r="K11" i="228"/>
  <c r="N10" i="228"/>
  <c r="M10" i="228"/>
  <c r="L10" i="228"/>
  <c r="K10" i="228"/>
  <c r="N36" i="201"/>
  <c r="M36" i="201"/>
  <c r="L36" i="201"/>
  <c r="K36" i="201"/>
  <c r="N34" i="201"/>
  <c r="M34" i="201"/>
  <c r="L34" i="201"/>
  <c r="K34" i="201"/>
  <c r="N35" i="201"/>
  <c r="M35" i="201"/>
  <c r="L35" i="201"/>
  <c r="K35" i="201"/>
  <c r="N33" i="201"/>
  <c r="M33" i="201"/>
  <c r="L33" i="201"/>
  <c r="K33" i="201"/>
  <c r="N32" i="201"/>
  <c r="M32" i="201"/>
  <c r="L32" i="201"/>
  <c r="K32" i="201"/>
  <c r="N31" i="201"/>
  <c r="M31" i="201"/>
  <c r="L31" i="201"/>
  <c r="K31" i="201"/>
  <c r="N30" i="201"/>
  <c r="M30" i="201"/>
  <c r="L30" i="201"/>
  <c r="K30" i="201"/>
  <c r="N29" i="201"/>
  <c r="M29" i="201"/>
  <c r="L29" i="201"/>
  <c r="K29" i="201"/>
  <c r="N28" i="201"/>
  <c r="M28" i="201"/>
  <c r="L28" i="201"/>
  <c r="K28" i="201"/>
  <c r="N27" i="201"/>
  <c r="M27" i="201"/>
  <c r="L27" i="201"/>
  <c r="K27" i="201"/>
  <c r="N26" i="201"/>
  <c r="M26" i="201"/>
  <c r="L26" i="201"/>
  <c r="K26" i="201"/>
  <c r="N25" i="201"/>
  <c r="M25" i="201"/>
  <c r="L25" i="201"/>
  <c r="K25" i="201"/>
  <c r="N24" i="201"/>
  <c r="M24" i="201"/>
  <c r="L24" i="201"/>
  <c r="K24" i="201"/>
  <c r="N23" i="201"/>
  <c r="M23" i="201"/>
  <c r="L23" i="201"/>
  <c r="K23" i="201"/>
  <c r="N22" i="201"/>
  <c r="M22" i="201"/>
  <c r="L22" i="201"/>
  <c r="K22" i="201"/>
  <c r="N21" i="201"/>
  <c r="M21" i="201"/>
  <c r="L21" i="201"/>
  <c r="K21" i="201"/>
  <c r="N20" i="201"/>
  <c r="M20" i="201"/>
  <c r="L20" i="201"/>
  <c r="K20" i="201"/>
  <c r="N19" i="201"/>
  <c r="M19" i="201"/>
  <c r="L19" i="201"/>
  <c r="K19" i="201"/>
  <c r="N20" i="229"/>
  <c r="M20" i="229"/>
  <c r="L20" i="229"/>
  <c r="K20" i="229"/>
  <c r="N19" i="229"/>
  <c r="M19" i="229"/>
  <c r="L19" i="229"/>
  <c r="K19" i="229"/>
  <c r="N18" i="229"/>
  <c r="M18" i="229"/>
  <c r="L18" i="229"/>
  <c r="K18" i="229"/>
  <c r="N17" i="229"/>
  <c r="M17" i="229"/>
  <c r="L17" i="229"/>
  <c r="K17" i="229"/>
  <c r="N16" i="229"/>
  <c r="M16" i="229"/>
  <c r="L16" i="229"/>
  <c r="K16" i="229"/>
  <c r="N15" i="229"/>
  <c r="M15" i="229"/>
  <c r="L15" i="229"/>
  <c r="K15" i="229"/>
  <c r="N14" i="229"/>
  <c r="M14" i="229"/>
  <c r="L14" i="229"/>
  <c r="K14" i="229"/>
  <c r="N13" i="229"/>
  <c r="M13" i="229"/>
  <c r="L13" i="229"/>
  <c r="K13" i="229"/>
  <c r="N13" i="230"/>
  <c r="M13" i="230"/>
  <c r="L13" i="230"/>
  <c r="K13" i="230"/>
  <c r="N12" i="230"/>
  <c r="M12" i="230"/>
  <c r="L12" i="230"/>
  <c r="K12" i="230"/>
  <c r="N11" i="230"/>
  <c r="M11" i="230"/>
  <c r="L11" i="230"/>
  <c r="K11" i="230"/>
  <c r="N10" i="230"/>
  <c r="M10" i="230"/>
  <c r="L10" i="230"/>
  <c r="K10" i="230"/>
  <c r="N24" i="195"/>
  <c r="M24" i="195"/>
  <c r="L24" i="195"/>
  <c r="K24" i="195"/>
  <c r="N23" i="195"/>
  <c r="M23" i="195"/>
  <c r="L23" i="195"/>
  <c r="K23" i="195"/>
  <c r="N22" i="195"/>
  <c r="M22" i="195"/>
  <c r="L22" i="195"/>
  <c r="K22" i="195"/>
  <c r="N21" i="195"/>
  <c r="M21" i="195"/>
  <c r="L21" i="195"/>
  <c r="K21" i="195"/>
  <c r="N20" i="195"/>
  <c r="M20" i="195"/>
  <c r="L20" i="195"/>
  <c r="K20" i="195"/>
  <c r="N19" i="195"/>
  <c r="M19" i="195"/>
  <c r="L19" i="195"/>
  <c r="K19" i="195"/>
  <c r="N18" i="195"/>
  <c r="M18" i="195"/>
  <c r="L18" i="195"/>
  <c r="K18" i="195"/>
  <c r="N17" i="195"/>
  <c r="M17" i="195"/>
  <c r="L17" i="195"/>
  <c r="K17" i="195"/>
  <c r="N16" i="195"/>
  <c r="M16" i="195"/>
  <c r="L16" i="195"/>
  <c r="K16" i="195"/>
  <c r="N15" i="195"/>
  <c r="M15" i="195"/>
  <c r="L15" i="195"/>
  <c r="K15" i="195"/>
  <c r="N14" i="195"/>
  <c r="M14" i="195"/>
  <c r="L14" i="195"/>
  <c r="K14" i="195"/>
  <c r="N13" i="195"/>
  <c r="M13" i="195"/>
  <c r="L13" i="195"/>
  <c r="K13" i="195"/>
  <c r="N12" i="195"/>
  <c r="M12" i="195"/>
  <c r="L12" i="195"/>
  <c r="K12" i="195"/>
  <c r="N11" i="195"/>
  <c r="M11" i="195"/>
  <c r="L11" i="195"/>
  <c r="K11" i="195"/>
  <c r="N21" i="127"/>
  <c r="M21" i="127"/>
  <c r="L21" i="127"/>
  <c r="K21" i="127"/>
  <c r="N6" i="265"/>
  <c r="M6" i="265"/>
  <c r="L6" i="265"/>
  <c r="K6" i="265"/>
  <c r="N5" i="265"/>
  <c r="M5" i="265"/>
  <c r="L5" i="265"/>
  <c r="K5" i="265"/>
  <c r="N6" i="266"/>
  <c r="M6" i="266"/>
  <c r="L6" i="266"/>
  <c r="K6" i="266"/>
  <c r="N5" i="266"/>
  <c r="M5" i="266"/>
  <c r="L5" i="266"/>
  <c r="K5" i="266"/>
  <c r="M13" i="267"/>
  <c r="L13" i="267"/>
  <c r="K13" i="267"/>
  <c r="M12" i="267"/>
  <c r="L12" i="267"/>
  <c r="K12" i="267"/>
  <c r="M11" i="267"/>
  <c r="L11" i="267"/>
  <c r="K11" i="267"/>
  <c r="M10" i="267"/>
  <c r="L10" i="267"/>
  <c r="K10" i="267"/>
  <c r="M9" i="267"/>
  <c r="L9" i="267"/>
  <c r="K9" i="267"/>
  <c r="M8" i="267"/>
  <c r="L8" i="267"/>
  <c r="K8" i="267"/>
  <c r="M7" i="267"/>
  <c r="L7" i="267"/>
  <c r="K7" i="267"/>
  <c r="P14" i="264"/>
  <c r="Q14" i="264" s="1"/>
  <c r="N14" i="264"/>
  <c r="M14" i="264"/>
  <c r="L14" i="264"/>
  <c r="K14" i="264"/>
  <c r="P13" i="264"/>
  <c r="Q13" i="264" s="1"/>
  <c r="N13" i="264"/>
  <c r="M13" i="264"/>
  <c r="L13" i="264"/>
  <c r="K13" i="264"/>
  <c r="P12" i="264"/>
  <c r="Q12" i="264" s="1"/>
  <c r="N12" i="264"/>
  <c r="M12" i="264"/>
  <c r="L12" i="264"/>
  <c r="K12" i="264"/>
  <c r="P11" i="264"/>
  <c r="Q11" i="264" s="1"/>
  <c r="N11" i="264"/>
  <c r="M11" i="264"/>
  <c r="L11" i="264"/>
  <c r="K11" i="264"/>
  <c r="P10" i="264"/>
  <c r="Q10" i="264" s="1"/>
  <c r="N10" i="264"/>
  <c r="M10" i="264"/>
  <c r="L10" i="264"/>
  <c r="K10" i="264"/>
  <c r="P9" i="264"/>
  <c r="Q9" i="264" s="1"/>
  <c r="N9" i="264"/>
  <c r="M9" i="264"/>
  <c r="L9" i="264"/>
  <c r="K9" i="264"/>
  <c r="P8" i="226"/>
  <c r="Q8" i="226" s="1"/>
  <c r="N8" i="226"/>
  <c r="M8" i="226"/>
  <c r="L8" i="226"/>
  <c r="K8" i="226"/>
  <c r="P7" i="226"/>
  <c r="Q7" i="226" s="1"/>
  <c r="N7" i="226"/>
  <c r="M7" i="226"/>
  <c r="L7" i="226"/>
  <c r="K7" i="226"/>
  <c r="P16" i="214"/>
  <c r="Q16" i="214" s="1"/>
  <c r="N16" i="214"/>
  <c r="M16" i="214"/>
  <c r="L16" i="214"/>
  <c r="K16" i="214"/>
  <c r="P15" i="214"/>
  <c r="Q15" i="214" s="1"/>
  <c r="N15" i="214"/>
  <c r="M15" i="214"/>
  <c r="L15" i="214"/>
  <c r="K15" i="214"/>
  <c r="P14" i="214"/>
  <c r="Q14" i="214" s="1"/>
  <c r="N14" i="214"/>
  <c r="M14" i="214"/>
  <c r="L14" i="214"/>
  <c r="K14" i="214"/>
  <c r="P13" i="214"/>
  <c r="Q13" i="214" s="1"/>
  <c r="N13" i="214"/>
  <c r="M13" i="214"/>
  <c r="L13" i="214"/>
  <c r="K13" i="214"/>
  <c r="P12" i="214"/>
  <c r="Q12" i="214" s="1"/>
  <c r="N12" i="214"/>
  <c r="M12" i="214"/>
  <c r="L12" i="214"/>
  <c r="K12" i="214"/>
  <c r="P11" i="214"/>
  <c r="Q11" i="214" s="1"/>
  <c r="N11" i="214"/>
  <c r="M11" i="214"/>
  <c r="L11" i="214"/>
  <c r="K11" i="214"/>
  <c r="P10" i="214"/>
  <c r="Q10" i="214" s="1"/>
  <c r="N10" i="214"/>
  <c r="M10" i="214"/>
  <c r="L10" i="214"/>
  <c r="K10" i="214"/>
  <c r="P12" i="225"/>
  <c r="Q12" i="225" s="1"/>
  <c r="N12" i="225"/>
  <c r="M12" i="225"/>
  <c r="L12" i="225"/>
  <c r="K12" i="225"/>
  <c r="P10" i="225"/>
  <c r="Q10" i="225" s="1"/>
  <c r="N10" i="225"/>
  <c r="M10" i="225"/>
  <c r="L10" i="225"/>
  <c r="K10" i="225"/>
  <c r="P9" i="225"/>
  <c r="Q9" i="225" s="1"/>
  <c r="N9" i="225"/>
  <c r="M9" i="225"/>
  <c r="L9" i="225"/>
  <c r="K9" i="225"/>
  <c r="P8" i="225"/>
  <c r="Q8" i="225" s="1"/>
  <c r="N8" i="225"/>
  <c r="M8" i="225"/>
  <c r="L8" i="225"/>
  <c r="K8" i="225"/>
  <c r="P7" i="225"/>
  <c r="Q7" i="225" s="1"/>
  <c r="N7" i="225"/>
  <c r="M7" i="225"/>
  <c r="L7" i="225"/>
  <c r="K7" i="225"/>
  <c r="P8" i="224"/>
  <c r="Q8" i="224" s="1"/>
  <c r="N8" i="224"/>
  <c r="M8" i="224"/>
  <c r="L8" i="224"/>
  <c r="K8" i="224"/>
  <c r="P8" i="223"/>
  <c r="Q8" i="223" s="1"/>
  <c r="N8" i="223"/>
  <c r="M8" i="223"/>
  <c r="L8" i="223"/>
  <c r="K8" i="223"/>
  <c r="P8" i="222"/>
  <c r="Q8" i="222" s="1"/>
  <c r="N8" i="222"/>
  <c r="M8" i="222"/>
  <c r="L8" i="222"/>
  <c r="K8" i="222"/>
  <c r="P11" i="221"/>
  <c r="Q11" i="221" s="1"/>
  <c r="N11" i="221"/>
  <c r="M11" i="221"/>
  <c r="L11" i="221"/>
  <c r="K11" i="221"/>
  <c r="P9" i="221"/>
  <c r="Q9" i="221" s="1"/>
  <c r="N9" i="221"/>
  <c r="M9" i="221"/>
  <c r="L9" i="221"/>
  <c r="K9" i="221"/>
  <c r="P8" i="221"/>
  <c r="Q8" i="221" s="1"/>
  <c r="N8" i="221"/>
  <c r="M8" i="221"/>
  <c r="L8" i="221"/>
  <c r="K8" i="221"/>
  <c r="P7" i="221"/>
  <c r="Q7" i="221" s="1"/>
  <c r="N7" i="221"/>
  <c r="M7" i="221"/>
  <c r="L7" i="221"/>
  <c r="K7" i="221"/>
  <c r="P10" i="220"/>
  <c r="Q10" i="220" s="1"/>
  <c r="N10" i="220"/>
  <c r="M10" i="220"/>
  <c r="L10" i="220"/>
  <c r="K10" i="220"/>
  <c r="P9" i="220"/>
  <c r="Q9" i="220" s="1"/>
  <c r="N9" i="220"/>
  <c r="M9" i="220"/>
  <c r="L9" i="220"/>
  <c r="K9" i="220"/>
  <c r="P8" i="220"/>
  <c r="Q8" i="220" s="1"/>
  <c r="N8" i="220"/>
  <c r="M8" i="220"/>
  <c r="L8" i="220"/>
  <c r="K8" i="220"/>
  <c r="P7" i="220"/>
  <c r="Q7" i="220" s="1"/>
  <c r="N7" i="220"/>
  <c r="M7" i="220"/>
  <c r="L7" i="220"/>
  <c r="K7" i="220"/>
  <c r="P11" i="219"/>
  <c r="Q11" i="219" s="1"/>
  <c r="N11" i="219"/>
  <c r="M11" i="219"/>
  <c r="L11" i="219"/>
  <c r="K11" i="219"/>
  <c r="P10" i="219"/>
  <c r="Q10" i="219" s="1"/>
  <c r="N10" i="219"/>
  <c r="M10" i="219"/>
  <c r="L10" i="219"/>
  <c r="K10" i="219"/>
  <c r="P9" i="219"/>
  <c r="Q9" i="219" s="1"/>
  <c r="N9" i="219"/>
  <c r="M9" i="219"/>
  <c r="L9" i="219"/>
  <c r="K9" i="219"/>
  <c r="P8" i="219"/>
  <c r="Q8" i="219" s="1"/>
  <c r="N8" i="219"/>
  <c r="M8" i="219"/>
  <c r="L8" i="219"/>
  <c r="K8" i="219"/>
  <c r="P13" i="218"/>
  <c r="Q13" i="218" s="1"/>
  <c r="N13" i="218"/>
  <c r="M13" i="218"/>
  <c r="L13" i="218"/>
  <c r="K13" i="218"/>
  <c r="P12" i="218"/>
  <c r="Q12" i="218" s="1"/>
  <c r="N12" i="218"/>
  <c r="M12" i="218"/>
  <c r="L12" i="218"/>
  <c r="K12" i="218"/>
  <c r="P11" i="218"/>
  <c r="Q11" i="218" s="1"/>
  <c r="N11" i="218"/>
  <c r="M11" i="218"/>
  <c r="L11" i="218"/>
  <c r="K11" i="218"/>
  <c r="P10" i="218"/>
  <c r="Q10" i="218" s="1"/>
  <c r="N10" i="218"/>
  <c r="M10" i="218"/>
  <c r="L10" i="218"/>
  <c r="K10" i="218"/>
  <c r="P9" i="218"/>
  <c r="Q9" i="218" s="1"/>
  <c r="N9" i="218"/>
  <c r="M9" i="218"/>
  <c r="L9" i="218"/>
  <c r="K9" i="218"/>
  <c r="P32" i="213"/>
  <c r="Q32" i="213" s="1"/>
  <c r="N32" i="213"/>
  <c r="M32" i="213"/>
  <c r="L32" i="213"/>
  <c r="K32" i="213"/>
  <c r="P31" i="213"/>
  <c r="Q31" i="213" s="1"/>
  <c r="N31" i="213"/>
  <c r="M31" i="213"/>
  <c r="L31" i="213"/>
  <c r="K31" i="213"/>
  <c r="P28" i="213"/>
  <c r="Q28" i="213" s="1"/>
  <c r="N28" i="213"/>
  <c r="M28" i="213"/>
  <c r="L28" i="213"/>
  <c r="K28" i="213"/>
  <c r="P27" i="213"/>
  <c r="Q27" i="213" s="1"/>
  <c r="N27" i="213"/>
  <c r="M27" i="213"/>
  <c r="L27" i="213"/>
  <c r="K27" i="213"/>
  <c r="P26" i="213"/>
  <c r="Q26" i="213" s="1"/>
  <c r="N26" i="213"/>
  <c r="M26" i="213"/>
  <c r="L26" i="213"/>
  <c r="K26" i="213"/>
  <c r="P25" i="213"/>
  <c r="Q25" i="213" s="1"/>
  <c r="N25" i="213"/>
  <c r="M25" i="213"/>
  <c r="L25" i="213"/>
  <c r="K25" i="213"/>
  <c r="P9" i="250"/>
  <c r="Q9" i="250" s="1"/>
  <c r="N9" i="250"/>
  <c r="M9" i="250"/>
  <c r="L9" i="250"/>
  <c r="K9" i="250"/>
  <c r="P8" i="250"/>
  <c r="Q8" i="250" s="1"/>
  <c r="N8" i="250"/>
  <c r="M8" i="250"/>
  <c r="L8" i="250"/>
  <c r="K8" i="250"/>
  <c r="P7" i="250"/>
  <c r="Q7" i="250" s="1"/>
  <c r="N7" i="250"/>
  <c r="M7" i="250"/>
  <c r="L7" i="250"/>
  <c r="K7" i="250"/>
  <c r="P14" i="249"/>
  <c r="Q14" i="249" s="1"/>
  <c r="N14" i="249"/>
  <c r="M14" i="249"/>
  <c r="L14" i="249"/>
  <c r="K14" i="249"/>
  <c r="P12" i="249"/>
  <c r="Q12" i="249" s="1"/>
  <c r="N12" i="249"/>
  <c r="M12" i="249"/>
  <c r="L12" i="249"/>
  <c r="K12" i="249"/>
  <c r="P11" i="249"/>
  <c r="Q11" i="249" s="1"/>
  <c r="N11" i="249"/>
  <c r="M11" i="249"/>
  <c r="L11" i="249"/>
  <c r="K11" i="249"/>
  <c r="P10" i="249"/>
  <c r="Q10" i="249" s="1"/>
  <c r="N10" i="249"/>
  <c r="M10" i="249"/>
  <c r="L10" i="249"/>
  <c r="K10" i="249"/>
  <c r="P9" i="249"/>
  <c r="Q9" i="249" s="1"/>
  <c r="N9" i="249"/>
  <c r="M9" i="249"/>
  <c r="L9" i="249"/>
  <c r="K9" i="249"/>
  <c r="P7" i="249"/>
  <c r="Q7" i="249" s="1"/>
  <c r="N7" i="249"/>
  <c r="M7" i="249"/>
  <c r="L7" i="249"/>
  <c r="K7" i="249"/>
  <c r="P15" i="212"/>
  <c r="Q15" i="212" s="1"/>
  <c r="N15" i="212"/>
  <c r="M15" i="212"/>
  <c r="L15" i="212"/>
  <c r="K15" i="212"/>
  <c r="P14" i="212"/>
  <c r="Q14" i="212" s="1"/>
  <c r="N14" i="212"/>
  <c r="M14" i="212"/>
  <c r="L14" i="212"/>
  <c r="K14" i="212"/>
  <c r="N13" i="212"/>
  <c r="M13" i="212"/>
  <c r="L13" i="212"/>
  <c r="K13" i="212"/>
  <c r="P21" i="211"/>
  <c r="Q21" i="211" s="1"/>
  <c r="N21" i="211"/>
  <c r="M21" i="211"/>
  <c r="L21" i="211"/>
  <c r="K21" i="211"/>
  <c r="P20" i="211"/>
  <c r="Q20" i="211" s="1"/>
  <c r="N20" i="211"/>
  <c r="M20" i="211"/>
  <c r="L20" i="211"/>
  <c r="K20" i="211"/>
  <c r="P19" i="211"/>
  <c r="Q19" i="211" s="1"/>
  <c r="N19" i="211"/>
  <c r="M19" i="211"/>
  <c r="L19" i="211"/>
  <c r="K19" i="211"/>
  <c r="P15" i="175"/>
  <c r="Q15" i="175" s="1"/>
  <c r="N15" i="175"/>
  <c r="M15" i="175"/>
  <c r="L15" i="175"/>
  <c r="K15" i="175"/>
  <c r="P14" i="175"/>
  <c r="Q14" i="175" s="1"/>
  <c r="N14" i="175"/>
  <c r="M14" i="175"/>
  <c r="L14" i="175"/>
  <c r="K14" i="175"/>
  <c r="P13" i="175"/>
  <c r="Q13" i="175" s="1"/>
  <c r="N13" i="175"/>
  <c r="M13" i="175"/>
  <c r="L13" i="175"/>
  <c r="K13" i="175"/>
  <c r="P12" i="175"/>
  <c r="Q12" i="175" s="1"/>
  <c r="N12" i="175"/>
  <c r="M12" i="175"/>
  <c r="L12" i="175"/>
  <c r="K12" i="175"/>
  <c r="P11" i="175"/>
  <c r="Q11" i="175" s="1"/>
  <c r="N11" i="175"/>
  <c r="M11" i="175"/>
  <c r="L11" i="175"/>
  <c r="K11" i="175"/>
  <c r="P10" i="175"/>
  <c r="Q10" i="175" s="1"/>
  <c r="N10" i="175"/>
  <c r="M10" i="175"/>
  <c r="L10" i="175"/>
  <c r="K10" i="175"/>
  <c r="P9" i="175"/>
  <c r="Q9" i="175" s="1"/>
  <c r="N9" i="175"/>
  <c r="M9" i="175"/>
  <c r="L9" i="175"/>
  <c r="K9" i="175"/>
  <c r="P8" i="175"/>
  <c r="Q8" i="175" s="1"/>
  <c r="N8" i="175"/>
  <c r="M8" i="175"/>
  <c r="L8" i="175"/>
  <c r="K8" i="175"/>
  <c r="P15" i="174"/>
  <c r="Q15" i="174" s="1"/>
  <c r="N15" i="174"/>
  <c r="M15" i="174"/>
  <c r="L15" i="174"/>
  <c r="K15" i="174"/>
  <c r="P14" i="174"/>
  <c r="Q14" i="174" s="1"/>
  <c r="N14" i="174"/>
  <c r="M14" i="174"/>
  <c r="L14" i="174"/>
  <c r="K14" i="174"/>
  <c r="P13" i="174"/>
  <c r="Q13" i="174" s="1"/>
  <c r="N13" i="174"/>
  <c r="M13" i="174"/>
  <c r="L13" i="174"/>
  <c r="K13" i="174"/>
  <c r="P10" i="174"/>
  <c r="Q10" i="174" s="1"/>
  <c r="N10" i="174"/>
  <c r="M10" i="174"/>
  <c r="L10" i="174"/>
  <c r="K10" i="174"/>
  <c r="P12" i="174"/>
  <c r="Q12" i="174" s="1"/>
  <c r="N12" i="174"/>
  <c r="M12" i="174"/>
  <c r="L12" i="174"/>
  <c r="K12" i="174"/>
  <c r="P11" i="174"/>
  <c r="Q11" i="174" s="1"/>
  <c r="N11" i="174"/>
  <c r="M11" i="174"/>
  <c r="L11" i="174"/>
  <c r="K11" i="174"/>
  <c r="P9" i="174"/>
  <c r="Q9" i="174" s="1"/>
  <c r="N9" i="174"/>
  <c r="M9" i="174"/>
  <c r="L9" i="174"/>
  <c r="K9" i="174"/>
  <c r="P11" i="173"/>
  <c r="Q11" i="173" s="1"/>
  <c r="N11" i="173"/>
  <c r="M11" i="173"/>
  <c r="L11" i="173"/>
  <c r="K11" i="173"/>
  <c r="P10" i="173"/>
  <c r="Q10" i="173" s="1"/>
  <c r="N10" i="173"/>
  <c r="M10" i="173"/>
  <c r="L10" i="173"/>
  <c r="K10" i="173"/>
  <c r="P9" i="173"/>
  <c r="Q9" i="173" s="1"/>
  <c r="N9" i="173"/>
  <c r="M9" i="173"/>
  <c r="L9" i="173"/>
  <c r="K9" i="173"/>
  <c r="P10" i="172"/>
  <c r="Q10" i="172" s="1"/>
  <c r="N10" i="172"/>
  <c r="M10" i="172"/>
  <c r="L10" i="172"/>
  <c r="K10" i="172"/>
  <c r="P9" i="172"/>
  <c r="Q9" i="172" s="1"/>
  <c r="N9" i="172"/>
  <c r="M9" i="172"/>
  <c r="L9" i="172"/>
  <c r="K9" i="172"/>
  <c r="P8" i="172"/>
  <c r="Q8" i="172" s="1"/>
  <c r="N8" i="172"/>
  <c r="M8" i="172"/>
  <c r="L8" i="172"/>
  <c r="K8" i="172"/>
  <c r="P6" i="172"/>
  <c r="Q6" i="172" s="1"/>
  <c r="N6" i="172"/>
  <c r="M6" i="172"/>
  <c r="L6" i="172"/>
  <c r="K6" i="172"/>
  <c r="P7" i="172"/>
  <c r="Q7" i="172" s="1"/>
  <c r="N7" i="172"/>
  <c r="M7" i="172"/>
  <c r="L7" i="172"/>
  <c r="K7" i="172"/>
  <c r="P20" i="171"/>
  <c r="Q20" i="171" s="1"/>
  <c r="N20" i="171"/>
  <c r="M20" i="171"/>
  <c r="L20" i="171"/>
  <c r="K20" i="171"/>
  <c r="P19" i="171"/>
  <c r="Q19" i="171" s="1"/>
  <c r="N19" i="171"/>
  <c r="M19" i="171"/>
  <c r="L19" i="171"/>
  <c r="K19" i="171"/>
  <c r="P18" i="171"/>
  <c r="Q18" i="171" s="1"/>
  <c r="N18" i="171"/>
  <c r="M18" i="171"/>
  <c r="L18" i="171"/>
  <c r="K18" i="171"/>
  <c r="P17" i="171"/>
  <c r="Q17" i="171" s="1"/>
  <c r="N17" i="171"/>
  <c r="M17" i="171"/>
  <c r="L17" i="171"/>
  <c r="K17" i="171"/>
  <c r="P16" i="171"/>
  <c r="Q16" i="171" s="1"/>
  <c r="N16" i="171"/>
  <c r="M16" i="171"/>
  <c r="L16" i="171"/>
  <c r="K16" i="171"/>
  <c r="P15" i="171"/>
  <c r="Q15" i="171" s="1"/>
  <c r="N15" i="171"/>
  <c r="M15" i="171"/>
  <c r="L15" i="171"/>
  <c r="K15" i="171"/>
  <c r="P14" i="171"/>
  <c r="Q14" i="171" s="1"/>
  <c r="N14" i="171"/>
  <c r="M14" i="171"/>
  <c r="L14" i="171"/>
  <c r="K14" i="171"/>
  <c r="P13" i="171"/>
  <c r="Q13" i="171" s="1"/>
  <c r="N13" i="171"/>
  <c r="M13" i="171"/>
  <c r="L13" i="171"/>
  <c r="K13" i="171"/>
  <c r="P18" i="124"/>
  <c r="Q18" i="124" s="1"/>
  <c r="N18" i="124"/>
  <c r="M18" i="124"/>
  <c r="L18" i="124"/>
  <c r="K18" i="124"/>
  <c r="P17" i="124"/>
  <c r="Q17" i="124" s="1"/>
  <c r="N17" i="124"/>
  <c r="M17" i="124"/>
  <c r="L17" i="124"/>
  <c r="K17" i="124"/>
  <c r="P16" i="124"/>
  <c r="Q16" i="124" s="1"/>
  <c r="N16" i="124"/>
  <c r="M16" i="124"/>
  <c r="L16" i="124"/>
  <c r="K16" i="124"/>
  <c r="P15" i="124"/>
  <c r="Q15" i="124" s="1"/>
  <c r="N15" i="124"/>
  <c r="M15" i="124"/>
  <c r="L15" i="124"/>
  <c r="K15" i="124"/>
  <c r="P14" i="124"/>
  <c r="Q14" i="124" s="1"/>
  <c r="N14" i="124"/>
  <c r="M14" i="124"/>
  <c r="L14" i="124"/>
  <c r="K14" i="124"/>
  <c r="P13" i="124"/>
  <c r="Q13" i="124" s="1"/>
  <c r="N13" i="124"/>
  <c r="M13" i="124"/>
  <c r="L13" i="124"/>
  <c r="K13" i="124"/>
  <c r="P12" i="124"/>
  <c r="Q12" i="124" s="1"/>
  <c r="N12" i="124"/>
  <c r="M12" i="124"/>
  <c r="L12" i="124"/>
  <c r="K12" i="124"/>
  <c r="P34" i="123"/>
  <c r="Q34" i="123" s="1"/>
  <c r="N34" i="123"/>
  <c r="M34" i="123"/>
  <c r="L34" i="123"/>
  <c r="K34" i="123"/>
  <c r="P33" i="123"/>
  <c r="Q33" i="123" s="1"/>
  <c r="N33" i="123"/>
  <c r="M33" i="123"/>
  <c r="L33" i="123"/>
  <c r="K33" i="123"/>
  <c r="P32" i="123"/>
  <c r="Q32" i="123" s="1"/>
  <c r="N32" i="123"/>
  <c r="M32" i="123"/>
  <c r="L32" i="123"/>
  <c r="K32" i="123"/>
  <c r="P31" i="123"/>
  <c r="Q31" i="123" s="1"/>
  <c r="N31" i="123"/>
  <c r="M31" i="123"/>
  <c r="L31" i="123"/>
  <c r="K31" i="123"/>
  <c r="P30" i="123"/>
  <c r="Q30" i="123" s="1"/>
  <c r="N30" i="123"/>
  <c r="M30" i="123"/>
  <c r="L30" i="123"/>
  <c r="K30" i="123"/>
  <c r="P29" i="123"/>
  <c r="Q29" i="123" s="1"/>
  <c r="N29" i="123"/>
  <c r="M29" i="123"/>
  <c r="L29" i="123"/>
  <c r="K29" i="123"/>
  <c r="P28" i="123"/>
  <c r="Q28" i="123" s="1"/>
  <c r="N28" i="123"/>
  <c r="M28" i="123"/>
  <c r="L28" i="123"/>
  <c r="K28" i="123"/>
  <c r="P27" i="123"/>
  <c r="Q27" i="123" s="1"/>
  <c r="N27" i="123"/>
  <c r="M27" i="123"/>
  <c r="L27" i="123"/>
  <c r="K27" i="123"/>
  <c r="P26" i="123"/>
  <c r="Q26" i="123" s="1"/>
  <c r="N26" i="123"/>
  <c r="M26" i="123"/>
  <c r="L26" i="123"/>
  <c r="K26" i="123"/>
  <c r="P25" i="123"/>
  <c r="Q25" i="123" s="1"/>
  <c r="N25" i="123"/>
  <c r="M25" i="123"/>
  <c r="L25" i="123"/>
  <c r="K25" i="123"/>
  <c r="P24" i="123"/>
  <c r="Q24" i="123" s="1"/>
  <c r="N24" i="123"/>
  <c r="M24" i="123"/>
  <c r="L24" i="123"/>
  <c r="K24" i="123"/>
  <c r="P23" i="123"/>
  <c r="Q23" i="123" s="1"/>
  <c r="N23" i="123"/>
  <c r="M23" i="123"/>
  <c r="L23" i="123"/>
  <c r="K23" i="123"/>
  <c r="P22" i="123"/>
  <c r="Q22" i="123" s="1"/>
  <c r="N22" i="123"/>
  <c r="M22" i="123"/>
  <c r="L22" i="123"/>
  <c r="K22" i="123"/>
  <c r="P21" i="123"/>
  <c r="Q21" i="123" s="1"/>
  <c r="N21" i="123"/>
  <c r="M21" i="123"/>
  <c r="L21" i="123"/>
  <c r="K21" i="123"/>
  <c r="P20" i="123"/>
  <c r="Q20" i="123" s="1"/>
  <c r="N20" i="123"/>
  <c r="M20" i="123"/>
  <c r="L20" i="123"/>
  <c r="K20" i="123"/>
  <c r="P19" i="123"/>
  <c r="Q19" i="123" s="1"/>
  <c r="N19" i="123"/>
  <c r="M19" i="123"/>
  <c r="L19" i="123"/>
  <c r="K19" i="123"/>
  <c r="P18" i="123"/>
  <c r="Q18" i="123" s="1"/>
  <c r="N18" i="123"/>
  <c r="M18" i="123"/>
  <c r="L18" i="123"/>
  <c r="K18" i="123"/>
  <c r="P17" i="123"/>
  <c r="Q17" i="123" s="1"/>
  <c r="N17" i="123"/>
  <c r="M17" i="123"/>
  <c r="L17" i="123"/>
  <c r="K17" i="123"/>
  <c r="P16" i="143"/>
  <c r="Q16" i="143" s="1"/>
  <c r="N16" i="143"/>
  <c r="M16" i="143"/>
  <c r="L16" i="143"/>
  <c r="K16" i="143"/>
  <c r="P15" i="143"/>
  <c r="Q15" i="143" s="1"/>
  <c r="N15" i="143"/>
  <c r="M15" i="143"/>
  <c r="L15" i="143"/>
  <c r="K15" i="143"/>
  <c r="P14" i="143"/>
  <c r="Q14" i="143" s="1"/>
  <c r="N14" i="143"/>
  <c r="M14" i="143"/>
  <c r="L14" i="143"/>
  <c r="K14" i="143"/>
  <c r="P13" i="143"/>
  <c r="Q13" i="143" s="1"/>
  <c r="N13" i="143"/>
  <c r="M13" i="143"/>
  <c r="L13" i="143"/>
  <c r="K13" i="143"/>
  <c r="P12" i="143"/>
  <c r="Q12" i="143" s="1"/>
  <c r="N12" i="143"/>
  <c r="M12" i="143"/>
  <c r="L12" i="143"/>
  <c r="K12" i="143"/>
  <c r="P14" i="142"/>
  <c r="Q14" i="142" s="1"/>
  <c r="N14" i="142"/>
  <c r="M14" i="142"/>
  <c r="L14" i="142"/>
  <c r="K14" i="142"/>
  <c r="P13" i="142"/>
  <c r="Q13" i="142" s="1"/>
  <c r="N13" i="142"/>
  <c r="M13" i="142"/>
  <c r="L13" i="142"/>
  <c r="K13" i="142"/>
  <c r="P12" i="142"/>
  <c r="Q12" i="142" s="1"/>
  <c r="N12" i="142"/>
  <c r="M12" i="142"/>
  <c r="L12" i="142"/>
  <c r="K12" i="142"/>
  <c r="P11" i="142"/>
  <c r="Q11" i="142" s="1"/>
  <c r="N11" i="142"/>
  <c r="M11" i="142"/>
  <c r="L11" i="142"/>
  <c r="K11" i="142"/>
  <c r="P10" i="139"/>
  <c r="Q10" i="139" s="1"/>
  <c r="N10" i="139"/>
  <c r="M10" i="139"/>
  <c r="L10" i="139"/>
  <c r="K10" i="139"/>
  <c r="P10" i="138"/>
  <c r="Q10" i="138" s="1"/>
  <c r="N10" i="138"/>
  <c r="M10" i="138"/>
  <c r="L10" i="138"/>
  <c r="K10" i="138"/>
  <c r="P9" i="138"/>
  <c r="Q9" i="138" s="1"/>
  <c r="N9" i="138"/>
  <c r="M9" i="138"/>
  <c r="L9" i="138"/>
  <c r="K9" i="138"/>
  <c r="P8" i="138"/>
  <c r="Q8" i="138" s="1"/>
  <c r="N8" i="138"/>
  <c r="M8" i="138"/>
  <c r="L8" i="138"/>
  <c r="K8" i="138"/>
  <c r="P7" i="138"/>
  <c r="Q7" i="138" s="1"/>
  <c r="N7" i="138"/>
  <c r="M7" i="138"/>
  <c r="L7" i="138"/>
  <c r="K7" i="138"/>
  <c r="P16" i="137"/>
  <c r="Q16" i="137" s="1"/>
  <c r="N16" i="137"/>
  <c r="M16" i="137"/>
  <c r="L16" i="137"/>
  <c r="K16" i="137"/>
  <c r="P15" i="137"/>
  <c r="Q15" i="137" s="1"/>
  <c r="N15" i="137"/>
  <c r="M15" i="137"/>
  <c r="L15" i="137"/>
  <c r="K15" i="137"/>
  <c r="P14" i="137"/>
  <c r="Q14" i="137" s="1"/>
  <c r="N14" i="137"/>
  <c r="M14" i="137"/>
  <c r="L14" i="137"/>
  <c r="K14" i="137"/>
  <c r="P13" i="137"/>
  <c r="Q13" i="137" s="1"/>
  <c r="N13" i="137"/>
  <c r="M13" i="137"/>
  <c r="L13" i="137"/>
  <c r="K13" i="137"/>
  <c r="P12" i="137"/>
  <c r="Q12" i="137" s="1"/>
  <c r="N12" i="137"/>
  <c r="M12" i="137"/>
  <c r="L12" i="137"/>
  <c r="K12" i="137"/>
  <c r="P14" i="144"/>
  <c r="Q14" i="144" s="1"/>
  <c r="N14" i="144"/>
  <c r="M14" i="144"/>
  <c r="L14" i="144"/>
  <c r="K14" i="144"/>
  <c r="P13" i="144"/>
  <c r="Q13" i="144" s="1"/>
  <c r="N13" i="144"/>
  <c r="M13" i="144"/>
  <c r="L13" i="144"/>
  <c r="K13" i="144"/>
  <c r="P12" i="144"/>
  <c r="Q12" i="144" s="1"/>
  <c r="N12" i="144"/>
  <c r="M12" i="144"/>
  <c r="L12" i="144"/>
  <c r="K12" i="144"/>
  <c r="P11" i="144"/>
  <c r="Q11" i="144" s="1"/>
  <c r="N11" i="144"/>
  <c r="M11" i="144"/>
  <c r="L11" i="144"/>
  <c r="K11" i="144"/>
  <c r="P11" i="135"/>
  <c r="Q11" i="135" s="1"/>
  <c r="N11" i="135"/>
  <c r="M11" i="135"/>
  <c r="L11" i="135"/>
  <c r="K11" i="135"/>
  <c r="P10" i="135"/>
  <c r="Q10" i="135" s="1"/>
  <c r="N10" i="135"/>
  <c r="M10" i="135"/>
  <c r="L10" i="135"/>
  <c r="K10" i="135"/>
  <c r="P15" i="104"/>
  <c r="Q15" i="104" s="1"/>
  <c r="N15" i="104"/>
  <c r="M15" i="104"/>
  <c r="L15" i="104"/>
  <c r="K15" i="104"/>
  <c r="P14" i="104"/>
  <c r="Q14" i="104" s="1"/>
  <c r="N14" i="104"/>
  <c r="M14" i="104"/>
  <c r="L14" i="104"/>
  <c r="K14" i="104"/>
  <c r="P13" i="104"/>
  <c r="Q13" i="104" s="1"/>
  <c r="N13" i="104"/>
  <c r="M13" i="104"/>
  <c r="L13" i="104"/>
  <c r="K13" i="104"/>
  <c r="P12" i="104"/>
  <c r="Q12" i="104" s="1"/>
  <c r="N12" i="104"/>
  <c r="M12" i="104"/>
  <c r="L12" i="104"/>
  <c r="K12" i="104"/>
  <c r="P11" i="104"/>
  <c r="Q11" i="104" s="1"/>
  <c r="N11" i="104"/>
  <c r="M11" i="104"/>
  <c r="L11" i="104"/>
  <c r="K11" i="104"/>
  <c r="P10" i="105"/>
  <c r="Q10" i="105" s="1"/>
  <c r="N10" i="105"/>
  <c r="M10" i="105"/>
  <c r="L10" i="105"/>
  <c r="K10" i="105"/>
  <c r="P16" i="103"/>
  <c r="Q16" i="103" s="1"/>
  <c r="N16" i="103"/>
  <c r="M16" i="103"/>
  <c r="L16" i="103"/>
  <c r="K16" i="103"/>
  <c r="P15" i="103"/>
  <c r="Q15" i="103" s="1"/>
  <c r="N15" i="103"/>
  <c r="M15" i="103"/>
  <c r="L15" i="103"/>
  <c r="K15" i="103"/>
  <c r="P14" i="103"/>
  <c r="Q14" i="103" s="1"/>
  <c r="N14" i="103"/>
  <c r="M14" i="103"/>
  <c r="L14" i="103"/>
  <c r="K14" i="103"/>
  <c r="P13" i="103"/>
  <c r="Q13" i="103" s="1"/>
  <c r="N13" i="103"/>
  <c r="M13" i="103"/>
  <c r="L13" i="103"/>
  <c r="K13" i="103"/>
  <c r="P12" i="103"/>
  <c r="Q12" i="103" s="1"/>
  <c r="N12" i="103"/>
  <c r="M12" i="103"/>
  <c r="L12" i="103"/>
  <c r="K12" i="103"/>
  <c r="P15" i="102"/>
  <c r="Q15" i="102" s="1"/>
  <c r="N15" i="102"/>
  <c r="M15" i="102"/>
  <c r="L15" i="102"/>
  <c r="K15" i="102"/>
  <c r="P14" i="102"/>
  <c r="Q14" i="102" s="1"/>
  <c r="N14" i="102"/>
  <c r="M14" i="102"/>
  <c r="L14" i="102"/>
  <c r="K14" i="102"/>
  <c r="P13" i="102"/>
  <c r="Q13" i="102" s="1"/>
  <c r="N13" i="102"/>
  <c r="M13" i="102"/>
  <c r="L13" i="102"/>
  <c r="K13" i="102"/>
  <c r="P12" i="102"/>
  <c r="Q12" i="102" s="1"/>
  <c r="N12" i="102"/>
  <c r="M12" i="102"/>
  <c r="L12" i="102"/>
  <c r="K12" i="102"/>
  <c r="P11" i="102"/>
  <c r="Q11" i="102" s="1"/>
  <c r="N11" i="102"/>
  <c r="M11" i="102"/>
  <c r="L11" i="102"/>
  <c r="K11" i="102"/>
  <c r="P14" i="101"/>
  <c r="Q14" i="101" s="1"/>
  <c r="N14" i="101"/>
  <c r="M14" i="101"/>
  <c r="L14" i="101"/>
  <c r="K14" i="101"/>
  <c r="P13" i="101"/>
  <c r="Q13" i="101" s="1"/>
  <c r="N13" i="101"/>
  <c r="M13" i="101"/>
  <c r="L13" i="101"/>
  <c r="K13" i="101"/>
  <c r="P12" i="101"/>
  <c r="Q12" i="101" s="1"/>
  <c r="N12" i="101"/>
  <c r="M12" i="101"/>
  <c r="L12" i="101"/>
  <c r="K12" i="101"/>
  <c r="P11" i="101"/>
  <c r="Q11" i="101" s="1"/>
  <c r="N11" i="101"/>
  <c r="M11" i="101"/>
  <c r="L11" i="101"/>
  <c r="K11" i="101"/>
  <c r="P8" i="263"/>
  <c r="Q8" i="263" s="1"/>
  <c r="N8" i="263"/>
  <c r="M8" i="263"/>
  <c r="L8" i="263"/>
  <c r="K8" i="263"/>
  <c r="P7" i="134"/>
  <c r="Q7" i="134" s="1"/>
  <c r="N7" i="134"/>
  <c r="M7" i="134"/>
  <c r="L7" i="134"/>
  <c r="K7" i="134"/>
  <c r="P5" i="99"/>
  <c r="Q5" i="99" s="1"/>
  <c r="N5" i="99"/>
  <c r="M5" i="99"/>
  <c r="L5" i="99"/>
  <c r="K5" i="99"/>
  <c r="P10" i="98"/>
  <c r="Q10" i="98" s="1"/>
  <c r="N10" i="98"/>
  <c r="M10" i="98"/>
  <c r="L10" i="98"/>
  <c r="K10" i="98"/>
  <c r="P14" i="97"/>
  <c r="Q14" i="97" s="1"/>
  <c r="N14" i="97"/>
  <c r="M14" i="97"/>
  <c r="L14" i="97"/>
  <c r="K14" i="97"/>
  <c r="P13" i="97"/>
  <c r="Q13" i="97" s="1"/>
  <c r="N13" i="97"/>
  <c r="M13" i="97"/>
  <c r="L13" i="97"/>
  <c r="K13" i="97"/>
  <c r="P12" i="97"/>
  <c r="Q12" i="97" s="1"/>
  <c r="N12" i="97"/>
  <c r="M12" i="97"/>
  <c r="L12" i="97"/>
  <c r="K12" i="97"/>
  <c r="P11" i="97"/>
  <c r="Q11" i="97" s="1"/>
  <c r="N11" i="97"/>
  <c r="M11" i="97"/>
  <c r="L11" i="97"/>
  <c r="K11" i="97"/>
  <c r="P10" i="97"/>
  <c r="Q10" i="97" s="1"/>
  <c r="N10" i="97"/>
  <c r="M10" i="97"/>
  <c r="L10" i="97"/>
  <c r="K10" i="97"/>
  <c r="P9" i="96"/>
  <c r="Q9" i="96" s="1"/>
  <c r="N9" i="96"/>
  <c r="M9" i="96"/>
  <c r="L9" i="96"/>
  <c r="K9" i="96"/>
  <c r="P8" i="96"/>
  <c r="Q8" i="96" s="1"/>
  <c r="N8" i="96"/>
  <c r="M8" i="96"/>
  <c r="L8" i="96"/>
  <c r="K8" i="96"/>
  <c r="P7" i="96"/>
  <c r="Q7" i="96" s="1"/>
  <c r="N7" i="96"/>
  <c r="M7" i="96"/>
  <c r="L7" i="96"/>
  <c r="K7" i="96"/>
  <c r="P15" i="95"/>
  <c r="Q15" i="95" s="1"/>
  <c r="N15" i="95"/>
  <c r="M15" i="95"/>
  <c r="L15" i="95"/>
  <c r="K15" i="95"/>
  <c r="P14" i="95"/>
  <c r="Q14" i="95" s="1"/>
  <c r="N14" i="95"/>
  <c r="M14" i="95"/>
  <c r="L14" i="95"/>
  <c r="K14" i="95"/>
  <c r="P13" i="95"/>
  <c r="Q13" i="95" s="1"/>
  <c r="N13" i="95"/>
  <c r="M13" i="95"/>
  <c r="L13" i="95"/>
  <c r="K13" i="95"/>
  <c r="P12" i="95"/>
  <c r="Q12" i="95" s="1"/>
  <c r="N12" i="95"/>
  <c r="M12" i="95"/>
  <c r="L12" i="95"/>
  <c r="K12" i="95"/>
  <c r="P11" i="95"/>
  <c r="Q11" i="95" s="1"/>
  <c r="N11" i="95"/>
  <c r="M11" i="95"/>
  <c r="L11" i="95"/>
  <c r="K11" i="95"/>
  <c r="P14" i="94"/>
  <c r="Q14" i="94" s="1"/>
  <c r="N14" i="94"/>
  <c r="M14" i="94"/>
  <c r="L14" i="94"/>
  <c r="K14" i="94"/>
  <c r="P13" i="94"/>
  <c r="Q13" i="94" s="1"/>
  <c r="N13" i="94"/>
  <c r="M13" i="94"/>
  <c r="L13" i="94"/>
  <c r="K13" i="94"/>
  <c r="P12" i="94"/>
  <c r="Q12" i="94" s="1"/>
  <c r="N12" i="94"/>
  <c r="M12" i="94"/>
  <c r="L12" i="94"/>
  <c r="K12" i="94"/>
  <c r="P11" i="94"/>
  <c r="Q11" i="94" s="1"/>
  <c r="N11" i="94"/>
  <c r="M11" i="94"/>
  <c r="L11" i="94"/>
  <c r="K11" i="94"/>
  <c r="P11" i="93"/>
  <c r="Q11" i="93" s="1"/>
  <c r="N11" i="93"/>
  <c r="M11" i="93"/>
  <c r="L11" i="93"/>
  <c r="K11" i="93"/>
  <c r="P10" i="93"/>
  <c r="Q10" i="93" s="1"/>
  <c r="N10" i="93"/>
  <c r="M10" i="93"/>
  <c r="L10" i="93"/>
  <c r="K10" i="93"/>
  <c r="P11" i="141"/>
  <c r="Q11" i="141" s="1"/>
  <c r="N11" i="141"/>
  <c r="M11" i="141"/>
  <c r="L11" i="141"/>
  <c r="K11" i="141"/>
  <c r="P10" i="141"/>
  <c r="Q10" i="141" s="1"/>
  <c r="N10" i="141"/>
  <c r="M10" i="141"/>
  <c r="L10" i="141"/>
  <c r="K10" i="141"/>
  <c r="P9" i="141"/>
  <c r="Q9" i="141" s="1"/>
  <c r="N9" i="141"/>
  <c r="M9" i="141"/>
  <c r="L9" i="141"/>
  <c r="K9" i="141"/>
  <c r="P8" i="141"/>
  <c r="Q8" i="141" s="1"/>
  <c r="N8" i="141"/>
  <c r="M8" i="141"/>
  <c r="L8" i="141"/>
  <c r="K8" i="141"/>
  <c r="P7" i="141"/>
  <c r="Q7" i="141" s="1"/>
  <c r="N7" i="141"/>
  <c r="M7" i="141"/>
  <c r="L7" i="141"/>
  <c r="K7" i="141"/>
  <c r="P9" i="140"/>
  <c r="Q9" i="140" s="1"/>
  <c r="N9" i="140"/>
  <c r="M9" i="140"/>
  <c r="L9" i="140"/>
  <c r="K9" i="140"/>
  <c r="P10" i="92"/>
  <c r="Q10" i="92" s="1"/>
  <c r="N10" i="92"/>
  <c r="M10" i="92"/>
  <c r="L10" i="92"/>
  <c r="K10" i="92"/>
  <c r="P9" i="92"/>
  <c r="Q9" i="92" s="1"/>
  <c r="N9" i="92"/>
  <c r="M9" i="92"/>
  <c r="L9" i="92"/>
  <c r="K9" i="92"/>
  <c r="P8" i="92"/>
  <c r="Q8" i="92" s="1"/>
  <c r="N8" i="92"/>
  <c r="M8" i="92"/>
  <c r="L8" i="92"/>
  <c r="K8" i="92"/>
  <c r="P7" i="92"/>
  <c r="Q7" i="92" s="1"/>
  <c r="N7" i="92"/>
  <c r="M7" i="92"/>
  <c r="L7" i="92"/>
  <c r="K7" i="92"/>
  <c r="P9" i="91"/>
  <c r="Q9" i="91" s="1"/>
  <c r="N9" i="91"/>
  <c r="M9" i="91"/>
  <c r="L9" i="91"/>
  <c r="K9" i="91"/>
  <c r="P8" i="91"/>
  <c r="Q8" i="91" s="1"/>
  <c r="N8" i="91"/>
  <c r="M8" i="91"/>
  <c r="L8" i="91"/>
  <c r="K8" i="91"/>
  <c r="P7" i="91"/>
  <c r="Q7" i="91" s="1"/>
  <c r="N7" i="91"/>
  <c r="M7" i="91"/>
  <c r="L7" i="91"/>
  <c r="K7" i="91"/>
  <c r="P14" i="84"/>
  <c r="Q14" i="84" s="1"/>
  <c r="N14" i="84"/>
  <c r="M14" i="84"/>
  <c r="L14" i="84"/>
  <c r="K14" i="84"/>
  <c r="P13" i="84"/>
  <c r="Q13" i="84" s="1"/>
  <c r="N13" i="84"/>
  <c r="M13" i="84"/>
  <c r="L13" i="84"/>
  <c r="K13" i="84"/>
  <c r="P12" i="84"/>
  <c r="Q12" i="84" s="1"/>
  <c r="N12" i="84"/>
  <c r="M12" i="84"/>
  <c r="L12" i="84"/>
  <c r="K12" i="84"/>
  <c r="P11" i="84"/>
  <c r="Q11" i="84" s="1"/>
  <c r="N11" i="84"/>
  <c r="M11" i="84"/>
  <c r="L11" i="84"/>
  <c r="K11" i="84"/>
  <c r="P10" i="84"/>
  <c r="Q10" i="84" s="1"/>
  <c r="N10" i="84"/>
  <c r="M10" i="84"/>
  <c r="L10" i="84"/>
  <c r="K10" i="84"/>
  <c r="P9" i="84"/>
  <c r="Q9" i="84" s="1"/>
  <c r="N9" i="84"/>
  <c r="M9" i="84"/>
  <c r="L9" i="84"/>
  <c r="K9" i="84"/>
  <c r="P34" i="83"/>
  <c r="Q34" i="83" s="1"/>
  <c r="N34" i="83"/>
  <c r="M34" i="83"/>
  <c r="L34" i="83"/>
  <c r="K34" i="83"/>
  <c r="P33" i="83"/>
  <c r="Q33" i="83" s="1"/>
  <c r="N33" i="83"/>
  <c r="M33" i="83"/>
  <c r="L33" i="83"/>
  <c r="K33" i="83"/>
  <c r="P32" i="83"/>
  <c r="Q32" i="83" s="1"/>
  <c r="N32" i="83"/>
  <c r="M32" i="83"/>
  <c r="L32" i="83"/>
  <c r="K32" i="83"/>
  <c r="P31" i="83"/>
  <c r="Q31" i="83" s="1"/>
  <c r="N31" i="83"/>
  <c r="M31" i="83"/>
  <c r="L31" i="83"/>
  <c r="K31" i="83"/>
  <c r="P30" i="83"/>
  <c r="Q30" i="83" s="1"/>
  <c r="N30" i="83"/>
  <c r="M30" i="83"/>
  <c r="L30" i="83"/>
  <c r="K30" i="83"/>
  <c r="P29" i="83"/>
  <c r="Q29" i="83" s="1"/>
  <c r="N29" i="83"/>
  <c r="M29" i="83"/>
  <c r="L29" i="83"/>
  <c r="K29" i="83"/>
  <c r="P28" i="83"/>
  <c r="Q28" i="83" s="1"/>
  <c r="N28" i="83"/>
  <c r="M28" i="83"/>
  <c r="L28" i="83"/>
  <c r="K28" i="83"/>
  <c r="P27" i="83"/>
  <c r="Q27" i="83" s="1"/>
  <c r="N27" i="83"/>
  <c r="M27" i="83"/>
  <c r="L27" i="83"/>
  <c r="K27" i="83"/>
  <c r="P26" i="83"/>
  <c r="Q26" i="83" s="1"/>
  <c r="N26" i="83"/>
  <c r="M26" i="83"/>
  <c r="L26" i="83"/>
  <c r="K26" i="83"/>
  <c r="P25" i="83"/>
  <c r="Q25" i="83" s="1"/>
  <c r="N25" i="83"/>
  <c r="M25" i="83"/>
  <c r="L25" i="83"/>
  <c r="K25" i="83"/>
  <c r="P24" i="83"/>
  <c r="Q24" i="83" s="1"/>
  <c r="N24" i="83"/>
  <c r="M24" i="83"/>
  <c r="L24" i="83"/>
  <c r="K24" i="83"/>
  <c r="P23" i="83"/>
  <c r="Q23" i="83" s="1"/>
  <c r="N23" i="83"/>
  <c r="M23" i="83"/>
  <c r="L23" i="83"/>
  <c r="K23" i="83"/>
  <c r="P22" i="83"/>
  <c r="Q22" i="83" s="1"/>
  <c r="N22" i="83"/>
  <c r="M22" i="83"/>
  <c r="L22" i="83"/>
  <c r="K22" i="83"/>
  <c r="P21" i="83"/>
  <c r="Q21" i="83" s="1"/>
  <c r="N21" i="83"/>
  <c r="M21" i="83"/>
  <c r="L21" i="83"/>
  <c r="K21" i="83"/>
  <c r="P20" i="83"/>
  <c r="Q20" i="83" s="1"/>
  <c r="N20" i="83"/>
  <c r="M20" i="83"/>
  <c r="L20" i="83"/>
  <c r="K20" i="83"/>
  <c r="P19" i="83"/>
  <c r="Q19" i="83" s="1"/>
  <c r="N19" i="83"/>
  <c r="M19" i="83"/>
  <c r="L19" i="83"/>
  <c r="K19" i="83"/>
  <c r="P18" i="83"/>
  <c r="Q18" i="83" s="1"/>
  <c r="N18" i="83"/>
  <c r="M18" i="83"/>
  <c r="L18" i="83"/>
  <c r="K18" i="83"/>
  <c r="P17" i="83"/>
  <c r="Q17" i="83" s="1"/>
  <c r="N17" i="83"/>
  <c r="M17" i="83"/>
  <c r="L17" i="83"/>
  <c r="K17" i="83"/>
  <c r="P16" i="83"/>
  <c r="Q16" i="83" s="1"/>
  <c r="N16" i="83"/>
  <c r="M16" i="83"/>
  <c r="L16" i="83"/>
  <c r="K16" i="83"/>
  <c r="P15" i="83"/>
  <c r="Q15" i="83" s="1"/>
  <c r="N15" i="83"/>
  <c r="M15" i="83"/>
  <c r="L15" i="83"/>
  <c r="K15" i="83"/>
  <c r="P20" i="232"/>
  <c r="Q20" i="232" s="1"/>
  <c r="N20" i="232"/>
  <c r="M20" i="232"/>
  <c r="L20" i="232"/>
  <c r="K20" i="232"/>
  <c r="P19" i="232"/>
  <c r="Q19" i="232" s="1"/>
  <c r="N19" i="232"/>
  <c r="M19" i="232"/>
  <c r="L19" i="232"/>
  <c r="K19" i="232"/>
  <c r="P18" i="232"/>
  <c r="Q18" i="232" s="1"/>
  <c r="N18" i="232"/>
  <c r="M18" i="232"/>
  <c r="L18" i="232"/>
  <c r="K18" i="232"/>
  <c r="P17" i="232"/>
  <c r="Q17" i="232" s="1"/>
  <c r="N17" i="232"/>
  <c r="M17" i="232"/>
  <c r="L17" i="232"/>
  <c r="K17" i="232"/>
  <c r="P16" i="232"/>
  <c r="Q16" i="232" s="1"/>
  <c r="N16" i="232"/>
  <c r="M16" i="232"/>
  <c r="L16" i="232"/>
  <c r="K16" i="232"/>
  <c r="P15" i="232"/>
  <c r="Q15" i="232" s="1"/>
  <c r="N15" i="232"/>
  <c r="M15" i="232"/>
  <c r="L15" i="232"/>
  <c r="K15" i="232"/>
  <c r="P14" i="232"/>
  <c r="Q14" i="232" s="1"/>
  <c r="N14" i="232"/>
  <c r="M14" i="232"/>
  <c r="L14" i="232"/>
  <c r="K14" i="232"/>
  <c r="P13" i="232"/>
  <c r="Q13" i="232" s="1"/>
  <c r="N13" i="232"/>
  <c r="M13" i="232"/>
  <c r="L13" i="232"/>
  <c r="K13" i="232"/>
  <c r="P12" i="232"/>
  <c r="Q12" i="232" s="1"/>
  <c r="N12" i="232"/>
  <c r="M12" i="232"/>
  <c r="L12" i="232"/>
  <c r="K12" i="232"/>
  <c r="P16" i="233"/>
  <c r="Q16" i="233" s="1"/>
  <c r="N16" i="233"/>
  <c r="M16" i="233"/>
  <c r="L16" i="233"/>
  <c r="K16" i="233"/>
  <c r="P15" i="233"/>
  <c r="Q15" i="233" s="1"/>
  <c r="N15" i="233"/>
  <c r="M15" i="233"/>
  <c r="L15" i="233"/>
  <c r="K15" i="233"/>
  <c r="P14" i="233"/>
  <c r="Q14" i="233" s="1"/>
  <c r="N14" i="233"/>
  <c r="M14" i="233"/>
  <c r="L14" i="233"/>
  <c r="K14" i="233"/>
  <c r="P13" i="233"/>
  <c r="Q13" i="233" s="1"/>
  <c r="N13" i="233"/>
  <c r="M13" i="233"/>
  <c r="L13" i="233"/>
  <c r="K13" i="233"/>
  <c r="P12" i="233"/>
  <c r="Q12" i="233" s="1"/>
  <c r="N12" i="233"/>
  <c r="M12" i="233"/>
  <c r="L12" i="233"/>
  <c r="K12" i="233"/>
  <c r="P11" i="233"/>
  <c r="Q11" i="233" s="1"/>
  <c r="N11" i="233"/>
  <c r="M11" i="233"/>
  <c r="L11" i="233"/>
  <c r="K11" i="233"/>
  <c r="P10" i="233"/>
  <c r="Q10" i="233" s="1"/>
  <c r="N10" i="233"/>
  <c r="M10" i="233"/>
  <c r="L10" i="233"/>
  <c r="K10" i="233"/>
  <c r="P9" i="233"/>
  <c r="Q9" i="233" s="1"/>
  <c r="N9" i="233"/>
  <c r="M9" i="233"/>
  <c r="L9" i="233"/>
  <c r="K9" i="233"/>
  <c r="P12" i="234"/>
  <c r="Q12" i="234" s="1"/>
  <c r="P11" i="234"/>
  <c r="Q11" i="234" s="1"/>
  <c r="N11" i="234"/>
  <c r="M11" i="234"/>
  <c r="L11" i="234"/>
  <c r="K11" i="234"/>
  <c r="P12" i="235"/>
  <c r="Q12" i="235" s="1"/>
  <c r="P11" i="235"/>
  <c r="Q11" i="235" s="1"/>
  <c r="N11" i="235"/>
  <c r="M11" i="235"/>
  <c r="L11" i="235"/>
  <c r="K11" i="235"/>
  <c r="P20" i="164"/>
  <c r="Q20" i="164" s="1"/>
  <c r="N20" i="164"/>
  <c r="M20" i="164"/>
  <c r="L20" i="164"/>
  <c r="K20" i="164"/>
  <c r="P19" i="164"/>
  <c r="Q19" i="164" s="1"/>
  <c r="N19" i="164"/>
  <c r="M19" i="164"/>
  <c r="L19" i="164"/>
  <c r="K19" i="164"/>
  <c r="P18" i="164"/>
  <c r="Q18" i="164" s="1"/>
  <c r="N18" i="164"/>
  <c r="M18" i="164"/>
  <c r="L18" i="164"/>
  <c r="K18" i="164"/>
  <c r="P17" i="164"/>
  <c r="Q17" i="164" s="1"/>
  <c r="N17" i="164"/>
  <c r="M17" i="164"/>
  <c r="L17" i="164"/>
  <c r="K17" i="164"/>
  <c r="P16" i="164"/>
  <c r="Q16" i="164" s="1"/>
  <c r="N16" i="164"/>
  <c r="M16" i="164"/>
  <c r="L16" i="164"/>
  <c r="K16" i="164"/>
  <c r="P15" i="164"/>
  <c r="Q15" i="164" s="1"/>
  <c r="N15" i="164"/>
  <c r="M15" i="164"/>
  <c r="L15" i="164"/>
  <c r="K15" i="164"/>
  <c r="P14" i="164"/>
  <c r="Q14" i="164" s="1"/>
  <c r="N14" i="164"/>
  <c r="M14" i="164"/>
  <c r="L14" i="164"/>
  <c r="K14" i="164"/>
  <c r="P13" i="164"/>
  <c r="Q13" i="164" s="1"/>
  <c r="N13" i="164"/>
  <c r="M13" i="164"/>
  <c r="L13" i="164"/>
  <c r="K13" i="164"/>
  <c r="P12" i="164"/>
  <c r="Q12" i="164" s="1"/>
  <c r="N12" i="164"/>
  <c r="M12" i="164"/>
  <c r="L12" i="164"/>
  <c r="K12" i="164"/>
  <c r="P11" i="164"/>
  <c r="Q11" i="164" s="1"/>
  <c r="N11" i="164"/>
  <c r="M11" i="164"/>
  <c r="L11" i="164"/>
  <c r="K11" i="164"/>
  <c r="P10" i="164"/>
  <c r="Q10" i="164" s="1"/>
  <c r="N10" i="164"/>
  <c r="M10" i="164"/>
  <c r="L10" i="164"/>
  <c r="K10" i="164"/>
  <c r="P20" i="131"/>
  <c r="Q20" i="131" s="1"/>
  <c r="N20" i="131"/>
  <c r="M20" i="131"/>
  <c r="L20" i="131"/>
  <c r="K20" i="131"/>
  <c r="P19" i="131"/>
  <c r="Q19" i="131" s="1"/>
  <c r="N19" i="131"/>
  <c r="M19" i="131"/>
  <c r="L19" i="131"/>
  <c r="K19" i="131"/>
  <c r="P18" i="131"/>
  <c r="Q18" i="131" s="1"/>
  <c r="N18" i="131"/>
  <c r="M18" i="131"/>
  <c r="L18" i="131"/>
  <c r="K18" i="131"/>
  <c r="P17" i="131"/>
  <c r="Q17" i="131" s="1"/>
  <c r="N17" i="131"/>
  <c r="M17" i="131"/>
  <c r="L17" i="131"/>
  <c r="K17" i="131"/>
  <c r="P16" i="131"/>
  <c r="Q16" i="131" s="1"/>
  <c r="N16" i="131"/>
  <c r="M16" i="131"/>
  <c r="L16" i="131"/>
  <c r="K16" i="131"/>
  <c r="P15" i="131"/>
  <c r="Q15" i="131" s="1"/>
  <c r="N15" i="131"/>
  <c r="M15" i="131"/>
  <c r="L15" i="131"/>
  <c r="K15" i="131"/>
  <c r="P14" i="131"/>
  <c r="Q14" i="131" s="1"/>
  <c r="N14" i="131"/>
  <c r="M14" i="131"/>
  <c r="L14" i="131"/>
  <c r="K14" i="131"/>
  <c r="P13" i="131"/>
  <c r="Q13" i="131" s="1"/>
  <c r="N13" i="131"/>
  <c r="M13" i="131"/>
  <c r="L13" i="131"/>
  <c r="K13" i="131"/>
  <c r="P12" i="131"/>
  <c r="Q12" i="131" s="1"/>
  <c r="N12" i="131"/>
  <c r="M12" i="131"/>
  <c r="L12" i="131"/>
  <c r="K12" i="131"/>
  <c r="P11" i="131"/>
  <c r="Q11" i="131" s="1"/>
  <c r="N11" i="131"/>
  <c r="M11" i="131"/>
  <c r="L11" i="131"/>
  <c r="K11" i="131"/>
  <c r="P10" i="131"/>
  <c r="Q10" i="131" s="1"/>
  <c r="N10" i="131"/>
  <c r="M10" i="131"/>
  <c r="L10" i="131"/>
  <c r="K10" i="131"/>
  <c r="P30" i="163"/>
  <c r="Q30" i="163" s="1"/>
  <c r="N30" i="163"/>
  <c r="M30" i="163"/>
  <c r="L30" i="163"/>
  <c r="K30" i="163"/>
  <c r="P29" i="163"/>
  <c r="Q29" i="163" s="1"/>
  <c r="N29" i="163"/>
  <c r="M29" i="163"/>
  <c r="L29" i="163"/>
  <c r="K29" i="163"/>
  <c r="P28" i="163"/>
  <c r="Q28" i="163" s="1"/>
  <c r="N28" i="163"/>
  <c r="M28" i="163"/>
  <c r="L28" i="163"/>
  <c r="K28" i="163"/>
  <c r="P27" i="163"/>
  <c r="Q27" i="163" s="1"/>
  <c r="N27" i="163"/>
  <c r="M27" i="163"/>
  <c r="L27" i="163"/>
  <c r="K27" i="163"/>
  <c r="P26" i="163"/>
  <c r="Q26" i="163" s="1"/>
  <c r="N26" i="163"/>
  <c r="M26" i="163"/>
  <c r="L26" i="163"/>
  <c r="K26" i="163"/>
  <c r="P25" i="163"/>
  <c r="Q25" i="163" s="1"/>
  <c r="N25" i="163"/>
  <c r="M25" i="163"/>
  <c r="L25" i="163"/>
  <c r="K25" i="163"/>
  <c r="P24" i="163"/>
  <c r="Q24" i="163" s="1"/>
  <c r="N24" i="163"/>
  <c r="M24" i="163"/>
  <c r="L24" i="163"/>
  <c r="K24" i="163"/>
  <c r="P23" i="163"/>
  <c r="Q23" i="163" s="1"/>
  <c r="N23" i="163"/>
  <c r="M23" i="163"/>
  <c r="L23" i="163"/>
  <c r="K23" i="163"/>
  <c r="P22" i="162"/>
  <c r="Q22" i="162" s="1"/>
  <c r="N22" i="162"/>
  <c r="M22" i="162"/>
  <c r="L22" i="162"/>
  <c r="K22" i="162"/>
  <c r="P21" i="162"/>
  <c r="Q21" i="162" s="1"/>
  <c r="N21" i="162"/>
  <c r="M21" i="162"/>
  <c r="L21" i="162"/>
  <c r="K21" i="162"/>
  <c r="P20" i="162"/>
  <c r="Q20" i="162" s="1"/>
  <c r="N20" i="162"/>
  <c r="M20" i="162"/>
  <c r="L20" i="162"/>
  <c r="K20" i="162"/>
  <c r="P19" i="162"/>
  <c r="Q19" i="162" s="1"/>
  <c r="N19" i="162"/>
  <c r="M19" i="162"/>
  <c r="L19" i="162"/>
  <c r="K19" i="162"/>
  <c r="P18" i="162"/>
  <c r="Q18" i="162" s="1"/>
  <c r="N18" i="162"/>
  <c r="M18" i="162"/>
  <c r="L18" i="162"/>
  <c r="K18" i="162"/>
  <c r="P17" i="162"/>
  <c r="Q17" i="162" s="1"/>
  <c r="N17" i="162"/>
  <c r="M17" i="162"/>
  <c r="L17" i="162"/>
  <c r="K17" i="162"/>
  <c r="P16" i="162"/>
  <c r="Q16" i="162" s="1"/>
  <c r="N16" i="162"/>
  <c r="M16" i="162"/>
  <c r="L16" i="162"/>
  <c r="K16" i="162"/>
  <c r="P15" i="162"/>
  <c r="Q15" i="162" s="1"/>
  <c r="N15" i="162"/>
  <c r="M15" i="162"/>
  <c r="L15" i="162"/>
  <c r="K15" i="162"/>
  <c r="P14" i="162"/>
  <c r="Q14" i="162" s="1"/>
  <c r="N14" i="162"/>
  <c r="M14" i="162"/>
  <c r="L14" i="162"/>
  <c r="K14" i="162"/>
  <c r="P13" i="162"/>
  <c r="Q13" i="162" s="1"/>
  <c r="N13" i="162"/>
  <c r="M13" i="162"/>
  <c r="L13" i="162"/>
  <c r="K13" i="162"/>
  <c r="P12" i="162"/>
  <c r="Q12" i="162" s="1"/>
  <c r="N12" i="162"/>
  <c r="M12" i="162"/>
  <c r="L12" i="162"/>
  <c r="K12" i="162"/>
  <c r="P11" i="162"/>
  <c r="Q11" i="162" s="1"/>
  <c r="N11" i="162"/>
  <c r="M11" i="162"/>
  <c r="L11" i="162"/>
  <c r="K11" i="162"/>
  <c r="P21" i="157"/>
  <c r="Q21" i="157" s="1"/>
  <c r="N21" i="157"/>
  <c r="M21" i="157"/>
  <c r="L21" i="157"/>
  <c r="K21" i="157"/>
  <c r="P20" i="157"/>
  <c r="Q20" i="157" s="1"/>
  <c r="N20" i="157"/>
  <c r="M20" i="157"/>
  <c r="L20" i="157"/>
  <c r="K20" i="157"/>
  <c r="P19" i="157"/>
  <c r="Q19" i="157" s="1"/>
  <c r="N19" i="157"/>
  <c r="M19" i="157"/>
  <c r="L19" i="157"/>
  <c r="K19" i="157"/>
  <c r="P18" i="157"/>
  <c r="Q18" i="157" s="1"/>
  <c r="N18" i="157"/>
  <c r="M18" i="157"/>
  <c r="L18" i="157"/>
  <c r="K18" i="157"/>
  <c r="P17" i="157"/>
  <c r="Q17" i="157" s="1"/>
  <c r="N17" i="157"/>
  <c r="M17" i="157"/>
  <c r="L17" i="157"/>
  <c r="K17" i="157"/>
  <c r="P16" i="157"/>
  <c r="Q16" i="157" s="1"/>
  <c r="N16" i="157"/>
  <c r="M16" i="157"/>
  <c r="L16" i="157"/>
  <c r="K16" i="157"/>
  <c r="P15" i="157"/>
  <c r="Q15" i="157" s="1"/>
  <c r="N15" i="157"/>
  <c r="M15" i="157"/>
  <c r="L15" i="157"/>
  <c r="K15" i="157"/>
  <c r="P14" i="157"/>
  <c r="Q14" i="157" s="1"/>
  <c r="N14" i="157"/>
  <c r="M14" i="157"/>
  <c r="L14" i="157"/>
  <c r="K14" i="157"/>
  <c r="P13" i="157"/>
  <c r="Q13" i="157" s="1"/>
  <c r="N13" i="157"/>
  <c r="M13" i="157"/>
  <c r="L13" i="157"/>
  <c r="K13" i="157"/>
  <c r="P12" i="157"/>
  <c r="Q12" i="157" s="1"/>
  <c r="N12" i="157"/>
  <c r="M12" i="157"/>
  <c r="L12" i="157"/>
  <c r="K12" i="157"/>
  <c r="P11" i="157"/>
  <c r="Q11" i="157" s="1"/>
  <c r="N11" i="157"/>
  <c r="M11" i="157"/>
  <c r="L11" i="157"/>
  <c r="K11" i="157"/>
  <c r="P10" i="157"/>
  <c r="Q10" i="157" s="1"/>
  <c r="N10" i="157"/>
  <c r="M10" i="157"/>
  <c r="L10" i="157"/>
  <c r="K10" i="157"/>
  <c r="P18" i="156"/>
  <c r="Q18" i="156" s="1"/>
  <c r="N18" i="156"/>
  <c r="M18" i="156"/>
  <c r="L18" i="156"/>
  <c r="K18" i="156"/>
  <c r="P17" i="156"/>
  <c r="Q17" i="156" s="1"/>
  <c r="N17" i="156"/>
  <c r="M17" i="156"/>
  <c r="L17" i="156"/>
  <c r="K17" i="156"/>
  <c r="P16" i="156"/>
  <c r="Q16" i="156" s="1"/>
  <c r="N16" i="156"/>
  <c r="M16" i="156"/>
  <c r="L16" i="156"/>
  <c r="K16" i="156"/>
  <c r="P15" i="156"/>
  <c r="Q15" i="156" s="1"/>
  <c r="N15" i="156"/>
  <c r="M15" i="156"/>
  <c r="L15" i="156"/>
  <c r="K15" i="156"/>
  <c r="P14" i="156"/>
  <c r="Q14" i="156" s="1"/>
  <c r="N14" i="156"/>
  <c r="M14" i="156"/>
  <c r="L14" i="156"/>
  <c r="K14" i="156"/>
  <c r="P13" i="156"/>
  <c r="Q13" i="156" s="1"/>
  <c r="N13" i="156"/>
  <c r="M13" i="156"/>
  <c r="L13" i="156"/>
  <c r="K13" i="156"/>
  <c r="P12" i="156"/>
  <c r="Q12" i="156" s="1"/>
  <c r="N12" i="156"/>
  <c r="M12" i="156"/>
  <c r="L12" i="156"/>
  <c r="K12" i="156"/>
  <c r="P11" i="156"/>
  <c r="Q11" i="156" s="1"/>
  <c r="N11" i="156"/>
  <c r="M11" i="156"/>
  <c r="L11" i="156"/>
  <c r="K11" i="156"/>
  <c r="P10" i="156"/>
  <c r="Q10" i="156" s="1"/>
  <c r="N10" i="156"/>
  <c r="M10" i="156"/>
  <c r="L10" i="156"/>
  <c r="K10" i="156"/>
  <c r="P11" i="155"/>
  <c r="Q11" i="155" s="1"/>
  <c r="N11" i="155"/>
  <c r="M11" i="155"/>
  <c r="L11" i="155"/>
  <c r="K11" i="155"/>
  <c r="P10" i="155"/>
  <c r="Q10" i="155" s="1"/>
  <c r="N10" i="155"/>
  <c r="M10" i="155"/>
  <c r="L10" i="155"/>
  <c r="K10" i="155"/>
  <c r="P9" i="155"/>
  <c r="Q9" i="155" s="1"/>
  <c r="N9" i="155"/>
  <c r="M9" i="155"/>
  <c r="L9" i="155"/>
  <c r="K9" i="155"/>
  <c r="P8" i="155"/>
  <c r="Q8" i="155" s="1"/>
  <c r="N8" i="155"/>
  <c r="M8" i="155"/>
  <c r="L8" i="155"/>
  <c r="K8" i="155"/>
  <c r="P14" i="154"/>
  <c r="Q14" i="154" s="1"/>
  <c r="N14" i="154"/>
  <c r="M14" i="154"/>
  <c r="L14" i="154"/>
  <c r="K14" i="154"/>
  <c r="P13" i="154"/>
  <c r="Q13" i="154" s="1"/>
  <c r="N13" i="154"/>
  <c r="M13" i="154"/>
  <c r="L13" i="154"/>
  <c r="K13" i="154"/>
  <c r="P12" i="154"/>
  <c r="Q12" i="154" s="1"/>
  <c r="N12" i="154"/>
  <c r="M12" i="154"/>
  <c r="L12" i="154"/>
  <c r="K12" i="154"/>
  <c r="P11" i="154"/>
  <c r="Q11" i="154" s="1"/>
  <c r="N11" i="154"/>
  <c r="M11" i="154"/>
  <c r="L11" i="154"/>
  <c r="K11" i="154"/>
  <c r="P10" i="154"/>
  <c r="Q10" i="154" s="1"/>
  <c r="N10" i="154"/>
  <c r="M10" i="154"/>
  <c r="L10" i="154"/>
  <c r="K10" i="154"/>
  <c r="P23" i="150"/>
  <c r="Q23" i="150" s="1"/>
  <c r="N23" i="150"/>
  <c r="M23" i="150"/>
  <c r="L23" i="150"/>
  <c r="K23" i="150"/>
  <c r="P22" i="150"/>
  <c r="Q22" i="150" s="1"/>
  <c r="N22" i="150"/>
  <c r="M22" i="150"/>
  <c r="L22" i="150"/>
  <c r="K22" i="150"/>
  <c r="P21" i="150"/>
  <c r="Q21" i="150" s="1"/>
  <c r="N21" i="150"/>
  <c r="M21" i="150"/>
  <c r="L21" i="150"/>
  <c r="K21" i="150"/>
  <c r="P20" i="150"/>
  <c r="Q20" i="150" s="1"/>
  <c r="N20" i="150"/>
  <c r="M20" i="150"/>
  <c r="L20" i="150"/>
  <c r="K20" i="150"/>
  <c r="P19" i="150"/>
  <c r="Q19" i="150" s="1"/>
  <c r="N19" i="150"/>
  <c r="M19" i="150"/>
  <c r="L19" i="150"/>
  <c r="K19" i="150"/>
  <c r="P18" i="150"/>
  <c r="Q18" i="150" s="1"/>
  <c r="N18" i="150"/>
  <c r="M18" i="150"/>
  <c r="L18" i="150"/>
  <c r="K18" i="150"/>
  <c r="P17" i="150"/>
  <c r="Q17" i="150" s="1"/>
  <c r="N17" i="150"/>
  <c r="M17" i="150"/>
  <c r="L17" i="150"/>
  <c r="K17" i="150"/>
  <c r="P16" i="150"/>
  <c r="Q16" i="150" s="1"/>
  <c r="N16" i="150"/>
  <c r="M16" i="150"/>
  <c r="L16" i="150"/>
  <c r="K16" i="150"/>
  <c r="P15" i="150"/>
  <c r="Q15" i="150" s="1"/>
  <c r="N15" i="150"/>
  <c r="M15" i="150"/>
  <c r="L15" i="150"/>
  <c r="K15" i="150"/>
  <c r="P14" i="150"/>
  <c r="Q14" i="150" s="1"/>
  <c r="N14" i="150"/>
  <c r="M14" i="150"/>
  <c r="L14" i="150"/>
  <c r="K14" i="150"/>
  <c r="P30" i="146"/>
  <c r="Q30" i="146" s="1"/>
  <c r="N30" i="146"/>
  <c r="M30" i="146"/>
  <c r="L30" i="146"/>
  <c r="K30" i="146"/>
  <c r="P29" i="146"/>
  <c r="Q29" i="146" s="1"/>
  <c r="N29" i="146"/>
  <c r="M29" i="146"/>
  <c r="L29" i="146"/>
  <c r="K29" i="146"/>
  <c r="P28" i="146"/>
  <c r="Q28" i="146" s="1"/>
  <c r="N28" i="146"/>
  <c r="M28" i="146"/>
  <c r="L28" i="146"/>
  <c r="K28" i="146"/>
  <c r="P27" i="146"/>
  <c r="Q27" i="146" s="1"/>
  <c r="N27" i="146"/>
  <c r="M27" i="146"/>
  <c r="L27" i="146"/>
  <c r="K27" i="146"/>
  <c r="P26" i="146"/>
  <c r="Q26" i="146" s="1"/>
  <c r="N26" i="146"/>
  <c r="M26" i="146"/>
  <c r="L26" i="146"/>
  <c r="K26" i="146"/>
  <c r="P25" i="146"/>
  <c r="Q25" i="146" s="1"/>
  <c r="N25" i="146"/>
  <c r="M25" i="146"/>
  <c r="L25" i="146"/>
  <c r="K25" i="146"/>
  <c r="P24" i="146"/>
  <c r="Q24" i="146" s="1"/>
  <c r="N24" i="146"/>
  <c r="M24" i="146"/>
  <c r="L24" i="146"/>
  <c r="K24" i="146"/>
  <c r="P23" i="146"/>
  <c r="Q23" i="146" s="1"/>
  <c r="N23" i="146"/>
  <c r="M23" i="146"/>
  <c r="L23" i="146"/>
  <c r="K23" i="146"/>
  <c r="P22" i="145"/>
  <c r="Q22" i="145" s="1"/>
  <c r="N22" i="145"/>
  <c r="M22" i="145"/>
  <c r="L22" i="145"/>
  <c r="K22" i="145"/>
  <c r="P21" i="145"/>
  <c r="Q21" i="145" s="1"/>
  <c r="N21" i="145"/>
  <c r="M21" i="145"/>
  <c r="L21" i="145"/>
  <c r="K21" i="145"/>
  <c r="P20" i="145"/>
  <c r="Q20" i="145" s="1"/>
  <c r="N20" i="145"/>
  <c r="M20" i="145"/>
  <c r="L20" i="145"/>
  <c r="K20" i="145"/>
  <c r="P19" i="145"/>
  <c r="Q19" i="145" s="1"/>
  <c r="N19" i="145"/>
  <c r="M19" i="145"/>
  <c r="L19" i="145"/>
  <c r="K19" i="145"/>
  <c r="P18" i="145"/>
  <c r="Q18" i="145" s="1"/>
  <c r="N18" i="145"/>
  <c r="M18" i="145"/>
  <c r="L18" i="145"/>
  <c r="K18" i="145"/>
  <c r="P17" i="145"/>
  <c r="Q17" i="145" s="1"/>
  <c r="N17" i="145"/>
  <c r="M17" i="145"/>
  <c r="L17" i="145"/>
  <c r="K17" i="145"/>
  <c r="P16" i="145"/>
  <c r="Q16" i="145" s="1"/>
  <c r="N16" i="145"/>
  <c r="M16" i="145"/>
  <c r="L16" i="145"/>
  <c r="K16" i="145"/>
  <c r="P15" i="145"/>
  <c r="Q15" i="145" s="1"/>
  <c r="N15" i="145"/>
  <c r="M15" i="145"/>
  <c r="L15" i="145"/>
  <c r="K15" i="145"/>
  <c r="P14" i="145"/>
  <c r="Q14" i="145" s="1"/>
  <c r="N14" i="145"/>
  <c r="M14" i="145"/>
  <c r="L14" i="145"/>
  <c r="K14" i="145"/>
  <c r="P13" i="145"/>
  <c r="Q13" i="145" s="1"/>
  <c r="N13" i="145"/>
  <c r="M13" i="145"/>
  <c r="L13" i="145"/>
  <c r="K13" i="145"/>
  <c r="P12" i="145"/>
  <c r="Q12" i="145" s="1"/>
  <c r="N12" i="145"/>
  <c r="M12" i="145"/>
  <c r="L12" i="145"/>
  <c r="K12" i="145"/>
  <c r="P11" i="145"/>
  <c r="Q11" i="145" s="1"/>
  <c r="N11" i="145"/>
  <c r="M11" i="145"/>
  <c r="L11" i="145"/>
  <c r="K11" i="145"/>
  <c r="P21" i="149"/>
  <c r="Q21" i="149" s="1"/>
  <c r="N21" i="149"/>
  <c r="M21" i="149"/>
  <c r="L21" i="149"/>
  <c r="K21" i="149"/>
  <c r="P20" i="149"/>
  <c r="Q20" i="149" s="1"/>
  <c r="N20" i="149"/>
  <c r="M20" i="149"/>
  <c r="L20" i="149"/>
  <c r="K20" i="149"/>
  <c r="P19" i="149"/>
  <c r="Q19" i="149" s="1"/>
  <c r="N19" i="149"/>
  <c r="M19" i="149"/>
  <c r="L19" i="149"/>
  <c r="K19" i="149"/>
  <c r="P18" i="149"/>
  <c r="Q18" i="149" s="1"/>
  <c r="N18" i="149"/>
  <c r="M18" i="149"/>
  <c r="L18" i="149"/>
  <c r="K18" i="149"/>
  <c r="P17" i="149"/>
  <c r="Q17" i="149" s="1"/>
  <c r="N17" i="149"/>
  <c r="M17" i="149"/>
  <c r="L17" i="149"/>
  <c r="K17" i="149"/>
  <c r="P16" i="149"/>
  <c r="Q16" i="149" s="1"/>
  <c r="N16" i="149"/>
  <c r="M16" i="149"/>
  <c r="L16" i="149"/>
  <c r="K16" i="149"/>
  <c r="P15" i="149"/>
  <c r="Q15" i="149" s="1"/>
  <c r="N15" i="149"/>
  <c r="M15" i="149"/>
  <c r="L15" i="149"/>
  <c r="K15" i="149"/>
  <c r="P14" i="149"/>
  <c r="Q14" i="149" s="1"/>
  <c r="N14" i="149"/>
  <c r="M14" i="149"/>
  <c r="L14" i="149"/>
  <c r="K14" i="149"/>
  <c r="P13" i="149"/>
  <c r="Q13" i="149" s="1"/>
  <c r="N13" i="149"/>
  <c r="M13" i="149"/>
  <c r="L13" i="149"/>
  <c r="K13" i="149"/>
  <c r="P12" i="149"/>
  <c r="Q12" i="149" s="1"/>
  <c r="N12" i="149"/>
  <c r="M12" i="149"/>
  <c r="L12" i="149"/>
  <c r="K12" i="149"/>
  <c r="P11" i="149"/>
  <c r="Q11" i="149" s="1"/>
  <c r="N11" i="149"/>
  <c r="M11" i="149"/>
  <c r="L11" i="149"/>
  <c r="K11" i="149"/>
  <c r="P10" i="149"/>
  <c r="Q10" i="149" s="1"/>
  <c r="N10" i="149"/>
  <c r="M10" i="149"/>
  <c r="L10" i="149"/>
  <c r="K10" i="149"/>
  <c r="P18" i="148"/>
  <c r="Q18" i="148" s="1"/>
  <c r="N18" i="148"/>
  <c r="M18" i="148"/>
  <c r="L18" i="148"/>
  <c r="K18" i="148"/>
  <c r="P17" i="148"/>
  <c r="Q17" i="148" s="1"/>
  <c r="N17" i="148"/>
  <c r="M17" i="148"/>
  <c r="L17" i="148"/>
  <c r="K17" i="148"/>
  <c r="P16" i="148"/>
  <c r="Q16" i="148" s="1"/>
  <c r="N16" i="148"/>
  <c r="M16" i="148"/>
  <c r="L16" i="148"/>
  <c r="K16" i="148"/>
  <c r="P15" i="148"/>
  <c r="Q15" i="148" s="1"/>
  <c r="N15" i="148"/>
  <c r="M15" i="148"/>
  <c r="L15" i="148"/>
  <c r="K15" i="148"/>
  <c r="P14" i="148"/>
  <c r="Q14" i="148" s="1"/>
  <c r="N14" i="148"/>
  <c r="M14" i="148"/>
  <c r="L14" i="148"/>
  <c r="K14" i="148"/>
  <c r="P13" i="148"/>
  <c r="Q13" i="148" s="1"/>
  <c r="N13" i="148"/>
  <c r="M13" i="148"/>
  <c r="L13" i="148"/>
  <c r="K13" i="148"/>
  <c r="P12" i="148"/>
  <c r="Q12" i="148" s="1"/>
  <c r="N12" i="148"/>
  <c r="M12" i="148"/>
  <c r="L12" i="148"/>
  <c r="K12" i="148"/>
  <c r="P11" i="148"/>
  <c r="Q11" i="148" s="1"/>
  <c r="N11" i="148"/>
  <c r="M11" i="148"/>
  <c r="L11" i="148"/>
  <c r="K11" i="148"/>
  <c r="P10" i="148"/>
  <c r="Q10" i="148" s="1"/>
  <c r="N10" i="148"/>
  <c r="M10" i="148"/>
  <c r="L10" i="148"/>
  <c r="K10" i="148"/>
  <c r="P11" i="147"/>
  <c r="Q11" i="147" s="1"/>
  <c r="N11" i="147"/>
  <c r="M11" i="147"/>
  <c r="L11" i="147"/>
  <c r="K11" i="147"/>
  <c r="P10" i="147"/>
  <c r="Q10" i="147" s="1"/>
  <c r="N10" i="147"/>
  <c r="M10" i="147"/>
  <c r="L10" i="147"/>
  <c r="K10" i="147"/>
  <c r="P9" i="147"/>
  <c r="Q9" i="147" s="1"/>
  <c r="N9" i="147"/>
  <c r="M9" i="147"/>
  <c r="L9" i="147"/>
  <c r="K9" i="147"/>
  <c r="P8" i="147"/>
  <c r="Q8" i="147" s="1"/>
  <c r="N8" i="147"/>
  <c r="M8" i="147"/>
  <c r="L8" i="147"/>
  <c r="K8" i="147"/>
  <c r="P14" i="133"/>
  <c r="Q14" i="133" s="1"/>
  <c r="N14" i="133"/>
  <c r="M14" i="133"/>
  <c r="L14" i="133"/>
  <c r="K14" i="133"/>
  <c r="P13" i="133"/>
  <c r="Q13" i="133" s="1"/>
  <c r="N13" i="133"/>
  <c r="M13" i="133"/>
  <c r="L13" i="133"/>
  <c r="K13" i="133"/>
  <c r="P12" i="133"/>
  <c r="Q12" i="133" s="1"/>
  <c r="N12" i="133"/>
  <c r="M12" i="133"/>
  <c r="L12" i="133"/>
  <c r="K12" i="133"/>
  <c r="P11" i="133"/>
  <c r="Q11" i="133" s="1"/>
  <c r="N11" i="133"/>
  <c r="M11" i="133"/>
  <c r="L11" i="133"/>
  <c r="K11" i="133"/>
  <c r="P10" i="133"/>
  <c r="Q10" i="133" s="1"/>
  <c r="N10" i="133"/>
  <c r="M10" i="133"/>
  <c r="L10" i="133"/>
  <c r="K10" i="133"/>
  <c r="N23" i="159"/>
  <c r="M23" i="159"/>
  <c r="L23" i="159"/>
  <c r="K23" i="159"/>
  <c r="N22" i="159"/>
  <c r="M22" i="159"/>
  <c r="L22" i="159"/>
  <c r="K22" i="159"/>
  <c r="N21" i="159"/>
  <c r="M21" i="159"/>
  <c r="L21" i="159"/>
  <c r="K21" i="159"/>
  <c r="N20" i="159"/>
  <c r="M20" i="159"/>
  <c r="L20" i="159"/>
  <c r="K20" i="159"/>
  <c r="N19" i="159"/>
  <c r="M19" i="159"/>
  <c r="L19" i="159"/>
  <c r="K19" i="159"/>
  <c r="N18" i="159"/>
  <c r="M18" i="159"/>
  <c r="L18" i="159"/>
  <c r="K18" i="159"/>
  <c r="N17" i="159"/>
  <c r="M17" i="159"/>
  <c r="L17" i="159"/>
  <c r="K17" i="159"/>
  <c r="N16" i="159"/>
  <c r="M16" i="159"/>
  <c r="L16" i="159"/>
  <c r="K16" i="159"/>
  <c r="N15" i="159"/>
  <c r="M15" i="159"/>
  <c r="L15" i="159"/>
  <c r="K15" i="159"/>
  <c r="N14" i="159"/>
  <c r="M14" i="159"/>
  <c r="L14" i="159"/>
  <c r="K14" i="159"/>
  <c r="N10" i="197"/>
  <c r="M10" i="197"/>
  <c r="L10" i="197"/>
  <c r="K10" i="197"/>
  <c r="N9" i="197"/>
  <c r="M9" i="197"/>
  <c r="L9" i="197"/>
  <c r="K9" i="197"/>
  <c r="N8" i="197"/>
  <c r="M8" i="197"/>
  <c r="L8" i="197"/>
  <c r="K8" i="197"/>
  <c r="N7" i="197"/>
  <c r="M7" i="197"/>
  <c r="L7" i="197"/>
  <c r="K7" i="197"/>
  <c r="N10" i="196"/>
  <c r="M10" i="196"/>
  <c r="L10" i="196"/>
  <c r="K10" i="196"/>
  <c r="N9" i="196"/>
  <c r="M9" i="196"/>
  <c r="L9" i="196"/>
  <c r="K9" i="196"/>
  <c r="N8" i="196"/>
  <c r="M8" i="196"/>
  <c r="L8" i="196"/>
  <c r="K8" i="196"/>
  <c r="N7" i="196"/>
  <c r="M7" i="196"/>
  <c r="L7" i="196"/>
  <c r="K7" i="196"/>
  <c r="N32" i="128"/>
  <c r="N33" i="128"/>
  <c r="N34" i="128"/>
  <c r="N35" i="128"/>
  <c r="N36" i="128"/>
  <c r="N37" i="128"/>
  <c r="N38" i="128"/>
  <c r="N39" i="128"/>
  <c r="N40" i="128"/>
  <c r="N41" i="128"/>
  <c r="N42" i="128"/>
  <c r="N43" i="128"/>
  <c r="N44" i="128"/>
  <c r="N45" i="128"/>
  <c r="N46" i="128"/>
  <c r="N47" i="128"/>
  <c r="N48" i="128"/>
  <c r="N49" i="128"/>
  <c r="N50" i="128"/>
  <c r="N51" i="128"/>
  <c r="N52" i="128"/>
  <c r="N53" i="128"/>
  <c r="N54" i="128"/>
  <c r="N55" i="128"/>
  <c r="N56" i="128"/>
  <c r="N57" i="128"/>
  <c r="N58" i="128"/>
  <c r="N59" i="128"/>
  <c r="N60" i="128"/>
  <c r="N61" i="128"/>
  <c r="N62" i="128"/>
  <c r="N63" i="128"/>
  <c r="N64" i="128"/>
  <c r="N65" i="128"/>
  <c r="N66" i="128"/>
  <c r="N67" i="128"/>
  <c r="N68" i="128"/>
  <c r="N69" i="128"/>
  <c r="N70" i="128"/>
  <c r="N71" i="128"/>
  <c r="N72" i="128"/>
  <c r="N73" i="128"/>
  <c r="M32" i="128"/>
  <c r="M33" i="128"/>
  <c r="M34" i="128"/>
  <c r="M35" i="128"/>
  <c r="M36" i="128"/>
  <c r="M37" i="128"/>
  <c r="M38" i="128"/>
  <c r="M39" i="128"/>
  <c r="M40" i="128"/>
  <c r="M41" i="128"/>
  <c r="M42" i="128"/>
  <c r="M43" i="128"/>
  <c r="M44" i="128"/>
  <c r="M45" i="128"/>
  <c r="M46" i="128"/>
  <c r="M47" i="128"/>
  <c r="M48" i="128"/>
  <c r="M49" i="128"/>
  <c r="M50" i="128"/>
  <c r="M51" i="128"/>
  <c r="M52" i="128"/>
  <c r="M53" i="128"/>
  <c r="M54" i="128"/>
  <c r="M55" i="128"/>
  <c r="M56" i="128"/>
  <c r="M57" i="128"/>
  <c r="M58" i="128"/>
  <c r="M59" i="128"/>
  <c r="M60" i="128"/>
  <c r="M61" i="128"/>
  <c r="M62" i="128"/>
  <c r="M63" i="128"/>
  <c r="M64" i="128"/>
  <c r="M65" i="128"/>
  <c r="M66" i="128"/>
  <c r="M67" i="128"/>
  <c r="M68" i="128"/>
  <c r="M69" i="128"/>
  <c r="M70" i="128"/>
  <c r="M71" i="128"/>
  <c r="M72" i="128"/>
  <c r="M73" i="128"/>
  <c r="L32" i="128"/>
  <c r="L33" i="128"/>
  <c r="L34" i="128"/>
  <c r="L35" i="128"/>
  <c r="L36" i="128"/>
  <c r="L37" i="128"/>
  <c r="L38" i="128"/>
  <c r="L39" i="128"/>
  <c r="L40" i="128"/>
  <c r="L41" i="128"/>
  <c r="L42" i="128"/>
  <c r="L43" i="128"/>
  <c r="L44" i="128"/>
  <c r="L45" i="128"/>
  <c r="L46" i="128"/>
  <c r="L47" i="128"/>
  <c r="L48" i="128"/>
  <c r="L49" i="128"/>
  <c r="L50" i="128"/>
  <c r="L51" i="128"/>
  <c r="L52" i="128"/>
  <c r="L53" i="128"/>
  <c r="L54" i="128"/>
  <c r="L55" i="128"/>
  <c r="L56" i="128"/>
  <c r="L57" i="128"/>
  <c r="L58" i="128"/>
  <c r="L59" i="128"/>
  <c r="L60" i="128"/>
  <c r="L61" i="128"/>
  <c r="L62" i="128"/>
  <c r="L63" i="128"/>
  <c r="L64" i="128"/>
  <c r="L65" i="128"/>
  <c r="L66" i="128"/>
  <c r="L67" i="128"/>
  <c r="L68" i="128"/>
  <c r="L69" i="128"/>
  <c r="L70" i="128"/>
  <c r="L71" i="128"/>
  <c r="L72" i="128"/>
  <c r="L73" i="128"/>
  <c r="K32" i="128"/>
  <c r="K33" i="128"/>
  <c r="K34" i="128"/>
  <c r="K35" i="128"/>
  <c r="K36" i="128"/>
  <c r="K37" i="128"/>
  <c r="K38" i="128"/>
  <c r="K39" i="128"/>
  <c r="K40" i="128"/>
  <c r="K41" i="128"/>
  <c r="K42" i="128"/>
  <c r="K43" i="128"/>
  <c r="K44" i="128"/>
  <c r="K45" i="128"/>
  <c r="K46" i="128"/>
  <c r="K47" i="128"/>
  <c r="K48" i="128"/>
  <c r="K49" i="128"/>
  <c r="K50" i="128"/>
  <c r="K51" i="128"/>
  <c r="K52" i="128"/>
  <c r="K53" i="128"/>
  <c r="K54" i="128"/>
  <c r="K55" i="128"/>
  <c r="K56" i="128"/>
  <c r="K57" i="128"/>
  <c r="K58" i="128"/>
  <c r="K59" i="128"/>
  <c r="K60" i="128"/>
  <c r="K61" i="128"/>
  <c r="K62" i="128"/>
  <c r="K63" i="128"/>
  <c r="K64" i="128"/>
  <c r="K65" i="128"/>
  <c r="K66" i="128"/>
  <c r="K67" i="128"/>
  <c r="K68" i="128"/>
  <c r="K69" i="128"/>
  <c r="K70" i="128"/>
  <c r="K71" i="128"/>
  <c r="K72" i="128"/>
  <c r="K73" i="128"/>
  <c r="N31" i="128"/>
  <c r="M31" i="128"/>
  <c r="L31" i="128"/>
  <c r="K31" i="128"/>
  <c r="C160" i="29"/>
  <c r="E160" i="29"/>
  <c r="F22" i="280"/>
  <c r="G22" i="280"/>
  <c r="H22" i="280"/>
  <c r="J22" i="280"/>
  <c r="K22" i="280"/>
  <c r="L22" i="280"/>
  <c r="M22" i="280"/>
  <c r="N22" i="280"/>
  <c r="P22" i="280"/>
  <c r="Q22" i="280" s="1"/>
  <c r="F23" i="280"/>
  <c r="G23" i="280"/>
  <c r="H23" i="280"/>
  <c r="J23" i="280"/>
  <c r="K23" i="280"/>
  <c r="L23" i="280"/>
  <c r="M23" i="280"/>
  <c r="N23" i="280"/>
  <c r="P23" i="280"/>
  <c r="Q23" i="280" s="1"/>
  <c r="F24" i="280"/>
  <c r="G24" i="280"/>
  <c r="H24" i="280"/>
  <c r="J24" i="280"/>
  <c r="K24" i="280"/>
  <c r="L24" i="280"/>
  <c r="M24" i="280"/>
  <c r="N24" i="280"/>
  <c r="P24" i="280"/>
  <c r="Q24" i="280" s="1"/>
  <c r="F25" i="280"/>
  <c r="G25" i="280"/>
  <c r="H25" i="280"/>
  <c r="J25" i="280"/>
  <c r="K25" i="280"/>
  <c r="L25" i="280"/>
  <c r="M25" i="280"/>
  <c r="N25" i="280"/>
  <c r="P25" i="280"/>
  <c r="Q25" i="280" s="1"/>
  <c r="F26" i="280"/>
  <c r="G26" i="280"/>
  <c r="H26" i="280"/>
  <c r="J26" i="280"/>
  <c r="K26" i="280"/>
  <c r="L26" i="280"/>
  <c r="M26" i="280"/>
  <c r="N26" i="280"/>
  <c r="P26" i="280"/>
  <c r="Q26" i="280" s="1"/>
  <c r="D14" i="280"/>
  <c r="D15" i="280"/>
  <c r="D16" i="280"/>
  <c r="D17" i="280"/>
  <c r="D18" i="280"/>
  <c r="D19" i="280"/>
  <c r="J25" i="279"/>
  <c r="K25" i="279"/>
  <c r="L25" i="279"/>
  <c r="M25" i="279"/>
  <c r="N25" i="279"/>
  <c r="P25" i="279"/>
  <c r="Q25" i="279" s="1"/>
  <c r="F25" i="279"/>
  <c r="G25" i="279"/>
  <c r="H25" i="279"/>
  <c r="F22" i="279"/>
  <c r="G22" i="279"/>
  <c r="H22" i="279"/>
  <c r="J22" i="279"/>
  <c r="K22" i="279"/>
  <c r="L22" i="279"/>
  <c r="M22" i="279"/>
  <c r="N22" i="279"/>
  <c r="P22" i="279"/>
  <c r="Q22" i="279" s="1"/>
  <c r="F23" i="279"/>
  <c r="G23" i="279"/>
  <c r="H23" i="279"/>
  <c r="J23" i="279"/>
  <c r="K23" i="279"/>
  <c r="L23" i="279"/>
  <c r="M23" i="279"/>
  <c r="N23" i="279"/>
  <c r="P23" i="279"/>
  <c r="Q23" i="279" s="1"/>
  <c r="J24" i="279"/>
  <c r="K24" i="279"/>
  <c r="L24" i="279"/>
  <c r="M24" i="279"/>
  <c r="N24" i="279"/>
  <c r="P24" i="279"/>
  <c r="Q24" i="279" s="1"/>
  <c r="F24" i="279"/>
  <c r="G24" i="279"/>
  <c r="H24" i="279"/>
  <c r="D15" i="279"/>
  <c r="D16" i="279"/>
  <c r="D14" i="279"/>
  <c r="D17" i="279"/>
  <c r="C125" i="29"/>
  <c r="V26" i="30"/>
  <c r="V28" i="30"/>
  <c r="V36" i="30"/>
  <c r="V14" i="30"/>
  <c r="V13" i="30"/>
  <c r="V10" i="30"/>
  <c r="V8" i="30"/>
  <c r="V6" i="30"/>
  <c r="V9" i="30"/>
  <c r="V7" i="30"/>
  <c r="V11" i="30"/>
  <c r="V3" i="30"/>
  <c r="V2" i="30"/>
  <c r="V12" i="30"/>
  <c r="G26" i="30"/>
  <c r="G18" i="287" s="1"/>
  <c r="G28" i="30"/>
  <c r="G21" i="276" s="1"/>
  <c r="G36" i="30"/>
  <c r="G30" i="280" s="1"/>
  <c r="G14" i="30"/>
  <c r="G19" i="276" s="1"/>
  <c r="G13" i="30"/>
  <c r="G20" i="276" s="1"/>
  <c r="G10" i="30"/>
  <c r="G17" i="277" s="1"/>
  <c r="G8" i="30"/>
  <c r="G28" i="280" s="1"/>
  <c r="G6" i="30"/>
  <c r="G29" i="280" s="1"/>
  <c r="G9" i="30"/>
  <c r="G19" i="282" s="1"/>
  <c r="G7" i="30"/>
  <c r="G20" i="282" s="1"/>
  <c r="G11" i="30"/>
  <c r="G17" i="283" s="1"/>
  <c r="G3" i="30"/>
  <c r="G19" i="285" s="1"/>
  <c r="G2" i="30"/>
  <c r="G20" i="286" s="1"/>
  <c r="G12" i="30"/>
  <c r="G17" i="287" s="1"/>
  <c r="C2" i="267"/>
  <c r="P26" i="47"/>
  <c r="Q26" i="47" s="1"/>
  <c r="D26" i="47"/>
  <c r="P7" i="63"/>
  <c r="Q7" i="63" s="1"/>
  <c r="D7" i="63"/>
  <c r="P5" i="62"/>
  <c r="Q5" i="62" s="1"/>
  <c r="D5" i="62"/>
  <c r="F11" i="292"/>
  <c r="G11" i="292"/>
  <c r="H11" i="292"/>
  <c r="J11" i="292"/>
  <c r="K11" i="292"/>
  <c r="L11" i="292"/>
  <c r="M11" i="292"/>
  <c r="N11" i="292"/>
  <c r="P11" i="292"/>
  <c r="Q11" i="292" s="1"/>
  <c r="F12" i="292"/>
  <c r="G12" i="292"/>
  <c r="H12" i="292"/>
  <c r="J12" i="292"/>
  <c r="K12" i="292"/>
  <c r="L12" i="292"/>
  <c r="M12" i="292"/>
  <c r="N12" i="292"/>
  <c r="P12" i="292"/>
  <c r="Q12" i="292" s="1"/>
  <c r="D9" i="292"/>
  <c r="P9" i="292"/>
  <c r="Q9" i="292" s="1"/>
  <c r="G2" i="292"/>
  <c r="I2" i="292"/>
  <c r="E3" i="292"/>
  <c r="G3" i="292"/>
  <c r="I3" i="292"/>
  <c r="Q5" i="292"/>
  <c r="E17" i="31"/>
  <c r="J17" i="31"/>
  <c r="C2" i="274"/>
  <c r="E314" i="29"/>
  <c r="E316" i="29"/>
  <c r="C314" i="29"/>
  <c r="C316" i="29"/>
  <c r="D24" i="190"/>
  <c r="D23" i="190"/>
  <c r="D22" i="190"/>
  <c r="D15" i="214"/>
  <c r="D12" i="249"/>
  <c r="D18" i="179"/>
  <c r="D17" i="179"/>
  <c r="D16" i="179"/>
  <c r="V55" i="30"/>
  <c r="G55" i="30"/>
  <c r="G30" i="178" s="1"/>
  <c r="V105" i="30"/>
  <c r="G105" i="30"/>
  <c r="G25" i="178" s="1"/>
  <c r="V90" i="30"/>
  <c r="G90" i="30"/>
  <c r="G27" i="178" s="1"/>
  <c r="C202" i="29"/>
  <c r="E202" i="29"/>
  <c r="C201" i="29"/>
  <c r="E201" i="29"/>
  <c r="C2" i="258"/>
  <c r="C2" i="253"/>
  <c r="C2" i="257"/>
  <c r="C2" i="255"/>
  <c r="C196" i="29"/>
  <c r="E196" i="29"/>
  <c r="C2" i="291"/>
  <c r="C2" i="290"/>
  <c r="C2" i="187"/>
  <c r="I3" i="291"/>
  <c r="G3" i="291"/>
  <c r="E3" i="291"/>
  <c r="I2" i="291"/>
  <c r="G2" i="291"/>
  <c r="I3" i="290"/>
  <c r="G3" i="290"/>
  <c r="E3" i="290"/>
  <c r="I2" i="290"/>
  <c r="G2" i="290"/>
  <c r="E125" i="31"/>
  <c r="E126" i="31"/>
  <c r="J125" i="31"/>
  <c r="J126" i="31"/>
  <c r="C2" i="262"/>
  <c r="C2" i="289"/>
  <c r="E67" i="31"/>
  <c r="J67" i="31"/>
  <c r="F9" i="289"/>
  <c r="G9" i="289"/>
  <c r="H9" i="289"/>
  <c r="J9" i="289"/>
  <c r="K9" i="289"/>
  <c r="L9" i="289"/>
  <c r="M9" i="289"/>
  <c r="N9" i="289"/>
  <c r="P9" i="289"/>
  <c r="Q9" i="289" s="1"/>
  <c r="D7" i="289"/>
  <c r="P7" i="289"/>
  <c r="Q7" i="289" s="1"/>
  <c r="G2" i="289"/>
  <c r="I2" i="289"/>
  <c r="E3" i="289"/>
  <c r="G3" i="289"/>
  <c r="I3" i="289"/>
  <c r="C209" i="29"/>
  <c r="C210" i="29"/>
  <c r="E209" i="29"/>
  <c r="E210" i="29"/>
  <c r="C208" i="29"/>
  <c r="E208" i="29"/>
  <c r="C205" i="29"/>
  <c r="C206" i="29"/>
  <c r="C207" i="29"/>
  <c r="E205" i="29"/>
  <c r="E206" i="29"/>
  <c r="E207" i="29"/>
  <c r="C203" i="29"/>
  <c r="C204" i="29"/>
  <c r="E203" i="29"/>
  <c r="E204" i="29"/>
  <c r="C168" i="29"/>
  <c r="E168" i="29"/>
  <c r="C165" i="29"/>
  <c r="C166" i="29"/>
  <c r="C167" i="29"/>
  <c r="E165" i="29"/>
  <c r="E166" i="29"/>
  <c r="E167" i="29"/>
  <c r="C163" i="29"/>
  <c r="C164" i="29"/>
  <c r="E163" i="29"/>
  <c r="E164" i="29"/>
  <c r="C162" i="29"/>
  <c r="C131" i="29"/>
  <c r="C132" i="29"/>
  <c r="C159" i="29"/>
  <c r="E131" i="29"/>
  <c r="E132" i="29"/>
  <c r="E159" i="29"/>
  <c r="C129" i="29"/>
  <c r="C130" i="29"/>
  <c r="E129" i="29"/>
  <c r="E130" i="29"/>
  <c r="C128" i="29"/>
  <c r="E128" i="29"/>
  <c r="C127" i="29"/>
  <c r="E127" i="29"/>
  <c r="J2" i="31"/>
  <c r="J3" i="31"/>
  <c r="J15" i="31"/>
  <c r="J16" i="31"/>
  <c r="J4" i="31"/>
  <c r="J5" i="31"/>
  <c r="J7" i="31"/>
  <c r="J9" i="31"/>
  <c r="J10" i="31"/>
  <c r="J12" i="31"/>
  <c r="J13" i="31"/>
  <c r="J14" i="31"/>
  <c r="J18" i="31"/>
  <c r="J19" i="31"/>
  <c r="J37" i="31"/>
  <c r="J41" i="31"/>
  <c r="J48" i="31"/>
  <c r="J51" i="31"/>
  <c r="J52" i="31"/>
  <c r="J53" i="31"/>
  <c r="J55" i="31"/>
  <c r="J56" i="31"/>
  <c r="J65" i="31"/>
  <c r="J74" i="31"/>
  <c r="J79" i="31"/>
  <c r="J80" i="31"/>
  <c r="J88" i="31"/>
  <c r="J101" i="31"/>
  <c r="J123" i="31"/>
  <c r="J136" i="31"/>
  <c r="J137" i="31"/>
  <c r="J140" i="31"/>
  <c r="J142" i="31"/>
  <c r="J145" i="31"/>
  <c r="J146" i="31"/>
  <c r="J148" i="31"/>
  <c r="J149" i="31"/>
  <c r="J150" i="31"/>
  <c r="J153" i="31"/>
  <c r="J159" i="31"/>
  <c r="J162" i="31"/>
  <c r="J163" i="31"/>
  <c r="J164" i="31"/>
  <c r="J195" i="31"/>
  <c r="J167" i="31"/>
  <c r="J179" i="31"/>
  <c r="J187" i="31"/>
  <c r="J188" i="31"/>
  <c r="J189" i="31"/>
  <c r="J192" i="31"/>
  <c r="J193" i="31"/>
  <c r="J194" i="31"/>
  <c r="J198" i="31"/>
  <c r="J199" i="31"/>
  <c r="J205" i="31"/>
  <c r="J216" i="31"/>
  <c r="J219" i="31"/>
  <c r="J220" i="31"/>
  <c r="J221" i="31"/>
  <c r="J225" i="31"/>
  <c r="J226" i="31"/>
  <c r="J227" i="31"/>
  <c r="J233" i="31"/>
  <c r="J236" i="31"/>
  <c r="J237" i="31"/>
  <c r="J238" i="31"/>
  <c r="J239" i="31"/>
  <c r="J240" i="31"/>
  <c r="J241" i="31"/>
  <c r="J242" i="31"/>
  <c r="J243" i="31"/>
  <c r="J244" i="31"/>
  <c r="J245" i="31"/>
  <c r="J259" i="31"/>
  <c r="J268" i="31"/>
  <c r="J270" i="31"/>
  <c r="J271" i="31"/>
  <c r="J272" i="31"/>
  <c r="J273" i="31"/>
  <c r="J6" i="31"/>
  <c r="J8" i="31"/>
  <c r="J11" i="31"/>
  <c r="J20" i="31"/>
  <c r="J21" i="31"/>
  <c r="J22" i="31"/>
  <c r="J23" i="31"/>
  <c r="J24" i="31"/>
  <c r="J25" i="31"/>
  <c r="J26" i="31"/>
  <c r="J27" i="31"/>
  <c r="J29" i="31"/>
  <c r="J30" i="31"/>
  <c r="J31" i="31"/>
  <c r="J32" i="31"/>
  <c r="J33" i="31"/>
  <c r="J34" i="31"/>
  <c r="J35" i="31"/>
  <c r="J36" i="31"/>
  <c r="J38" i="31"/>
  <c r="J39" i="31"/>
  <c r="J40" i="31"/>
  <c r="J42" i="31"/>
  <c r="J43" i="31"/>
  <c r="J44" i="31"/>
  <c r="J45" i="31"/>
  <c r="J46" i="31"/>
  <c r="J47" i="31"/>
  <c r="J49" i="31"/>
  <c r="J50" i="31"/>
  <c r="J54" i="31"/>
  <c r="J246" i="31"/>
  <c r="J255" i="31"/>
  <c r="J256" i="31"/>
  <c r="J247" i="31"/>
  <c r="J248" i="31"/>
  <c r="J249" i="31"/>
  <c r="J250" i="31"/>
  <c r="J251" i="31"/>
  <c r="J252" i="31"/>
  <c r="J253" i="31"/>
  <c r="J254" i="31"/>
  <c r="J260" i="31"/>
  <c r="J261" i="31"/>
  <c r="J262" i="31"/>
  <c r="J263" i="31"/>
  <c r="J264" i="31"/>
  <c r="J265" i="31"/>
  <c r="J266" i="31"/>
  <c r="J267" i="31"/>
  <c r="J269" i="31"/>
  <c r="J57" i="31"/>
  <c r="J58" i="31"/>
  <c r="J59" i="31"/>
  <c r="J60" i="31"/>
  <c r="J61" i="31"/>
  <c r="J66" i="31"/>
  <c r="J68" i="31"/>
  <c r="J69" i="31"/>
  <c r="J70" i="31"/>
  <c r="J73" i="31"/>
  <c r="J81" i="31"/>
  <c r="J82" i="31"/>
  <c r="J89" i="31"/>
  <c r="J90" i="31"/>
  <c r="J91" i="31"/>
  <c r="J92" i="31"/>
  <c r="J93" i="31"/>
  <c r="J94" i="31"/>
  <c r="J95" i="31"/>
  <c r="J96" i="31"/>
  <c r="J97" i="31"/>
  <c r="J100" i="31"/>
  <c r="J104" i="31"/>
  <c r="J113" i="31"/>
  <c r="J114" i="31"/>
  <c r="J105" i="31"/>
  <c r="J106" i="31"/>
  <c r="J107" i="31"/>
  <c r="J108" i="31"/>
  <c r="J109" i="31"/>
  <c r="J110" i="31"/>
  <c r="J111" i="31"/>
  <c r="J112" i="31"/>
  <c r="J124" i="31"/>
  <c r="J127" i="31"/>
  <c r="J128" i="31"/>
  <c r="J129" i="31"/>
  <c r="J130" i="31"/>
  <c r="J131" i="31"/>
  <c r="J132" i="31"/>
  <c r="J138" i="31"/>
  <c r="J139" i="31"/>
  <c r="J141" i="31"/>
  <c r="J147" i="31"/>
  <c r="J151" i="31"/>
  <c r="J152" i="31"/>
  <c r="J154" i="31"/>
  <c r="J155" i="31"/>
  <c r="J156" i="31"/>
  <c r="J157" i="31"/>
  <c r="J158" i="31"/>
  <c r="J160" i="31"/>
  <c r="J161" i="31"/>
  <c r="J165" i="31"/>
  <c r="J166" i="31"/>
  <c r="J168" i="31"/>
  <c r="J169" i="31"/>
  <c r="J170" i="31"/>
  <c r="J171" i="31"/>
  <c r="J172" i="31"/>
  <c r="J174" i="31"/>
  <c r="J175" i="31"/>
  <c r="J180" i="31"/>
  <c r="J181" i="31"/>
  <c r="J182" i="31"/>
  <c r="J183" i="31"/>
  <c r="J184" i="31"/>
  <c r="J185" i="31"/>
  <c r="J186" i="31"/>
  <c r="J200" i="31"/>
  <c r="J201" i="31"/>
  <c r="J202" i="31"/>
  <c r="J203" i="31"/>
  <c r="J204" i="31"/>
  <c r="J206" i="31"/>
  <c r="J207" i="31"/>
  <c r="J208" i="31"/>
  <c r="J209" i="31"/>
  <c r="J210" i="31"/>
  <c r="J211" i="31"/>
  <c r="J212" i="31"/>
  <c r="J213" i="31"/>
  <c r="J214" i="31"/>
  <c r="J215" i="31"/>
  <c r="J217" i="31"/>
  <c r="J218" i="31"/>
  <c r="J222" i="31"/>
  <c r="J223" i="31"/>
  <c r="J224" i="31"/>
  <c r="J228" i="31"/>
  <c r="J229" i="31"/>
  <c r="J230" i="31"/>
  <c r="J231" i="31"/>
  <c r="J232" i="31"/>
  <c r="J234" i="31"/>
  <c r="J235" i="31"/>
  <c r="C2" i="288"/>
  <c r="C2" i="287"/>
  <c r="C2" i="286"/>
  <c r="C2" i="285"/>
  <c r="P15" i="288"/>
  <c r="Q15" i="288" s="1"/>
  <c r="N15" i="288"/>
  <c r="M15" i="288"/>
  <c r="L15" i="288"/>
  <c r="K15" i="288"/>
  <c r="J15" i="288"/>
  <c r="H15" i="288"/>
  <c r="G15" i="288"/>
  <c r="F15" i="288"/>
  <c r="D13" i="288"/>
  <c r="D12" i="288"/>
  <c r="D11" i="288"/>
  <c r="I3" i="288"/>
  <c r="G3" i="288"/>
  <c r="E3" i="288"/>
  <c r="I2" i="288"/>
  <c r="G2" i="288"/>
  <c r="P15" i="287"/>
  <c r="Q15" i="287" s="1"/>
  <c r="N15" i="287"/>
  <c r="M15" i="287"/>
  <c r="L15" i="287"/>
  <c r="K15" i="287"/>
  <c r="J15" i="287"/>
  <c r="H15" i="287"/>
  <c r="G15" i="287"/>
  <c r="F15" i="287"/>
  <c r="D13" i="287"/>
  <c r="D12" i="287"/>
  <c r="D11" i="287"/>
  <c r="I3" i="287"/>
  <c r="G3" i="287"/>
  <c r="E3" i="287"/>
  <c r="I2" i="287"/>
  <c r="G2" i="287"/>
  <c r="P17" i="286"/>
  <c r="Q17" i="286" s="1"/>
  <c r="N17" i="286"/>
  <c r="M17" i="286"/>
  <c r="L17" i="286"/>
  <c r="K17" i="286"/>
  <c r="J17" i="286"/>
  <c r="H17" i="286"/>
  <c r="G17" i="286"/>
  <c r="F17" i="286"/>
  <c r="D15" i="286"/>
  <c r="D14" i="286"/>
  <c r="D13" i="286"/>
  <c r="I3" i="286"/>
  <c r="G3" i="286"/>
  <c r="E3" i="286"/>
  <c r="I2" i="286"/>
  <c r="G2" i="286"/>
  <c r="P17" i="285"/>
  <c r="Q17" i="285" s="1"/>
  <c r="N17" i="285"/>
  <c r="M17" i="285"/>
  <c r="L17" i="285"/>
  <c r="K17" i="285"/>
  <c r="J17" i="285"/>
  <c r="H17" i="285"/>
  <c r="G17" i="285"/>
  <c r="F17" i="285"/>
  <c r="D15" i="285"/>
  <c r="D14" i="285"/>
  <c r="D13" i="285"/>
  <c r="I3" i="285"/>
  <c r="G3" i="285"/>
  <c r="E3" i="285"/>
  <c r="I2" i="285"/>
  <c r="G2" i="285"/>
  <c r="P15" i="284"/>
  <c r="Q15" i="284" s="1"/>
  <c r="N15" i="284"/>
  <c r="M15" i="284"/>
  <c r="L15" i="284"/>
  <c r="K15" i="284"/>
  <c r="J15" i="284"/>
  <c r="H15" i="284"/>
  <c r="G15" i="284"/>
  <c r="F15" i="284"/>
  <c r="D13" i="284"/>
  <c r="D12" i="284"/>
  <c r="D11" i="284"/>
  <c r="I3" i="284"/>
  <c r="G3" i="284"/>
  <c r="E3" i="284"/>
  <c r="I2" i="284"/>
  <c r="G2" i="284"/>
  <c r="P15" i="283"/>
  <c r="Q15" i="283" s="1"/>
  <c r="N15" i="283"/>
  <c r="M15" i="283"/>
  <c r="L15" i="283"/>
  <c r="K15" i="283"/>
  <c r="J15" i="283"/>
  <c r="H15" i="283"/>
  <c r="G15" i="283"/>
  <c r="F15" i="283"/>
  <c r="D13" i="283"/>
  <c r="D12" i="283"/>
  <c r="D11" i="283"/>
  <c r="I3" i="283"/>
  <c r="G3" i="283"/>
  <c r="E3" i="283"/>
  <c r="I2" i="283"/>
  <c r="G2" i="283"/>
  <c r="D15" i="179"/>
  <c r="C2" i="280"/>
  <c r="C2" i="279"/>
  <c r="F17" i="282"/>
  <c r="G17" i="282"/>
  <c r="H17" i="282"/>
  <c r="J17" i="282"/>
  <c r="K17" i="282"/>
  <c r="L17" i="282"/>
  <c r="M17" i="282"/>
  <c r="N17" i="282"/>
  <c r="P17" i="282"/>
  <c r="Q17" i="282" s="1"/>
  <c r="D13" i="282"/>
  <c r="D14" i="282"/>
  <c r="D15" i="282"/>
  <c r="G2" i="282"/>
  <c r="I2" i="282"/>
  <c r="E3" i="282"/>
  <c r="G3" i="282"/>
  <c r="I3" i="282"/>
  <c r="F17" i="281"/>
  <c r="G17" i="281"/>
  <c r="H17" i="281"/>
  <c r="J17" i="281"/>
  <c r="K17" i="281"/>
  <c r="L17" i="281"/>
  <c r="M17" i="281"/>
  <c r="N17" i="281"/>
  <c r="P17" i="281"/>
  <c r="Q17" i="281" s="1"/>
  <c r="D13" i="281"/>
  <c r="D14" i="281"/>
  <c r="D15" i="281"/>
  <c r="G2" i="281"/>
  <c r="I2" i="281"/>
  <c r="E3" i="281"/>
  <c r="G3" i="281"/>
  <c r="I3" i="281"/>
  <c r="G2" i="280"/>
  <c r="I2" i="280"/>
  <c r="E3" i="280"/>
  <c r="G3" i="280"/>
  <c r="I3" i="280"/>
  <c r="F26" i="279"/>
  <c r="G26" i="279"/>
  <c r="H26" i="279"/>
  <c r="J26" i="279"/>
  <c r="K26" i="279"/>
  <c r="L26" i="279"/>
  <c r="M26" i="279"/>
  <c r="N26" i="279"/>
  <c r="P26" i="279"/>
  <c r="Q26" i="279" s="1"/>
  <c r="D18" i="279"/>
  <c r="D19" i="279"/>
  <c r="G2" i="279"/>
  <c r="I2" i="279"/>
  <c r="E3" i="279"/>
  <c r="G3" i="279"/>
  <c r="I3" i="279"/>
  <c r="E175" i="29"/>
  <c r="C175" i="29"/>
  <c r="C2" i="273"/>
  <c r="E174" i="29"/>
  <c r="C174" i="29"/>
  <c r="C2" i="272"/>
  <c r="D70" i="193"/>
  <c r="E195" i="29"/>
  <c r="C195" i="29"/>
  <c r="C2" i="128"/>
  <c r="J87" i="128"/>
  <c r="K87" i="128"/>
  <c r="L87" i="128"/>
  <c r="M87" i="128"/>
  <c r="N87" i="128"/>
  <c r="P87" i="128"/>
  <c r="Q87" i="128" s="1"/>
  <c r="F87" i="128"/>
  <c r="G87" i="128"/>
  <c r="H87" i="128"/>
  <c r="J86" i="128"/>
  <c r="K86" i="128"/>
  <c r="L86" i="128"/>
  <c r="M86" i="128"/>
  <c r="N86" i="128"/>
  <c r="P86" i="128"/>
  <c r="Q86" i="128" s="1"/>
  <c r="F86" i="128"/>
  <c r="G86" i="128"/>
  <c r="H86" i="128"/>
  <c r="C2" i="270"/>
  <c r="P73" i="128"/>
  <c r="Q73" i="128" s="1"/>
  <c r="D73" i="128"/>
  <c r="F20" i="270"/>
  <c r="G20" i="270"/>
  <c r="H20" i="270"/>
  <c r="J20" i="270"/>
  <c r="K20" i="270"/>
  <c r="L20" i="270"/>
  <c r="M20" i="270"/>
  <c r="N20" i="270"/>
  <c r="P20" i="270"/>
  <c r="Q20" i="270" s="1"/>
  <c r="F21" i="270"/>
  <c r="G21" i="270"/>
  <c r="H21" i="270"/>
  <c r="J21" i="270"/>
  <c r="K21" i="270"/>
  <c r="L21" i="270"/>
  <c r="M21" i="270"/>
  <c r="N21" i="270"/>
  <c r="P21" i="270"/>
  <c r="Q21" i="270" s="1"/>
  <c r="F22" i="270"/>
  <c r="G22" i="270"/>
  <c r="H22" i="270"/>
  <c r="J22" i="270"/>
  <c r="K22" i="270"/>
  <c r="L22" i="270"/>
  <c r="M22" i="270"/>
  <c r="N22" i="270"/>
  <c r="P22" i="270"/>
  <c r="Q22" i="270" s="1"/>
  <c r="F23" i="270"/>
  <c r="G23" i="270"/>
  <c r="H23" i="270"/>
  <c r="J23" i="270"/>
  <c r="K23" i="270"/>
  <c r="L23" i="270"/>
  <c r="M23" i="270"/>
  <c r="N23" i="270"/>
  <c r="P23" i="270"/>
  <c r="Q23" i="270" s="1"/>
  <c r="D10" i="270"/>
  <c r="D11" i="270"/>
  <c r="D12" i="270"/>
  <c r="D13" i="270"/>
  <c r="D14" i="270"/>
  <c r="D15" i="270"/>
  <c r="D16" i="270"/>
  <c r="D17" i="270"/>
  <c r="D18" i="270"/>
  <c r="P72" i="128"/>
  <c r="Q72" i="128" s="1"/>
  <c r="D72" i="128"/>
  <c r="E193" i="29"/>
  <c r="E194" i="29"/>
  <c r="C193" i="29"/>
  <c r="C194" i="29"/>
  <c r="E2" i="29"/>
  <c r="C2" i="29"/>
  <c r="C2" i="278"/>
  <c r="C2" i="277"/>
  <c r="C2" i="276"/>
  <c r="C2" i="275"/>
  <c r="F20" i="269"/>
  <c r="G20" i="269"/>
  <c r="H20" i="269"/>
  <c r="J20" i="269"/>
  <c r="K20" i="269"/>
  <c r="L20" i="269"/>
  <c r="M20" i="269"/>
  <c r="N20" i="269"/>
  <c r="P20" i="269"/>
  <c r="Q20" i="269" s="1"/>
  <c r="F21" i="269"/>
  <c r="G21" i="269"/>
  <c r="H21" i="269"/>
  <c r="J21" i="269"/>
  <c r="K21" i="269"/>
  <c r="L21" i="269"/>
  <c r="M21" i="269"/>
  <c r="N21" i="269"/>
  <c r="P21" i="269"/>
  <c r="Q21" i="269" s="1"/>
  <c r="F22" i="269"/>
  <c r="G22" i="269"/>
  <c r="H22" i="269"/>
  <c r="J22" i="269"/>
  <c r="K22" i="269"/>
  <c r="L22" i="269"/>
  <c r="M22" i="269"/>
  <c r="N22" i="269"/>
  <c r="P22" i="269"/>
  <c r="Q22" i="269" s="1"/>
  <c r="F15" i="278"/>
  <c r="G15" i="278"/>
  <c r="H15" i="278"/>
  <c r="J15" i="278"/>
  <c r="K15" i="278"/>
  <c r="L15" i="278"/>
  <c r="M15" i="278"/>
  <c r="N15" i="278"/>
  <c r="P15" i="278"/>
  <c r="Q15" i="278" s="1"/>
  <c r="D11" i="278"/>
  <c r="P11" i="278"/>
  <c r="Q11" i="278" s="1"/>
  <c r="D12" i="278"/>
  <c r="P12" i="278"/>
  <c r="Q12" i="278" s="1"/>
  <c r="D13" i="278"/>
  <c r="P13" i="278"/>
  <c r="Q13" i="278" s="1"/>
  <c r="G2" i="278"/>
  <c r="I2" i="278"/>
  <c r="E3" i="278"/>
  <c r="G3" i="278"/>
  <c r="I3" i="278"/>
  <c r="F15" i="277"/>
  <c r="G15" i="277"/>
  <c r="H15" i="277"/>
  <c r="J15" i="277"/>
  <c r="K15" i="277"/>
  <c r="L15" i="277"/>
  <c r="M15" i="277"/>
  <c r="N15" i="277"/>
  <c r="P15" i="277"/>
  <c r="Q15" i="277" s="1"/>
  <c r="D11" i="277"/>
  <c r="P11" i="277"/>
  <c r="Q11" i="277" s="1"/>
  <c r="D12" i="277"/>
  <c r="P12" i="277"/>
  <c r="Q12" i="277" s="1"/>
  <c r="D13" i="277"/>
  <c r="P13" i="277"/>
  <c r="Q13" i="277" s="1"/>
  <c r="G2" i="277"/>
  <c r="I2" i="277"/>
  <c r="E3" i="277"/>
  <c r="G3" i="277"/>
  <c r="I3" i="277"/>
  <c r="F17" i="276"/>
  <c r="G17" i="276"/>
  <c r="H17" i="276"/>
  <c r="J17" i="276"/>
  <c r="K17" i="276"/>
  <c r="L17" i="276"/>
  <c r="M17" i="276"/>
  <c r="N17" i="276"/>
  <c r="P17" i="276"/>
  <c r="Q17" i="276" s="1"/>
  <c r="D13" i="276"/>
  <c r="P13" i="276"/>
  <c r="Q13" i="276" s="1"/>
  <c r="D14" i="276"/>
  <c r="P14" i="276"/>
  <c r="Q14" i="276" s="1"/>
  <c r="D15" i="276"/>
  <c r="P15" i="276"/>
  <c r="Q15" i="276" s="1"/>
  <c r="G2" i="276"/>
  <c r="I2" i="276"/>
  <c r="E3" i="276"/>
  <c r="G3" i="276"/>
  <c r="I3" i="276"/>
  <c r="D11" i="269"/>
  <c r="D12" i="269"/>
  <c r="D13" i="269"/>
  <c r="D14" i="269"/>
  <c r="D15" i="269"/>
  <c r="D16" i="269"/>
  <c r="D17" i="269"/>
  <c r="C249" i="29"/>
  <c r="E249" i="29"/>
  <c r="C250" i="29"/>
  <c r="E250" i="29"/>
  <c r="E313" i="29"/>
  <c r="C313" i="29"/>
  <c r="C192" i="29"/>
  <c r="E190" i="29"/>
  <c r="C190" i="29"/>
  <c r="C2" i="269"/>
  <c r="J12" i="268"/>
  <c r="K12" i="268"/>
  <c r="L12" i="268"/>
  <c r="M12" i="268"/>
  <c r="N12" i="268"/>
  <c r="P12" i="268"/>
  <c r="Q12" i="268" s="1"/>
  <c r="F12" i="268"/>
  <c r="G12" i="268"/>
  <c r="H12" i="268"/>
  <c r="D9" i="268"/>
  <c r="F17" i="275"/>
  <c r="G17" i="275"/>
  <c r="H17" i="275"/>
  <c r="J17" i="275"/>
  <c r="K17" i="275"/>
  <c r="L17" i="275"/>
  <c r="M17" i="275"/>
  <c r="N17" i="275"/>
  <c r="P17" i="275"/>
  <c r="Q17" i="275" s="1"/>
  <c r="D13" i="275"/>
  <c r="P13" i="275"/>
  <c r="Q13" i="275" s="1"/>
  <c r="D14" i="275"/>
  <c r="P14" i="275"/>
  <c r="Q14" i="275" s="1"/>
  <c r="D15" i="275"/>
  <c r="P15" i="275"/>
  <c r="Q15" i="275" s="1"/>
  <c r="G2" i="275"/>
  <c r="I2" i="275"/>
  <c r="E3" i="275"/>
  <c r="G3" i="275"/>
  <c r="I3" i="275"/>
  <c r="C2" i="268"/>
  <c r="C189" i="29"/>
  <c r="C2" i="186"/>
  <c r="E100" i="31"/>
  <c r="E127" i="31"/>
  <c r="E128" i="31"/>
  <c r="E129" i="31"/>
  <c r="E130" i="31"/>
  <c r="E131" i="31"/>
  <c r="E132" i="31"/>
  <c r="E69" i="31"/>
  <c r="E70" i="31"/>
  <c r="E73" i="31"/>
  <c r="E95" i="31"/>
  <c r="E96" i="31"/>
  <c r="E97" i="31"/>
  <c r="C2" i="185"/>
  <c r="C2" i="184"/>
  <c r="C2" i="183"/>
  <c r="C2" i="182"/>
  <c r="V77" i="30"/>
  <c r="G77" i="30"/>
  <c r="G44" i="177" s="1"/>
  <c r="V123" i="30"/>
  <c r="G123" i="30"/>
  <c r="G43" i="177" s="1"/>
  <c r="V91" i="30"/>
  <c r="G91" i="30"/>
  <c r="G42" i="177" s="1"/>
  <c r="V114" i="30"/>
  <c r="G114" i="30"/>
  <c r="G41" i="177" s="1"/>
  <c r="V115" i="30"/>
  <c r="G115" i="30"/>
  <c r="G40" i="177" s="1"/>
  <c r="J84" i="193"/>
  <c r="K84" i="193"/>
  <c r="L84" i="193"/>
  <c r="M84" i="193"/>
  <c r="N84" i="193"/>
  <c r="P84" i="193"/>
  <c r="Q84" i="193" s="1"/>
  <c r="F84" i="193"/>
  <c r="G84" i="193"/>
  <c r="H84" i="193"/>
  <c r="J83" i="193"/>
  <c r="K83" i="193"/>
  <c r="L83" i="193"/>
  <c r="M83" i="193"/>
  <c r="N83" i="193"/>
  <c r="P83" i="193"/>
  <c r="Q83" i="193" s="1"/>
  <c r="F83" i="193"/>
  <c r="G83" i="193"/>
  <c r="H83" i="193"/>
  <c r="V122" i="30"/>
  <c r="G122" i="30"/>
  <c r="G39" i="177" s="1"/>
  <c r="D69" i="193"/>
  <c r="V120" i="30"/>
  <c r="G120" i="30"/>
  <c r="G38" i="177" s="1"/>
  <c r="E311" i="29"/>
  <c r="E312" i="29"/>
  <c r="C311" i="29"/>
  <c r="C312" i="29"/>
  <c r="V64" i="30"/>
  <c r="G64" i="30"/>
  <c r="G36" i="177" s="1"/>
  <c r="V45" i="30"/>
  <c r="G45" i="30"/>
  <c r="G35" i="177" s="1"/>
  <c r="E173" i="29"/>
  <c r="C173" i="29"/>
  <c r="Q12" i="177"/>
  <c r="Q13" i="177"/>
  <c r="E109" i="31"/>
  <c r="E110" i="31"/>
  <c r="E111" i="31"/>
  <c r="E112" i="31"/>
  <c r="E113" i="31"/>
  <c r="E114" i="31"/>
  <c r="I3" i="274"/>
  <c r="G3" i="274"/>
  <c r="E3" i="274"/>
  <c r="I2" i="274"/>
  <c r="G2" i="274"/>
  <c r="I3" i="273"/>
  <c r="G3" i="273"/>
  <c r="E3" i="273"/>
  <c r="I2" i="273"/>
  <c r="G2" i="273"/>
  <c r="I3" i="272"/>
  <c r="G3" i="272"/>
  <c r="E3" i="272"/>
  <c r="I2" i="272"/>
  <c r="G2" i="272"/>
  <c r="I3" i="270"/>
  <c r="G3" i="270"/>
  <c r="E3" i="270"/>
  <c r="I2" i="270"/>
  <c r="G2" i="270"/>
  <c r="P19" i="269"/>
  <c r="Q19" i="269" s="1"/>
  <c r="N19" i="269"/>
  <c r="M19" i="269"/>
  <c r="L19" i="269"/>
  <c r="K19" i="269"/>
  <c r="J19" i="269"/>
  <c r="H19" i="269"/>
  <c r="G19" i="269"/>
  <c r="F19" i="269"/>
  <c r="D10" i="269"/>
  <c r="D9" i="269"/>
  <c r="I3" i="269"/>
  <c r="G3" i="269"/>
  <c r="E3" i="269"/>
  <c r="I2" i="269"/>
  <c r="G2" i="269"/>
  <c r="P11" i="268"/>
  <c r="Q11" i="268" s="1"/>
  <c r="N11" i="268"/>
  <c r="M11" i="268"/>
  <c r="L11" i="268"/>
  <c r="K11" i="268"/>
  <c r="J11" i="268"/>
  <c r="H11" i="268"/>
  <c r="G11" i="268"/>
  <c r="F11" i="268"/>
  <c r="D8" i="268"/>
  <c r="D7" i="268"/>
  <c r="I3" i="268"/>
  <c r="G3" i="268"/>
  <c r="E3" i="268"/>
  <c r="I2" i="268"/>
  <c r="G2" i="268"/>
  <c r="Q18" i="177"/>
  <c r="Q17" i="177"/>
  <c r="Q16" i="177"/>
  <c r="Q15" i="177"/>
  <c r="Q14" i="177"/>
  <c r="E273" i="31"/>
  <c r="P21" i="267"/>
  <c r="Q21" i="267" s="1"/>
  <c r="M21" i="267"/>
  <c r="L21" i="267"/>
  <c r="K21" i="267"/>
  <c r="J21" i="267"/>
  <c r="H21" i="267"/>
  <c r="G21" i="267"/>
  <c r="F21" i="267"/>
  <c r="P20" i="267"/>
  <c r="Q20" i="267" s="1"/>
  <c r="M20" i="267"/>
  <c r="L20" i="267"/>
  <c r="K20" i="267"/>
  <c r="J20" i="267"/>
  <c r="H20" i="267"/>
  <c r="G20" i="267"/>
  <c r="F20" i="267"/>
  <c r="P13" i="267"/>
  <c r="Q13" i="267" s="1"/>
  <c r="D13" i="267"/>
  <c r="P12" i="267"/>
  <c r="Q12" i="267" s="1"/>
  <c r="D12" i="267"/>
  <c r="P11" i="267"/>
  <c r="Q11" i="267" s="1"/>
  <c r="D11" i="267"/>
  <c r="P10" i="267"/>
  <c r="Q10" i="267" s="1"/>
  <c r="D10" i="267"/>
  <c r="P9" i="267"/>
  <c r="Q9" i="267" s="1"/>
  <c r="D9" i="267"/>
  <c r="P8" i="267"/>
  <c r="Q8" i="267" s="1"/>
  <c r="D8" i="267"/>
  <c r="P7" i="267"/>
  <c r="Q7" i="267" s="1"/>
  <c r="D7" i="267"/>
  <c r="I3" i="267"/>
  <c r="G3" i="267"/>
  <c r="E3" i="267"/>
  <c r="I2" i="267"/>
  <c r="G2" i="267"/>
  <c r="E271" i="31"/>
  <c r="E272" i="31"/>
  <c r="P8" i="266"/>
  <c r="Q8" i="266" s="1"/>
  <c r="N8" i="266"/>
  <c r="M8" i="266"/>
  <c r="L8" i="266"/>
  <c r="K8" i="266"/>
  <c r="J8" i="266"/>
  <c r="H8" i="266"/>
  <c r="G8" i="266"/>
  <c r="F8" i="266"/>
  <c r="P6" i="266"/>
  <c r="Q6" i="266" s="1"/>
  <c r="D6" i="266"/>
  <c r="P5" i="266"/>
  <c r="Q5" i="266" s="1"/>
  <c r="D5" i="266"/>
  <c r="I3" i="266"/>
  <c r="G3" i="266"/>
  <c r="E3" i="266"/>
  <c r="I2" i="266"/>
  <c r="G2" i="266"/>
  <c r="P6" i="265"/>
  <c r="Q6" i="265" s="1"/>
  <c r="D6" i="265"/>
  <c r="P5" i="265"/>
  <c r="Q5" i="265" s="1"/>
  <c r="D5" i="265"/>
  <c r="I3" i="265"/>
  <c r="G3" i="265"/>
  <c r="E3" i="265"/>
  <c r="I2" i="265"/>
  <c r="G2" i="265"/>
  <c r="D14" i="264"/>
  <c r="C2" i="264"/>
  <c r="C104" i="29"/>
  <c r="E104" i="29"/>
  <c r="O15" i="2"/>
  <c r="E270" i="31"/>
  <c r="P18" i="264"/>
  <c r="Q18" i="264" s="1"/>
  <c r="N18" i="264"/>
  <c r="M18" i="264"/>
  <c r="L18" i="264"/>
  <c r="K18" i="264"/>
  <c r="J18" i="264"/>
  <c r="H18" i="264"/>
  <c r="G18" i="264"/>
  <c r="F18" i="264"/>
  <c r="P17" i="264"/>
  <c r="Q17" i="264" s="1"/>
  <c r="N17" i="264"/>
  <c r="M17" i="264"/>
  <c r="L17" i="264"/>
  <c r="K17" i="264"/>
  <c r="J17" i="264"/>
  <c r="H17" i="264"/>
  <c r="G17" i="264"/>
  <c r="F17" i="264"/>
  <c r="D13" i="264"/>
  <c r="D12" i="264"/>
  <c r="D11" i="264"/>
  <c r="D10" i="264"/>
  <c r="D9" i="264"/>
  <c r="I3" i="264"/>
  <c r="G3" i="264"/>
  <c r="E3" i="264"/>
  <c r="I2" i="264"/>
  <c r="G2" i="264"/>
  <c r="Q6" i="242"/>
  <c r="C390" i="29"/>
  <c r="C2" i="250"/>
  <c r="D34" i="83"/>
  <c r="D33" i="83"/>
  <c r="P14" i="51"/>
  <c r="Q14" i="51" s="1"/>
  <c r="D14" i="51"/>
  <c r="P13" i="50"/>
  <c r="Q13" i="50" s="1"/>
  <c r="D13" i="50"/>
  <c r="V100" i="30"/>
  <c r="G100" i="30"/>
  <c r="G36" i="47" s="1"/>
  <c r="V22" i="30"/>
  <c r="G22" i="30"/>
  <c r="G39" i="211" s="1"/>
  <c r="G135" i="30"/>
  <c r="G32" i="211" s="1"/>
  <c r="V135" i="30"/>
  <c r="V19" i="30"/>
  <c r="G19" i="30"/>
  <c r="G40" i="211" s="1"/>
  <c r="V23" i="30"/>
  <c r="G23" i="30"/>
  <c r="G24" i="211" s="1"/>
  <c r="C411" i="29"/>
  <c r="C412" i="29"/>
  <c r="C2" i="263"/>
  <c r="C2" i="134"/>
  <c r="P10" i="263"/>
  <c r="Q10" i="263" s="1"/>
  <c r="N10" i="263"/>
  <c r="M10" i="263"/>
  <c r="L10" i="263"/>
  <c r="K10" i="263"/>
  <c r="J10" i="263"/>
  <c r="H10" i="263"/>
  <c r="G10" i="263"/>
  <c r="F10" i="263"/>
  <c r="D8" i="263"/>
  <c r="I3" i="263"/>
  <c r="G3" i="263"/>
  <c r="E3" i="263"/>
  <c r="I2" i="263"/>
  <c r="G2" i="263"/>
  <c r="P23" i="209"/>
  <c r="Q23" i="209" s="1"/>
  <c r="N23" i="209"/>
  <c r="M23" i="209"/>
  <c r="L23" i="209"/>
  <c r="K23" i="209"/>
  <c r="J23" i="209"/>
  <c r="H23" i="209"/>
  <c r="G23" i="209"/>
  <c r="F23" i="209"/>
  <c r="P22" i="209"/>
  <c r="Q22" i="209" s="1"/>
  <c r="N22" i="209"/>
  <c r="M22" i="209"/>
  <c r="L22" i="209"/>
  <c r="K22" i="209"/>
  <c r="J22" i="209"/>
  <c r="H22" i="209"/>
  <c r="G22" i="209"/>
  <c r="F22" i="209"/>
  <c r="C126" i="29"/>
  <c r="J12" i="262"/>
  <c r="K12" i="262"/>
  <c r="L12" i="262"/>
  <c r="M12" i="262"/>
  <c r="N12" i="262"/>
  <c r="P12" i="262"/>
  <c r="Q12" i="262" s="1"/>
  <c r="P7" i="212" s="1"/>
  <c r="Q7" i="212" s="1"/>
  <c r="F12" i="262"/>
  <c r="G12" i="262"/>
  <c r="H12" i="262"/>
  <c r="D9" i="262"/>
  <c r="P9" i="262"/>
  <c r="Q9" i="262" s="1"/>
  <c r="D10" i="262"/>
  <c r="P10" i="262"/>
  <c r="Q10" i="262" s="1"/>
  <c r="G2" i="262"/>
  <c r="I2" i="262"/>
  <c r="E3" i="262"/>
  <c r="G3" i="262"/>
  <c r="I3" i="262"/>
  <c r="E68" i="31"/>
  <c r="C2" i="113"/>
  <c r="E66" i="31"/>
  <c r="V65" i="30"/>
  <c r="G65" i="30"/>
  <c r="G30" i="167" s="1"/>
  <c r="V62" i="30"/>
  <c r="G62" i="30"/>
  <c r="G29" i="167" s="1"/>
  <c r="V57" i="30"/>
  <c r="G57" i="30"/>
  <c r="G28" i="166" s="1"/>
  <c r="V86" i="30"/>
  <c r="G86" i="30"/>
  <c r="G27" i="166" s="1"/>
  <c r="V93" i="30"/>
  <c r="G93" i="30"/>
  <c r="G25" i="166" s="1"/>
  <c r="V131" i="30"/>
  <c r="G131" i="30"/>
  <c r="G24" i="166" s="1"/>
  <c r="C2" i="80"/>
  <c r="C2" i="260"/>
  <c r="F8" i="260"/>
  <c r="G8" i="260"/>
  <c r="H8" i="260"/>
  <c r="J8" i="260"/>
  <c r="K8" i="260"/>
  <c r="L8" i="260"/>
  <c r="M8" i="260"/>
  <c r="N8" i="260"/>
  <c r="P8" i="260"/>
  <c r="Q8" i="260" s="1"/>
  <c r="P6" i="288" s="1"/>
  <c r="D5" i="260"/>
  <c r="P5" i="260"/>
  <c r="Q5" i="260" s="1"/>
  <c r="D6" i="260"/>
  <c r="P6" i="260"/>
  <c r="Q6" i="260" s="1"/>
  <c r="G2" i="260"/>
  <c r="I2" i="260"/>
  <c r="E3" i="260"/>
  <c r="G3" i="260"/>
  <c r="I3" i="260"/>
  <c r="V89" i="30"/>
  <c r="G89" i="30"/>
  <c r="G26" i="167" s="1"/>
  <c r="D21" i="167"/>
  <c r="C2" i="256"/>
  <c r="C2" i="254"/>
  <c r="E68" i="29"/>
  <c r="C68" i="29"/>
  <c r="E153" i="29"/>
  <c r="E156" i="29"/>
  <c r="E157" i="29"/>
  <c r="E158" i="29"/>
  <c r="C153" i="29"/>
  <c r="C156" i="29"/>
  <c r="C157" i="29"/>
  <c r="C158" i="29"/>
  <c r="C2" i="259"/>
  <c r="E256" i="31"/>
  <c r="G2" i="259"/>
  <c r="I2" i="259"/>
  <c r="E3" i="259"/>
  <c r="G3" i="259"/>
  <c r="I3" i="259"/>
  <c r="Q5" i="259"/>
  <c r="E89" i="31"/>
  <c r="E90" i="31"/>
  <c r="E91" i="31"/>
  <c r="E92" i="31"/>
  <c r="E93" i="31"/>
  <c r="E94" i="31"/>
  <c r="G2" i="258"/>
  <c r="I2" i="258"/>
  <c r="E3" i="258"/>
  <c r="G3" i="258"/>
  <c r="I3" i="258"/>
  <c r="G2" i="257"/>
  <c r="I2" i="257"/>
  <c r="E3" i="257"/>
  <c r="G3" i="257"/>
  <c r="I3" i="257"/>
  <c r="F9" i="256"/>
  <c r="G9" i="256"/>
  <c r="H9" i="256"/>
  <c r="J9" i="256"/>
  <c r="K9" i="256"/>
  <c r="L9" i="256"/>
  <c r="M9" i="256"/>
  <c r="N9" i="256"/>
  <c r="P9" i="256"/>
  <c r="Q9" i="256" s="1"/>
  <c r="D5" i="256"/>
  <c r="D6" i="256"/>
  <c r="D7" i="256"/>
  <c r="G2" i="256"/>
  <c r="I2" i="256"/>
  <c r="E3" i="256"/>
  <c r="G3" i="256"/>
  <c r="I3" i="256"/>
  <c r="G2" i="255"/>
  <c r="I2" i="255"/>
  <c r="E3" i="255"/>
  <c r="G3" i="255"/>
  <c r="I3" i="255"/>
  <c r="F7" i="254"/>
  <c r="G7" i="254"/>
  <c r="H7" i="254"/>
  <c r="J7" i="254"/>
  <c r="K7" i="254"/>
  <c r="L7" i="254"/>
  <c r="M7" i="254"/>
  <c r="N7" i="254"/>
  <c r="P7" i="254"/>
  <c r="Q7" i="254" s="1"/>
  <c r="D5" i="254"/>
  <c r="G2" i="254"/>
  <c r="I2" i="254"/>
  <c r="E3" i="254"/>
  <c r="G3" i="254"/>
  <c r="I3" i="254"/>
  <c r="G2" i="253"/>
  <c r="I2" i="253"/>
  <c r="E3" i="253"/>
  <c r="G3" i="253"/>
  <c r="I3" i="253"/>
  <c r="V52" i="30"/>
  <c r="G52" i="30"/>
  <c r="G19" i="113" s="1"/>
  <c r="C119" i="29"/>
  <c r="C120" i="29"/>
  <c r="E119" i="29"/>
  <c r="E120" i="29"/>
  <c r="V87" i="30"/>
  <c r="G87" i="30"/>
  <c r="G23" i="112" s="1"/>
  <c r="C2" i="252"/>
  <c r="C2" i="251"/>
  <c r="E60" i="31"/>
  <c r="E61" i="31"/>
  <c r="P13" i="252"/>
  <c r="Q13" i="252" s="1"/>
  <c r="N13" i="252"/>
  <c r="M13" i="252"/>
  <c r="L13" i="252"/>
  <c r="K13" i="252"/>
  <c r="J13" i="252"/>
  <c r="H13" i="252"/>
  <c r="G13" i="252"/>
  <c r="F13" i="252"/>
  <c r="P12" i="252"/>
  <c r="Q12" i="252" s="1"/>
  <c r="N12" i="252"/>
  <c r="M12" i="252"/>
  <c r="L12" i="252"/>
  <c r="K12" i="252"/>
  <c r="J12" i="252"/>
  <c r="H12" i="252"/>
  <c r="G12" i="252"/>
  <c r="F12" i="252"/>
  <c r="P10" i="252"/>
  <c r="Q10" i="252" s="1"/>
  <c r="D10" i="252"/>
  <c r="P9" i="252"/>
  <c r="Q9" i="252" s="1"/>
  <c r="D9" i="252"/>
  <c r="P8" i="252"/>
  <c r="Q8" i="252" s="1"/>
  <c r="D8" i="252"/>
  <c r="P7" i="252"/>
  <c r="Q7" i="252" s="1"/>
  <c r="D7" i="252"/>
  <c r="I3" i="252"/>
  <c r="G3" i="252"/>
  <c r="E3" i="252"/>
  <c r="I2" i="252"/>
  <c r="G2" i="252"/>
  <c r="P13" i="251"/>
  <c r="Q13" i="251" s="1"/>
  <c r="N13" i="251"/>
  <c r="M13" i="251"/>
  <c r="L13" i="251"/>
  <c r="K13" i="251"/>
  <c r="J13" i="251"/>
  <c r="H13" i="251"/>
  <c r="G13" i="251"/>
  <c r="F13" i="251"/>
  <c r="P12" i="251"/>
  <c r="Q12" i="251" s="1"/>
  <c r="N12" i="251"/>
  <c r="M12" i="251"/>
  <c r="L12" i="251"/>
  <c r="K12" i="251"/>
  <c r="J12" i="251"/>
  <c r="H12" i="251"/>
  <c r="G12" i="251"/>
  <c r="F12" i="251"/>
  <c r="P10" i="251"/>
  <c r="Q10" i="251" s="1"/>
  <c r="D10" i="251"/>
  <c r="P9" i="251"/>
  <c r="Q9" i="251" s="1"/>
  <c r="D9" i="251"/>
  <c r="P8" i="251"/>
  <c r="Q8" i="251" s="1"/>
  <c r="D8" i="251"/>
  <c r="P7" i="251"/>
  <c r="Q7" i="251" s="1"/>
  <c r="D7" i="251"/>
  <c r="I3" i="251"/>
  <c r="G3" i="251"/>
  <c r="E3" i="251"/>
  <c r="I2" i="251"/>
  <c r="G2" i="251"/>
  <c r="D8" i="250"/>
  <c r="C67" i="29"/>
  <c r="E67" i="29"/>
  <c r="C2" i="249"/>
  <c r="E255" i="31"/>
  <c r="P12" i="250"/>
  <c r="Q12" i="250" s="1"/>
  <c r="N12" i="250"/>
  <c r="M12" i="250"/>
  <c r="L12" i="250"/>
  <c r="K12" i="250"/>
  <c r="J12" i="250"/>
  <c r="H12" i="250"/>
  <c r="G12" i="250"/>
  <c r="F12" i="250"/>
  <c r="P11" i="250"/>
  <c r="Q11" i="250" s="1"/>
  <c r="N11" i="250"/>
  <c r="M11" i="250"/>
  <c r="L11" i="250"/>
  <c r="K11" i="250"/>
  <c r="J11" i="250"/>
  <c r="H11" i="250"/>
  <c r="G11" i="250"/>
  <c r="F11" i="250"/>
  <c r="D9" i="250"/>
  <c r="D7" i="250"/>
  <c r="I3" i="250"/>
  <c r="G3" i="250"/>
  <c r="E3" i="250"/>
  <c r="I2" i="250"/>
  <c r="G2" i="250"/>
  <c r="D11" i="214"/>
  <c r="D11" i="234"/>
  <c r="D12" i="235"/>
  <c r="D11" i="235"/>
  <c r="Q5" i="232"/>
  <c r="C393" i="29"/>
  <c r="C395" i="29"/>
  <c r="V134" i="30"/>
  <c r="G134" i="30"/>
  <c r="G93" i="128" s="1"/>
  <c r="D31" i="213"/>
  <c r="D14" i="214"/>
  <c r="E102" i="29"/>
  <c r="C102" i="29"/>
  <c r="Q5" i="248"/>
  <c r="C73" i="29"/>
  <c r="E73" i="29"/>
  <c r="C74" i="29"/>
  <c r="E74" i="29"/>
  <c r="C75" i="29"/>
  <c r="E75" i="29"/>
  <c r="C76" i="29"/>
  <c r="E76" i="29"/>
  <c r="C77" i="29"/>
  <c r="J11" i="245"/>
  <c r="K11" i="245"/>
  <c r="L11" i="245"/>
  <c r="M11" i="245"/>
  <c r="N11" i="245"/>
  <c r="P11" i="245"/>
  <c r="Q11" i="245" s="1"/>
  <c r="F11" i="245"/>
  <c r="G11" i="245"/>
  <c r="H11" i="245"/>
  <c r="C2" i="248"/>
  <c r="C2" i="247"/>
  <c r="C2" i="246"/>
  <c r="C2" i="245"/>
  <c r="C2" i="217"/>
  <c r="C2" i="216"/>
  <c r="C2" i="215"/>
  <c r="C2" i="212"/>
  <c r="F16" i="249"/>
  <c r="G16" i="249"/>
  <c r="H16" i="249"/>
  <c r="J16" i="249"/>
  <c r="K16" i="249"/>
  <c r="L16" i="249"/>
  <c r="M16" i="249"/>
  <c r="N16" i="249"/>
  <c r="P16" i="249"/>
  <c r="Q16" i="249" s="1"/>
  <c r="F17" i="249"/>
  <c r="G17" i="249"/>
  <c r="H17" i="249"/>
  <c r="J17" i="249"/>
  <c r="K17" i="249"/>
  <c r="L17" i="249"/>
  <c r="M17" i="249"/>
  <c r="N17" i="249"/>
  <c r="P17" i="249"/>
  <c r="Q17" i="249" s="1"/>
  <c r="F19" i="249"/>
  <c r="G19" i="249"/>
  <c r="H19" i="249"/>
  <c r="J19" i="249"/>
  <c r="K19" i="249"/>
  <c r="L19" i="249"/>
  <c r="M19" i="249"/>
  <c r="N19" i="249"/>
  <c r="P19" i="249"/>
  <c r="Q19" i="249" s="1"/>
  <c r="D7" i="249"/>
  <c r="D9" i="249"/>
  <c r="D10" i="249"/>
  <c r="D11" i="249"/>
  <c r="D14" i="249"/>
  <c r="G2" i="249"/>
  <c r="I2" i="249"/>
  <c r="E3" i="249"/>
  <c r="G3" i="249"/>
  <c r="I3" i="249"/>
  <c r="G2" i="248"/>
  <c r="I2" i="248"/>
  <c r="E3" i="248"/>
  <c r="G3" i="248"/>
  <c r="I3" i="248"/>
  <c r="G2" i="247"/>
  <c r="I2" i="247"/>
  <c r="E3" i="247"/>
  <c r="G3" i="247"/>
  <c r="I3" i="247"/>
  <c r="Q5" i="247"/>
  <c r="G2" i="246"/>
  <c r="I2" i="246"/>
  <c r="E3" i="246"/>
  <c r="G3" i="246"/>
  <c r="I3" i="246"/>
  <c r="Q5" i="246"/>
  <c r="G2" i="245"/>
  <c r="I2" i="245"/>
  <c r="E3" i="245"/>
  <c r="G3" i="245"/>
  <c r="I3" i="245"/>
  <c r="E250" i="31"/>
  <c r="E251" i="31"/>
  <c r="E252" i="31"/>
  <c r="E253" i="31"/>
  <c r="E254" i="31"/>
  <c r="E89" i="29"/>
  <c r="C89" i="29"/>
  <c r="P8" i="108"/>
  <c r="Q8" i="108" s="1"/>
  <c r="D8" i="108"/>
  <c r="D11" i="240"/>
  <c r="P11" i="240"/>
  <c r="Q11" i="240" s="1"/>
  <c r="D12" i="240"/>
  <c r="P12" i="240"/>
  <c r="Q12" i="240" s="1"/>
  <c r="D13" i="240"/>
  <c r="P13" i="240"/>
  <c r="Q13" i="240" s="1"/>
  <c r="P9" i="244"/>
  <c r="Q9" i="244" s="1"/>
  <c r="D9" i="244"/>
  <c r="P8" i="244"/>
  <c r="Q8" i="244" s="1"/>
  <c r="D8" i="244"/>
  <c r="P7" i="244"/>
  <c r="Q7" i="244" s="1"/>
  <c r="D7" i="244"/>
  <c r="P7" i="107"/>
  <c r="Q7" i="107" s="1"/>
  <c r="D7" i="107"/>
  <c r="P6" i="244"/>
  <c r="Q6" i="244" s="1"/>
  <c r="D6" i="244"/>
  <c r="O14" i="2"/>
  <c r="O13" i="2"/>
  <c r="O12" i="2"/>
  <c r="P10" i="244"/>
  <c r="Q10" i="244" s="1"/>
  <c r="D10" i="244"/>
  <c r="P5" i="244"/>
  <c r="Q5" i="244" s="1"/>
  <c r="D5" i="244"/>
  <c r="I3" i="244"/>
  <c r="G3" i="244"/>
  <c r="E3" i="244"/>
  <c r="I2" i="244"/>
  <c r="G2" i="244"/>
  <c r="J12" i="197"/>
  <c r="K12" i="197"/>
  <c r="L12" i="197"/>
  <c r="M12" i="197"/>
  <c r="N12" i="197"/>
  <c r="P12" i="197"/>
  <c r="Q12" i="197" s="1"/>
  <c r="F12" i="197"/>
  <c r="G12" i="197"/>
  <c r="H12" i="197"/>
  <c r="D7" i="197"/>
  <c r="P7" i="197"/>
  <c r="Q7" i="197" s="1"/>
  <c r="D8" i="197"/>
  <c r="P8" i="197"/>
  <c r="Q8" i="197" s="1"/>
  <c r="D9" i="197"/>
  <c r="P9" i="197"/>
  <c r="Q9" i="197" s="1"/>
  <c r="D10" i="197"/>
  <c r="P10" i="197"/>
  <c r="Q10" i="197" s="1"/>
  <c r="D16" i="195"/>
  <c r="P16" i="195"/>
  <c r="Q16" i="195" s="1"/>
  <c r="D17" i="195"/>
  <c r="P17" i="195"/>
  <c r="Q17" i="195" s="1"/>
  <c r="P21" i="243"/>
  <c r="Q21" i="243" s="1"/>
  <c r="N21" i="243"/>
  <c r="M21" i="243"/>
  <c r="L21" i="243"/>
  <c r="K21" i="243"/>
  <c r="J21" i="243"/>
  <c r="H21" i="243"/>
  <c r="G21" i="243"/>
  <c r="F21" i="243"/>
  <c r="P16" i="243"/>
  <c r="Q16" i="243" s="1"/>
  <c r="D16" i="243"/>
  <c r="P15" i="243"/>
  <c r="Q15" i="243" s="1"/>
  <c r="D15" i="243"/>
  <c r="P14" i="243"/>
  <c r="Q14" i="243" s="1"/>
  <c r="D14" i="243"/>
  <c r="P13" i="243"/>
  <c r="Q13" i="243" s="1"/>
  <c r="D13" i="243"/>
  <c r="P12" i="243"/>
  <c r="Q12" i="243" s="1"/>
  <c r="D12" i="243"/>
  <c r="P11" i="243"/>
  <c r="Q11" i="243" s="1"/>
  <c r="D11" i="243"/>
  <c r="P10" i="243"/>
  <c r="Q10" i="243" s="1"/>
  <c r="D10" i="243"/>
  <c r="P8" i="243"/>
  <c r="Q8" i="243" s="1"/>
  <c r="D8" i="243"/>
  <c r="P7" i="243"/>
  <c r="Q7" i="243" s="1"/>
  <c r="D7" i="243"/>
  <c r="I3" i="243"/>
  <c r="G3" i="243"/>
  <c r="E3" i="243"/>
  <c r="I2" i="243"/>
  <c r="G2" i="243"/>
  <c r="E16" i="31"/>
  <c r="C135" i="29"/>
  <c r="C2" i="242"/>
  <c r="E8" i="31"/>
  <c r="P5" i="242"/>
  <c r="Q5" i="242" s="1"/>
  <c r="D5" i="242"/>
  <c r="I3" i="242"/>
  <c r="G3" i="242"/>
  <c r="E3" i="242"/>
  <c r="I2" i="242"/>
  <c r="G2" i="242"/>
  <c r="C2" i="241"/>
  <c r="C2" i="240"/>
  <c r="E7" i="31"/>
  <c r="E9" i="31"/>
  <c r="P14" i="241"/>
  <c r="Q14" i="241" s="1"/>
  <c r="N14" i="241"/>
  <c r="M14" i="241"/>
  <c r="L14" i="241"/>
  <c r="K14" i="241"/>
  <c r="J14" i="241"/>
  <c r="H14" i="241"/>
  <c r="G14" i="241"/>
  <c r="F14" i="241"/>
  <c r="P13" i="241"/>
  <c r="Q13" i="241" s="1"/>
  <c r="N13" i="241"/>
  <c r="M13" i="241"/>
  <c r="L13" i="241"/>
  <c r="K13" i="241"/>
  <c r="J13" i="241"/>
  <c r="H13" i="241"/>
  <c r="G13" i="241"/>
  <c r="F13" i="241"/>
  <c r="P11" i="241"/>
  <c r="Q11" i="241" s="1"/>
  <c r="D11" i="241"/>
  <c r="P10" i="241"/>
  <c r="Q10" i="241" s="1"/>
  <c r="D10" i="241"/>
  <c r="P9" i="241"/>
  <c r="Q9" i="241" s="1"/>
  <c r="D9" i="241"/>
  <c r="Q5" i="241"/>
  <c r="I3" i="241"/>
  <c r="G3" i="241"/>
  <c r="E3" i="241"/>
  <c r="I2" i="241"/>
  <c r="G2" i="241"/>
  <c r="P21" i="240"/>
  <c r="Q21" i="240" s="1"/>
  <c r="N21" i="240"/>
  <c r="M21" i="240"/>
  <c r="L21" i="240"/>
  <c r="K21" i="240"/>
  <c r="J21" i="240"/>
  <c r="H21" i="240"/>
  <c r="G21" i="240"/>
  <c r="F21" i="240"/>
  <c r="P20" i="240"/>
  <c r="Q20" i="240" s="1"/>
  <c r="N20" i="240"/>
  <c r="M20" i="240"/>
  <c r="L20" i="240"/>
  <c r="K20" i="240"/>
  <c r="J20" i="240"/>
  <c r="H20" i="240"/>
  <c r="G20" i="240"/>
  <c r="F20" i="240"/>
  <c r="P18" i="240"/>
  <c r="Q18" i="240" s="1"/>
  <c r="D18" i="240"/>
  <c r="P17" i="240"/>
  <c r="Q17" i="240" s="1"/>
  <c r="D17" i="240"/>
  <c r="P16" i="240"/>
  <c r="Q16" i="240" s="1"/>
  <c r="D16" i="240"/>
  <c r="P15" i="240"/>
  <c r="Q15" i="240" s="1"/>
  <c r="D15" i="240"/>
  <c r="P14" i="240"/>
  <c r="Q14" i="240" s="1"/>
  <c r="D14" i="240"/>
  <c r="P10" i="240"/>
  <c r="Q10" i="240" s="1"/>
  <c r="D10" i="240"/>
  <c r="P9" i="240"/>
  <c r="Q9" i="240" s="1"/>
  <c r="D9" i="240"/>
  <c r="Q5" i="240"/>
  <c r="I3" i="240"/>
  <c r="G3" i="240"/>
  <c r="E3" i="240"/>
  <c r="I2" i="240"/>
  <c r="G2" i="240"/>
  <c r="C2" i="237"/>
  <c r="E11" i="31"/>
  <c r="E13" i="31"/>
  <c r="P14" i="239"/>
  <c r="Q14" i="239" s="1"/>
  <c r="N14" i="239"/>
  <c r="M14" i="239"/>
  <c r="L14" i="239"/>
  <c r="K14" i="239"/>
  <c r="J14" i="239"/>
  <c r="H14" i="239"/>
  <c r="G14" i="239"/>
  <c r="F14" i="239"/>
  <c r="P13" i="239"/>
  <c r="Q13" i="239" s="1"/>
  <c r="N13" i="239"/>
  <c r="M13" i="239"/>
  <c r="L13" i="239"/>
  <c r="K13" i="239"/>
  <c r="J13" i="239"/>
  <c r="H13" i="239"/>
  <c r="G13" i="239"/>
  <c r="F13" i="239"/>
  <c r="P11" i="239"/>
  <c r="Q11" i="239" s="1"/>
  <c r="D11" i="239"/>
  <c r="D10" i="239"/>
  <c r="D9" i="239"/>
  <c r="Q5" i="239"/>
  <c r="I3" i="239"/>
  <c r="G3" i="239"/>
  <c r="E3" i="239"/>
  <c r="I2" i="239"/>
  <c r="G2" i="239"/>
  <c r="C2" i="239"/>
  <c r="E12" i="31"/>
  <c r="P14" i="238"/>
  <c r="Q14" i="238" s="1"/>
  <c r="N14" i="238"/>
  <c r="M14" i="238"/>
  <c r="L14" i="238"/>
  <c r="K14" i="238"/>
  <c r="J14" i="238"/>
  <c r="H14" i="238"/>
  <c r="G14" i="238"/>
  <c r="F14" i="238"/>
  <c r="P13" i="238"/>
  <c r="Q13" i="238" s="1"/>
  <c r="N13" i="238"/>
  <c r="M13" i="238"/>
  <c r="L13" i="238"/>
  <c r="K13" i="238"/>
  <c r="J13" i="238"/>
  <c r="H13" i="238"/>
  <c r="G13" i="238"/>
  <c r="F13" i="238"/>
  <c r="P11" i="238"/>
  <c r="Q11" i="238" s="1"/>
  <c r="D11" i="238"/>
  <c r="P10" i="238"/>
  <c r="Q10" i="238" s="1"/>
  <c r="D10" i="238"/>
  <c r="P9" i="238"/>
  <c r="Q9" i="238" s="1"/>
  <c r="D9" i="238"/>
  <c r="Q5" i="238"/>
  <c r="I3" i="238"/>
  <c r="G3" i="238"/>
  <c r="E3" i="238"/>
  <c r="I2" i="238"/>
  <c r="G2" i="238"/>
  <c r="C2" i="238"/>
  <c r="P5" i="237"/>
  <c r="Q5" i="237" s="1"/>
  <c r="D5" i="237"/>
  <c r="I3" i="237"/>
  <c r="G3" i="237"/>
  <c r="E3" i="237"/>
  <c r="I2" i="237"/>
  <c r="G2" i="237"/>
  <c r="C2" i="161"/>
  <c r="D14" i="181"/>
  <c r="D13" i="181"/>
  <c r="D12" i="181"/>
  <c r="C392" i="29"/>
  <c r="C2" i="236"/>
  <c r="C2" i="232"/>
  <c r="C2" i="233"/>
  <c r="C2" i="234"/>
  <c r="C2" i="235"/>
  <c r="P52" i="236"/>
  <c r="Q52" i="236" s="1"/>
  <c r="N52" i="236"/>
  <c r="M52" i="236"/>
  <c r="L52" i="236"/>
  <c r="K52" i="236"/>
  <c r="J52" i="236"/>
  <c r="H52" i="236"/>
  <c r="G52" i="236"/>
  <c r="F52" i="236"/>
  <c r="P51" i="236"/>
  <c r="Q51" i="236" s="1"/>
  <c r="N51" i="236"/>
  <c r="M51" i="236"/>
  <c r="L51" i="236"/>
  <c r="K51" i="236"/>
  <c r="J51" i="236"/>
  <c r="H51" i="236"/>
  <c r="G51" i="236"/>
  <c r="F51" i="236"/>
  <c r="P48" i="236"/>
  <c r="Q48" i="236" s="1"/>
  <c r="N48" i="236"/>
  <c r="M48" i="236"/>
  <c r="L48" i="236"/>
  <c r="K48" i="236"/>
  <c r="J48" i="236"/>
  <c r="H48" i="236"/>
  <c r="G48" i="236"/>
  <c r="F48" i="236"/>
  <c r="P47" i="236"/>
  <c r="Q47" i="236" s="1"/>
  <c r="N47" i="236"/>
  <c r="M47" i="236"/>
  <c r="L47" i="236"/>
  <c r="K47" i="236"/>
  <c r="J47" i="236"/>
  <c r="H47" i="236"/>
  <c r="G47" i="236"/>
  <c r="F47" i="236"/>
  <c r="P36" i="236"/>
  <c r="Q36" i="236" s="1"/>
  <c r="D36" i="236"/>
  <c r="P35" i="236"/>
  <c r="Q35" i="236" s="1"/>
  <c r="D35" i="236"/>
  <c r="P34" i="236"/>
  <c r="Q34" i="236" s="1"/>
  <c r="D34" i="236"/>
  <c r="P33" i="236"/>
  <c r="Q33" i="236" s="1"/>
  <c r="D33" i="236"/>
  <c r="P32" i="236"/>
  <c r="Q32" i="236" s="1"/>
  <c r="D32" i="236"/>
  <c r="P26" i="236"/>
  <c r="Q26" i="236" s="1"/>
  <c r="D26" i="236"/>
  <c r="I3" i="236"/>
  <c r="G3" i="236"/>
  <c r="E3" i="236"/>
  <c r="I2" i="236"/>
  <c r="G2" i="236"/>
  <c r="P19" i="235"/>
  <c r="Q19" i="235" s="1"/>
  <c r="N19" i="235"/>
  <c r="M19" i="235"/>
  <c r="L19" i="235"/>
  <c r="K19" i="235"/>
  <c r="J19" i="235"/>
  <c r="H19" i="235"/>
  <c r="G19" i="235"/>
  <c r="F19" i="235"/>
  <c r="P18" i="235"/>
  <c r="Q18" i="235" s="1"/>
  <c r="N18" i="235"/>
  <c r="M18" i="235"/>
  <c r="L18" i="235"/>
  <c r="K18" i="235"/>
  <c r="J18" i="235"/>
  <c r="H18" i="235"/>
  <c r="G18" i="235"/>
  <c r="F18" i="235"/>
  <c r="I3" i="235"/>
  <c r="G3" i="235"/>
  <c r="E3" i="235"/>
  <c r="I2" i="235"/>
  <c r="G2" i="235"/>
  <c r="P19" i="234"/>
  <c r="Q19" i="234" s="1"/>
  <c r="N19" i="234"/>
  <c r="M19" i="234"/>
  <c r="L19" i="234"/>
  <c r="K19" i="234"/>
  <c r="J19" i="234"/>
  <c r="H19" i="234"/>
  <c r="G19" i="234"/>
  <c r="F19" i="234"/>
  <c r="P18" i="234"/>
  <c r="Q18" i="234" s="1"/>
  <c r="N18" i="234"/>
  <c r="M18" i="234"/>
  <c r="L18" i="234"/>
  <c r="K18" i="234"/>
  <c r="J18" i="234"/>
  <c r="H18" i="234"/>
  <c r="G18" i="234"/>
  <c r="F18" i="234"/>
  <c r="D12" i="234"/>
  <c r="I3" i="234"/>
  <c r="G3" i="234"/>
  <c r="E3" i="234"/>
  <c r="I2" i="234"/>
  <c r="G2" i="234"/>
  <c r="P19" i="233"/>
  <c r="Q19" i="233" s="1"/>
  <c r="N19" i="233"/>
  <c r="M19" i="233"/>
  <c r="L19" i="233"/>
  <c r="K19" i="233"/>
  <c r="J19" i="233"/>
  <c r="H19" i="233"/>
  <c r="G19" i="233"/>
  <c r="F19" i="233"/>
  <c r="P18" i="233"/>
  <c r="Q18" i="233" s="1"/>
  <c r="N18" i="233"/>
  <c r="M18" i="233"/>
  <c r="L18" i="233"/>
  <c r="K18" i="233"/>
  <c r="J18" i="233"/>
  <c r="H18" i="233"/>
  <c r="G18" i="233"/>
  <c r="F18" i="233"/>
  <c r="D16" i="233"/>
  <c r="D15" i="233"/>
  <c r="D14" i="233"/>
  <c r="D13" i="233"/>
  <c r="D12" i="233"/>
  <c r="D11" i="233"/>
  <c r="D10" i="233"/>
  <c r="D9" i="233"/>
  <c r="Q5" i="233"/>
  <c r="I3" i="233"/>
  <c r="G3" i="233"/>
  <c r="E3" i="233"/>
  <c r="I2" i="233"/>
  <c r="G2" i="233"/>
  <c r="P31" i="232"/>
  <c r="Q31" i="232" s="1"/>
  <c r="N31" i="232"/>
  <c r="M31" i="232"/>
  <c r="L31" i="232"/>
  <c r="K31" i="232"/>
  <c r="J31" i="232"/>
  <c r="H31" i="232"/>
  <c r="G31" i="232"/>
  <c r="F31" i="232"/>
  <c r="P30" i="232"/>
  <c r="Q30" i="232" s="1"/>
  <c r="N30" i="232"/>
  <c r="M30" i="232"/>
  <c r="L30" i="232"/>
  <c r="K30" i="232"/>
  <c r="J30" i="232"/>
  <c r="H30" i="232"/>
  <c r="G30" i="232"/>
  <c r="F30" i="232"/>
  <c r="P27" i="232"/>
  <c r="Q27" i="232" s="1"/>
  <c r="N27" i="232"/>
  <c r="M27" i="232"/>
  <c r="L27" i="232"/>
  <c r="K27" i="232"/>
  <c r="J27" i="232"/>
  <c r="H27" i="232"/>
  <c r="G27" i="232"/>
  <c r="F27" i="232"/>
  <c r="P26" i="232"/>
  <c r="Q26" i="232" s="1"/>
  <c r="N26" i="232"/>
  <c r="M26" i="232"/>
  <c r="L26" i="232"/>
  <c r="K26" i="232"/>
  <c r="J26" i="232"/>
  <c r="H26" i="232"/>
  <c r="G26" i="232"/>
  <c r="F26" i="232"/>
  <c r="D20" i="232"/>
  <c r="D19" i="232"/>
  <c r="D18" i="232"/>
  <c r="D17" i="232"/>
  <c r="D16" i="232"/>
  <c r="D15" i="232"/>
  <c r="D14" i="232"/>
  <c r="D13" i="232"/>
  <c r="D12" i="232"/>
  <c r="I3" i="232"/>
  <c r="G3" i="232"/>
  <c r="E3" i="232"/>
  <c r="I2" i="232"/>
  <c r="G2" i="232"/>
  <c r="E189" i="31"/>
  <c r="E192" i="31"/>
  <c r="E193" i="31"/>
  <c r="E194" i="31"/>
  <c r="E195" i="31"/>
  <c r="D16" i="194"/>
  <c r="D15" i="194"/>
  <c r="D14" i="194"/>
  <c r="P26" i="199"/>
  <c r="Q26" i="199" s="1"/>
  <c r="N26" i="199"/>
  <c r="M26" i="199"/>
  <c r="L26" i="199"/>
  <c r="K26" i="199"/>
  <c r="J26" i="199"/>
  <c r="H26" i="199"/>
  <c r="G26" i="199"/>
  <c r="F26" i="199"/>
  <c r="P22" i="199"/>
  <c r="Q22" i="199" s="1"/>
  <c r="D22" i="199"/>
  <c r="P21" i="199"/>
  <c r="Q21" i="199" s="1"/>
  <c r="D21" i="199"/>
  <c r="P20" i="199"/>
  <c r="Q20" i="199" s="1"/>
  <c r="D20" i="199"/>
  <c r="P19" i="199"/>
  <c r="Q19" i="199" s="1"/>
  <c r="D19" i="199"/>
  <c r="P26" i="198"/>
  <c r="Q26" i="198" s="1"/>
  <c r="N26" i="198"/>
  <c r="M26" i="198"/>
  <c r="L26" i="198"/>
  <c r="K26" i="198"/>
  <c r="J26" i="198"/>
  <c r="H26" i="198"/>
  <c r="G26" i="198"/>
  <c r="F26" i="198"/>
  <c r="D22" i="198"/>
  <c r="D21" i="198"/>
  <c r="D20" i="198"/>
  <c r="D19" i="198"/>
  <c r="C258" i="29"/>
  <c r="C2" i="194"/>
  <c r="D37" i="49"/>
  <c r="P37" i="49"/>
  <c r="Q37" i="49" s="1"/>
  <c r="D38" i="49"/>
  <c r="P38" i="49"/>
  <c r="Q38" i="49" s="1"/>
  <c r="P18" i="108"/>
  <c r="Q18" i="108" s="1"/>
  <c r="D18" i="108"/>
  <c r="P27" i="61"/>
  <c r="Q27" i="61" s="1"/>
  <c r="D27" i="61"/>
  <c r="P9" i="66"/>
  <c r="Q9" i="66" s="1"/>
  <c r="D9" i="66"/>
  <c r="C2" i="231"/>
  <c r="E146" i="31"/>
  <c r="V101" i="30"/>
  <c r="G101" i="30"/>
  <c r="G38" i="211" s="1"/>
  <c r="V84" i="30"/>
  <c r="G84" i="30"/>
  <c r="G25" i="231" s="1"/>
  <c r="V140" i="30"/>
  <c r="G140" i="30"/>
  <c r="G24" i="231" s="1"/>
  <c r="D16" i="231"/>
  <c r="V125" i="30"/>
  <c r="G125" i="30"/>
  <c r="G22" i="231" s="1"/>
  <c r="V139" i="30"/>
  <c r="G139" i="30"/>
  <c r="G22" i="233" s="1"/>
  <c r="V143" i="30"/>
  <c r="G143" i="30"/>
  <c r="G35" i="211" s="1"/>
  <c r="V111" i="30"/>
  <c r="G111" i="30"/>
  <c r="G34" i="211" s="1"/>
  <c r="V108" i="30"/>
  <c r="G108" i="30"/>
  <c r="G33" i="211" s="1"/>
  <c r="V128" i="30"/>
  <c r="G128" i="30"/>
  <c r="G31" i="211" s="1"/>
  <c r="V127" i="30"/>
  <c r="G127" i="30"/>
  <c r="G30" i="211" s="1"/>
  <c r="V116" i="30"/>
  <c r="G116" i="30"/>
  <c r="G29" i="211" s="1"/>
  <c r="V85" i="30"/>
  <c r="G85" i="30"/>
  <c r="G28" i="211" s="1"/>
  <c r="V79" i="30"/>
  <c r="G79" i="30"/>
  <c r="G37" i="211" s="1"/>
  <c r="V56" i="30"/>
  <c r="G56" i="30"/>
  <c r="G25" i="211" s="1"/>
  <c r="V50" i="30"/>
  <c r="G50" i="30"/>
  <c r="G26" i="211" s="1"/>
  <c r="V39" i="30"/>
  <c r="G39" i="30"/>
  <c r="G19" i="212" s="1"/>
  <c r="C243" i="29"/>
  <c r="V38" i="30"/>
  <c r="G38" i="30"/>
  <c r="G20" i="212" s="1"/>
  <c r="V35" i="30"/>
  <c r="G35" i="30"/>
  <c r="G21" i="212" s="1"/>
  <c r="C2" i="227"/>
  <c r="F18" i="231"/>
  <c r="G18" i="231"/>
  <c r="H18" i="231"/>
  <c r="J18" i="231"/>
  <c r="K18" i="231"/>
  <c r="L18" i="231"/>
  <c r="M18" i="231"/>
  <c r="N18" i="231"/>
  <c r="P18" i="231"/>
  <c r="Q18" i="231" s="1"/>
  <c r="F19" i="231"/>
  <c r="G19" i="231"/>
  <c r="H19" i="231"/>
  <c r="J19" i="231"/>
  <c r="K19" i="231"/>
  <c r="L19" i="231"/>
  <c r="M19" i="231"/>
  <c r="N19" i="231"/>
  <c r="P19" i="231"/>
  <c r="Q19" i="231" s="1"/>
  <c r="D9" i="231"/>
  <c r="D10" i="231"/>
  <c r="D11" i="231"/>
  <c r="D13" i="231"/>
  <c r="D14" i="231"/>
  <c r="D15" i="231"/>
  <c r="G2" i="231"/>
  <c r="I2" i="231"/>
  <c r="E3" i="231"/>
  <c r="G3" i="231"/>
  <c r="I3" i="231"/>
  <c r="D17" i="229"/>
  <c r="P17" i="229"/>
  <c r="Q17" i="229" s="1"/>
  <c r="J49" i="201"/>
  <c r="K49" i="201"/>
  <c r="L49" i="201"/>
  <c r="M49" i="201"/>
  <c r="N49" i="201"/>
  <c r="P49" i="201"/>
  <c r="Q49" i="201" s="1"/>
  <c r="F49" i="201"/>
  <c r="G49" i="201"/>
  <c r="H49" i="201"/>
  <c r="P36" i="201"/>
  <c r="Q36" i="201" s="1"/>
  <c r="D36" i="201"/>
  <c r="P35" i="201"/>
  <c r="Q35" i="201" s="1"/>
  <c r="D35" i="201"/>
  <c r="P34" i="201"/>
  <c r="Q34" i="201" s="1"/>
  <c r="D34" i="201"/>
  <c r="P33" i="201"/>
  <c r="Q33" i="201" s="1"/>
  <c r="D33" i="201"/>
  <c r="P32" i="201"/>
  <c r="Q32" i="201" s="1"/>
  <c r="D32" i="201"/>
  <c r="P31" i="201"/>
  <c r="Q31" i="201" s="1"/>
  <c r="D31" i="201"/>
  <c r="C2" i="230"/>
  <c r="C2" i="229"/>
  <c r="P17" i="230"/>
  <c r="Q17" i="230" s="1"/>
  <c r="N17" i="230"/>
  <c r="M17" i="230"/>
  <c r="L17" i="230"/>
  <c r="K17" i="230"/>
  <c r="J17" i="230"/>
  <c r="H17" i="230"/>
  <c r="G17" i="230"/>
  <c r="F17" i="230"/>
  <c r="P16" i="230"/>
  <c r="Q16" i="230" s="1"/>
  <c r="N16" i="230"/>
  <c r="M16" i="230"/>
  <c r="L16" i="230"/>
  <c r="K16" i="230"/>
  <c r="J16" i="230"/>
  <c r="H16" i="230"/>
  <c r="G16" i="230"/>
  <c r="F16" i="230"/>
  <c r="P15" i="230"/>
  <c r="Q15" i="230" s="1"/>
  <c r="N15" i="230"/>
  <c r="M15" i="230"/>
  <c r="L15" i="230"/>
  <c r="K15" i="230"/>
  <c r="J15" i="230"/>
  <c r="H15" i="230"/>
  <c r="G15" i="230"/>
  <c r="F15" i="230"/>
  <c r="P13" i="230"/>
  <c r="Q13" i="230" s="1"/>
  <c r="D13" i="230"/>
  <c r="P12" i="230"/>
  <c r="Q12" i="230" s="1"/>
  <c r="D12" i="230"/>
  <c r="P11" i="230"/>
  <c r="Q11" i="230" s="1"/>
  <c r="D11" i="230"/>
  <c r="P10" i="230"/>
  <c r="Q10" i="230" s="1"/>
  <c r="D10" i="230"/>
  <c r="I3" i="230"/>
  <c r="G3" i="230"/>
  <c r="E3" i="230"/>
  <c r="I2" i="230"/>
  <c r="G2" i="230"/>
  <c r="P27" i="229"/>
  <c r="Q27" i="229" s="1"/>
  <c r="N27" i="229"/>
  <c r="M27" i="229"/>
  <c r="L27" i="229"/>
  <c r="K27" i="229"/>
  <c r="J27" i="229"/>
  <c r="H27" i="229"/>
  <c r="G27" i="229"/>
  <c r="F27" i="229"/>
  <c r="P26" i="229"/>
  <c r="Q26" i="229" s="1"/>
  <c r="N26" i="229"/>
  <c r="M26" i="229"/>
  <c r="L26" i="229"/>
  <c r="K26" i="229"/>
  <c r="J26" i="229"/>
  <c r="H26" i="229"/>
  <c r="G26" i="229"/>
  <c r="F26" i="229"/>
  <c r="P25" i="229"/>
  <c r="Q25" i="229" s="1"/>
  <c r="N25" i="229"/>
  <c r="M25" i="229"/>
  <c r="L25" i="229"/>
  <c r="K25" i="229"/>
  <c r="J25" i="229"/>
  <c r="H25" i="229"/>
  <c r="G25" i="229"/>
  <c r="F25" i="229"/>
  <c r="P24" i="229"/>
  <c r="Q24" i="229" s="1"/>
  <c r="N24" i="229"/>
  <c r="M24" i="229"/>
  <c r="L24" i="229"/>
  <c r="K24" i="229"/>
  <c r="J24" i="229"/>
  <c r="H24" i="229"/>
  <c r="G24" i="229"/>
  <c r="F24" i="229"/>
  <c r="P23" i="229"/>
  <c r="Q23" i="229" s="1"/>
  <c r="N23" i="229"/>
  <c r="M23" i="229"/>
  <c r="L23" i="229"/>
  <c r="K23" i="229"/>
  <c r="J23" i="229"/>
  <c r="H23" i="229"/>
  <c r="G23" i="229"/>
  <c r="F23" i="229"/>
  <c r="P22" i="229"/>
  <c r="Q22" i="229" s="1"/>
  <c r="N22" i="229"/>
  <c r="M22" i="229"/>
  <c r="L22" i="229"/>
  <c r="K22" i="229"/>
  <c r="J22" i="229"/>
  <c r="H22" i="229"/>
  <c r="G22" i="229"/>
  <c r="F22" i="229"/>
  <c r="P20" i="229"/>
  <c r="Q20" i="229" s="1"/>
  <c r="D20" i="229"/>
  <c r="P19" i="229"/>
  <c r="Q19" i="229" s="1"/>
  <c r="D19" i="229"/>
  <c r="P18" i="229"/>
  <c r="Q18" i="229" s="1"/>
  <c r="D18" i="229"/>
  <c r="P16" i="229"/>
  <c r="Q16" i="229" s="1"/>
  <c r="D16" i="229"/>
  <c r="P15" i="229"/>
  <c r="Q15" i="229" s="1"/>
  <c r="D15" i="229"/>
  <c r="P14" i="229"/>
  <c r="Q14" i="229" s="1"/>
  <c r="D14" i="229"/>
  <c r="P13" i="229"/>
  <c r="Q13" i="229" s="1"/>
  <c r="D13" i="229"/>
  <c r="I3" i="229"/>
  <c r="G3" i="229"/>
  <c r="E3" i="229"/>
  <c r="I2" i="229"/>
  <c r="G2" i="229"/>
  <c r="E160" i="31"/>
  <c r="E161" i="31"/>
  <c r="C299" i="29"/>
  <c r="C300" i="29"/>
  <c r="C292" i="29"/>
  <c r="C293" i="29"/>
  <c r="C294" i="29"/>
  <c r="C295" i="29"/>
  <c r="C296" i="29"/>
  <c r="C297" i="29"/>
  <c r="D16" i="180"/>
  <c r="C450" i="29"/>
  <c r="C286" i="29"/>
  <c r="C287" i="29"/>
  <c r="C288" i="29"/>
  <c r="F49" i="200"/>
  <c r="G49" i="200"/>
  <c r="H49" i="200"/>
  <c r="J49" i="200"/>
  <c r="K49" i="200"/>
  <c r="L49" i="200"/>
  <c r="M49" i="200"/>
  <c r="N49" i="200"/>
  <c r="P49" i="200"/>
  <c r="Q49" i="200" s="1"/>
  <c r="D32" i="200"/>
  <c r="P32" i="200"/>
  <c r="Q32" i="200" s="1"/>
  <c r="D33" i="200"/>
  <c r="P33" i="200"/>
  <c r="Q33" i="200" s="1"/>
  <c r="D34" i="200"/>
  <c r="P34" i="200"/>
  <c r="Q34" i="200" s="1"/>
  <c r="D35" i="200"/>
  <c r="P35" i="200"/>
  <c r="Q35" i="200" s="1"/>
  <c r="D36" i="200"/>
  <c r="P36" i="200"/>
  <c r="Q36" i="200" s="1"/>
  <c r="C284" i="29"/>
  <c r="C289" i="29"/>
  <c r="C290" i="29"/>
  <c r="C2" i="228"/>
  <c r="F19" i="228"/>
  <c r="G19" i="228"/>
  <c r="H19" i="228"/>
  <c r="J19" i="228"/>
  <c r="K19" i="228"/>
  <c r="L19" i="228"/>
  <c r="M19" i="228"/>
  <c r="N19" i="228"/>
  <c r="P19" i="228"/>
  <c r="Q19" i="228" s="1"/>
  <c r="F20" i="228"/>
  <c r="G20" i="228"/>
  <c r="H20" i="228"/>
  <c r="J20" i="228"/>
  <c r="K20" i="228"/>
  <c r="L20" i="228"/>
  <c r="M20" i="228"/>
  <c r="N20" i="228"/>
  <c r="P20" i="228"/>
  <c r="Q20" i="228" s="1"/>
  <c r="D10" i="228"/>
  <c r="P10" i="228"/>
  <c r="Q10" i="228" s="1"/>
  <c r="D11" i="228"/>
  <c r="P11" i="228"/>
  <c r="Q11" i="228" s="1"/>
  <c r="D12" i="228"/>
  <c r="P12" i="228"/>
  <c r="Q12" i="228" s="1"/>
  <c r="D13" i="228"/>
  <c r="P13" i="228"/>
  <c r="Q13" i="228" s="1"/>
  <c r="D14" i="228"/>
  <c r="P14" i="228"/>
  <c r="Q14" i="228" s="1"/>
  <c r="D15" i="228"/>
  <c r="P15" i="228"/>
  <c r="Q15" i="228" s="1"/>
  <c r="D16" i="228"/>
  <c r="P16" i="228"/>
  <c r="Q16" i="228" s="1"/>
  <c r="D17" i="228"/>
  <c r="P17" i="228"/>
  <c r="Q17" i="228" s="1"/>
  <c r="G2" i="228"/>
  <c r="I2" i="228"/>
  <c r="E3" i="228"/>
  <c r="G3" i="228"/>
  <c r="I3" i="228"/>
  <c r="E158" i="31"/>
  <c r="C248" i="29"/>
  <c r="C227" i="29"/>
  <c r="C229" i="29"/>
  <c r="C230" i="29"/>
  <c r="E248" i="29"/>
  <c r="E229" i="29"/>
  <c r="D68" i="193"/>
  <c r="D67" i="193"/>
  <c r="D66" i="193"/>
  <c r="D12" i="188"/>
  <c r="D13" i="188"/>
  <c r="D14" i="188"/>
  <c r="D15" i="188"/>
  <c r="V138" i="30"/>
  <c r="G138" i="30"/>
  <c r="G29" i="179" s="1"/>
  <c r="P17" i="205"/>
  <c r="Q17" i="205" s="1"/>
  <c r="D17" i="205"/>
  <c r="C226" i="29"/>
  <c r="C224" i="29"/>
  <c r="E224" i="29"/>
  <c r="F10" i="227"/>
  <c r="G10" i="227"/>
  <c r="H10" i="227"/>
  <c r="J10" i="227"/>
  <c r="K10" i="227"/>
  <c r="L10" i="227"/>
  <c r="M10" i="227"/>
  <c r="N10" i="227"/>
  <c r="P10" i="227"/>
  <c r="Q10" i="227" s="1"/>
  <c r="D7" i="227"/>
  <c r="G2" i="227"/>
  <c r="I2" i="227"/>
  <c r="E3" i="227"/>
  <c r="G3" i="227"/>
  <c r="I3" i="227"/>
  <c r="E147" i="31"/>
  <c r="C101" i="29"/>
  <c r="C81" i="29"/>
  <c r="C85" i="29"/>
  <c r="C87" i="29"/>
  <c r="C90" i="29"/>
  <c r="C92" i="29"/>
  <c r="C95" i="29"/>
  <c r="C97" i="29"/>
  <c r="C99" i="29"/>
  <c r="C98" i="29"/>
  <c r="E98" i="29"/>
  <c r="C93" i="29"/>
  <c r="C96" i="29"/>
  <c r="E96" i="29"/>
  <c r="C91" i="29"/>
  <c r="C94" i="29"/>
  <c r="E94" i="29"/>
  <c r="C86" i="29"/>
  <c r="C83" i="29"/>
  <c r="C84" i="29"/>
  <c r="C78" i="29"/>
  <c r="C79" i="29"/>
  <c r="C72" i="29"/>
  <c r="E72" i="29"/>
  <c r="C71" i="29"/>
  <c r="E71" i="29"/>
  <c r="C70" i="29"/>
  <c r="E70" i="29"/>
  <c r="C65" i="29"/>
  <c r="C66" i="29"/>
  <c r="E65" i="29"/>
  <c r="E66" i="29"/>
  <c r="C242" i="29"/>
  <c r="D11" i="180"/>
  <c r="C235" i="29"/>
  <c r="C228" i="29"/>
  <c r="E235" i="29"/>
  <c r="C236" i="29"/>
  <c r="C2" i="226"/>
  <c r="C2" i="225"/>
  <c r="C2" i="224"/>
  <c r="C2" i="223"/>
  <c r="C2" i="222"/>
  <c r="C2" i="221"/>
  <c r="C2" i="220"/>
  <c r="C2" i="219"/>
  <c r="C2" i="218"/>
  <c r="C2" i="214"/>
  <c r="C2" i="213"/>
  <c r="C2" i="211"/>
  <c r="C2" i="210"/>
  <c r="C2" i="170"/>
  <c r="F10" i="226"/>
  <c r="G10" i="226"/>
  <c r="H10" i="226"/>
  <c r="J10" i="226"/>
  <c r="K10" i="226"/>
  <c r="L10" i="226"/>
  <c r="M10" i="226"/>
  <c r="N10" i="226"/>
  <c r="P10" i="226"/>
  <c r="Q10" i="226" s="1"/>
  <c r="F11" i="226"/>
  <c r="G11" i="226"/>
  <c r="H11" i="226"/>
  <c r="J11" i="226"/>
  <c r="K11" i="226"/>
  <c r="L11" i="226"/>
  <c r="M11" i="226"/>
  <c r="N11" i="226"/>
  <c r="P11" i="226"/>
  <c r="Q11" i="226" s="1"/>
  <c r="F12" i="226"/>
  <c r="G12" i="226"/>
  <c r="H12" i="226"/>
  <c r="J12" i="226"/>
  <c r="K12" i="226"/>
  <c r="L12" i="226"/>
  <c r="M12" i="226"/>
  <c r="N12" i="226"/>
  <c r="P12" i="226"/>
  <c r="Q12" i="226" s="1"/>
  <c r="D7" i="226"/>
  <c r="D8" i="226"/>
  <c r="G2" i="226"/>
  <c r="I2" i="226"/>
  <c r="E3" i="226"/>
  <c r="G3" i="226"/>
  <c r="I3" i="226"/>
  <c r="F14" i="225"/>
  <c r="G14" i="225"/>
  <c r="H14" i="225"/>
  <c r="J14" i="225"/>
  <c r="K14" i="225"/>
  <c r="L14" i="225"/>
  <c r="M14" i="225"/>
  <c r="N14" i="225"/>
  <c r="P14" i="225"/>
  <c r="Q14" i="225" s="1"/>
  <c r="D7" i="225"/>
  <c r="D8" i="225"/>
  <c r="D9" i="225"/>
  <c r="D10" i="225"/>
  <c r="D12" i="225"/>
  <c r="G2" i="225"/>
  <c r="I2" i="225"/>
  <c r="E3" i="225"/>
  <c r="G3" i="225"/>
  <c r="I3" i="225"/>
  <c r="D8" i="224"/>
  <c r="G2" i="224"/>
  <c r="I2" i="224"/>
  <c r="E3" i="224"/>
  <c r="G3" i="224"/>
  <c r="I3" i="224"/>
  <c r="D8" i="223"/>
  <c r="G2" i="223"/>
  <c r="I2" i="223"/>
  <c r="E3" i="223"/>
  <c r="G3" i="223"/>
  <c r="I3" i="223"/>
  <c r="D8" i="222"/>
  <c r="G2" i="222"/>
  <c r="I2" i="222"/>
  <c r="E3" i="222"/>
  <c r="G3" i="222"/>
  <c r="I3" i="222"/>
  <c r="F13" i="221"/>
  <c r="G13" i="221"/>
  <c r="H13" i="221"/>
  <c r="J13" i="221"/>
  <c r="K13" i="221"/>
  <c r="L13" i="221"/>
  <c r="M13" i="221"/>
  <c r="N13" i="221"/>
  <c r="P13" i="221"/>
  <c r="Q13" i="221" s="1"/>
  <c r="D7" i="221"/>
  <c r="D8" i="221"/>
  <c r="D9" i="221"/>
  <c r="D11" i="221"/>
  <c r="G2" i="221"/>
  <c r="I2" i="221"/>
  <c r="E3" i="221"/>
  <c r="G3" i="221"/>
  <c r="I3" i="221"/>
  <c r="F14" i="220"/>
  <c r="G14" i="220"/>
  <c r="H14" i="220"/>
  <c r="J14" i="220"/>
  <c r="K14" i="220"/>
  <c r="L14" i="220"/>
  <c r="M14" i="220"/>
  <c r="N14" i="220"/>
  <c r="P14" i="220"/>
  <c r="Q14" i="220" s="1"/>
  <c r="F15" i="220"/>
  <c r="G15" i="220"/>
  <c r="H15" i="220"/>
  <c r="J15" i="220"/>
  <c r="K15" i="220"/>
  <c r="L15" i="220"/>
  <c r="M15" i="220"/>
  <c r="N15" i="220"/>
  <c r="P15" i="220"/>
  <c r="Q15" i="220" s="1"/>
  <c r="D7" i="220"/>
  <c r="D8" i="220"/>
  <c r="D9" i="220"/>
  <c r="D10" i="220"/>
  <c r="G2" i="220"/>
  <c r="I2" i="220"/>
  <c r="E3" i="220"/>
  <c r="G3" i="220"/>
  <c r="I3" i="220"/>
  <c r="F16" i="219"/>
  <c r="G16" i="219"/>
  <c r="H16" i="219"/>
  <c r="J16" i="219"/>
  <c r="K16" i="219"/>
  <c r="L16" i="219"/>
  <c r="M16" i="219"/>
  <c r="N16" i="219"/>
  <c r="P16" i="219"/>
  <c r="Q16" i="219" s="1"/>
  <c r="D8" i="219"/>
  <c r="D9" i="219"/>
  <c r="D10" i="219"/>
  <c r="D11" i="219"/>
  <c r="G2" i="219"/>
  <c r="I2" i="219"/>
  <c r="E3" i="219"/>
  <c r="G3" i="219"/>
  <c r="I3" i="219"/>
  <c r="F15" i="218"/>
  <c r="G15" i="218"/>
  <c r="H15" i="218"/>
  <c r="J15" i="218"/>
  <c r="K15" i="218"/>
  <c r="L15" i="218"/>
  <c r="M15" i="218"/>
  <c r="N15" i="218"/>
  <c r="P15" i="218"/>
  <c r="Q15" i="218" s="1"/>
  <c r="D9" i="218"/>
  <c r="D10" i="218"/>
  <c r="D11" i="218"/>
  <c r="D12" i="218"/>
  <c r="D13" i="218"/>
  <c r="G2" i="218"/>
  <c r="I2" i="218"/>
  <c r="E3" i="218"/>
  <c r="G3" i="218"/>
  <c r="I3" i="218"/>
  <c r="G2" i="217"/>
  <c r="I2" i="217"/>
  <c r="E3" i="217"/>
  <c r="G3" i="217"/>
  <c r="I3" i="217"/>
  <c r="Q5" i="217"/>
  <c r="G2" i="216"/>
  <c r="I2" i="216"/>
  <c r="E3" i="216"/>
  <c r="G3" i="216"/>
  <c r="I3" i="216"/>
  <c r="Q5" i="216"/>
  <c r="G2" i="215"/>
  <c r="I2" i="215"/>
  <c r="E3" i="215"/>
  <c r="G3" i="215"/>
  <c r="I3" i="215"/>
  <c r="Q5" i="215"/>
  <c r="D10" i="214"/>
  <c r="D12" i="214"/>
  <c r="D13" i="214"/>
  <c r="D16" i="214"/>
  <c r="G2" i="214"/>
  <c r="I2" i="214"/>
  <c r="E3" i="214"/>
  <c r="G3" i="214"/>
  <c r="I3" i="214"/>
  <c r="F36" i="213"/>
  <c r="G36" i="213"/>
  <c r="H36" i="213"/>
  <c r="J36" i="213"/>
  <c r="K36" i="213"/>
  <c r="L36" i="213"/>
  <c r="M36" i="213"/>
  <c r="N36" i="213"/>
  <c r="P36" i="213"/>
  <c r="Q36" i="213" s="1"/>
  <c r="F37" i="213"/>
  <c r="G37" i="213"/>
  <c r="H37" i="213"/>
  <c r="J37" i="213"/>
  <c r="K37" i="213"/>
  <c r="L37" i="213"/>
  <c r="M37" i="213"/>
  <c r="N37" i="213"/>
  <c r="P37" i="213"/>
  <c r="Q37" i="213" s="1"/>
  <c r="F38" i="213"/>
  <c r="G38" i="213"/>
  <c r="H38" i="213"/>
  <c r="J38" i="213"/>
  <c r="K38" i="213"/>
  <c r="L38" i="213"/>
  <c r="M38" i="213"/>
  <c r="N38" i="213"/>
  <c r="P38" i="213"/>
  <c r="Q38" i="213" s="1"/>
  <c r="F39" i="213"/>
  <c r="G39" i="213"/>
  <c r="H39" i="213"/>
  <c r="J39" i="213"/>
  <c r="K39" i="213"/>
  <c r="L39" i="213"/>
  <c r="M39" i="213"/>
  <c r="N39" i="213"/>
  <c r="P39" i="213"/>
  <c r="Q39" i="213" s="1"/>
  <c r="F40" i="213"/>
  <c r="G40" i="213"/>
  <c r="H40" i="213"/>
  <c r="J40" i="213"/>
  <c r="K40" i="213"/>
  <c r="L40" i="213"/>
  <c r="M40" i="213"/>
  <c r="N40" i="213"/>
  <c r="P40" i="213"/>
  <c r="Q40" i="213" s="1"/>
  <c r="F41" i="213"/>
  <c r="G41" i="213"/>
  <c r="H41" i="213"/>
  <c r="J41" i="213"/>
  <c r="K41" i="213"/>
  <c r="L41" i="213"/>
  <c r="M41" i="213"/>
  <c r="N41" i="213"/>
  <c r="P41" i="213"/>
  <c r="Q41" i="213" s="1"/>
  <c r="F42" i="213"/>
  <c r="G42" i="213"/>
  <c r="H42" i="213"/>
  <c r="J42" i="213"/>
  <c r="K42" i="213"/>
  <c r="L42" i="213"/>
  <c r="M42" i="213"/>
  <c r="N42" i="213"/>
  <c r="P42" i="213"/>
  <c r="Q42" i="213" s="1"/>
  <c r="F43" i="213"/>
  <c r="G43" i="213"/>
  <c r="H43" i="213"/>
  <c r="J43" i="213"/>
  <c r="K43" i="213"/>
  <c r="L43" i="213"/>
  <c r="M43" i="213"/>
  <c r="N43" i="213"/>
  <c r="P43" i="213"/>
  <c r="Q43" i="213" s="1"/>
  <c r="D25" i="213"/>
  <c r="D26" i="213"/>
  <c r="D27" i="213"/>
  <c r="D28" i="213"/>
  <c r="D32" i="213"/>
  <c r="G2" i="213"/>
  <c r="I2" i="213"/>
  <c r="E3" i="213"/>
  <c r="G3" i="213"/>
  <c r="I3" i="213"/>
  <c r="F17" i="212"/>
  <c r="G17" i="212"/>
  <c r="H17" i="212"/>
  <c r="J17" i="212"/>
  <c r="K17" i="212"/>
  <c r="L17" i="212"/>
  <c r="M17" i="212"/>
  <c r="N17" i="212"/>
  <c r="P17" i="212"/>
  <c r="Q17" i="212" s="1"/>
  <c r="D13" i="212"/>
  <c r="D14" i="212"/>
  <c r="D15" i="212"/>
  <c r="G2" i="212"/>
  <c r="I2" i="212"/>
  <c r="E3" i="212"/>
  <c r="G3" i="212"/>
  <c r="I3" i="212"/>
  <c r="D19" i="211"/>
  <c r="D20" i="211"/>
  <c r="D21" i="211"/>
  <c r="G2" i="211"/>
  <c r="I2" i="211"/>
  <c r="E3" i="211"/>
  <c r="G3" i="211"/>
  <c r="I3" i="211"/>
  <c r="G2" i="210"/>
  <c r="I2" i="210"/>
  <c r="E3" i="210"/>
  <c r="G3" i="210"/>
  <c r="I3" i="210"/>
  <c r="E244" i="31"/>
  <c r="E245" i="31"/>
  <c r="E246" i="31"/>
  <c r="E247" i="31"/>
  <c r="E248" i="31"/>
  <c r="E249" i="31"/>
  <c r="E259" i="31"/>
  <c r="E260" i="31"/>
  <c r="E261" i="31"/>
  <c r="E262" i="31"/>
  <c r="E263" i="31"/>
  <c r="E264" i="31"/>
  <c r="E265" i="31"/>
  <c r="E266" i="31"/>
  <c r="E267" i="31"/>
  <c r="E268" i="31"/>
  <c r="E269" i="31"/>
  <c r="V49" i="30"/>
  <c r="G49" i="30"/>
  <c r="G92" i="193" s="1"/>
  <c r="V61" i="30"/>
  <c r="G61" i="30"/>
  <c r="G26" i="112" s="1"/>
  <c r="C2" i="209"/>
  <c r="F19" i="209"/>
  <c r="G19" i="209"/>
  <c r="H19" i="209"/>
  <c r="J19" i="209"/>
  <c r="K19" i="209"/>
  <c r="L19" i="209"/>
  <c r="M19" i="209"/>
  <c r="N19" i="209"/>
  <c r="P19" i="209"/>
  <c r="Q19" i="209" s="1"/>
  <c r="F20" i="209"/>
  <c r="G20" i="209"/>
  <c r="H20" i="209"/>
  <c r="J20" i="209"/>
  <c r="K20" i="209"/>
  <c r="L20" i="209"/>
  <c r="M20" i="209"/>
  <c r="N20" i="209"/>
  <c r="P20" i="209"/>
  <c r="Q20" i="209" s="1"/>
  <c r="F21" i="209"/>
  <c r="G21" i="209"/>
  <c r="H21" i="209"/>
  <c r="J21" i="209"/>
  <c r="K21" i="209"/>
  <c r="L21" i="209"/>
  <c r="M21" i="209"/>
  <c r="N21" i="209"/>
  <c r="P21" i="209"/>
  <c r="Q21" i="209" s="1"/>
  <c r="D9" i="209"/>
  <c r="D10" i="209"/>
  <c r="D11" i="209"/>
  <c r="D12" i="209"/>
  <c r="D13" i="209"/>
  <c r="D14" i="209"/>
  <c r="D15" i="209"/>
  <c r="D16" i="209"/>
  <c r="D17" i="209"/>
  <c r="G2" i="209"/>
  <c r="I2" i="209"/>
  <c r="E3" i="209"/>
  <c r="G3" i="209"/>
  <c r="I3" i="209"/>
  <c r="E101" i="31"/>
  <c r="V88" i="30"/>
  <c r="G88" i="30"/>
  <c r="G48" i="177" s="1"/>
  <c r="V106" i="30"/>
  <c r="G106" i="30"/>
  <c r="G24" i="167" s="1"/>
  <c r="C171" i="29"/>
  <c r="E146" i="29"/>
  <c r="C146" i="29"/>
  <c r="D19" i="166"/>
  <c r="P19" i="166"/>
  <c r="Q19" i="166" s="1"/>
  <c r="D20" i="166"/>
  <c r="P20" i="166"/>
  <c r="Q20" i="166" s="1"/>
  <c r="D21" i="166"/>
  <c r="P21" i="166"/>
  <c r="Q21" i="166" s="1"/>
  <c r="C188" i="29"/>
  <c r="C172" i="29"/>
  <c r="C185" i="29"/>
  <c r="C186" i="29"/>
  <c r="C187" i="29"/>
  <c r="C117" i="29"/>
  <c r="C118" i="29"/>
  <c r="C2" i="207"/>
  <c r="F10" i="207"/>
  <c r="G10" i="207"/>
  <c r="H10" i="207"/>
  <c r="J10" i="207"/>
  <c r="K10" i="207"/>
  <c r="L10" i="207"/>
  <c r="M10" i="207"/>
  <c r="N10" i="207"/>
  <c r="P10" i="207"/>
  <c r="Q10" i="207" s="1"/>
  <c r="D7" i="207"/>
  <c r="P7" i="207"/>
  <c r="Q7" i="207" s="1"/>
  <c r="D8" i="207"/>
  <c r="P8" i="207"/>
  <c r="Q8" i="207" s="1"/>
  <c r="G2" i="207"/>
  <c r="I2" i="207"/>
  <c r="E3" i="207"/>
  <c r="G3" i="207"/>
  <c r="I3" i="207"/>
  <c r="C2" i="206"/>
  <c r="F10" i="206"/>
  <c r="G10" i="206"/>
  <c r="H10" i="206"/>
  <c r="J10" i="206"/>
  <c r="K10" i="206"/>
  <c r="L10" i="206"/>
  <c r="M10" i="206"/>
  <c r="N10" i="206"/>
  <c r="P10" i="206"/>
  <c r="Q10" i="206" s="1"/>
  <c r="D7" i="206"/>
  <c r="P7" i="206"/>
  <c r="Q7" i="206" s="1"/>
  <c r="D8" i="206"/>
  <c r="P8" i="206"/>
  <c r="Q8" i="206" s="1"/>
  <c r="G2" i="206"/>
  <c r="I2" i="206"/>
  <c r="E3" i="206"/>
  <c r="G3" i="206"/>
  <c r="I3" i="206"/>
  <c r="E58" i="31"/>
  <c r="E59" i="31"/>
  <c r="S9" i="28" a="1"/>
  <c r="S8" i="28" a="1"/>
  <c r="Q15" i="238" l="1"/>
  <c r="P6" i="127" s="1"/>
  <c r="Q6" i="127" s="1"/>
  <c r="Q15" i="241"/>
  <c r="Q15" i="239"/>
  <c r="P7" i="127" s="1"/>
  <c r="Q7" i="127" s="1"/>
  <c r="Q24" i="243"/>
  <c r="Q22" i="240"/>
  <c r="G39" i="298"/>
  <c r="G46" i="298"/>
  <c r="G41" i="298"/>
  <c r="G48" i="298"/>
  <c r="G43" i="298"/>
  <c r="G45" i="298"/>
  <c r="P12" i="112"/>
  <c r="Q12" i="112" s="1"/>
  <c r="P13" i="167"/>
  <c r="Q13" i="167" s="1"/>
  <c r="P9" i="113"/>
  <c r="Q9" i="113" s="1"/>
  <c r="Q45" i="114"/>
  <c r="Q43" i="114"/>
  <c r="Q47" i="114"/>
  <c r="Q42" i="114"/>
  <c r="Q44" i="114"/>
  <c r="G98" i="128"/>
  <c r="G28" i="279"/>
  <c r="G24" i="178"/>
  <c r="G17" i="288"/>
  <c r="G30" i="279"/>
  <c r="G21" i="285"/>
  <c r="G28" i="178"/>
  <c r="G20" i="281"/>
  <c r="G20" i="275"/>
  <c r="G18" i="278"/>
  <c r="G18" i="284"/>
  <c r="G16" i="113"/>
  <c r="G19" i="286"/>
  <c r="G18" i="277"/>
  <c r="G18" i="113"/>
  <c r="G18" i="283"/>
  <c r="G21" i="286"/>
  <c r="G29" i="279"/>
  <c r="G20" i="285"/>
  <c r="G19" i="281"/>
  <c r="G19" i="275"/>
  <c r="G28" i="112"/>
  <c r="G18" i="288"/>
  <c r="G17" i="278"/>
  <c r="G17" i="284"/>
  <c r="G21" i="281"/>
  <c r="G21" i="275"/>
  <c r="G21" i="282"/>
  <c r="P6" i="280"/>
  <c r="Q6" i="280" s="1"/>
  <c r="P5" i="280"/>
  <c r="Q5" i="280" s="1"/>
  <c r="P6" i="284"/>
  <c r="Q6" i="284" s="1"/>
  <c r="P7" i="282"/>
  <c r="Q7" i="282" s="1"/>
  <c r="P6" i="285"/>
  <c r="Q6" i="285" s="1"/>
  <c r="P6" i="286"/>
  <c r="Q6" i="286" s="1"/>
  <c r="P6" i="287"/>
  <c r="Q6" i="287" s="1"/>
  <c r="P6" i="279"/>
  <c r="Q6" i="279" s="1"/>
  <c r="P7" i="281"/>
  <c r="Q7" i="281" s="1"/>
  <c r="Q6" i="288"/>
  <c r="P6" i="283"/>
  <c r="Q6" i="283" s="1"/>
  <c r="P5" i="279"/>
  <c r="Q5" i="279" s="1"/>
  <c r="P6" i="282"/>
  <c r="Q6" i="282" s="1"/>
  <c r="P6" i="281"/>
  <c r="Q6" i="281" s="1"/>
  <c r="Q15" i="244"/>
  <c r="S9" i="28"/>
  <c r="S8" i="28"/>
  <c r="Q38" i="232"/>
  <c r="P16" i="127" s="1"/>
  <c r="Q16" i="127" s="1"/>
  <c r="C2" i="204"/>
  <c r="C282" i="29"/>
  <c r="C283" i="29"/>
  <c r="C280" i="29"/>
  <c r="C277" i="29"/>
  <c r="C279" i="29"/>
  <c r="C2" i="205"/>
  <c r="P25" i="205"/>
  <c r="Q25" i="205" s="1"/>
  <c r="N25" i="205"/>
  <c r="M25" i="205"/>
  <c r="L25" i="205"/>
  <c r="K25" i="205"/>
  <c r="J25" i="205"/>
  <c r="H25" i="205"/>
  <c r="G25" i="205"/>
  <c r="F25" i="205"/>
  <c r="P23" i="205"/>
  <c r="Q23" i="205" s="1"/>
  <c r="N23" i="205"/>
  <c r="M23" i="205"/>
  <c r="L23" i="205"/>
  <c r="K23" i="205"/>
  <c r="J23" i="205"/>
  <c r="H23" i="205"/>
  <c r="G23" i="205"/>
  <c r="F23" i="205"/>
  <c r="P22" i="205"/>
  <c r="Q22" i="205" s="1"/>
  <c r="N22" i="205"/>
  <c r="M22" i="205"/>
  <c r="L22" i="205"/>
  <c r="K22" i="205"/>
  <c r="J22" i="205"/>
  <c r="H22" i="205"/>
  <c r="G22" i="205"/>
  <c r="F22" i="205"/>
  <c r="P21" i="205"/>
  <c r="Q21" i="205" s="1"/>
  <c r="N21" i="205"/>
  <c r="M21" i="205"/>
  <c r="L21" i="205"/>
  <c r="K21" i="205"/>
  <c r="J21" i="205"/>
  <c r="H21" i="205"/>
  <c r="G21" i="205"/>
  <c r="F21" i="205"/>
  <c r="P20" i="205"/>
  <c r="Q20" i="205" s="1"/>
  <c r="N20" i="205"/>
  <c r="M20" i="205"/>
  <c r="L20" i="205"/>
  <c r="K20" i="205"/>
  <c r="J20" i="205"/>
  <c r="H20" i="205"/>
  <c r="G20" i="205"/>
  <c r="F20" i="205"/>
  <c r="P19" i="205"/>
  <c r="Q19" i="205" s="1"/>
  <c r="N19" i="205"/>
  <c r="M19" i="205"/>
  <c r="L19" i="205"/>
  <c r="K19" i="205"/>
  <c r="J19" i="205"/>
  <c r="H19" i="205"/>
  <c r="G19" i="205"/>
  <c r="F19" i="205"/>
  <c r="P16" i="205"/>
  <c r="Q16" i="205" s="1"/>
  <c r="D16" i="205"/>
  <c r="P15" i="205"/>
  <c r="Q15" i="205" s="1"/>
  <c r="D15" i="205"/>
  <c r="P14" i="205"/>
  <c r="Q14" i="205" s="1"/>
  <c r="D14" i="205"/>
  <c r="P13" i="205"/>
  <c r="Q13" i="205" s="1"/>
  <c r="D13" i="205"/>
  <c r="P12" i="205"/>
  <c r="Q12" i="205" s="1"/>
  <c r="D12" i="205"/>
  <c r="P11" i="205"/>
  <c r="Q11" i="205" s="1"/>
  <c r="D11" i="205"/>
  <c r="I3" i="205"/>
  <c r="G3" i="205"/>
  <c r="E3" i="205"/>
  <c r="I2" i="205"/>
  <c r="G2" i="205"/>
  <c r="E156" i="31"/>
  <c r="C266" i="29"/>
  <c r="C267" i="29"/>
  <c r="C268" i="29"/>
  <c r="C269" i="29"/>
  <c r="C270" i="29"/>
  <c r="C271" i="29"/>
  <c r="C272" i="29"/>
  <c r="C273" i="29"/>
  <c r="C275" i="29"/>
  <c r="C276" i="29"/>
  <c r="P14" i="204"/>
  <c r="Q14" i="204" s="1"/>
  <c r="N14" i="204"/>
  <c r="M14" i="204"/>
  <c r="L14" i="204"/>
  <c r="K14" i="204"/>
  <c r="J14" i="204"/>
  <c r="H14" i="204"/>
  <c r="G14" i="204"/>
  <c r="F14" i="204"/>
  <c r="P13" i="204"/>
  <c r="Q13" i="204" s="1"/>
  <c r="N13" i="204"/>
  <c r="M13" i="204"/>
  <c r="L13" i="204"/>
  <c r="K13" i="204"/>
  <c r="J13" i="204"/>
  <c r="H13" i="204"/>
  <c r="G13" i="204"/>
  <c r="F13" i="204"/>
  <c r="P12" i="204"/>
  <c r="Q12" i="204" s="1"/>
  <c r="N12" i="204"/>
  <c r="M12" i="204"/>
  <c r="L12" i="204"/>
  <c r="K12" i="204"/>
  <c r="J12" i="204"/>
  <c r="H12" i="204"/>
  <c r="G12" i="204"/>
  <c r="F12" i="204"/>
  <c r="P10" i="204"/>
  <c r="Q10" i="204" s="1"/>
  <c r="D10" i="204"/>
  <c r="P9" i="204"/>
  <c r="Q9" i="204" s="1"/>
  <c r="D9" i="204"/>
  <c r="P8" i="204"/>
  <c r="Q8" i="204" s="1"/>
  <c r="D8" i="204"/>
  <c r="I3" i="204"/>
  <c r="G3" i="204"/>
  <c r="E3" i="204"/>
  <c r="I2" i="204"/>
  <c r="G2" i="204"/>
  <c r="C2" i="203"/>
  <c r="P17" i="203"/>
  <c r="Q17" i="203" s="1"/>
  <c r="N17" i="203"/>
  <c r="M17" i="203"/>
  <c r="L17" i="203"/>
  <c r="K17" i="203"/>
  <c r="J17" i="203"/>
  <c r="H17" i="203"/>
  <c r="G17" i="203"/>
  <c r="F17" i="203"/>
  <c r="P16" i="203"/>
  <c r="Q16" i="203" s="1"/>
  <c r="N16" i="203"/>
  <c r="M16" i="203"/>
  <c r="L16" i="203"/>
  <c r="K16" i="203"/>
  <c r="J16" i="203"/>
  <c r="H16" i="203"/>
  <c r="G16" i="203"/>
  <c r="F16" i="203"/>
  <c r="P15" i="203"/>
  <c r="Q15" i="203" s="1"/>
  <c r="N15" i="203"/>
  <c r="M15" i="203"/>
  <c r="L15" i="203"/>
  <c r="K15" i="203"/>
  <c r="J15" i="203"/>
  <c r="H15" i="203"/>
  <c r="G15" i="203"/>
  <c r="F15" i="203"/>
  <c r="P13" i="203"/>
  <c r="Q13" i="203" s="1"/>
  <c r="D13" i="203"/>
  <c r="P12" i="203"/>
  <c r="Q12" i="203" s="1"/>
  <c r="D12" i="203"/>
  <c r="P11" i="203"/>
  <c r="Q11" i="203" s="1"/>
  <c r="D11" i="203"/>
  <c r="P10" i="203"/>
  <c r="Q10" i="203" s="1"/>
  <c r="D10" i="203"/>
  <c r="P9" i="203"/>
  <c r="Q9" i="203" s="1"/>
  <c r="D9" i="203"/>
  <c r="I3" i="203"/>
  <c r="G3" i="203"/>
  <c r="E3" i="203"/>
  <c r="I2" i="203"/>
  <c r="G2" i="203"/>
  <c r="C2" i="202"/>
  <c r="P29" i="202"/>
  <c r="Q29" i="202" s="1"/>
  <c r="N29" i="202"/>
  <c r="M29" i="202"/>
  <c r="L29" i="202"/>
  <c r="K29" i="202"/>
  <c r="J29" i="202"/>
  <c r="H29" i="202"/>
  <c r="G29" i="202"/>
  <c r="F29" i="202"/>
  <c r="P28" i="202"/>
  <c r="Q28" i="202" s="1"/>
  <c r="N28" i="202"/>
  <c r="M28" i="202"/>
  <c r="L28" i="202"/>
  <c r="K28" i="202"/>
  <c r="J28" i="202"/>
  <c r="H28" i="202"/>
  <c r="G28" i="202"/>
  <c r="F28" i="202"/>
  <c r="P27" i="202"/>
  <c r="Q27" i="202" s="1"/>
  <c r="N27" i="202"/>
  <c r="M27" i="202"/>
  <c r="L27" i="202"/>
  <c r="K27" i="202"/>
  <c r="J27" i="202"/>
  <c r="H27" i="202"/>
  <c r="G27" i="202"/>
  <c r="F27" i="202"/>
  <c r="P26" i="202"/>
  <c r="Q26" i="202" s="1"/>
  <c r="N26" i="202"/>
  <c r="M26" i="202"/>
  <c r="L26" i="202"/>
  <c r="K26" i="202"/>
  <c r="J26" i="202"/>
  <c r="H26" i="202"/>
  <c r="G26" i="202"/>
  <c r="F26" i="202"/>
  <c r="P25" i="202"/>
  <c r="Q25" i="202" s="1"/>
  <c r="N25" i="202"/>
  <c r="M25" i="202"/>
  <c r="L25" i="202"/>
  <c r="K25" i="202"/>
  <c r="J25" i="202"/>
  <c r="H25" i="202"/>
  <c r="G25" i="202"/>
  <c r="F25" i="202"/>
  <c r="P24" i="202"/>
  <c r="Q24" i="202" s="1"/>
  <c r="N24" i="202"/>
  <c r="M24" i="202"/>
  <c r="L24" i="202"/>
  <c r="K24" i="202"/>
  <c r="J24" i="202"/>
  <c r="H24" i="202"/>
  <c r="G24" i="202"/>
  <c r="F24" i="202"/>
  <c r="P23" i="202"/>
  <c r="Q23" i="202" s="1"/>
  <c r="N23" i="202"/>
  <c r="M23" i="202"/>
  <c r="L23" i="202"/>
  <c r="K23" i="202"/>
  <c r="J23" i="202"/>
  <c r="H23" i="202"/>
  <c r="G23" i="202"/>
  <c r="F23" i="202"/>
  <c r="P21" i="202"/>
  <c r="Q21" i="202" s="1"/>
  <c r="D21" i="202"/>
  <c r="P20" i="202"/>
  <c r="Q20" i="202" s="1"/>
  <c r="D20" i="202"/>
  <c r="P19" i="202"/>
  <c r="Q19" i="202" s="1"/>
  <c r="D19" i="202"/>
  <c r="P18" i="202"/>
  <c r="Q18" i="202" s="1"/>
  <c r="D18" i="202"/>
  <c r="P17" i="202"/>
  <c r="Q17" i="202" s="1"/>
  <c r="D17" i="202"/>
  <c r="P16" i="202"/>
  <c r="Q16" i="202" s="1"/>
  <c r="D16" i="202"/>
  <c r="P15" i="202"/>
  <c r="Q15" i="202" s="1"/>
  <c r="D15" i="202"/>
  <c r="P14" i="202"/>
  <c r="Q14" i="202" s="1"/>
  <c r="D14" i="202"/>
  <c r="I3" i="202"/>
  <c r="G3" i="202"/>
  <c r="E3" i="202"/>
  <c r="I2" i="202"/>
  <c r="G2" i="202"/>
  <c r="C2" i="201"/>
  <c r="C2" i="200"/>
  <c r="P48" i="201"/>
  <c r="Q48" i="201" s="1"/>
  <c r="N48" i="201"/>
  <c r="M48" i="201"/>
  <c r="L48" i="201"/>
  <c r="K48" i="201"/>
  <c r="J48" i="201"/>
  <c r="H48" i="201"/>
  <c r="G48" i="201"/>
  <c r="F48" i="201"/>
  <c r="P47" i="201"/>
  <c r="Q47" i="201" s="1"/>
  <c r="N47" i="201"/>
  <c r="M47" i="201"/>
  <c r="L47" i="201"/>
  <c r="K47" i="201"/>
  <c r="J47" i="201"/>
  <c r="H47" i="201"/>
  <c r="G47" i="201"/>
  <c r="F47" i="201"/>
  <c r="P46" i="201"/>
  <c r="Q46" i="201" s="1"/>
  <c r="N46" i="201"/>
  <c r="M46" i="201"/>
  <c r="L46" i="201"/>
  <c r="K46" i="201"/>
  <c r="J46" i="201"/>
  <c r="H46" i="201"/>
  <c r="G46" i="201"/>
  <c r="F46" i="201"/>
  <c r="P45" i="201"/>
  <c r="Q45" i="201" s="1"/>
  <c r="N45" i="201"/>
  <c r="M45" i="201"/>
  <c r="L45" i="201"/>
  <c r="K45" i="201"/>
  <c r="J45" i="201"/>
  <c r="H45" i="201"/>
  <c r="G45" i="201"/>
  <c r="F45" i="201"/>
  <c r="P44" i="201"/>
  <c r="Q44" i="201" s="1"/>
  <c r="N44" i="201"/>
  <c r="M44" i="201"/>
  <c r="L44" i="201"/>
  <c r="K44" i="201"/>
  <c r="J44" i="201"/>
  <c r="H44" i="201"/>
  <c r="G44" i="201"/>
  <c r="F44" i="201"/>
  <c r="P43" i="201"/>
  <c r="Q43" i="201" s="1"/>
  <c r="N43" i="201"/>
  <c r="M43" i="201"/>
  <c r="L43" i="201"/>
  <c r="K43" i="201"/>
  <c r="J43" i="201"/>
  <c r="H43" i="201"/>
  <c r="G43" i="201"/>
  <c r="F43" i="201"/>
  <c r="P42" i="201"/>
  <c r="Q42" i="201" s="1"/>
  <c r="N42" i="201"/>
  <c r="M42" i="201"/>
  <c r="L42" i="201"/>
  <c r="K42" i="201"/>
  <c r="J42" i="201"/>
  <c r="H42" i="201"/>
  <c r="G42" i="201"/>
  <c r="F42" i="201"/>
  <c r="P41" i="201"/>
  <c r="Q41" i="201" s="1"/>
  <c r="N41" i="201"/>
  <c r="M41" i="201"/>
  <c r="L41" i="201"/>
  <c r="K41" i="201"/>
  <c r="J41" i="201"/>
  <c r="H41" i="201"/>
  <c r="G41" i="201"/>
  <c r="F41" i="201"/>
  <c r="P40" i="201"/>
  <c r="Q40" i="201" s="1"/>
  <c r="N40" i="201"/>
  <c r="M40" i="201"/>
  <c r="L40" i="201"/>
  <c r="K40" i="201"/>
  <c r="J40" i="201"/>
  <c r="H40" i="201"/>
  <c r="G40" i="201"/>
  <c r="F40" i="201"/>
  <c r="P39" i="201"/>
  <c r="Q39" i="201" s="1"/>
  <c r="N39" i="201"/>
  <c r="M39" i="201"/>
  <c r="L39" i="201"/>
  <c r="K39" i="201"/>
  <c r="J39" i="201"/>
  <c r="H39" i="201"/>
  <c r="G39" i="201"/>
  <c r="F39" i="201"/>
  <c r="P38" i="201"/>
  <c r="Q38" i="201" s="1"/>
  <c r="N38" i="201"/>
  <c r="M38" i="201"/>
  <c r="L38" i="201"/>
  <c r="K38" i="201"/>
  <c r="J38" i="201"/>
  <c r="H38" i="201"/>
  <c r="G38" i="201"/>
  <c r="F38" i="201"/>
  <c r="P30" i="201"/>
  <c r="Q30" i="201" s="1"/>
  <c r="D30" i="201"/>
  <c r="P29" i="201"/>
  <c r="Q29" i="201" s="1"/>
  <c r="D29" i="201"/>
  <c r="P28" i="201"/>
  <c r="Q28" i="201" s="1"/>
  <c r="D28" i="201"/>
  <c r="P27" i="201"/>
  <c r="Q27" i="201" s="1"/>
  <c r="D27" i="201"/>
  <c r="P26" i="201"/>
  <c r="Q26" i="201" s="1"/>
  <c r="D26" i="201"/>
  <c r="P25" i="201"/>
  <c r="Q25" i="201" s="1"/>
  <c r="D25" i="201"/>
  <c r="P24" i="201"/>
  <c r="Q24" i="201" s="1"/>
  <c r="D24" i="201"/>
  <c r="P23" i="201"/>
  <c r="Q23" i="201" s="1"/>
  <c r="D23" i="201"/>
  <c r="P22" i="201"/>
  <c r="Q22" i="201" s="1"/>
  <c r="D22" i="201"/>
  <c r="P21" i="201"/>
  <c r="Q21" i="201" s="1"/>
  <c r="D21" i="201"/>
  <c r="P20" i="201"/>
  <c r="Q20" i="201" s="1"/>
  <c r="D20" i="201"/>
  <c r="P19" i="201"/>
  <c r="Q19" i="201" s="1"/>
  <c r="D19" i="201"/>
  <c r="I3" i="201"/>
  <c r="G3" i="201"/>
  <c r="E3" i="201"/>
  <c r="I2" i="201"/>
  <c r="G2" i="201"/>
  <c r="P48" i="200"/>
  <c r="Q48" i="200" s="1"/>
  <c r="N48" i="200"/>
  <c r="M48" i="200"/>
  <c r="L48" i="200"/>
  <c r="K48" i="200"/>
  <c r="J48" i="200"/>
  <c r="H48" i="200"/>
  <c r="G48" i="200"/>
  <c r="F48" i="200"/>
  <c r="P47" i="200"/>
  <c r="Q47" i="200" s="1"/>
  <c r="N47" i="200"/>
  <c r="M47" i="200"/>
  <c r="L47" i="200"/>
  <c r="K47" i="200"/>
  <c r="J47" i="200"/>
  <c r="H47" i="200"/>
  <c r="G47" i="200"/>
  <c r="F47" i="200"/>
  <c r="P46" i="200"/>
  <c r="Q46" i="200" s="1"/>
  <c r="N46" i="200"/>
  <c r="M46" i="200"/>
  <c r="L46" i="200"/>
  <c r="K46" i="200"/>
  <c r="J46" i="200"/>
  <c r="H46" i="200"/>
  <c r="G46" i="200"/>
  <c r="F46" i="200"/>
  <c r="P45" i="200"/>
  <c r="Q45" i="200" s="1"/>
  <c r="N45" i="200"/>
  <c r="M45" i="200"/>
  <c r="L45" i="200"/>
  <c r="K45" i="200"/>
  <c r="J45" i="200"/>
  <c r="H45" i="200"/>
  <c r="G45" i="200"/>
  <c r="F45" i="200"/>
  <c r="P44" i="200"/>
  <c r="Q44" i="200" s="1"/>
  <c r="N44" i="200"/>
  <c r="M44" i="200"/>
  <c r="L44" i="200"/>
  <c r="K44" i="200"/>
  <c r="J44" i="200"/>
  <c r="H44" i="200"/>
  <c r="G44" i="200"/>
  <c r="F44" i="200"/>
  <c r="P43" i="200"/>
  <c r="Q43" i="200" s="1"/>
  <c r="N43" i="200"/>
  <c r="M43" i="200"/>
  <c r="L43" i="200"/>
  <c r="K43" i="200"/>
  <c r="J43" i="200"/>
  <c r="H43" i="200"/>
  <c r="G43" i="200"/>
  <c r="F43" i="200"/>
  <c r="P42" i="200"/>
  <c r="Q42" i="200" s="1"/>
  <c r="N42" i="200"/>
  <c r="M42" i="200"/>
  <c r="L42" i="200"/>
  <c r="K42" i="200"/>
  <c r="J42" i="200"/>
  <c r="H42" i="200"/>
  <c r="G42" i="200"/>
  <c r="F42" i="200"/>
  <c r="P41" i="200"/>
  <c r="Q41" i="200" s="1"/>
  <c r="N41" i="200"/>
  <c r="M41" i="200"/>
  <c r="L41" i="200"/>
  <c r="K41" i="200"/>
  <c r="J41" i="200"/>
  <c r="H41" i="200"/>
  <c r="G41" i="200"/>
  <c r="F41" i="200"/>
  <c r="P40" i="200"/>
  <c r="Q40" i="200" s="1"/>
  <c r="N40" i="200"/>
  <c r="M40" i="200"/>
  <c r="L40" i="200"/>
  <c r="K40" i="200"/>
  <c r="J40" i="200"/>
  <c r="H40" i="200"/>
  <c r="G40" i="200"/>
  <c r="F40" i="200"/>
  <c r="P39" i="200"/>
  <c r="Q39" i="200" s="1"/>
  <c r="N39" i="200"/>
  <c r="M39" i="200"/>
  <c r="L39" i="200"/>
  <c r="K39" i="200"/>
  <c r="J39" i="200"/>
  <c r="H39" i="200"/>
  <c r="G39" i="200"/>
  <c r="F39" i="200"/>
  <c r="P38" i="200"/>
  <c r="Q38" i="200" s="1"/>
  <c r="N38" i="200"/>
  <c r="M38" i="200"/>
  <c r="L38" i="200"/>
  <c r="K38" i="200"/>
  <c r="J38" i="200"/>
  <c r="H38" i="200"/>
  <c r="G38" i="200"/>
  <c r="F38" i="200"/>
  <c r="P31" i="200"/>
  <c r="Q31" i="200" s="1"/>
  <c r="D31" i="200"/>
  <c r="P30" i="200"/>
  <c r="Q30" i="200" s="1"/>
  <c r="D30" i="200"/>
  <c r="P29" i="200"/>
  <c r="Q29" i="200" s="1"/>
  <c r="D29" i="200"/>
  <c r="P28" i="200"/>
  <c r="Q28" i="200" s="1"/>
  <c r="D28" i="200"/>
  <c r="P27" i="200"/>
  <c r="Q27" i="200" s="1"/>
  <c r="D27" i="200"/>
  <c r="P26" i="200"/>
  <c r="Q26" i="200" s="1"/>
  <c r="D26" i="200"/>
  <c r="P25" i="200"/>
  <c r="Q25" i="200" s="1"/>
  <c r="D25" i="200"/>
  <c r="P24" i="200"/>
  <c r="Q24" i="200" s="1"/>
  <c r="D24" i="200"/>
  <c r="P23" i="200"/>
  <c r="Q23" i="200" s="1"/>
  <c r="D23" i="200"/>
  <c r="P22" i="200"/>
  <c r="Q22" i="200" s="1"/>
  <c r="D22" i="200"/>
  <c r="P21" i="200"/>
  <c r="Q21" i="200" s="1"/>
  <c r="D21" i="200"/>
  <c r="P20" i="200"/>
  <c r="Q20" i="200" s="1"/>
  <c r="D20" i="200"/>
  <c r="P19" i="200"/>
  <c r="Q19" i="200" s="1"/>
  <c r="D19" i="200"/>
  <c r="I3" i="200"/>
  <c r="G3" i="200"/>
  <c r="E3" i="200"/>
  <c r="I2" i="200"/>
  <c r="G2" i="200"/>
  <c r="E153" i="31"/>
  <c r="E159" i="31"/>
  <c r="E154" i="31"/>
  <c r="E155" i="31"/>
  <c r="E157" i="31"/>
  <c r="C2" i="195"/>
  <c r="C301" i="29"/>
  <c r="C302" i="29"/>
  <c r="C303" i="29"/>
  <c r="C259" i="29"/>
  <c r="C265" i="29"/>
  <c r="C251" i="29"/>
  <c r="C252" i="29"/>
  <c r="C254" i="29"/>
  <c r="C255" i="29"/>
  <c r="C256" i="29"/>
  <c r="C257" i="29"/>
  <c r="C260" i="29"/>
  <c r="C261" i="29"/>
  <c r="C2" i="192"/>
  <c r="C2" i="193"/>
  <c r="D65" i="193"/>
  <c r="D64" i="193"/>
  <c r="D63" i="193"/>
  <c r="D62" i="193"/>
  <c r="D61" i="193"/>
  <c r="D60" i="193"/>
  <c r="D59" i="193"/>
  <c r="D58" i="193"/>
  <c r="D57" i="193"/>
  <c r="D56" i="193"/>
  <c r="D55" i="193"/>
  <c r="D54" i="193"/>
  <c r="D53" i="193"/>
  <c r="D52" i="193"/>
  <c r="D51" i="193"/>
  <c r="D50" i="193"/>
  <c r="D49" i="193"/>
  <c r="D48" i="193"/>
  <c r="D47" i="193"/>
  <c r="D46" i="193"/>
  <c r="D45" i="193"/>
  <c r="D44" i="193"/>
  <c r="D43" i="193"/>
  <c r="D42" i="193"/>
  <c r="D41" i="193"/>
  <c r="D40" i="193"/>
  <c r="C245" i="29"/>
  <c r="C246" i="29"/>
  <c r="C247" i="29"/>
  <c r="C2" i="199"/>
  <c r="P25" i="199"/>
  <c r="Q25" i="199" s="1"/>
  <c r="N25" i="199"/>
  <c r="M25" i="199"/>
  <c r="L25" i="199"/>
  <c r="K25" i="199"/>
  <c r="J25" i="199"/>
  <c r="H25" i="199"/>
  <c r="G25" i="199"/>
  <c r="F25" i="199"/>
  <c r="P24" i="199"/>
  <c r="Q24" i="199" s="1"/>
  <c r="N24" i="199"/>
  <c r="M24" i="199"/>
  <c r="L24" i="199"/>
  <c r="K24" i="199"/>
  <c r="J24" i="199"/>
  <c r="H24" i="199"/>
  <c r="G24" i="199"/>
  <c r="F24" i="199"/>
  <c r="P18" i="199"/>
  <c r="Q18" i="199" s="1"/>
  <c r="D18" i="199"/>
  <c r="P17" i="199"/>
  <c r="Q17" i="199" s="1"/>
  <c r="D17" i="199"/>
  <c r="P13" i="199"/>
  <c r="Q13" i="199" s="1"/>
  <c r="D13" i="199"/>
  <c r="I3" i="199"/>
  <c r="G3" i="199"/>
  <c r="E3" i="199"/>
  <c r="I2" i="199"/>
  <c r="G2" i="199"/>
  <c r="C2" i="198"/>
  <c r="P25" i="198"/>
  <c r="Q25" i="198" s="1"/>
  <c r="N25" i="198"/>
  <c r="M25" i="198"/>
  <c r="L25" i="198"/>
  <c r="K25" i="198"/>
  <c r="J25" i="198"/>
  <c r="H25" i="198"/>
  <c r="G25" i="198"/>
  <c r="F25" i="198"/>
  <c r="P24" i="198"/>
  <c r="Q24" i="198" s="1"/>
  <c r="N24" i="198"/>
  <c r="M24" i="198"/>
  <c r="L24" i="198"/>
  <c r="K24" i="198"/>
  <c r="J24" i="198"/>
  <c r="H24" i="198"/>
  <c r="G24" i="198"/>
  <c r="F24" i="198"/>
  <c r="D18" i="198"/>
  <c r="D17" i="198"/>
  <c r="D13" i="198"/>
  <c r="I3" i="198"/>
  <c r="G3" i="198"/>
  <c r="E3" i="198"/>
  <c r="I2" i="198"/>
  <c r="G2" i="198"/>
  <c r="C2" i="197"/>
  <c r="I3" i="197"/>
  <c r="G3" i="197"/>
  <c r="E3" i="197"/>
  <c r="I2" i="197"/>
  <c r="G2" i="197"/>
  <c r="C2" i="196"/>
  <c r="P12" i="196"/>
  <c r="Q12" i="196" s="1"/>
  <c r="N12" i="196"/>
  <c r="M12" i="196"/>
  <c r="L12" i="196"/>
  <c r="K12" i="196"/>
  <c r="J12" i="196"/>
  <c r="H12" i="196"/>
  <c r="G12" i="196"/>
  <c r="F12" i="196"/>
  <c r="P10" i="196"/>
  <c r="Q10" i="196" s="1"/>
  <c r="D10" i="196"/>
  <c r="P9" i="196"/>
  <c r="Q9" i="196" s="1"/>
  <c r="D9" i="196"/>
  <c r="P8" i="196"/>
  <c r="Q8" i="196" s="1"/>
  <c r="D8" i="196"/>
  <c r="P7" i="196"/>
  <c r="Q7" i="196" s="1"/>
  <c r="D7" i="196"/>
  <c r="I3" i="196"/>
  <c r="G3" i="196"/>
  <c r="E3" i="196"/>
  <c r="I2" i="196"/>
  <c r="G2" i="196"/>
  <c r="E151" i="31"/>
  <c r="E152" i="31"/>
  <c r="E165" i="31"/>
  <c r="E166" i="31"/>
  <c r="P33" i="195"/>
  <c r="Q33" i="195" s="1"/>
  <c r="N33" i="195"/>
  <c r="M33" i="195"/>
  <c r="L33" i="195"/>
  <c r="K33" i="195"/>
  <c r="J33" i="195"/>
  <c r="H33" i="195"/>
  <c r="G33" i="195"/>
  <c r="F33" i="195"/>
  <c r="P32" i="195"/>
  <c r="Q32" i="195" s="1"/>
  <c r="N32" i="195"/>
  <c r="M32" i="195"/>
  <c r="L32" i="195"/>
  <c r="K32" i="195"/>
  <c r="J32" i="195"/>
  <c r="H32" i="195"/>
  <c r="G32" i="195"/>
  <c r="F32" i="195"/>
  <c r="P31" i="195"/>
  <c r="Q31" i="195" s="1"/>
  <c r="N31" i="195"/>
  <c r="M31" i="195"/>
  <c r="L31" i="195"/>
  <c r="K31" i="195"/>
  <c r="J31" i="195"/>
  <c r="H31" i="195"/>
  <c r="G31" i="195"/>
  <c r="F31" i="195"/>
  <c r="P30" i="195"/>
  <c r="Q30" i="195" s="1"/>
  <c r="N30" i="195"/>
  <c r="M30" i="195"/>
  <c r="L30" i="195"/>
  <c r="K30" i="195"/>
  <c r="J30" i="195"/>
  <c r="H30" i="195"/>
  <c r="G30" i="195"/>
  <c r="F30" i="195"/>
  <c r="P29" i="195"/>
  <c r="Q29" i="195" s="1"/>
  <c r="N29" i="195"/>
  <c r="M29" i="195"/>
  <c r="L29" i="195"/>
  <c r="K29" i="195"/>
  <c r="J29" i="195"/>
  <c r="H29" i="195"/>
  <c r="G29" i="195"/>
  <c r="F29" i="195"/>
  <c r="P28" i="195"/>
  <c r="Q28" i="195" s="1"/>
  <c r="N28" i="195"/>
  <c r="M28" i="195"/>
  <c r="L28" i="195"/>
  <c r="K28" i="195"/>
  <c r="J28" i="195"/>
  <c r="H28" i="195"/>
  <c r="G28" i="195"/>
  <c r="F28" i="195"/>
  <c r="P27" i="195"/>
  <c r="Q27" i="195" s="1"/>
  <c r="N27" i="195"/>
  <c r="M27" i="195"/>
  <c r="L27" i="195"/>
  <c r="K27" i="195"/>
  <c r="J27" i="195"/>
  <c r="H27" i="195"/>
  <c r="G27" i="195"/>
  <c r="F27" i="195"/>
  <c r="P26" i="195"/>
  <c r="Q26" i="195" s="1"/>
  <c r="N26" i="195"/>
  <c r="M26" i="195"/>
  <c r="L26" i="195"/>
  <c r="K26" i="195"/>
  <c r="J26" i="195"/>
  <c r="H26" i="195"/>
  <c r="G26" i="195"/>
  <c r="F26" i="195"/>
  <c r="P24" i="195"/>
  <c r="Q24" i="195" s="1"/>
  <c r="D24" i="195"/>
  <c r="P23" i="195"/>
  <c r="Q23" i="195" s="1"/>
  <c r="D23" i="195"/>
  <c r="P22" i="195"/>
  <c r="Q22" i="195" s="1"/>
  <c r="D22" i="195"/>
  <c r="P21" i="195"/>
  <c r="Q21" i="195" s="1"/>
  <c r="D21" i="195"/>
  <c r="P20" i="195"/>
  <c r="Q20" i="195" s="1"/>
  <c r="D20" i="195"/>
  <c r="P19" i="195"/>
  <c r="Q19" i="195" s="1"/>
  <c r="D19" i="195"/>
  <c r="P18" i="195"/>
  <c r="Q18" i="195" s="1"/>
  <c r="D18" i="195"/>
  <c r="P15" i="195"/>
  <c r="Q15" i="195" s="1"/>
  <c r="D15" i="195"/>
  <c r="P14" i="195"/>
  <c r="Q14" i="195" s="1"/>
  <c r="D14" i="195"/>
  <c r="P13" i="195"/>
  <c r="Q13" i="195" s="1"/>
  <c r="D13" i="195"/>
  <c r="P12" i="195"/>
  <c r="Q12" i="195" s="1"/>
  <c r="D12" i="195"/>
  <c r="P11" i="195"/>
  <c r="Q11" i="195" s="1"/>
  <c r="D11" i="195"/>
  <c r="I3" i="195"/>
  <c r="G3" i="195"/>
  <c r="E3" i="195"/>
  <c r="I2" i="195"/>
  <c r="G2" i="195"/>
  <c r="P21" i="194"/>
  <c r="Q21" i="194" s="1"/>
  <c r="N21" i="194"/>
  <c r="M21" i="194"/>
  <c r="L21" i="194"/>
  <c r="K21" i="194"/>
  <c r="J21" i="194"/>
  <c r="H21" i="194"/>
  <c r="G21" i="194"/>
  <c r="F21" i="194"/>
  <c r="P20" i="194"/>
  <c r="Q20" i="194" s="1"/>
  <c r="N20" i="194"/>
  <c r="M20" i="194"/>
  <c r="L20" i="194"/>
  <c r="K20" i="194"/>
  <c r="J20" i="194"/>
  <c r="H20" i="194"/>
  <c r="G20" i="194"/>
  <c r="F20" i="194"/>
  <c r="D18" i="194"/>
  <c r="D17" i="194"/>
  <c r="D13" i="194"/>
  <c r="D12" i="194"/>
  <c r="D11" i="194"/>
  <c r="I3" i="194"/>
  <c r="G3" i="194"/>
  <c r="E3" i="194"/>
  <c r="I2" i="194"/>
  <c r="G2" i="194"/>
  <c r="Q91" i="193"/>
  <c r="Q90" i="193"/>
  <c r="Q89" i="193"/>
  <c r="Q88" i="193"/>
  <c r="Q87" i="193"/>
  <c r="P82" i="193"/>
  <c r="Q82" i="193" s="1"/>
  <c r="N82" i="193"/>
  <c r="M82" i="193"/>
  <c r="L82" i="193"/>
  <c r="K82" i="193"/>
  <c r="J82" i="193"/>
  <c r="H82" i="193"/>
  <c r="G82" i="193"/>
  <c r="F82" i="193"/>
  <c r="P81" i="193"/>
  <c r="Q81" i="193" s="1"/>
  <c r="N81" i="193"/>
  <c r="M81" i="193"/>
  <c r="L81" i="193"/>
  <c r="K81" i="193"/>
  <c r="J81" i="193"/>
  <c r="H81" i="193"/>
  <c r="G81" i="193"/>
  <c r="F81" i="193"/>
  <c r="P80" i="193"/>
  <c r="Q80" i="193" s="1"/>
  <c r="N80" i="193"/>
  <c r="M80" i="193"/>
  <c r="L80" i="193"/>
  <c r="K80" i="193"/>
  <c r="J80" i="193"/>
  <c r="H80" i="193"/>
  <c r="G80" i="193"/>
  <c r="F80" i="193"/>
  <c r="P79" i="193"/>
  <c r="Q79" i="193" s="1"/>
  <c r="N79" i="193"/>
  <c r="M79" i="193"/>
  <c r="L79" i="193"/>
  <c r="K79" i="193"/>
  <c r="J79" i="193"/>
  <c r="H79" i="193"/>
  <c r="G79" i="193"/>
  <c r="F79" i="193"/>
  <c r="P78" i="193"/>
  <c r="Q78" i="193" s="1"/>
  <c r="N78" i="193"/>
  <c r="M78" i="193"/>
  <c r="L78" i="193"/>
  <c r="K78" i="193"/>
  <c r="J78" i="193"/>
  <c r="H78" i="193"/>
  <c r="G78" i="193"/>
  <c r="F78" i="193"/>
  <c r="P77" i="193"/>
  <c r="Q77" i="193" s="1"/>
  <c r="N77" i="193"/>
  <c r="M77" i="193"/>
  <c r="L77" i="193"/>
  <c r="K77" i="193"/>
  <c r="J77" i="193"/>
  <c r="H77" i="193"/>
  <c r="G77" i="193"/>
  <c r="F77" i="193"/>
  <c r="P76" i="193"/>
  <c r="Q76" i="193" s="1"/>
  <c r="N76" i="193"/>
  <c r="M76" i="193"/>
  <c r="L76" i="193"/>
  <c r="K76" i="193"/>
  <c r="J76" i="193"/>
  <c r="H76" i="193"/>
  <c r="G76" i="193"/>
  <c r="F76" i="193"/>
  <c r="P75" i="193"/>
  <c r="Q75" i="193" s="1"/>
  <c r="N75" i="193"/>
  <c r="M75" i="193"/>
  <c r="L75" i="193"/>
  <c r="K75" i="193"/>
  <c r="J75" i="193"/>
  <c r="H75" i="193"/>
  <c r="G75" i="193"/>
  <c r="F75" i="193"/>
  <c r="P74" i="193"/>
  <c r="Q74" i="193" s="1"/>
  <c r="N74" i="193"/>
  <c r="M74" i="193"/>
  <c r="L74" i="193"/>
  <c r="K74" i="193"/>
  <c r="J74" i="193"/>
  <c r="H74" i="193"/>
  <c r="G74" i="193"/>
  <c r="F74" i="193"/>
  <c r="P73" i="193"/>
  <c r="Q73" i="193" s="1"/>
  <c r="N73" i="193"/>
  <c r="M73" i="193"/>
  <c r="L73" i="193"/>
  <c r="K73" i="193"/>
  <c r="J73" i="193"/>
  <c r="H73" i="193"/>
  <c r="G73" i="193"/>
  <c r="F73" i="193"/>
  <c r="D39" i="193"/>
  <c r="D38" i="193"/>
  <c r="D37" i="193"/>
  <c r="D36" i="193"/>
  <c r="D35" i="193"/>
  <c r="D34" i="193"/>
  <c r="D33" i="193"/>
  <c r="D32" i="193"/>
  <c r="D31" i="193"/>
  <c r="D30" i="193"/>
  <c r="D29" i="193"/>
  <c r="D28" i="193"/>
  <c r="D27" i="193"/>
  <c r="I3" i="193"/>
  <c r="G3" i="193"/>
  <c r="E3" i="193"/>
  <c r="I2" i="193"/>
  <c r="G2" i="193"/>
  <c r="Q22" i="192"/>
  <c r="Q21" i="192"/>
  <c r="Q20" i="192"/>
  <c r="P18" i="192"/>
  <c r="Q18" i="192" s="1"/>
  <c r="N18" i="192"/>
  <c r="M18" i="192"/>
  <c r="L18" i="192"/>
  <c r="K18" i="192"/>
  <c r="J18" i="192"/>
  <c r="H18" i="192"/>
  <c r="G18" i="192"/>
  <c r="F18" i="192"/>
  <c r="P17" i="192"/>
  <c r="Q17" i="192" s="1"/>
  <c r="N17" i="192"/>
  <c r="M17" i="192"/>
  <c r="L17" i="192"/>
  <c r="K17" i="192"/>
  <c r="J17" i="192"/>
  <c r="H17" i="192"/>
  <c r="G17" i="192"/>
  <c r="F17" i="192"/>
  <c r="P16" i="192"/>
  <c r="Q16" i="192" s="1"/>
  <c r="N16" i="192"/>
  <c r="M16" i="192"/>
  <c r="L16" i="192"/>
  <c r="K16" i="192"/>
  <c r="J16" i="192"/>
  <c r="H16" i="192"/>
  <c r="G16" i="192"/>
  <c r="F16" i="192"/>
  <c r="P15" i="192"/>
  <c r="Q15" i="192" s="1"/>
  <c r="N15" i="192"/>
  <c r="M15" i="192"/>
  <c r="L15" i="192"/>
  <c r="K15" i="192"/>
  <c r="J15" i="192"/>
  <c r="H15" i="192"/>
  <c r="G15" i="192"/>
  <c r="F15" i="192"/>
  <c r="D13" i="192"/>
  <c r="D12" i="192"/>
  <c r="D11" i="192"/>
  <c r="D10" i="192"/>
  <c r="D9" i="192"/>
  <c r="D8" i="192"/>
  <c r="D7" i="192"/>
  <c r="D6" i="192"/>
  <c r="D5" i="192"/>
  <c r="I3" i="192"/>
  <c r="G3" i="192"/>
  <c r="E3" i="192"/>
  <c r="I2" i="192"/>
  <c r="G2" i="192"/>
  <c r="E149" i="31"/>
  <c r="E150" i="31"/>
  <c r="E162" i="31"/>
  <c r="C2" i="191"/>
  <c r="O9" i="2"/>
  <c r="Q22" i="191"/>
  <c r="P20" i="191"/>
  <c r="Q20" i="191" s="1"/>
  <c r="N20" i="191"/>
  <c r="M20" i="191"/>
  <c r="L20" i="191"/>
  <c r="K20" i="191"/>
  <c r="J20" i="191"/>
  <c r="H20" i="191"/>
  <c r="G20" i="191"/>
  <c r="F20" i="191"/>
  <c r="D18" i="191"/>
  <c r="I3" i="191"/>
  <c r="G3" i="191"/>
  <c r="E3" i="191"/>
  <c r="I2" i="191"/>
  <c r="G2" i="191"/>
  <c r="E145" i="31"/>
  <c r="E148" i="31"/>
  <c r="P71" i="128"/>
  <c r="Q71" i="128" s="1"/>
  <c r="D71" i="128"/>
  <c r="P70" i="128"/>
  <c r="Q70" i="128" s="1"/>
  <c r="D70" i="128"/>
  <c r="P69" i="128"/>
  <c r="Q69" i="128" s="1"/>
  <c r="D69" i="128"/>
  <c r="P68" i="128"/>
  <c r="Q68" i="128" s="1"/>
  <c r="D68" i="128"/>
  <c r="P67" i="128"/>
  <c r="Q67" i="128" s="1"/>
  <c r="D67" i="128"/>
  <c r="P66" i="128"/>
  <c r="Q66" i="128" s="1"/>
  <c r="D66" i="128"/>
  <c r="P65" i="128"/>
  <c r="Q65" i="128" s="1"/>
  <c r="D65" i="128"/>
  <c r="P64" i="128"/>
  <c r="Q64" i="128" s="1"/>
  <c r="D64" i="128"/>
  <c r="P63" i="128"/>
  <c r="Q63" i="128" s="1"/>
  <c r="D63" i="128"/>
  <c r="P62" i="128"/>
  <c r="Q62" i="128" s="1"/>
  <c r="D62" i="128"/>
  <c r="P61" i="128"/>
  <c r="Q61" i="128" s="1"/>
  <c r="D61" i="128"/>
  <c r="P60" i="128"/>
  <c r="Q60" i="128" s="1"/>
  <c r="D60" i="128"/>
  <c r="P59" i="128"/>
  <c r="Q59" i="128" s="1"/>
  <c r="D59" i="128"/>
  <c r="P58" i="128"/>
  <c r="Q58" i="128" s="1"/>
  <c r="D58" i="128"/>
  <c r="P57" i="128"/>
  <c r="Q57" i="128" s="1"/>
  <c r="D57" i="128"/>
  <c r="P56" i="128"/>
  <c r="Q56" i="128" s="1"/>
  <c r="D56" i="128"/>
  <c r="P55" i="128"/>
  <c r="Q55" i="128" s="1"/>
  <c r="D55" i="128"/>
  <c r="P54" i="128"/>
  <c r="Q54" i="128" s="1"/>
  <c r="D54" i="128"/>
  <c r="P53" i="128"/>
  <c r="Q53" i="128" s="1"/>
  <c r="D53" i="128"/>
  <c r="P52" i="128"/>
  <c r="Q52" i="128" s="1"/>
  <c r="D52" i="128"/>
  <c r="P51" i="128"/>
  <c r="Q51" i="128" s="1"/>
  <c r="D51" i="128"/>
  <c r="P50" i="128"/>
  <c r="Q50" i="128" s="1"/>
  <c r="D50" i="128"/>
  <c r="P49" i="128"/>
  <c r="Q49" i="128" s="1"/>
  <c r="D49" i="128"/>
  <c r="P48" i="128"/>
  <c r="Q48" i="128" s="1"/>
  <c r="D48" i="128"/>
  <c r="P47" i="128"/>
  <c r="Q47" i="128" s="1"/>
  <c r="D47" i="128"/>
  <c r="P46" i="128"/>
  <c r="Q46" i="128" s="1"/>
  <c r="D46" i="128"/>
  <c r="P45" i="128"/>
  <c r="Q45" i="128" s="1"/>
  <c r="D45" i="128"/>
  <c r="P44" i="128"/>
  <c r="Q44" i="128" s="1"/>
  <c r="D44" i="128"/>
  <c r="P34" i="128"/>
  <c r="Q34" i="128" s="1"/>
  <c r="D34" i="128"/>
  <c r="P33" i="128"/>
  <c r="Q33" i="128" s="1"/>
  <c r="D33" i="128"/>
  <c r="P32" i="128"/>
  <c r="Q32" i="128" s="1"/>
  <c r="D32" i="128"/>
  <c r="V80" i="30"/>
  <c r="G80" i="30" s="1"/>
  <c r="V58" i="30"/>
  <c r="G58" i="30"/>
  <c r="G97" i="128" s="1"/>
  <c r="C317" i="29"/>
  <c r="C318" i="29"/>
  <c r="C319" i="29"/>
  <c r="C322" i="29"/>
  <c r="C305" i="29"/>
  <c r="C306" i="29"/>
  <c r="C307" i="29"/>
  <c r="C315" i="29"/>
  <c r="C310" i="29"/>
  <c r="D14" i="101"/>
  <c r="D14" i="94"/>
  <c r="D34" i="123"/>
  <c r="D33" i="123"/>
  <c r="D32" i="123"/>
  <c r="C2" i="189"/>
  <c r="C2" i="188"/>
  <c r="C2" i="190"/>
  <c r="P29" i="190"/>
  <c r="Q29" i="190" s="1"/>
  <c r="N29" i="190"/>
  <c r="M29" i="190"/>
  <c r="L29" i="190"/>
  <c r="K29" i="190"/>
  <c r="J29" i="190"/>
  <c r="H29" i="190"/>
  <c r="G29" i="190"/>
  <c r="F29" i="190"/>
  <c r="P28" i="190"/>
  <c r="Q28" i="190" s="1"/>
  <c r="N28" i="190"/>
  <c r="M28" i="190"/>
  <c r="L28" i="190"/>
  <c r="K28" i="190"/>
  <c r="J28" i="190"/>
  <c r="H28" i="190"/>
  <c r="G28" i="190"/>
  <c r="F28" i="190"/>
  <c r="P27" i="190"/>
  <c r="Q27" i="190" s="1"/>
  <c r="N27" i="190"/>
  <c r="M27" i="190"/>
  <c r="L27" i="190"/>
  <c r="K27" i="190"/>
  <c r="J27" i="190"/>
  <c r="H27" i="190"/>
  <c r="G27" i="190"/>
  <c r="F27" i="190"/>
  <c r="P26" i="190"/>
  <c r="Q26" i="190" s="1"/>
  <c r="N26" i="190"/>
  <c r="M26" i="190"/>
  <c r="L26" i="190"/>
  <c r="K26" i="190"/>
  <c r="J26" i="190"/>
  <c r="H26" i="190"/>
  <c r="G26" i="190"/>
  <c r="F26" i="190"/>
  <c r="D21" i="190"/>
  <c r="D20" i="190"/>
  <c r="D19" i="190"/>
  <c r="D18" i="190"/>
  <c r="D17" i="190"/>
  <c r="D16" i="190"/>
  <c r="D15" i="190"/>
  <c r="D14" i="190"/>
  <c r="D13" i="190"/>
  <c r="D12" i="190"/>
  <c r="D11" i="190"/>
  <c r="I3" i="190"/>
  <c r="G3" i="190"/>
  <c r="E3" i="190"/>
  <c r="I2" i="190"/>
  <c r="G2" i="190"/>
  <c r="P25" i="189"/>
  <c r="Q25" i="189" s="1"/>
  <c r="N25" i="189"/>
  <c r="M25" i="189"/>
  <c r="L25" i="189"/>
  <c r="K25" i="189"/>
  <c r="J25" i="189"/>
  <c r="H25" i="189"/>
  <c r="G25" i="189"/>
  <c r="F25" i="189"/>
  <c r="P24" i="189"/>
  <c r="Q24" i="189" s="1"/>
  <c r="N24" i="189"/>
  <c r="M24" i="189"/>
  <c r="L24" i="189"/>
  <c r="K24" i="189"/>
  <c r="J24" i="189"/>
  <c r="H24" i="189"/>
  <c r="G24" i="189"/>
  <c r="F24" i="189"/>
  <c r="P23" i="189"/>
  <c r="Q23" i="189" s="1"/>
  <c r="N23" i="189"/>
  <c r="M23" i="189"/>
  <c r="L23" i="189"/>
  <c r="K23" i="189"/>
  <c r="J23" i="189"/>
  <c r="H23" i="189"/>
  <c r="G23" i="189"/>
  <c r="F23" i="189"/>
  <c r="P22" i="189"/>
  <c r="Q22" i="189" s="1"/>
  <c r="N22" i="189"/>
  <c r="M22" i="189"/>
  <c r="L22" i="189"/>
  <c r="K22" i="189"/>
  <c r="J22" i="189"/>
  <c r="H22" i="189"/>
  <c r="G22" i="189"/>
  <c r="F22" i="189"/>
  <c r="D20" i="189"/>
  <c r="D19" i="189"/>
  <c r="D18" i="189"/>
  <c r="D17" i="189"/>
  <c r="D16" i="189"/>
  <c r="D15" i="189"/>
  <c r="D14" i="189"/>
  <c r="D13" i="189"/>
  <c r="D12" i="189"/>
  <c r="D11" i="189"/>
  <c r="I3" i="189"/>
  <c r="G3" i="189"/>
  <c r="E3" i="189"/>
  <c r="I2" i="189"/>
  <c r="G2" i="189"/>
  <c r="P19" i="188"/>
  <c r="Q19" i="188" s="1"/>
  <c r="N19" i="188"/>
  <c r="M19" i="188"/>
  <c r="L19" i="188"/>
  <c r="K19" i="188"/>
  <c r="J19" i="188"/>
  <c r="H19" i="188"/>
  <c r="G19" i="188"/>
  <c r="F19" i="188"/>
  <c r="P18" i="188"/>
  <c r="Q18" i="188" s="1"/>
  <c r="N18" i="188"/>
  <c r="M18" i="188"/>
  <c r="L18" i="188"/>
  <c r="K18" i="188"/>
  <c r="J18" i="188"/>
  <c r="H18" i="188"/>
  <c r="G18" i="188"/>
  <c r="F18" i="188"/>
  <c r="D11" i="188"/>
  <c r="D10" i="188"/>
  <c r="D9" i="188"/>
  <c r="I3" i="188"/>
  <c r="G3" i="188"/>
  <c r="E3" i="188"/>
  <c r="I2" i="188"/>
  <c r="G2" i="188"/>
  <c r="P13" i="187"/>
  <c r="Q13" i="187" s="1"/>
  <c r="N13" i="187"/>
  <c r="M13" i="187"/>
  <c r="L13" i="187"/>
  <c r="K13" i="187"/>
  <c r="J13" i="187"/>
  <c r="H13" i="187"/>
  <c r="G13" i="187"/>
  <c r="F13" i="187"/>
  <c r="D11" i="187"/>
  <c r="D10" i="187"/>
  <c r="I3" i="187"/>
  <c r="G3" i="187"/>
  <c r="E3" i="187"/>
  <c r="I2" i="187"/>
  <c r="G2" i="187"/>
  <c r="P10" i="186"/>
  <c r="Q10" i="186" s="1"/>
  <c r="N10" i="186"/>
  <c r="M10" i="186"/>
  <c r="L10" i="186"/>
  <c r="K10" i="186"/>
  <c r="J10" i="186"/>
  <c r="H10" i="186"/>
  <c r="G10" i="186"/>
  <c r="F10" i="186"/>
  <c r="D8" i="186"/>
  <c r="D7" i="186"/>
  <c r="I3" i="186"/>
  <c r="G3" i="186"/>
  <c r="E3" i="186"/>
  <c r="I2" i="186"/>
  <c r="G2" i="186"/>
  <c r="P10" i="185"/>
  <c r="Q10" i="185" s="1"/>
  <c r="N10" i="185"/>
  <c r="M10" i="185"/>
  <c r="L10" i="185"/>
  <c r="K10" i="185"/>
  <c r="J10" i="185"/>
  <c r="H10" i="185"/>
  <c r="G10" i="185"/>
  <c r="F10" i="185"/>
  <c r="D8" i="185"/>
  <c r="D7" i="185"/>
  <c r="I3" i="185"/>
  <c r="G3" i="185"/>
  <c r="E3" i="185"/>
  <c r="I2" i="185"/>
  <c r="G2" i="185"/>
  <c r="P10" i="184"/>
  <c r="Q10" i="184" s="1"/>
  <c r="N10" i="184"/>
  <c r="M10" i="184"/>
  <c r="L10" i="184"/>
  <c r="K10" i="184"/>
  <c r="J10" i="184"/>
  <c r="H10" i="184"/>
  <c r="G10" i="184"/>
  <c r="F10" i="184"/>
  <c r="D8" i="184"/>
  <c r="D7" i="184"/>
  <c r="I3" i="184"/>
  <c r="G3" i="184"/>
  <c r="E3" i="184"/>
  <c r="I2" i="184"/>
  <c r="G2" i="184"/>
  <c r="P10" i="183"/>
  <c r="Q10" i="183" s="1"/>
  <c r="N10" i="183"/>
  <c r="M10" i="183"/>
  <c r="L10" i="183"/>
  <c r="K10" i="183"/>
  <c r="J10" i="183"/>
  <c r="H10" i="183"/>
  <c r="G10" i="183"/>
  <c r="F10" i="183"/>
  <c r="D8" i="183"/>
  <c r="D7" i="183"/>
  <c r="I3" i="183"/>
  <c r="G3" i="183"/>
  <c r="E3" i="183"/>
  <c r="I2" i="183"/>
  <c r="G2" i="183"/>
  <c r="P12" i="182"/>
  <c r="Q12" i="182" s="1"/>
  <c r="N12" i="182"/>
  <c r="M12" i="182"/>
  <c r="L12" i="182"/>
  <c r="K12" i="182"/>
  <c r="J12" i="182"/>
  <c r="H12" i="182"/>
  <c r="G12" i="182"/>
  <c r="F12" i="182"/>
  <c r="P11" i="182"/>
  <c r="Q11" i="182" s="1"/>
  <c r="N11" i="182"/>
  <c r="M11" i="182"/>
  <c r="L11" i="182"/>
  <c r="K11" i="182"/>
  <c r="J11" i="182"/>
  <c r="H11" i="182"/>
  <c r="G11" i="182"/>
  <c r="F11" i="182"/>
  <c r="D9" i="182"/>
  <c r="D8" i="182"/>
  <c r="D7" i="182"/>
  <c r="I3" i="182"/>
  <c r="G3" i="182"/>
  <c r="E3" i="182"/>
  <c r="I2" i="182"/>
  <c r="G2" i="182"/>
  <c r="C2" i="181"/>
  <c r="P17" i="181"/>
  <c r="Q17" i="181" s="1"/>
  <c r="N17" i="181"/>
  <c r="M17" i="181"/>
  <c r="L17" i="181"/>
  <c r="K17" i="181"/>
  <c r="J17" i="181"/>
  <c r="H17" i="181"/>
  <c r="G17" i="181"/>
  <c r="F17" i="181"/>
  <c r="P16" i="181"/>
  <c r="Q16" i="181" s="1"/>
  <c r="N16" i="181"/>
  <c r="M16" i="181"/>
  <c r="L16" i="181"/>
  <c r="K16" i="181"/>
  <c r="J16" i="181"/>
  <c r="H16" i="181"/>
  <c r="G16" i="181"/>
  <c r="F16" i="181"/>
  <c r="D11" i="181"/>
  <c r="D10" i="181"/>
  <c r="D9" i="181"/>
  <c r="D8" i="181"/>
  <c r="D7" i="181"/>
  <c r="I3" i="181"/>
  <c r="G3" i="181"/>
  <c r="E3" i="181"/>
  <c r="I2" i="181"/>
  <c r="G2" i="181"/>
  <c r="C2" i="180"/>
  <c r="P26" i="180"/>
  <c r="Q26" i="180" s="1"/>
  <c r="N26" i="180"/>
  <c r="M26" i="180"/>
  <c r="L26" i="180"/>
  <c r="K26" i="180"/>
  <c r="J26" i="180"/>
  <c r="H26" i="180"/>
  <c r="G26" i="180"/>
  <c r="F26" i="180"/>
  <c r="P25" i="180"/>
  <c r="Q25" i="180" s="1"/>
  <c r="N25" i="180"/>
  <c r="M25" i="180"/>
  <c r="L25" i="180"/>
  <c r="K25" i="180"/>
  <c r="J25" i="180"/>
  <c r="H25" i="180"/>
  <c r="G25" i="180"/>
  <c r="F25" i="180"/>
  <c r="P24" i="180"/>
  <c r="Q24" i="180" s="1"/>
  <c r="N24" i="180"/>
  <c r="M24" i="180"/>
  <c r="L24" i="180"/>
  <c r="K24" i="180"/>
  <c r="J24" i="180"/>
  <c r="H24" i="180"/>
  <c r="G24" i="180"/>
  <c r="F24" i="180"/>
  <c r="P23" i="180"/>
  <c r="Q23" i="180" s="1"/>
  <c r="N23" i="180"/>
  <c r="M23" i="180"/>
  <c r="L23" i="180"/>
  <c r="K23" i="180"/>
  <c r="J23" i="180"/>
  <c r="H23" i="180"/>
  <c r="G23" i="180"/>
  <c r="F23" i="180"/>
  <c r="P22" i="180"/>
  <c r="Q22" i="180" s="1"/>
  <c r="N22" i="180"/>
  <c r="M22" i="180"/>
  <c r="L22" i="180"/>
  <c r="K22" i="180"/>
  <c r="J22" i="180"/>
  <c r="H22" i="180"/>
  <c r="G22" i="180"/>
  <c r="F22" i="180"/>
  <c r="P21" i="180"/>
  <c r="Q21" i="180" s="1"/>
  <c r="N21" i="180"/>
  <c r="M21" i="180"/>
  <c r="L21" i="180"/>
  <c r="K21" i="180"/>
  <c r="J21" i="180"/>
  <c r="H21" i="180"/>
  <c r="G21" i="180"/>
  <c r="F21" i="180"/>
  <c r="D19" i="180"/>
  <c r="D18" i="180"/>
  <c r="D17" i="180"/>
  <c r="D15" i="180"/>
  <c r="D14" i="180"/>
  <c r="D13" i="180"/>
  <c r="D12" i="180"/>
  <c r="I3" i="180"/>
  <c r="G3" i="180"/>
  <c r="E3" i="180"/>
  <c r="I2" i="180"/>
  <c r="G2" i="180"/>
  <c r="C2" i="179"/>
  <c r="Q29" i="179"/>
  <c r="P26" i="179"/>
  <c r="Q26" i="179" s="1"/>
  <c r="N26" i="179"/>
  <c r="M26" i="179"/>
  <c r="L26" i="179"/>
  <c r="K26" i="179"/>
  <c r="J26" i="179"/>
  <c r="H26" i="179"/>
  <c r="G26" i="179"/>
  <c r="F26" i="179"/>
  <c r="P25" i="179"/>
  <c r="Q25" i="179" s="1"/>
  <c r="N25" i="179"/>
  <c r="M25" i="179"/>
  <c r="L25" i="179"/>
  <c r="K25" i="179"/>
  <c r="J25" i="179"/>
  <c r="H25" i="179"/>
  <c r="G25" i="179"/>
  <c r="F25" i="179"/>
  <c r="P24" i="179"/>
  <c r="Q24" i="179" s="1"/>
  <c r="N24" i="179"/>
  <c r="M24" i="179"/>
  <c r="L24" i="179"/>
  <c r="K24" i="179"/>
  <c r="J24" i="179"/>
  <c r="H24" i="179"/>
  <c r="G24" i="179"/>
  <c r="F24" i="179"/>
  <c r="P23" i="179"/>
  <c r="Q23" i="179" s="1"/>
  <c r="N23" i="179"/>
  <c r="M23" i="179"/>
  <c r="L23" i="179"/>
  <c r="K23" i="179"/>
  <c r="J23" i="179"/>
  <c r="H23" i="179"/>
  <c r="G23" i="179"/>
  <c r="F23" i="179"/>
  <c r="D14" i="179"/>
  <c r="D13" i="179"/>
  <c r="I3" i="179"/>
  <c r="G3" i="179"/>
  <c r="E3" i="179"/>
  <c r="I2" i="179"/>
  <c r="G2" i="179"/>
  <c r="C2" i="178"/>
  <c r="Q30" i="178"/>
  <c r="Q29" i="178"/>
  <c r="Q28" i="178"/>
  <c r="Q27" i="178"/>
  <c r="Q26" i="178"/>
  <c r="Q25" i="178"/>
  <c r="Q24" i="178"/>
  <c r="D22" i="178"/>
  <c r="D21" i="178"/>
  <c r="D20" i="178"/>
  <c r="I3" i="178"/>
  <c r="G3" i="178"/>
  <c r="E3" i="178"/>
  <c r="I2" i="178"/>
  <c r="G2" i="178"/>
  <c r="C2" i="177"/>
  <c r="Q45" i="177"/>
  <c r="Q44" i="177"/>
  <c r="Q43" i="177"/>
  <c r="Q42" i="177"/>
  <c r="Q41" i="177"/>
  <c r="Q40" i="177"/>
  <c r="Q39" i="177"/>
  <c r="Q38" i="177"/>
  <c r="Q37" i="177"/>
  <c r="Q36" i="177"/>
  <c r="Q35" i="177"/>
  <c r="D33" i="177"/>
  <c r="D32" i="177"/>
  <c r="D31" i="177"/>
  <c r="I3" i="177"/>
  <c r="G3" i="177"/>
  <c r="E3" i="177"/>
  <c r="I2" i="177"/>
  <c r="G2" i="177"/>
  <c r="E139" i="31"/>
  <c r="E141" i="31"/>
  <c r="E105" i="31"/>
  <c r="E106" i="31"/>
  <c r="E107" i="31"/>
  <c r="E108" i="31"/>
  <c r="E124" i="31"/>
  <c r="E138" i="31"/>
  <c r="E103" i="31"/>
  <c r="E123" i="31"/>
  <c r="E137" i="31"/>
  <c r="E140" i="31"/>
  <c r="E142" i="31"/>
  <c r="E104" i="31"/>
  <c r="C452" i="29"/>
  <c r="C476" i="29"/>
  <c r="C470" i="29"/>
  <c r="C463" i="29"/>
  <c r="D13" i="175"/>
  <c r="V68" i="30"/>
  <c r="G68" i="30"/>
  <c r="G33" i="171" s="1"/>
  <c r="Q33" i="171"/>
  <c r="P15" i="173"/>
  <c r="Q15" i="173" s="1"/>
  <c r="N15" i="173"/>
  <c r="M15" i="173"/>
  <c r="L15" i="173"/>
  <c r="K15" i="173"/>
  <c r="J15" i="173"/>
  <c r="H15" i="173"/>
  <c r="G15" i="173"/>
  <c r="F15" i="173"/>
  <c r="P14" i="173"/>
  <c r="Q14" i="173" s="1"/>
  <c r="N14" i="173"/>
  <c r="M14" i="173"/>
  <c r="L14" i="173"/>
  <c r="K14" i="173"/>
  <c r="J14" i="173"/>
  <c r="H14" i="173"/>
  <c r="G14" i="173"/>
  <c r="F14" i="173"/>
  <c r="P27" i="171"/>
  <c r="Q27" i="171" s="1"/>
  <c r="N27" i="171"/>
  <c r="M27" i="171"/>
  <c r="L27" i="171"/>
  <c r="K27" i="171"/>
  <c r="J27" i="171"/>
  <c r="H27" i="171"/>
  <c r="G27" i="171"/>
  <c r="F27" i="171"/>
  <c r="P29" i="171"/>
  <c r="Q29" i="171" s="1"/>
  <c r="N29" i="171"/>
  <c r="M29" i="171"/>
  <c r="L29" i="171"/>
  <c r="K29" i="171"/>
  <c r="J29" i="171"/>
  <c r="H29" i="171"/>
  <c r="G29" i="171"/>
  <c r="F29" i="171"/>
  <c r="P28" i="171"/>
  <c r="Q28" i="171" s="1"/>
  <c r="N28" i="171"/>
  <c r="M28" i="171"/>
  <c r="L28" i="171"/>
  <c r="K28" i="171"/>
  <c r="J28" i="171"/>
  <c r="H28" i="171"/>
  <c r="G28" i="171"/>
  <c r="F28" i="171"/>
  <c r="P31" i="171"/>
  <c r="Q31" i="171" s="1"/>
  <c r="C2" i="148"/>
  <c r="C2" i="147"/>
  <c r="C2" i="133"/>
  <c r="C2" i="159"/>
  <c r="P31" i="159"/>
  <c r="Q31" i="159" s="1"/>
  <c r="N31" i="159"/>
  <c r="M31" i="159"/>
  <c r="L31" i="159"/>
  <c r="K31" i="159"/>
  <c r="J31" i="159"/>
  <c r="H31" i="159"/>
  <c r="G31" i="159"/>
  <c r="F31" i="159"/>
  <c r="P30" i="159"/>
  <c r="Q30" i="159" s="1"/>
  <c r="N30" i="159"/>
  <c r="M30" i="159"/>
  <c r="L30" i="159"/>
  <c r="K30" i="159"/>
  <c r="J30" i="159"/>
  <c r="H30" i="159"/>
  <c r="G30" i="159"/>
  <c r="F30" i="159"/>
  <c r="P29" i="159"/>
  <c r="Q29" i="159" s="1"/>
  <c r="N29" i="159"/>
  <c r="M29" i="159"/>
  <c r="L29" i="159"/>
  <c r="K29" i="159"/>
  <c r="J29" i="159"/>
  <c r="H29" i="159"/>
  <c r="G29" i="159"/>
  <c r="F29" i="159"/>
  <c r="P28" i="159"/>
  <c r="Q28" i="159" s="1"/>
  <c r="N28" i="159"/>
  <c r="M28" i="159"/>
  <c r="L28" i="159"/>
  <c r="K28" i="159"/>
  <c r="J28" i="159"/>
  <c r="H28" i="159"/>
  <c r="G28" i="159"/>
  <c r="F28" i="159"/>
  <c r="P27" i="159"/>
  <c r="Q27" i="159" s="1"/>
  <c r="N27" i="159"/>
  <c r="M27" i="159"/>
  <c r="L27" i="159"/>
  <c r="K27" i="159"/>
  <c r="J27" i="159"/>
  <c r="H27" i="159"/>
  <c r="G27" i="159"/>
  <c r="F27" i="159"/>
  <c r="P26" i="159"/>
  <c r="Q26" i="159" s="1"/>
  <c r="N26" i="159"/>
  <c r="M26" i="159"/>
  <c r="L26" i="159"/>
  <c r="K26" i="159"/>
  <c r="J26" i="159"/>
  <c r="H26" i="159"/>
  <c r="G26" i="159"/>
  <c r="F26" i="159"/>
  <c r="P25" i="159"/>
  <c r="Q25" i="159" s="1"/>
  <c r="N25" i="159"/>
  <c r="M25" i="159"/>
  <c r="L25" i="159"/>
  <c r="K25" i="159"/>
  <c r="J25" i="159"/>
  <c r="H25" i="159"/>
  <c r="G25" i="159"/>
  <c r="F25" i="159"/>
  <c r="I3" i="159"/>
  <c r="G3" i="159"/>
  <c r="E3" i="159"/>
  <c r="I2" i="159"/>
  <c r="G2" i="159"/>
  <c r="E186" i="31"/>
  <c r="E188" i="31"/>
  <c r="P28" i="157"/>
  <c r="Q28" i="157" s="1"/>
  <c r="N28" i="157"/>
  <c r="M28" i="157"/>
  <c r="L28" i="157"/>
  <c r="K28" i="157"/>
  <c r="J28" i="157"/>
  <c r="H28" i="157"/>
  <c r="G28" i="157"/>
  <c r="F28" i="157"/>
  <c r="P27" i="157"/>
  <c r="Q27" i="157" s="1"/>
  <c r="N27" i="157"/>
  <c r="M27" i="157"/>
  <c r="L27" i="157"/>
  <c r="K27" i="157"/>
  <c r="J27" i="157"/>
  <c r="H27" i="157"/>
  <c r="G27" i="157"/>
  <c r="F27" i="157"/>
  <c r="P26" i="157"/>
  <c r="Q26" i="157" s="1"/>
  <c r="N26" i="157"/>
  <c r="M26" i="157"/>
  <c r="L26" i="157"/>
  <c r="K26" i="157"/>
  <c r="J26" i="157"/>
  <c r="H26" i="157"/>
  <c r="G26" i="157"/>
  <c r="F26" i="157"/>
  <c r="P25" i="157"/>
  <c r="Q25" i="157" s="1"/>
  <c r="N25" i="157"/>
  <c r="M25" i="157"/>
  <c r="L25" i="157"/>
  <c r="K25" i="157"/>
  <c r="J25" i="157"/>
  <c r="H25" i="157"/>
  <c r="G25" i="157"/>
  <c r="F25" i="157"/>
  <c r="P24" i="157"/>
  <c r="Q24" i="157" s="1"/>
  <c r="N24" i="157"/>
  <c r="M24" i="157"/>
  <c r="L24" i="157"/>
  <c r="K24" i="157"/>
  <c r="J24" i="157"/>
  <c r="H24" i="157"/>
  <c r="G24" i="157"/>
  <c r="F24" i="157"/>
  <c r="P23" i="157"/>
  <c r="Q23" i="157" s="1"/>
  <c r="N23" i="157"/>
  <c r="M23" i="157"/>
  <c r="L23" i="157"/>
  <c r="K23" i="157"/>
  <c r="J23" i="157"/>
  <c r="H23" i="157"/>
  <c r="G23" i="157"/>
  <c r="F23" i="157"/>
  <c r="I3" i="157"/>
  <c r="G3" i="157"/>
  <c r="E3" i="157"/>
  <c r="I2" i="157"/>
  <c r="G2" i="157"/>
  <c r="P23" i="156"/>
  <c r="Q23" i="156" s="1"/>
  <c r="N23" i="156"/>
  <c r="M23" i="156"/>
  <c r="L23" i="156"/>
  <c r="K23" i="156"/>
  <c r="J23" i="156"/>
  <c r="H23" i="156"/>
  <c r="G23" i="156"/>
  <c r="F23" i="156"/>
  <c r="P22" i="156"/>
  <c r="Q22" i="156" s="1"/>
  <c r="N22" i="156"/>
  <c r="M22" i="156"/>
  <c r="L22" i="156"/>
  <c r="K22" i="156"/>
  <c r="J22" i="156"/>
  <c r="H22" i="156"/>
  <c r="G22" i="156"/>
  <c r="F22" i="156"/>
  <c r="P21" i="156"/>
  <c r="Q21" i="156" s="1"/>
  <c r="N21" i="156"/>
  <c r="M21" i="156"/>
  <c r="L21" i="156"/>
  <c r="K21" i="156"/>
  <c r="J21" i="156"/>
  <c r="H21" i="156"/>
  <c r="G21" i="156"/>
  <c r="F21" i="156"/>
  <c r="P20" i="156"/>
  <c r="Q20" i="156" s="1"/>
  <c r="N20" i="156"/>
  <c r="M20" i="156"/>
  <c r="L20" i="156"/>
  <c r="K20" i="156"/>
  <c r="J20" i="156"/>
  <c r="H20" i="156"/>
  <c r="G20" i="156"/>
  <c r="F20" i="156"/>
  <c r="I3" i="156"/>
  <c r="G3" i="156"/>
  <c r="E3" i="156"/>
  <c r="I2" i="156"/>
  <c r="G2" i="156"/>
  <c r="P17" i="155"/>
  <c r="Q17" i="155" s="1"/>
  <c r="N17" i="155"/>
  <c r="M17" i="155"/>
  <c r="L17" i="155"/>
  <c r="K17" i="155"/>
  <c r="J17" i="155"/>
  <c r="H17" i="155"/>
  <c r="G17" i="155"/>
  <c r="F17" i="155"/>
  <c r="P16" i="155"/>
  <c r="Q16" i="155" s="1"/>
  <c r="N16" i="155"/>
  <c r="M16" i="155"/>
  <c r="L16" i="155"/>
  <c r="K16" i="155"/>
  <c r="J16" i="155"/>
  <c r="H16" i="155"/>
  <c r="G16" i="155"/>
  <c r="F16" i="155"/>
  <c r="P15" i="155"/>
  <c r="Q15" i="155" s="1"/>
  <c r="N15" i="155"/>
  <c r="M15" i="155"/>
  <c r="L15" i="155"/>
  <c r="K15" i="155"/>
  <c r="J15" i="155"/>
  <c r="H15" i="155"/>
  <c r="G15" i="155"/>
  <c r="F15" i="155"/>
  <c r="P14" i="155"/>
  <c r="Q14" i="155" s="1"/>
  <c r="N14" i="155"/>
  <c r="M14" i="155"/>
  <c r="L14" i="155"/>
  <c r="K14" i="155"/>
  <c r="J14" i="155"/>
  <c r="H14" i="155"/>
  <c r="G14" i="155"/>
  <c r="F14" i="155"/>
  <c r="P13" i="155"/>
  <c r="Q13" i="155" s="1"/>
  <c r="N13" i="155"/>
  <c r="M13" i="155"/>
  <c r="L13" i="155"/>
  <c r="K13" i="155"/>
  <c r="J13" i="155"/>
  <c r="H13" i="155"/>
  <c r="G13" i="155"/>
  <c r="F13" i="155"/>
  <c r="I3" i="155"/>
  <c r="G3" i="155"/>
  <c r="E3" i="155"/>
  <c r="I2" i="155"/>
  <c r="G2" i="155"/>
  <c r="P20" i="154"/>
  <c r="Q20" i="154" s="1"/>
  <c r="N20" i="154"/>
  <c r="M20" i="154"/>
  <c r="L20" i="154"/>
  <c r="K20" i="154"/>
  <c r="J20" i="154"/>
  <c r="H20" i="154"/>
  <c r="G20" i="154"/>
  <c r="F20" i="154"/>
  <c r="P19" i="154"/>
  <c r="Q19" i="154" s="1"/>
  <c r="N19" i="154"/>
  <c r="M19" i="154"/>
  <c r="L19" i="154"/>
  <c r="K19" i="154"/>
  <c r="J19" i="154"/>
  <c r="H19" i="154"/>
  <c r="G19" i="154"/>
  <c r="F19" i="154"/>
  <c r="P18" i="154"/>
  <c r="Q18" i="154" s="1"/>
  <c r="N18" i="154"/>
  <c r="M18" i="154"/>
  <c r="L18" i="154"/>
  <c r="K18" i="154"/>
  <c r="J18" i="154"/>
  <c r="H18" i="154"/>
  <c r="G18" i="154"/>
  <c r="F18" i="154"/>
  <c r="P17" i="154"/>
  <c r="Q17" i="154" s="1"/>
  <c r="N17" i="154"/>
  <c r="M17" i="154"/>
  <c r="L17" i="154"/>
  <c r="K17" i="154"/>
  <c r="J17" i="154"/>
  <c r="H17" i="154"/>
  <c r="G17" i="154"/>
  <c r="F17" i="154"/>
  <c r="P16" i="154"/>
  <c r="Q16" i="154" s="1"/>
  <c r="N16" i="154"/>
  <c r="M16" i="154"/>
  <c r="L16" i="154"/>
  <c r="K16" i="154"/>
  <c r="J16" i="154"/>
  <c r="H16" i="154"/>
  <c r="G16" i="154"/>
  <c r="F16" i="154"/>
  <c r="I3" i="154"/>
  <c r="G3" i="154"/>
  <c r="E3" i="154"/>
  <c r="I2" i="154"/>
  <c r="G2" i="154"/>
  <c r="P31" i="150"/>
  <c r="Q31" i="150" s="1"/>
  <c r="N31" i="150"/>
  <c r="M31" i="150"/>
  <c r="L31" i="150"/>
  <c r="K31" i="150"/>
  <c r="J31" i="150"/>
  <c r="H31" i="150"/>
  <c r="G31" i="150"/>
  <c r="F31" i="150"/>
  <c r="P30" i="150"/>
  <c r="Q30" i="150" s="1"/>
  <c r="N30" i="150"/>
  <c r="M30" i="150"/>
  <c r="L30" i="150"/>
  <c r="K30" i="150"/>
  <c r="J30" i="150"/>
  <c r="H30" i="150"/>
  <c r="G30" i="150"/>
  <c r="F30" i="150"/>
  <c r="P29" i="150"/>
  <c r="Q29" i="150" s="1"/>
  <c r="N29" i="150"/>
  <c r="M29" i="150"/>
  <c r="L29" i="150"/>
  <c r="K29" i="150"/>
  <c r="J29" i="150"/>
  <c r="H29" i="150"/>
  <c r="G29" i="150"/>
  <c r="F29" i="150"/>
  <c r="P28" i="150"/>
  <c r="Q28" i="150" s="1"/>
  <c r="N28" i="150"/>
  <c r="M28" i="150"/>
  <c r="L28" i="150"/>
  <c r="K28" i="150"/>
  <c r="J28" i="150"/>
  <c r="H28" i="150"/>
  <c r="G28" i="150"/>
  <c r="F28" i="150"/>
  <c r="P27" i="150"/>
  <c r="Q27" i="150" s="1"/>
  <c r="N27" i="150"/>
  <c r="M27" i="150"/>
  <c r="L27" i="150"/>
  <c r="K27" i="150"/>
  <c r="J27" i="150"/>
  <c r="H27" i="150"/>
  <c r="G27" i="150"/>
  <c r="F27" i="150"/>
  <c r="P26" i="150"/>
  <c r="Q26" i="150" s="1"/>
  <c r="N26" i="150"/>
  <c r="M26" i="150"/>
  <c r="L26" i="150"/>
  <c r="K26" i="150"/>
  <c r="J26" i="150"/>
  <c r="H26" i="150"/>
  <c r="G26" i="150"/>
  <c r="F26" i="150"/>
  <c r="P25" i="150"/>
  <c r="Q25" i="150" s="1"/>
  <c r="N25" i="150"/>
  <c r="M25" i="150"/>
  <c r="L25" i="150"/>
  <c r="K25" i="150"/>
  <c r="J25" i="150"/>
  <c r="H25" i="150"/>
  <c r="G25" i="150"/>
  <c r="F25" i="150"/>
  <c r="I3" i="150"/>
  <c r="G3" i="150"/>
  <c r="E3" i="150"/>
  <c r="I2" i="150"/>
  <c r="G2" i="150"/>
  <c r="P28" i="149"/>
  <c r="Q28" i="149" s="1"/>
  <c r="N28" i="149"/>
  <c r="M28" i="149"/>
  <c r="L28" i="149"/>
  <c r="K28" i="149"/>
  <c r="J28" i="149"/>
  <c r="H28" i="149"/>
  <c r="G28" i="149"/>
  <c r="F28" i="149"/>
  <c r="P27" i="149"/>
  <c r="Q27" i="149" s="1"/>
  <c r="N27" i="149"/>
  <c r="M27" i="149"/>
  <c r="L27" i="149"/>
  <c r="K27" i="149"/>
  <c r="J27" i="149"/>
  <c r="H27" i="149"/>
  <c r="G27" i="149"/>
  <c r="F27" i="149"/>
  <c r="P26" i="149"/>
  <c r="Q26" i="149" s="1"/>
  <c r="N26" i="149"/>
  <c r="M26" i="149"/>
  <c r="L26" i="149"/>
  <c r="K26" i="149"/>
  <c r="J26" i="149"/>
  <c r="H26" i="149"/>
  <c r="G26" i="149"/>
  <c r="F26" i="149"/>
  <c r="P25" i="149"/>
  <c r="Q25" i="149" s="1"/>
  <c r="N25" i="149"/>
  <c r="M25" i="149"/>
  <c r="L25" i="149"/>
  <c r="K25" i="149"/>
  <c r="J25" i="149"/>
  <c r="H25" i="149"/>
  <c r="G25" i="149"/>
  <c r="F25" i="149"/>
  <c r="P24" i="149"/>
  <c r="Q24" i="149" s="1"/>
  <c r="N24" i="149"/>
  <c r="M24" i="149"/>
  <c r="L24" i="149"/>
  <c r="K24" i="149"/>
  <c r="J24" i="149"/>
  <c r="H24" i="149"/>
  <c r="G24" i="149"/>
  <c r="F24" i="149"/>
  <c r="P23" i="149"/>
  <c r="Q23" i="149" s="1"/>
  <c r="N23" i="149"/>
  <c r="M23" i="149"/>
  <c r="L23" i="149"/>
  <c r="K23" i="149"/>
  <c r="J23" i="149"/>
  <c r="H23" i="149"/>
  <c r="G23" i="149"/>
  <c r="F23" i="149"/>
  <c r="I3" i="149"/>
  <c r="G3" i="149"/>
  <c r="E3" i="149"/>
  <c r="I2" i="149"/>
  <c r="G2" i="149"/>
  <c r="P23" i="148"/>
  <c r="Q23" i="148" s="1"/>
  <c r="N23" i="148"/>
  <c r="M23" i="148"/>
  <c r="L23" i="148"/>
  <c r="K23" i="148"/>
  <c r="J23" i="148"/>
  <c r="H23" i="148"/>
  <c r="G23" i="148"/>
  <c r="F23" i="148"/>
  <c r="P22" i="148"/>
  <c r="Q22" i="148" s="1"/>
  <c r="N22" i="148"/>
  <c r="M22" i="148"/>
  <c r="L22" i="148"/>
  <c r="K22" i="148"/>
  <c r="J22" i="148"/>
  <c r="H22" i="148"/>
  <c r="G22" i="148"/>
  <c r="F22" i="148"/>
  <c r="P21" i="148"/>
  <c r="Q21" i="148" s="1"/>
  <c r="N21" i="148"/>
  <c r="M21" i="148"/>
  <c r="L21" i="148"/>
  <c r="K21" i="148"/>
  <c r="J21" i="148"/>
  <c r="H21" i="148"/>
  <c r="G21" i="148"/>
  <c r="F21" i="148"/>
  <c r="P20" i="148"/>
  <c r="Q20" i="148" s="1"/>
  <c r="N20" i="148"/>
  <c r="M20" i="148"/>
  <c r="L20" i="148"/>
  <c r="K20" i="148"/>
  <c r="J20" i="148"/>
  <c r="H20" i="148"/>
  <c r="G20" i="148"/>
  <c r="F20" i="148"/>
  <c r="I3" i="148"/>
  <c r="G3" i="148"/>
  <c r="E3" i="148"/>
  <c r="I2" i="148"/>
  <c r="G2" i="148"/>
  <c r="P17" i="147"/>
  <c r="Q17" i="147" s="1"/>
  <c r="N17" i="147"/>
  <c r="M17" i="147"/>
  <c r="L17" i="147"/>
  <c r="K17" i="147"/>
  <c r="J17" i="147"/>
  <c r="H17" i="147"/>
  <c r="G17" i="147"/>
  <c r="F17" i="147"/>
  <c r="P16" i="147"/>
  <c r="Q16" i="147" s="1"/>
  <c r="N16" i="147"/>
  <c r="M16" i="147"/>
  <c r="L16" i="147"/>
  <c r="K16" i="147"/>
  <c r="J16" i="147"/>
  <c r="H16" i="147"/>
  <c r="G16" i="147"/>
  <c r="F16" i="147"/>
  <c r="P15" i="147"/>
  <c r="Q15" i="147" s="1"/>
  <c r="N15" i="147"/>
  <c r="M15" i="147"/>
  <c r="L15" i="147"/>
  <c r="K15" i="147"/>
  <c r="J15" i="147"/>
  <c r="H15" i="147"/>
  <c r="G15" i="147"/>
  <c r="F15" i="147"/>
  <c r="P14" i="147"/>
  <c r="Q14" i="147" s="1"/>
  <c r="N14" i="147"/>
  <c r="M14" i="147"/>
  <c r="L14" i="147"/>
  <c r="K14" i="147"/>
  <c r="J14" i="147"/>
  <c r="H14" i="147"/>
  <c r="G14" i="147"/>
  <c r="F14" i="147"/>
  <c r="P13" i="147"/>
  <c r="Q13" i="147" s="1"/>
  <c r="N13" i="147"/>
  <c r="M13" i="147"/>
  <c r="L13" i="147"/>
  <c r="K13" i="147"/>
  <c r="J13" i="147"/>
  <c r="H13" i="147"/>
  <c r="G13" i="147"/>
  <c r="F13" i="147"/>
  <c r="I3" i="147"/>
  <c r="G3" i="147"/>
  <c r="E3" i="147"/>
  <c r="I2" i="147"/>
  <c r="G2" i="147"/>
  <c r="P42" i="146"/>
  <c r="Q42" i="146" s="1"/>
  <c r="N42" i="146"/>
  <c r="M42" i="146"/>
  <c r="L42" i="146"/>
  <c r="K42" i="146"/>
  <c r="J42" i="146"/>
  <c r="H42" i="146"/>
  <c r="G42" i="146"/>
  <c r="F42" i="146"/>
  <c r="P41" i="146"/>
  <c r="Q41" i="146" s="1"/>
  <c r="N41" i="146"/>
  <c r="M41" i="146"/>
  <c r="L41" i="146"/>
  <c r="K41" i="146"/>
  <c r="J41" i="146"/>
  <c r="H41" i="146"/>
  <c r="G41" i="146"/>
  <c r="F41" i="146"/>
  <c r="P40" i="146"/>
  <c r="Q40" i="146" s="1"/>
  <c r="N40" i="146"/>
  <c r="M40" i="146"/>
  <c r="L40" i="146"/>
  <c r="K40" i="146"/>
  <c r="J40" i="146"/>
  <c r="H40" i="146"/>
  <c r="G40" i="146"/>
  <c r="F40" i="146"/>
  <c r="P39" i="146"/>
  <c r="Q39" i="146" s="1"/>
  <c r="N39" i="146"/>
  <c r="M39" i="146"/>
  <c r="L39" i="146"/>
  <c r="K39" i="146"/>
  <c r="J39" i="146"/>
  <c r="H39" i="146"/>
  <c r="G39" i="146"/>
  <c r="F39" i="146"/>
  <c r="P38" i="146"/>
  <c r="Q38" i="146" s="1"/>
  <c r="N38" i="146"/>
  <c r="M38" i="146"/>
  <c r="L38" i="146"/>
  <c r="K38" i="146"/>
  <c r="J38" i="146"/>
  <c r="H38" i="146"/>
  <c r="G38" i="146"/>
  <c r="F38" i="146"/>
  <c r="P37" i="146"/>
  <c r="Q37" i="146" s="1"/>
  <c r="N37" i="146"/>
  <c r="M37" i="146"/>
  <c r="L37" i="146"/>
  <c r="K37" i="146"/>
  <c r="J37" i="146"/>
  <c r="H37" i="146"/>
  <c r="G37" i="146"/>
  <c r="F37" i="146"/>
  <c r="P36" i="146"/>
  <c r="Q36" i="146" s="1"/>
  <c r="N36" i="146"/>
  <c r="M36" i="146"/>
  <c r="L36" i="146"/>
  <c r="K36" i="146"/>
  <c r="J36" i="146"/>
  <c r="H36" i="146"/>
  <c r="G36" i="146"/>
  <c r="F36" i="146"/>
  <c r="P35" i="146"/>
  <c r="Q35" i="146" s="1"/>
  <c r="N35" i="146"/>
  <c r="M35" i="146"/>
  <c r="L35" i="146"/>
  <c r="K35" i="146"/>
  <c r="J35" i="146"/>
  <c r="H35" i="146"/>
  <c r="G35" i="146"/>
  <c r="F35" i="146"/>
  <c r="P34" i="146"/>
  <c r="Q34" i="146" s="1"/>
  <c r="N34" i="146"/>
  <c r="M34" i="146"/>
  <c r="L34" i="146"/>
  <c r="K34" i="146"/>
  <c r="J34" i="146"/>
  <c r="H34" i="146"/>
  <c r="G34" i="146"/>
  <c r="F34" i="146"/>
  <c r="P33" i="146"/>
  <c r="Q33" i="146" s="1"/>
  <c r="N33" i="146"/>
  <c r="M33" i="146"/>
  <c r="L33" i="146"/>
  <c r="K33" i="146"/>
  <c r="J33" i="146"/>
  <c r="H33" i="146"/>
  <c r="G33" i="146"/>
  <c r="F33" i="146"/>
  <c r="I3" i="146"/>
  <c r="G3" i="146"/>
  <c r="E3" i="146"/>
  <c r="I2" i="146"/>
  <c r="G2" i="146"/>
  <c r="P31" i="145"/>
  <c r="Q31" i="145" s="1"/>
  <c r="N31" i="145"/>
  <c r="M31" i="145"/>
  <c r="L31" i="145"/>
  <c r="K31" i="145"/>
  <c r="J31" i="145"/>
  <c r="H31" i="145"/>
  <c r="G31" i="145"/>
  <c r="F31" i="145"/>
  <c r="P30" i="145"/>
  <c r="Q30" i="145" s="1"/>
  <c r="N30" i="145"/>
  <c r="M30" i="145"/>
  <c r="L30" i="145"/>
  <c r="K30" i="145"/>
  <c r="J30" i="145"/>
  <c r="H30" i="145"/>
  <c r="G30" i="145"/>
  <c r="F30" i="145"/>
  <c r="P29" i="145"/>
  <c r="Q29" i="145" s="1"/>
  <c r="N29" i="145"/>
  <c r="M29" i="145"/>
  <c r="L29" i="145"/>
  <c r="K29" i="145"/>
  <c r="J29" i="145"/>
  <c r="H29" i="145"/>
  <c r="G29" i="145"/>
  <c r="F29" i="145"/>
  <c r="P28" i="145"/>
  <c r="Q28" i="145" s="1"/>
  <c r="N28" i="145"/>
  <c r="M28" i="145"/>
  <c r="L28" i="145"/>
  <c r="K28" i="145"/>
  <c r="J28" i="145"/>
  <c r="H28" i="145"/>
  <c r="G28" i="145"/>
  <c r="F28" i="145"/>
  <c r="P27" i="145"/>
  <c r="Q27" i="145" s="1"/>
  <c r="N27" i="145"/>
  <c r="M27" i="145"/>
  <c r="L27" i="145"/>
  <c r="K27" i="145"/>
  <c r="J27" i="145"/>
  <c r="H27" i="145"/>
  <c r="G27" i="145"/>
  <c r="F27" i="145"/>
  <c r="P26" i="145"/>
  <c r="Q26" i="145" s="1"/>
  <c r="N26" i="145"/>
  <c r="M26" i="145"/>
  <c r="L26" i="145"/>
  <c r="K26" i="145"/>
  <c r="J26" i="145"/>
  <c r="H26" i="145"/>
  <c r="G26" i="145"/>
  <c r="F26" i="145"/>
  <c r="P25" i="145"/>
  <c r="Q25" i="145" s="1"/>
  <c r="N25" i="145"/>
  <c r="M25" i="145"/>
  <c r="L25" i="145"/>
  <c r="K25" i="145"/>
  <c r="J25" i="145"/>
  <c r="H25" i="145"/>
  <c r="G25" i="145"/>
  <c r="F25" i="145"/>
  <c r="P24" i="145"/>
  <c r="Q24" i="145" s="1"/>
  <c r="N24" i="145"/>
  <c r="M24" i="145"/>
  <c r="L24" i="145"/>
  <c r="K24" i="145"/>
  <c r="J24" i="145"/>
  <c r="H24" i="145"/>
  <c r="G24" i="145"/>
  <c r="F24" i="145"/>
  <c r="I3" i="145"/>
  <c r="G3" i="145"/>
  <c r="E3" i="145"/>
  <c r="I2" i="145"/>
  <c r="G2" i="145"/>
  <c r="E180" i="31"/>
  <c r="E181" i="31"/>
  <c r="E182" i="31"/>
  <c r="E183" i="31"/>
  <c r="E184" i="31"/>
  <c r="E185" i="31"/>
  <c r="E169" i="31"/>
  <c r="E170" i="31"/>
  <c r="E171" i="31"/>
  <c r="E172" i="31"/>
  <c r="E174" i="31"/>
  <c r="E175" i="31"/>
  <c r="G41" i="30"/>
  <c r="G45" i="123" s="1"/>
  <c r="G66" i="30"/>
  <c r="G46" i="123" s="1"/>
  <c r="V41" i="30"/>
  <c r="V66" i="30"/>
  <c r="F38" i="123"/>
  <c r="G38" i="123"/>
  <c r="H38" i="123"/>
  <c r="J38" i="123"/>
  <c r="K38" i="123"/>
  <c r="L38" i="123"/>
  <c r="M38" i="123"/>
  <c r="N38" i="123"/>
  <c r="P38" i="123"/>
  <c r="Q38" i="123" s="1"/>
  <c r="F39" i="123"/>
  <c r="G39" i="123"/>
  <c r="H39" i="123"/>
  <c r="J39" i="123"/>
  <c r="K39" i="123"/>
  <c r="L39" i="123"/>
  <c r="M39" i="123"/>
  <c r="N39" i="123"/>
  <c r="P39" i="123"/>
  <c r="Q39" i="123" s="1"/>
  <c r="F40" i="123"/>
  <c r="G40" i="123"/>
  <c r="H40" i="123"/>
  <c r="J40" i="123"/>
  <c r="K40" i="123"/>
  <c r="L40" i="123"/>
  <c r="M40" i="123"/>
  <c r="N40" i="123"/>
  <c r="P40" i="123"/>
  <c r="Q40" i="123" s="1"/>
  <c r="F37" i="123"/>
  <c r="G37" i="123"/>
  <c r="H37" i="123"/>
  <c r="J37" i="123"/>
  <c r="K37" i="123"/>
  <c r="L37" i="123"/>
  <c r="M37" i="123"/>
  <c r="N37" i="123"/>
  <c r="P37" i="123"/>
  <c r="Q37" i="123" s="1"/>
  <c r="F41" i="123"/>
  <c r="G41" i="123"/>
  <c r="H41" i="123"/>
  <c r="J41" i="123"/>
  <c r="K41" i="123"/>
  <c r="L41" i="123"/>
  <c r="M41" i="123"/>
  <c r="N41" i="123"/>
  <c r="P41" i="123"/>
  <c r="Q41" i="123" s="1"/>
  <c r="C385" i="29"/>
  <c r="C386" i="29"/>
  <c r="C387" i="29"/>
  <c r="C388" i="29"/>
  <c r="E388" i="29"/>
  <c r="C340" i="29"/>
  <c r="C341" i="29"/>
  <c r="C342" i="29"/>
  <c r="C343" i="29"/>
  <c r="C346" i="29"/>
  <c r="C347" i="29"/>
  <c r="C349" i="29"/>
  <c r="C350" i="29"/>
  <c r="C351" i="29"/>
  <c r="C352" i="29"/>
  <c r="C353" i="29"/>
  <c r="C354" i="29"/>
  <c r="C355" i="29"/>
  <c r="C357" i="29"/>
  <c r="C344" i="29"/>
  <c r="C348" i="29"/>
  <c r="C359" i="29"/>
  <c r="C360" i="29"/>
  <c r="C361" i="29"/>
  <c r="C362" i="29"/>
  <c r="C363" i="29"/>
  <c r="C365" i="29"/>
  <c r="C370" i="29"/>
  <c r="C373" i="29"/>
  <c r="C376" i="29"/>
  <c r="C377" i="29"/>
  <c r="C378" i="29"/>
  <c r="C379" i="29"/>
  <c r="C380" i="29"/>
  <c r="C366" i="29"/>
  <c r="C368" i="29"/>
  <c r="C367" i="29"/>
  <c r="C382" i="29"/>
  <c r="C383" i="29"/>
  <c r="C384" i="29"/>
  <c r="E354" i="29"/>
  <c r="E376" i="29"/>
  <c r="P23" i="143"/>
  <c r="Q23" i="143" s="1"/>
  <c r="N23" i="143"/>
  <c r="M23" i="143"/>
  <c r="L23" i="143"/>
  <c r="K23" i="143"/>
  <c r="J23" i="143"/>
  <c r="H23" i="143"/>
  <c r="G23" i="143"/>
  <c r="F23" i="143"/>
  <c r="P22" i="143"/>
  <c r="Q22" i="143" s="1"/>
  <c r="N22" i="143"/>
  <c r="M22" i="143"/>
  <c r="L22" i="143"/>
  <c r="K22" i="143"/>
  <c r="J22" i="143"/>
  <c r="H22" i="143"/>
  <c r="G22" i="143"/>
  <c r="F22" i="143"/>
  <c r="P21" i="143"/>
  <c r="Q21" i="143" s="1"/>
  <c r="N21" i="143"/>
  <c r="M21" i="143"/>
  <c r="L21" i="143"/>
  <c r="K21" i="143"/>
  <c r="J21" i="143"/>
  <c r="H21" i="143"/>
  <c r="G21" i="143"/>
  <c r="F21" i="143"/>
  <c r="P20" i="143"/>
  <c r="Q20" i="143" s="1"/>
  <c r="N20" i="143"/>
  <c r="M20" i="143"/>
  <c r="L20" i="143"/>
  <c r="K20" i="143"/>
  <c r="J20" i="143"/>
  <c r="H20" i="143"/>
  <c r="G20" i="143"/>
  <c r="F20" i="143"/>
  <c r="P19" i="143"/>
  <c r="Q19" i="143" s="1"/>
  <c r="N19" i="143"/>
  <c r="M19" i="143"/>
  <c r="L19" i="143"/>
  <c r="K19" i="143"/>
  <c r="J19" i="143"/>
  <c r="H19" i="143"/>
  <c r="G19" i="143"/>
  <c r="F19" i="143"/>
  <c r="P18" i="143"/>
  <c r="Q18" i="143" s="1"/>
  <c r="N18" i="143"/>
  <c r="M18" i="143"/>
  <c r="L18" i="143"/>
  <c r="K18" i="143"/>
  <c r="J18" i="143"/>
  <c r="H18" i="143"/>
  <c r="G18" i="143"/>
  <c r="F18" i="143"/>
  <c r="P24" i="142"/>
  <c r="Q24" i="142" s="1"/>
  <c r="N24" i="142"/>
  <c r="M24" i="142"/>
  <c r="L24" i="142"/>
  <c r="K24" i="142"/>
  <c r="J24" i="142"/>
  <c r="H24" i="142"/>
  <c r="G24" i="142"/>
  <c r="F24" i="142"/>
  <c r="P22" i="142"/>
  <c r="Q22" i="142" s="1"/>
  <c r="N22" i="142"/>
  <c r="M22" i="142"/>
  <c r="L22" i="142"/>
  <c r="K22" i="142"/>
  <c r="J22" i="142"/>
  <c r="H22" i="142"/>
  <c r="G22" i="142"/>
  <c r="F22" i="142"/>
  <c r="P21" i="142"/>
  <c r="Q21" i="142" s="1"/>
  <c r="N21" i="142"/>
  <c r="M21" i="142"/>
  <c r="L21" i="142"/>
  <c r="K21" i="142"/>
  <c r="J21" i="142"/>
  <c r="H21" i="142"/>
  <c r="G21" i="142"/>
  <c r="F21" i="142"/>
  <c r="P20" i="142"/>
  <c r="Q20" i="142" s="1"/>
  <c r="N20" i="142"/>
  <c r="M20" i="142"/>
  <c r="L20" i="142"/>
  <c r="K20" i="142"/>
  <c r="J20" i="142"/>
  <c r="H20" i="142"/>
  <c r="G20" i="142"/>
  <c r="F20" i="142"/>
  <c r="P19" i="142"/>
  <c r="Q19" i="142" s="1"/>
  <c r="N19" i="142"/>
  <c r="M19" i="142"/>
  <c r="L19" i="142"/>
  <c r="K19" i="142"/>
  <c r="J19" i="142"/>
  <c r="H19" i="142"/>
  <c r="G19" i="142"/>
  <c r="F19" i="142"/>
  <c r="P18" i="142"/>
  <c r="Q18" i="142" s="1"/>
  <c r="N18" i="142"/>
  <c r="M18" i="142"/>
  <c r="L18" i="142"/>
  <c r="K18" i="142"/>
  <c r="J18" i="142"/>
  <c r="H18" i="142"/>
  <c r="G18" i="142"/>
  <c r="F18" i="142"/>
  <c r="C2" i="143"/>
  <c r="C2" i="142"/>
  <c r="P12" i="122"/>
  <c r="Q12" i="122" s="1"/>
  <c r="N12" i="122"/>
  <c r="M12" i="122"/>
  <c r="L12" i="122"/>
  <c r="K12" i="122"/>
  <c r="J12" i="122"/>
  <c r="H12" i="122"/>
  <c r="G12" i="122"/>
  <c r="F12" i="122"/>
  <c r="P14" i="139"/>
  <c r="Q14" i="139" s="1"/>
  <c r="N14" i="139"/>
  <c r="M14" i="139"/>
  <c r="L14" i="139"/>
  <c r="K14" i="139"/>
  <c r="J14" i="139"/>
  <c r="H14" i="139"/>
  <c r="G14" i="139"/>
  <c r="F14" i="139"/>
  <c r="P14" i="138"/>
  <c r="Q14" i="138" s="1"/>
  <c r="N14" i="138"/>
  <c r="M14" i="138"/>
  <c r="L14" i="138"/>
  <c r="K14" i="138"/>
  <c r="J14" i="138"/>
  <c r="H14" i="138"/>
  <c r="G14" i="138"/>
  <c r="F14" i="138"/>
  <c r="P23" i="137"/>
  <c r="Q23" i="137" s="1"/>
  <c r="N23" i="137"/>
  <c r="M23" i="137"/>
  <c r="L23" i="137"/>
  <c r="K23" i="137"/>
  <c r="J23" i="137"/>
  <c r="H23" i="137"/>
  <c r="G23" i="137"/>
  <c r="F23" i="137"/>
  <c r="P22" i="137"/>
  <c r="Q22" i="137" s="1"/>
  <c r="N22" i="137"/>
  <c r="M22" i="137"/>
  <c r="L22" i="137"/>
  <c r="K22" i="137"/>
  <c r="J22" i="137"/>
  <c r="H22" i="137"/>
  <c r="G22" i="137"/>
  <c r="F22" i="137"/>
  <c r="P21" i="137"/>
  <c r="Q21" i="137" s="1"/>
  <c r="N21" i="137"/>
  <c r="M21" i="137"/>
  <c r="L21" i="137"/>
  <c r="K21" i="137"/>
  <c r="J21" i="137"/>
  <c r="H21" i="137"/>
  <c r="G21" i="137"/>
  <c r="F21" i="137"/>
  <c r="P20" i="137"/>
  <c r="Q20" i="137" s="1"/>
  <c r="N20" i="137"/>
  <c r="M20" i="137"/>
  <c r="L20" i="137"/>
  <c r="K20" i="137"/>
  <c r="J20" i="137"/>
  <c r="H20" i="137"/>
  <c r="G20" i="137"/>
  <c r="F20" i="137"/>
  <c r="C2" i="144"/>
  <c r="P24" i="144"/>
  <c r="Q24" i="144" s="1"/>
  <c r="N24" i="144"/>
  <c r="M24" i="144"/>
  <c r="L24" i="144"/>
  <c r="K24" i="144"/>
  <c r="J24" i="144"/>
  <c r="H24" i="144"/>
  <c r="G24" i="144"/>
  <c r="F24" i="144"/>
  <c r="P22" i="144"/>
  <c r="Q22" i="144" s="1"/>
  <c r="N22" i="144"/>
  <c r="M22" i="144"/>
  <c r="L22" i="144"/>
  <c r="K22" i="144"/>
  <c r="J22" i="144"/>
  <c r="H22" i="144"/>
  <c r="G22" i="144"/>
  <c r="F22" i="144"/>
  <c r="P21" i="144"/>
  <c r="Q21" i="144" s="1"/>
  <c r="N21" i="144"/>
  <c r="M21" i="144"/>
  <c r="L21" i="144"/>
  <c r="K21" i="144"/>
  <c r="J21" i="144"/>
  <c r="H21" i="144"/>
  <c r="G21" i="144"/>
  <c r="F21" i="144"/>
  <c r="P20" i="144"/>
  <c r="Q20" i="144" s="1"/>
  <c r="N20" i="144"/>
  <c r="M20" i="144"/>
  <c r="L20" i="144"/>
  <c r="K20" i="144"/>
  <c r="J20" i="144"/>
  <c r="H20" i="144"/>
  <c r="G20" i="144"/>
  <c r="F20" i="144"/>
  <c r="P19" i="144"/>
  <c r="Q19" i="144" s="1"/>
  <c r="N19" i="144"/>
  <c r="M19" i="144"/>
  <c r="L19" i="144"/>
  <c r="K19" i="144"/>
  <c r="J19" i="144"/>
  <c r="H19" i="144"/>
  <c r="G19" i="144"/>
  <c r="F19" i="144"/>
  <c r="P18" i="144"/>
  <c r="Q18" i="144" s="1"/>
  <c r="N18" i="144"/>
  <c r="M18" i="144"/>
  <c r="L18" i="144"/>
  <c r="K18" i="144"/>
  <c r="J18" i="144"/>
  <c r="H18" i="144"/>
  <c r="G18" i="144"/>
  <c r="F18" i="144"/>
  <c r="I3" i="144"/>
  <c r="G3" i="144"/>
  <c r="E3" i="144"/>
  <c r="I2" i="144"/>
  <c r="G2" i="144"/>
  <c r="Q19" i="135"/>
  <c r="V144" i="30"/>
  <c r="G144" i="30"/>
  <c r="G18" i="135" s="1"/>
  <c r="P16" i="135"/>
  <c r="Q16" i="135" s="1"/>
  <c r="N16" i="135"/>
  <c r="M16" i="135"/>
  <c r="L16" i="135"/>
  <c r="K16" i="135"/>
  <c r="J16" i="135"/>
  <c r="H16" i="135"/>
  <c r="G16" i="135"/>
  <c r="F16" i="135"/>
  <c r="P15" i="135"/>
  <c r="Q15" i="135" s="1"/>
  <c r="N15" i="135"/>
  <c r="M15" i="135"/>
  <c r="L15" i="135"/>
  <c r="K15" i="135"/>
  <c r="J15" i="135"/>
  <c r="H15" i="135"/>
  <c r="G15" i="135"/>
  <c r="F15" i="135"/>
  <c r="P12" i="121"/>
  <c r="Q12" i="121" s="1"/>
  <c r="N12" i="121"/>
  <c r="M12" i="121"/>
  <c r="L12" i="121"/>
  <c r="K12" i="121"/>
  <c r="J12" i="121"/>
  <c r="H12" i="121"/>
  <c r="G12" i="121"/>
  <c r="F12" i="121"/>
  <c r="C439" i="29"/>
  <c r="C440" i="29"/>
  <c r="C441" i="29"/>
  <c r="C442" i="29"/>
  <c r="C443" i="29"/>
  <c r="C444" i="29"/>
  <c r="C445" i="29"/>
  <c r="C446" i="29"/>
  <c r="C447" i="29"/>
  <c r="C448" i="29"/>
  <c r="C449" i="29"/>
  <c r="C323" i="29"/>
  <c r="C451" i="29"/>
  <c r="C453" i="29"/>
  <c r="C456" i="29"/>
  <c r="C457" i="29"/>
  <c r="C458" i="29"/>
  <c r="C459" i="29"/>
  <c r="C460" i="29"/>
  <c r="C461" i="29"/>
  <c r="E446" i="29"/>
  <c r="E447" i="29"/>
  <c r="I3" i="143"/>
  <c r="G3" i="143"/>
  <c r="E3" i="143"/>
  <c r="I2" i="143"/>
  <c r="G2" i="143"/>
  <c r="I3" i="142"/>
  <c r="G3" i="142"/>
  <c r="E3" i="142"/>
  <c r="I2" i="142"/>
  <c r="G2" i="142"/>
  <c r="C2" i="139"/>
  <c r="C2" i="138"/>
  <c r="C2" i="137"/>
  <c r="C2" i="135"/>
  <c r="S7" i="28" a="1"/>
  <c r="G270" i="31" a="1"/>
  <c r="S268" i="28" a="1"/>
  <c r="S5" i="28" a="1"/>
  <c r="S272" i="28" a="1"/>
  <c r="S261" i="28" a="1"/>
  <c r="S4" i="28" a="1"/>
  <c r="G145" i="31" a="1"/>
  <c r="S2" i="28" a="1"/>
  <c r="S377" i="28" a="1"/>
  <c r="H274" i="31" a="1"/>
  <c r="H145" i="31" a="1"/>
  <c r="M170" i="27" a="1"/>
  <c r="M4" i="27" a="1"/>
  <c r="H270" i="31" a="1"/>
  <c r="G274" i="31" a="1"/>
  <c r="Y451" i="29" a="1"/>
  <c r="S6" i="28" a="1"/>
  <c r="S3" i="28" a="1"/>
  <c r="S221" i="28" a="1"/>
  <c r="M45" i="27" a="1"/>
  <c r="G42" i="298" l="1"/>
  <c r="S5" i="28"/>
  <c r="S7" i="28"/>
  <c r="S3" i="28"/>
  <c r="M170" i="27"/>
  <c r="G274" i="31"/>
  <c r="H270" i="31"/>
  <c r="S6" i="28"/>
  <c r="S261" i="28"/>
  <c r="S2" i="28"/>
  <c r="G270" i="31"/>
  <c r="S272" i="28"/>
  <c r="S4" i="28"/>
  <c r="H274" i="31"/>
  <c r="S268" i="28"/>
  <c r="G44" i="298"/>
  <c r="G89" i="128"/>
  <c r="G87" i="193"/>
  <c r="Y451" i="29"/>
  <c r="Q23" i="192"/>
  <c r="P8" i="191" s="1"/>
  <c r="Q8" i="191" s="1"/>
  <c r="H145" i="31"/>
  <c r="G145" i="31"/>
  <c r="S377" i="28"/>
  <c r="S221" i="28"/>
  <c r="M4" i="27"/>
  <c r="M45" i="27"/>
  <c r="C405" i="29"/>
  <c r="E405" i="29"/>
  <c r="P14" i="141"/>
  <c r="Q14" i="141" s="1"/>
  <c r="N14" i="141"/>
  <c r="M14" i="141"/>
  <c r="L14" i="141"/>
  <c r="K14" i="141"/>
  <c r="J14" i="141"/>
  <c r="H14" i="141"/>
  <c r="G14" i="141"/>
  <c r="F14" i="141"/>
  <c r="C2" i="140"/>
  <c r="C2" i="92"/>
  <c r="I3" i="141"/>
  <c r="G3" i="141"/>
  <c r="E3" i="141"/>
  <c r="I2" i="141"/>
  <c r="G2" i="141"/>
  <c r="C2" i="141"/>
  <c r="P11" i="140"/>
  <c r="Q11" i="140" s="1"/>
  <c r="N11" i="140"/>
  <c r="M11" i="140"/>
  <c r="L11" i="140"/>
  <c r="K11" i="140"/>
  <c r="J11" i="140"/>
  <c r="H11" i="140"/>
  <c r="G11" i="140"/>
  <c r="F11" i="140"/>
  <c r="I3" i="140"/>
  <c r="G3" i="140"/>
  <c r="E3" i="140"/>
  <c r="I2" i="140"/>
  <c r="G2" i="140"/>
  <c r="P13" i="139"/>
  <c r="Q13" i="139" s="1"/>
  <c r="N13" i="139"/>
  <c r="M13" i="139"/>
  <c r="L13" i="139"/>
  <c r="K13" i="139"/>
  <c r="J13" i="139"/>
  <c r="H13" i="139"/>
  <c r="G13" i="139"/>
  <c r="F13" i="139"/>
  <c r="P12" i="139"/>
  <c r="Q12" i="139" s="1"/>
  <c r="N12" i="139"/>
  <c r="M12" i="139"/>
  <c r="L12" i="139"/>
  <c r="K12" i="139"/>
  <c r="J12" i="139"/>
  <c r="H12" i="139"/>
  <c r="G12" i="139"/>
  <c r="F12" i="139"/>
  <c r="I3" i="139"/>
  <c r="G3" i="139"/>
  <c r="E3" i="139"/>
  <c r="I2" i="139"/>
  <c r="G2" i="139"/>
  <c r="P13" i="138"/>
  <c r="Q13" i="138" s="1"/>
  <c r="N13" i="138"/>
  <c r="M13" i="138"/>
  <c r="L13" i="138"/>
  <c r="K13" i="138"/>
  <c r="J13" i="138"/>
  <c r="H13" i="138"/>
  <c r="G13" i="138"/>
  <c r="F13" i="138"/>
  <c r="P12" i="138"/>
  <c r="Q12" i="138" s="1"/>
  <c r="N12" i="138"/>
  <c r="M12" i="138"/>
  <c r="L12" i="138"/>
  <c r="K12" i="138"/>
  <c r="J12" i="138"/>
  <c r="H12" i="138"/>
  <c r="G12" i="138"/>
  <c r="F12" i="138"/>
  <c r="I3" i="138"/>
  <c r="G3" i="138"/>
  <c r="E3" i="138"/>
  <c r="I2" i="138"/>
  <c r="G2" i="138"/>
  <c r="P19" i="137"/>
  <c r="Q19" i="137" s="1"/>
  <c r="N19" i="137"/>
  <c r="M19" i="137"/>
  <c r="L19" i="137"/>
  <c r="K19" i="137"/>
  <c r="J19" i="137"/>
  <c r="H19" i="137"/>
  <c r="G19" i="137"/>
  <c r="F19" i="137"/>
  <c r="P18" i="137"/>
  <c r="Q18" i="137" s="1"/>
  <c r="N18" i="137"/>
  <c r="M18" i="137"/>
  <c r="L18" i="137"/>
  <c r="K18" i="137"/>
  <c r="J18" i="137"/>
  <c r="H18" i="137"/>
  <c r="G18" i="137"/>
  <c r="F18" i="137"/>
  <c r="I3" i="137"/>
  <c r="G3" i="137"/>
  <c r="E3" i="137"/>
  <c r="I2" i="137"/>
  <c r="G2" i="137"/>
  <c r="Q18" i="135"/>
  <c r="P14" i="135"/>
  <c r="Q14" i="135" s="1"/>
  <c r="N14" i="135"/>
  <c r="M14" i="135"/>
  <c r="L14" i="135"/>
  <c r="K14" i="135"/>
  <c r="J14" i="135"/>
  <c r="H14" i="135"/>
  <c r="G14" i="135"/>
  <c r="F14" i="135"/>
  <c r="P13" i="135"/>
  <c r="Q13" i="135" s="1"/>
  <c r="N13" i="135"/>
  <c r="M13" i="135"/>
  <c r="L13" i="135"/>
  <c r="K13" i="135"/>
  <c r="J13" i="135"/>
  <c r="H13" i="135"/>
  <c r="G13" i="135"/>
  <c r="F13" i="135"/>
  <c r="I3" i="135"/>
  <c r="G3" i="135"/>
  <c r="E3" i="135"/>
  <c r="I2" i="135"/>
  <c r="G2" i="135"/>
  <c r="C438" i="29" l="1"/>
  <c r="C434" i="29"/>
  <c r="F10" i="134"/>
  <c r="G10" i="134"/>
  <c r="H10" i="134"/>
  <c r="J10" i="134"/>
  <c r="K10" i="134"/>
  <c r="L10" i="134"/>
  <c r="M10" i="134"/>
  <c r="N10" i="134"/>
  <c r="P10" i="134"/>
  <c r="Q10" i="134" s="1"/>
  <c r="G2" i="134"/>
  <c r="I2" i="134"/>
  <c r="E3" i="134"/>
  <c r="G3" i="134"/>
  <c r="I3" i="134"/>
  <c r="C2" i="111"/>
  <c r="C2" i="110"/>
  <c r="C2" i="109"/>
  <c r="O8" i="2"/>
  <c r="O7" i="2"/>
  <c r="C2" i="127"/>
  <c r="O10" i="2"/>
  <c r="O6" i="2"/>
  <c r="F16" i="133"/>
  <c r="G16" i="133"/>
  <c r="H16" i="133"/>
  <c r="J16" i="133"/>
  <c r="K16" i="133"/>
  <c r="L16" i="133"/>
  <c r="M16" i="133"/>
  <c r="N16" i="133"/>
  <c r="P16" i="133"/>
  <c r="Q16" i="133" s="1"/>
  <c r="F17" i="133"/>
  <c r="G17" i="133"/>
  <c r="H17" i="133"/>
  <c r="J17" i="133"/>
  <c r="K17" i="133"/>
  <c r="L17" i="133"/>
  <c r="M17" i="133"/>
  <c r="N17" i="133"/>
  <c r="P17" i="133"/>
  <c r="Q17" i="133" s="1"/>
  <c r="F18" i="133"/>
  <c r="G18" i="133"/>
  <c r="H18" i="133"/>
  <c r="J18" i="133"/>
  <c r="K18" i="133"/>
  <c r="L18" i="133"/>
  <c r="M18" i="133"/>
  <c r="N18" i="133"/>
  <c r="P18" i="133"/>
  <c r="Q18" i="133" s="1"/>
  <c r="F19" i="133"/>
  <c r="G19" i="133"/>
  <c r="H19" i="133"/>
  <c r="J19" i="133"/>
  <c r="K19" i="133"/>
  <c r="L19" i="133"/>
  <c r="M19" i="133"/>
  <c r="N19" i="133"/>
  <c r="P19" i="133"/>
  <c r="Q19" i="133" s="1"/>
  <c r="F20" i="133"/>
  <c r="G20" i="133"/>
  <c r="H20" i="133"/>
  <c r="J20" i="133"/>
  <c r="K20" i="133"/>
  <c r="L20" i="133"/>
  <c r="M20" i="133"/>
  <c r="N20" i="133"/>
  <c r="P20" i="133"/>
  <c r="Q20" i="133" s="1"/>
  <c r="G2" i="133"/>
  <c r="I2" i="133"/>
  <c r="E3" i="133"/>
  <c r="G3" i="133"/>
  <c r="I3" i="133"/>
  <c r="F23" i="131"/>
  <c r="G23" i="131"/>
  <c r="H23" i="131"/>
  <c r="J23" i="131"/>
  <c r="K23" i="131"/>
  <c r="L23" i="131"/>
  <c r="M23" i="131"/>
  <c r="N23" i="131"/>
  <c r="P23" i="131"/>
  <c r="Q23" i="131" s="1"/>
  <c r="F24" i="131"/>
  <c r="G24" i="131"/>
  <c r="H24" i="131"/>
  <c r="J24" i="131"/>
  <c r="K24" i="131"/>
  <c r="L24" i="131"/>
  <c r="M24" i="131"/>
  <c r="N24" i="131"/>
  <c r="P24" i="131"/>
  <c r="Q24" i="131" s="1"/>
  <c r="F25" i="131"/>
  <c r="G25" i="131"/>
  <c r="H25" i="131"/>
  <c r="J25" i="131"/>
  <c r="K25" i="131"/>
  <c r="L25" i="131"/>
  <c r="M25" i="131"/>
  <c r="N25" i="131"/>
  <c r="P25" i="131"/>
  <c r="Q25" i="131" s="1"/>
  <c r="F26" i="131"/>
  <c r="G26" i="131"/>
  <c r="H26" i="131"/>
  <c r="J26" i="131"/>
  <c r="K26" i="131"/>
  <c r="L26" i="131"/>
  <c r="M26" i="131"/>
  <c r="N26" i="131"/>
  <c r="P26" i="131"/>
  <c r="Q26" i="131" s="1"/>
  <c r="F27" i="131"/>
  <c r="G27" i="131"/>
  <c r="H27" i="131"/>
  <c r="J27" i="131"/>
  <c r="K27" i="131"/>
  <c r="L27" i="131"/>
  <c r="M27" i="131"/>
  <c r="N27" i="131"/>
  <c r="P27" i="131"/>
  <c r="Q27" i="131" s="1"/>
  <c r="F28" i="131"/>
  <c r="G28" i="131"/>
  <c r="H28" i="131"/>
  <c r="J28" i="131"/>
  <c r="K28" i="131"/>
  <c r="L28" i="131"/>
  <c r="M28" i="131"/>
  <c r="N28" i="131"/>
  <c r="P28" i="131"/>
  <c r="Q28" i="131" s="1"/>
  <c r="F29" i="131"/>
  <c r="G29" i="131"/>
  <c r="H29" i="131"/>
  <c r="J29" i="131"/>
  <c r="K29" i="131"/>
  <c r="L29" i="131"/>
  <c r="M29" i="131"/>
  <c r="N29" i="131"/>
  <c r="P29" i="131"/>
  <c r="Q29" i="131" s="1"/>
  <c r="G2" i="131"/>
  <c r="I2" i="131"/>
  <c r="E3" i="131"/>
  <c r="G3" i="131"/>
  <c r="I3" i="131"/>
  <c r="G2" i="130"/>
  <c r="I2" i="130"/>
  <c r="E3" i="130"/>
  <c r="G3" i="130"/>
  <c r="I3" i="130"/>
  <c r="G2" i="129"/>
  <c r="I2" i="129"/>
  <c r="E3" i="129"/>
  <c r="G3" i="129"/>
  <c r="I3" i="129"/>
  <c r="Q89" i="128"/>
  <c r="Q90" i="128"/>
  <c r="Q91" i="128"/>
  <c r="Q92" i="128"/>
  <c r="Q93" i="128"/>
  <c r="Q94" i="128"/>
  <c r="Q95" i="128"/>
  <c r="Q96" i="128"/>
  <c r="Q97" i="128"/>
  <c r="F76" i="128"/>
  <c r="G76" i="128"/>
  <c r="H76" i="128"/>
  <c r="J76" i="128"/>
  <c r="K76" i="128"/>
  <c r="L76" i="128"/>
  <c r="M76" i="128"/>
  <c r="N76" i="128"/>
  <c r="P76" i="128"/>
  <c r="Q76" i="128" s="1"/>
  <c r="F77" i="128"/>
  <c r="G77" i="128"/>
  <c r="H77" i="128"/>
  <c r="J77" i="128"/>
  <c r="K77" i="128"/>
  <c r="L77" i="128"/>
  <c r="M77" i="128"/>
  <c r="N77" i="128"/>
  <c r="P77" i="128"/>
  <c r="Q77" i="128" s="1"/>
  <c r="F78" i="128"/>
  <c r="G78" i="128"/>
  <c r="H78" i="128"/>
  <c r="J78" i="128"/>
  <c r="K78" i="128"/>
  <c r="L78" i="128"/>
  <c r="M78" i="128"/>
  <c r="N78" i="128"/>
  <c r="P78" i="128"/>
  <c r="Q78" i="128" s="1"/>
  <c r="F79" i="128"/>
  <c r="G79" i="128"/>
  <c r="H79" i="128"/>
  <c r="J79" i="128"/>
  <c r="K79" i="128"/>
  <c r="L79" i="128"/>
  <c r="M79" i="128"/>
  <c r="N79" i="128"/>
  <c r="P79" i="128"/>
  <c r="Q79" i="128" s="1"/>
  <c r="F80" i="128"/>
  <c r="G80" i="128"/>
  <c r="H80" i="128"/>
  <c r="J80" i="128"/>
  <c r="K80" i="128"/>
  <c r="L80" i="128"/>
  <c r="M80" i="128"/>
  <c r="N80" i="128"/>
  <c r="P80" i="128"/>
  <c r="Q80" i="128" s="1"/>
  <c r="F81" i="128"/>
  <c r="G81" i="128"/>
  <c r="H81" i="128"/>
  <c r="J81" i="128"/>
  <c r="K81" i="128"/>
  <c r="L81" i="128"/>
  <c r="M81" i="128"/>
  <c r="N81" i="128"/>
  <c r="P81" i="128"/>
  <c r="Q81" i="128" s="1"/>
  <c r="F82" i="128"/>
  <c r="G82" i="128"/>
  <c r="H82" i="128"/>
  <c r="J82" i="128"/>
  <c r="K82" i="128"/>
  <c r="L82" i="128"/>
  <c r="M82" i="128"/>
  <c r="N82" i="128"/>
  <c r="P82" i="128"/>
  <c r="Q82" i="128" s="1"/>
  <c r="F83" i="128"/>
  <c r="G83" i="128"/>
  <c r="H83" i="128"/>
  <c r="J83" i="128"/>
  <c r="K83" i="128"/>
  <c r="L83" i="128"/>
  <c r="M83" i="128"/>
  <c r="N83" i="128"/>
  <c r="P83" i="128"/>
  <c r="Q83" i="128" s="1"/>
  <c r="F84" i="128"/>
  <c r="G84" i="128"/>
  <c r="H84" i="128"/>
  <c r="J84" i="128"/>
  <c r="K84" i="128"/>
  <c r="L84" i="128"/>
  <c r="M84" i="128"/>
  <c r="N84" i="128"/>
  <c r="P84" i="128"/>
  <c r="Q84" i="128" s="1"/>
  <c r="F85" i="128"/>
  <c r="G85" i="128"/>
  <c r="H85" i="128"/>
  <c r="J85" i="128"/>
  <c r="K85" i="128"/>
  <c r="L85" i="128"/>
  <c r="M85" i="128"/>
  <c r="N85" i="128"/>
  <c r="P85" i="128"/>
  <c r="Q85" i="128" s="1"/>
  <c r="G2" i="128"/>
  <c r="I2" i="128"/>
  <c r="E3" i="128"/>
  <c r="G3" i="128"/>
  <c r="I3" i="128"/>
  <c r="E163" i="31"/>
  <c r="E164" i="31"/>
  <c r="E167" i="31"/>
  <c r="E179" i="31"/>
  <c r="E187" i="31"/>
  <c r="E168" i="31"/>
  <c r="Q25" i="127"/>
  <c r="F23" i="127"/>
  <c r="G23" i="127"/>
  <c r="H23" i="127"/>
  <c r="J23" i="127"/>
  <c r="K23" i="127"/>
  <c r="L23" i="127"/>
  <c r="M23" i="127"/>
  <c r="N23" i="127"/>
  <c r="P23" i="127"/>
  <c r="Q23" i="127" s="1"/>
  <c r="G2" i="127"/>
  <c r="I2" i="127"/>
  <c r="E3" i="127"/>
  <c r="G3" i="127"/>
  <c r="I3" i="127"/>
  <c r="C397" i="29"/>
  <c r="C2" i="125"/>
  <c r="C2" i="126"/>
  <c r="C2" i="124"/>
  <c r="C2" i="123"/>
  <c r="C2" i="122"/>
  <c r="C2" i="121"/>
  <c r="F13" i="126"/>
  <c r="G13" i="126"/>
  <c r="H13" i="126"/>
  <c r="J13" i="126"/>
  <c r="K13" i="126"/>
  <c r="L13" i="126"/>
  <c r="M13" i="126"/>
  <c r="N13" i="126"/>
  <c r="P13" i="126"/>
  <c r="Q13" i="126" s="1"/>
  <c r="F14" i="126"/>
  <c r="G14" i="126"/>
  <c r="H14" i="126"/>
  <c r="J14" i="126"/>
  <c r="K14" i="126"/>
  <c r="L14" i="126"/>
  <c r="M14" i="126"/>
  <c r="N14" i="126"/>
  <c r="P14" i="126"/>
  <c r="Q14" i="126" s="1"/>
  <c r="F15" i="126"/>
  <c r="G15" i="126"/>
  <c r="H15" i="126"/>
  <c r="J15" i="126"/>
  <c r="K15" i="126"/>
  <c r="L15" i="126"/>
  <c r="M15" i="126"/>
  <c r="N15" i="126"/>
  <c r="P15" i="126"/>
  <c r="Q15" i="126" s="1"/>
  <c r="G2" i="126"/>
  <c r="I2" i="126"/>
  <c r="E3" i="126"/>
  <c r="G3" i="126"/>
  <c r="I3" i="126"/>
  <c r="C115" i="29"/>
  <c r="F13" i="125"/>
  <c r="G13" i="125"/>
  <c r="H13" i="125"/>
  <c r="J13" i="125"/>
  <c r="K13" i="125"/>
  <c r="L13" i="125"/>
  <c r="M13" i="125"/>
  <c r="N13" i="125"/>
  <c r="P13" i="125"/>
  <c r="Q13" i="125" s="1"/>
  <c r="F14" i="125"/>
  <c r="G14" i="125"/>
  <c r="H14" i="125"/>
  <c r="J14" i="125"/>
  <c r="K14" i="125"/>
  <c r="L14" i="125"/>
  <c r="M14" i="125"/>
  <c r="N14" i="125"/>
  <c r="P14" i="125"/>
  <c r="Q14" i="125" s="1"/>
  <c r="F15" i="125"/>
  <c r="G15" i="125"/>
  <c r="H15" i="125"/>
  <c r="J15" i="125"/>
  <c r="K15" i="125"/>
  <c r="L15" i="125"/>
  <c r="M15" i="125"/>
  <c r="N15" i="125"/>
  <c r="P15" i="125"/>
  <c r="Q15" i="125" s="1"/>
  <c r="G2" i="125"/>
  <c r="I2" i="125"/>
  <c r="E3" i="125"/>
  <c r="G3" i="125"/>
  <c r="I3" i="125"/>
  <c r="G2" i="124"/>
  <c r="I2" i="124"/>
  <c r="E3" i="124"/>
  <c r="G3" i="124"/>
  <c r="I3" i="124"/>
  <c r="Q45" i="123"/>
  <c r="Q46" i="123"/>
  <c r="F42" i="123"/>
  <c r="G42" i="123"/>
  <c r="H42" i="123"/>
  <c r="J42" i="123"/>
  <c r="K42" i="123"/>
  <c r="L42" i="123"/>
  <c r="M42" i="123"/>
  <c r="N42" i="123"/>
  <c r="P42" i="123"/>
  <c r="Q42" i="123" s="1"/>
  <c r="F43" i="123"/>
  <c r="G43" i="123"/>
  <c r="H43" i="123"/>
  <c r="J43" i="123"/>
  <c r="K43" i="123"/>
  <c r="L43" i="123"/>
  <c r="M43" i="123"/>
  <c r="N43" i="123"/>
  <c r="P43" i="123"/>
  <c r="Q43" i="123" s="1"/>
  <c r="G2" i="123"/>
  <c r="I2" i="123"/>
  <c r="E3" i="123"/>
  <c r="G3" i="123"/>
  <c r="I3" i="123"/>
  <c r="C41" i="29"/>
  <c r="E41" i="29"/>
  <c r="G2" i="122"/>
  <c r="I2" i="122"/>
  <c r="E3" i="122"/>
  <c r="G3" i="122"/>
  <c r="I3" i="122"/>
  <c r="I3" i="121"/>
  <c r="G3" i="121"/>
  <c r="E3" i="121"/>
  <c r="I2" i="121"/>
  <c r="G2" i="121"/>
  <c r="I3" i="120"/>
  <c r="G3" i="120"/>
  <c r="E3" i="120"/>
  <c r="I2" i="120"/>
  <c r="G2" i="120"/>
  <c r="C2" i="82"/>
  <c r="O11" i="2"/>
  <c r="Q24" i="106"/>
  <c r="Q23" i="106"/>
  <c r="P21" i="106"/>
  <c r="Q21" i="106" s="1"/>
  <c r="N21" i="106"/>
  <c r="M21" i="106"/>
  <c r="L21" i="106"/>
  <c r="K21" i="106"/>
  <c r="J21" i="106"/>
  <c r="H21" i="106"/>
  <c r="G21" i="106"/>
  <c r="F21" i="106"/>
  <c r="P20" i="106"/>
  <c r="Q20" i="106" s="1"/>
  <c r="N20" i="106"/>
  <c r="M20" i="106"/>
  <c r="L20" i="106"/>
  <c r="K20" i="106"/>
  <c r="J20" i="106"/>
  <c r="H20" i="106"/>
  <c r="G20" i="106"/>
  <c r="F20" i="106"/>
  <c r="Q10" i="106"/>
  <c r="Q9" i="106"/>
  <c r="I3" i="106"/>
  <c r="G3" i="106"/>
  <c r="E3" i="106"/>
  <c r="I2" i="106"/>
  <c r="G2" i="106"/>
  <c r="P17" i="118"/>
  <c r="Q17" i="118" s="1"/>
  <c r="N17" i="118"/>
  <c r="M17" i="118"/>
  <c r="L17" i="118"/>
  <c r="K17" i="118"/>
  <c r="J17" i="118"/>
  <c r="H17" i="118"/>
  <c r="G17" i="118"/>
  <c r="F17" i="118"/>
  <c r="P16" i="118"/>
  <c r="Q16" i="118" s="1"/>
  <c r="N16" i="118"/>
  <c r="M16" i="118"/>
  <c r="L16" i="118"/>
  <c r="K16" i="118"/>
  <c r="J16" i="118"/>
  <c r="H16" i="118"/>
  <c r="G16" i="118"/>
  <c r="F16" i="118"/>
  <c r="P15" i="118"/>
  <c r="Q15" i="118" s="1"/>
  <c r="N15" i="118"/>
  <c r="M15" i="118"/>
  <c r="L15" i="118"/>
  <c r="K15" i="118"/>
  <c r="J15" i="118"/>
  <c r="H15" i="118"/>
  <c r="G15" i="118"/>
  <c r="F15" i="118"/>
  <c r="C2" i="117"/>
  <c r="C138" i="29"/>
  <c r="C140" i="29"/>
  <c r="C141" i="29"/>
  <c r="C437" i="29"/>
  <c r="H163" i="31" a="1"/>
  <c r="G163" i="31" a="1"/>
  <c r="H163" i="31" l="1"/>
  <c r="G163" i="31"/>
  <c r="C2" i="115"/>
  <c r="F50" i="114" l="1"/>
  <c r="G50" i="114"/>
  <c r="H50" i="114"/>
  <c r="J50" i="114"/>
  <c r="K50" i="114"/>
  <c r="L50" i="114"/>
  <c r="M50" i="114"/>
  <c r="N50" i="114"/>
  <c r="P50" i="114"/>
  <c r="Q50" i="114" s="1"/>
  <c r="F51" i="114"/>
  <c r="G51" i="114"/>
  <c r="H51" i="114"/>
  <c r="J51" i="114"/>
  <c r="K51" i="114"/>
  <c r="L51" i="114"/>
  <c r="M51" i="114"/>
  <c r="N51" i="114"/>
  <c r="P51" i="114"/>
  <c r="Q51" i="114" s="1"/>
  <c r="F52" i="114"/>
  <c r="G52" i="114"/>
  <c r="H52" i="114"/>
  <c r="J52" i="114"/>
  <c r="K52" i="114"/>
  <c r="L52" i="114"/>
  <c r="M52" i="114"/>
  <c r="N52" i="114"/>
  <c r="P52" i="114"/>
  <c r="Q52" i="114" s="1"/>
  <c r="F53" i="114"/>
  <c r="G53" i="114"/>
  <c r="H53" i="114"/>
  <c r="J53" i="114"/>
  <c r="K53" i="114"/>
  <c r="L53" i="114"/>
  <c r="M53" i="114"/>
  <c r="N53" i="114"/>
  <c r="P53" i="114"/>
  <c r="Q53" i="114" s="1"/>
  <c r="F54" i="114"/>
  <c r="G54" i="114"/>
  <c r="H54" i="114"/>
  <c r="J54" i="114"/>
  <c r="K54" i="114"/>
  <c r="L54" i="114"/>
  <c r="M54" i="114"/>
  <c r="N54" i="114"/>
  <c r="P54" i="114"/>
  <c r="Q54" i="114" s="1"/>
  <c r="F55" i="114"/>
  <c r="G55" i="114"/>
  <c r="H55" i="114"/>
  <c r="J55" i="114"/>
  <c r="K55" i="114"/>
  <c r="L55" i="114"/>
  <c r="M55" i="114"/>
  <c r="N55" i="114"/>
  <c r="P55" i="114"/>
  <c r="Q55" i="114" s="1"/>
  <c r="F56" i="114"/>
  <c r="G56" i="114"/>
  <c r="H56" i="114"/>
  <c r="J56" i="114"/>
  <c r="K56" i="114"/>
  <c r="L56" i="114"/>
  <c r="M56" i="114"/>
  <c r="N56" i="114"/>
  <c r="P56" i="114"/>
  <c r="Q56" i="114" s="1"/>
  <c r="F57" i="114"/>
  <c r="G57" i="114"/>
  <c r="H57" i="114"/>
  <c r="J57" i="114"/>
  <c r="K57" i="114"/>
  <c r="L57" i="114"/>
  <c r="M57" i="114"/>
  <c r="N57" i="114"/>
  <c r="P57" i="114"/>
  <c r="Q57" i="114" s="1"/>
  <c r="F58" i="114"/>
  <c r="G58" i="114"/>
  <c r="H58" i="114"/>
  <c r="J58" i="114"/>
  <c r="K58" i="114"/>
  <c r="L58" i="114"/>
  <c r="M58" i="114"/>
  <c r="N58" i="114"/>
  <c r="P58" i="114"/>
  <c r="Q58" i="114" s="1"/>
  <c r="F59" i="114"/>
  <c r="G59" i="114"/>
  <c r="H59" i="114"/>
  <c r="J59" i="114"/>
  <c r="K59" i="114"/>
  <c r="L59" i="114"/>
  <c r="M59" i="114"/>
  <c r="N59" i="114"/>
  <c r="P59" i="114"/>
  <c r="Q59" i="114" s="1"/>
  <c r="F60" i="114"/>
  <c r="G60" i="114"/>
  <c r="H60" i="114"/>
  <c r="J60" i="114"/>
  <c r="K60" i="114"/>
  <c r="L60" i="114"/>
  <c r="M60" i="114"/>
  <c r="N60" i="114"/>
  <c r="P60" i="114"/>
  <c r="Q60" i="114" s="1"/>
  <c r="Q62" i="114"/>
  <c r="C2" i="119"/>
  <c r="E47" i="31"/>
  <c r="P11" i="119"/>
  <c r="Q11" i="119" s="1"/>
  <c r="N11" i="119"/>
  <c r="M11" i="119"/>
  <c r="L11" i="119"/>
  <c r="K11" i="119"/>
  <c r="J11" i="119"/>
  <c r="H11" i="119"/>
  <c r="G11" i="119"/>
  <c r="F11" i="119"/>
  <c r="P10" i="119"/>
  <c r="Q10" i="119" s="1"/>
  <c r="N10" i="119"/>
  <c r="M10" i="119"/>
  <c r="L10" i="119"/>
  <c r="K10" i="119"/>
  <c r="J10" i="119"/>
  <c r="H10" i="119"/>
  <c r="G10" i="119"/>
  <c r="F10" i="119"/>
  <c r="I3" i="119"/>
  <c r="G3" i="119"/>
  <c r="E3" i="119"/>
  <c r="I2" i="119"/>
  <c r="G2" i="119"/>
  <c r="P14" i="118"/>
  <c r="Q14" i="118" s="1"/>
  <c r="N14" i="118"/>
  <c r="M14" i="118"/>
  <c r="L14" i="118"/>
  <c r="K14" i="118"/>
  <c r="J14" i="118"/>
  <c r="H14" i="118"/>
  <c r="G14" i="118"/>
  <c r="F14" i="118"/>
  <c r="P13" i="118"/>
  <c r="Q13" i="118" s="1"/>
  <c r="N13" i="118"/>
  <c r="M13" i="118"/>
  <c r="L13" i="118"/>
  <c r="K13" i="118"/>
  <c r="J13" i="118"/>
  <c r="H13" i="118"/>
  <c r="G13" i="118"/>
  <c r="F13" i="118"/>
  <c r="I3" i="118"/>
  <c r="G3" i="118"/>
  <c r="E3" i="118"/>
  <c r="I2" i="118"/>
  <c r="G2" i="118"/>
  <c r="P11" i="117"/>
  <c r="Q11" i="117" s="1"/>
  <c r="N11" i="117"/>
  <c r="M11" i="117"/>
  <c r="L11" i="117"/>
  <c r="K11" i="117"/>
  <c r="J11" i="117"/>
  <c r="H11" i="117"/>
  <c r="G11" i="117"/>
  <c r="F11" i="117"/>
  <c r="I3" i="117"/>
  <c r="G3" i="117"/>
  <c r="E3" i="117"/>
  <c r="I2" i="117"/>
  <c r="G2" i="117"/>
  <c r="E76" i="31"/>
  <c r="E77" i="31"/>
  <c r="C2" i="114"/>
  <c r="C2" i="112"/>
  <c r="Q23" i="112"/>
  <c r="I3" i="116"/>
  <c r="G3" i="116"/>
  <c r="E3" i="116"/>
  <c r="I2" i="116"/>
  <c r="G2" i="116"/>
  <c r="C116" i="29" l="1"/>
  <c r="E116" i="29"/>
  <c r="P9" i="115"/>
  <c r="Q9" i="115" s="1"/>
  <c r="P7" i="178" s="1"/>
  <c r="Q7" i="178" s="1"/>
  <c r="N9" i="115"/>
  <c r="M9" i="115"/>
  <c r="L9" i="115"/>
  <c r="K9" i="115"/>
  <c r="J9" i="115"/>
  <c r="H9" i="115"/>
  <c r="G9" i="115"/>
  <c r="F9" i="115"/>
  <c r="I3" i="115"/>
  <c r="G3" i="115"/>
  <c r="E3" i="115"/>
  <c r="I2" i="115"/>
  <c r="G2" i="115"/>
  <c r="E56" i="31"/>
  <c r="E57" i="31"/>
  <c r="P49" i="114"/>
  <c r="Q49" i="114" s="1"/>
  <c r="N49" i="114"/>
  <c r="M49" i="114"/>
  <c r="L49" i="114"/>
  <c r="K49" i="114"/>
  <c r="J49" i="114"/>
  <c r="H49" i="114"/>
  <c r="G49" i="114"/>
  <c r="F49" i="114"/>
  <c r="I3" i="114"/>
  <c r="G3" i="114"/>
  <c r="E3" i="114"/>
  <c r="I2" i="114"/>
  <c r="G2" i="114"/>
  <c r="Q17" i="113"/>
  <c r="Q16" i="113"/>
  <c r="I3" i="113"/>
  <c r="G3" i="113"/>
  <c r="E3" i="113"/>
  <c r="I2" i="113"/>
  <c r="G2" i="113"/>
  <c r="I3" i="112"/>
  <c r="G3" i="112"/>
  <c r="E3" i="112"/>
  <c r="I2" i="112"/>
  <c r="G2" i="112"/>
  <c r="E55" i="31"/>
  <c r="E65" i="31"/>
  <c r="E74" i="31"/>
  <c r="E79" i="31"/>
  <c r="E136" i="31"/>
  <c r="Q13" i="111"/>
  <c r="Q12" i="111"/>
  <c r="Q11" i="111"/>
  <c r="Q10" i="111"/>
  <c r="Q9" i="111"/>
  <c r="I3" i="111"/>
  <c r="G3" i="111"/>
  <c r="E3" i="111"/>
  <c r="I2" i="111"/>
  <c r="G2" i="111"/>
  <c r="I3" i="110"/>
  <c r="G3" i="110"/>
  <c r="E3" i="110"/>
  <c r="I2" i="110"/>
  <c r="G2" i="110"/>
  <c r="I3" i="109"/>
  <c r="G3" i="109"/>
  <c r="E3" i="109"/>
  <c r="I2" i="109"/>
  <c r="G2" i="109"/>
  <c r="P22" i="108"/>
  <c r="Q22" i="108" s="1"/>
  <c r="N22" i="108"/>
  <c r="M22" i="108"/>
  <c r="L22" i="108"/>
  <c r="K22" i="108"/>
  <c r="J22" i="108"/>
  <c r="H22" i="108"/>
  <c r="G22" i="108"/>
  <c r="F22" i="108"/>
  <c r="P21" i="108"/>
  <c r="Q21" i="108" s="1"/>
  <c r="N21" i="108"/>
  <c r="M21" i="108"/>
  <c r="L21" i="108"/>
  <c r="K21" i="108"/>
  <c r="J21" i="108"/>
  <c r="H21" i="108"/>
  <c r="G21" i="108"/>
  <c r="F21" i="108"/>
  <c r="P20" i="108"/>
  <c r="Q20" i="108" s="1"/>
  <c r="N20" i="108"/>
  <c r="M20" i="108"/>
  <c r="L20" i="108"/>
  <c r="K20" i="108"/>
  <c r="J20" i="108"/>
  <c r="H20" i="108"/>
  <c r="G20" i="108"/>
  <c r="F20" i="108"/>
  <c r="G79" i="31" a="1"/>
  <c r="H55" i="31" a="1"/>
  <c r="G55" i="31" a="1"/>
  <c r="H79" i="31" a="1"/>
  <c r="H79" i="31" l="1"/>
  <c r="G79" i="31"/>
  <c r="H55" i="31"/>
  <c r="G55" i="31"/>
  <c r="P22" i="107" l="1"/>
  <c r="Q22" i="107" s="1"/>
  <c r="N22" i="107"/>
  <c r="M22" i="107"/>
  <c r="L22" i="107"/>
  <c r="K22" i="107"/>
  <c r="J22" i="107"/>
  <c r="H22" i="107"/>
  <c r="G22" i="107"/>
  <c r="F22" i="107"/>
  <c r="C2" i="108"/>
  <c r="C2" i="107"/>
  <c r="I3" i="108"/>
  <c r="G3" i="108"/>
  <c r="E3" i="108"/>
  <c r="I2" i="108"/>
  <c r="G2" i="108"/>
  <c r="I3" i="107"/>
  <c r="G3" i="107"/>
  <c r="E3" i="107"/>
  <c r="I2" i="107"/>
  <c r="G2" i="107"/>
  <c r="P17" i="51"/>
  <c r="Q17" i="51" s="1"/>
  <c r="N17" i="51"/>
  <c r="M17" i="51"/>
  <c r="L17" i="51"/>
  <c r="K17" i="51"/>
  <c r="J17" i="51"/>
  <c r="H17" i="51"/>
  <c r="G17" i="51"/>
  <c r="F17" i="51"/>
  <c r="P17" i="50"/>
  <c r="Q17" i="50" s="1"/>
  <c r="N17" i="50"/>
  <c r="M17" i="50"/>
  <c r="L17" i="50"/>
  <c r="K17" i="50"/>
  <c r="J17" i="50"/>
  <c r="H17" i="50"/>
  <c r="G17" i="50"/>
  <c r="F17" i="50"/>
  <c r="P17" i="59"/>
  <c r="Q17" i="59" s="1"/>
  <c r="N17" i="59"/>
  <c r="M17" i="59"/>
  <c r="L17" i="59"/>
  <c r="K17" i="59"/>
  <c r="J17" i="59"/>
  <c r="H17" i="59"/>
  <c r="G17" i="59"/>
  <c r="F17" i="59"/>
  <c r="P16" i="59"/>
  <c r="Q16" i="59" s="1"/>
  <c r="N16" i="59"/>
  <c r="M16" i="59"/>
  <c r="L16" i="59"/>
  <c r="K16" i="59"/>
  <c r="J16" i="59"/>
  <c r="H16" i="59"/>
  <c r="G16" i="59"/>
  <c r="F16" i="59"/>
  <c r="P15" i="59"/>
  <c r="Q15" i="59" s="1"/>
  <c r="N15" i="59"/>
  <c r="M15" i="59"/>
  <c r="L15" i="59"/>
  <c r="K15" i="59"/>
  <c r="J15" i="59"/>
  <c r="H15" i="59"/>
  <c r="G15" i="59"/>
  <c r="F15" i="59"/>
  <c r="C22" i="29"/>
  <c r="E433" i="29" l="1"/>
  <c r="E399" i="29"/>
  <c r="Q18" i="93"/>
  <c r="C2" i="105"/>
  <c r="I3" i="105"/>
  <c r="G3" i="105"/>
  <c r="E3" i="105"/>
  <c r="I2" i="105"/>
  <c r="G2" i="105"/>
  <c r="C136" i="29"/>
  <c r="C139" i="29"/>
  <c r="C137" i="29"/>
  <c r="G83" i="30"/>
  <c r="G39" i="83" s="1"/>
  <c r="V83" i="30"/>
  <c r="G103" i="30"/>
  <c r="V103" i="30"/>
  <c r="G118" i="30"/>
  <c r="V118" i="30"/>
  <c r="G124" i="30"/>
  <c r="G42" i="83" s="1"/>
  <c r="V124" i="30"/>
  <c r="G126" i="30"/>
  <c r="G43" i="83" s="1"/>
  <c r="V126" i="30"/>
  <c r="G109" i="30"/>
  <c r="G45" i="83" s="1"/>
  <c r="V109" i="30"/>
  <c r="G47" i="30"/>
  <c r="G46" i="83" s="1"/>
  <c r="V47" i="30"/>
  <c r="G44" i="30"/>
  <c r="G62" i="114" s="1"/>
  <c r="V44" i="30"/>
  <c r="G70" i="30"/>
  <c r="G40" i="83" s="1"/>
  <c r="V70" i="30"/>
  <c r="G92" i="30"/>
  <c r="G91" i="193" s="1"/>
  <c r="V92" i="30"/>
  <c r="G76" i="30"/>
  <c r="G20" i="192" s="1"/>
  <c r="V76" i="30"/>
  <c r="G72" i="30"/>
  <c r="G21" i="192" s="1"/>
  <c r="V72" i="30"/>
  <c r="G71" i="30"/>
  <c r="G22" i="192" s="1"/>
  <c r="V71" i="30"/>
  <c r="Q44" i="83"/>
  <c r="Q41" i="83"/>
  <c r="Q40" i="83"/>
  <c r="Q39" i="83"/>
  <c r="C399" i="29"/>
  <c r="C435" i="29"/>
  <c r="C422" i="29"/>
  <c r="E422" i="29"/>
  <c r="C423" i="29"/>
  <c r="E423" i="29"/>
  <c r="C418" i="29"/>
  <c r="C419" i="29"/>
  <c r="C420" i="29"/>
  <c r="C413" i="29"/>
  <c r="C414" i="29"/>
  <c r="C415" i="29"/>
  <c r="C416" i="29"/>
  <c r="C417" i="29"/>
  <c r="C410" i="29"/>
  <c r="C407" i="29"/>
  <c r="C408" i="29"/>
  <c r="C409" i="29"/>
  <c r="P17" i="84"/>
  <c r="Q17" i="84" s="1"/>
  <c r="N17" i="84"/>
  <c r="M17" i="84"/>
  <c r="L17" i="84"/>
  <c r="K17" i="84"/>
  <c r="J17" i="84"/>
  <c r="H17" i="84"/>
  <c r="G17" i="84"/>
  <c r="F17" i="84"/>
  <c r="P16" i="84"/>
  <c r="Q16" i="84" s="1"/>
  <c r="N16" i="84"/>
  <c r="M16" i="84"/>
  <c r="L16" i="84"/>
  <c r="K16" i="84"/>
  <c r="J16" i="84"/>
  <c r="H16" i="84"/>
  <c r="G16" i="84"/>
  <c r="F16" i="84"/>
  <c r="Q45" i="83"/>
  <c r="Q43" i="83"/>
  <c r="Q42" i="83"/>
  <c r="P37" i="83"/>
  <c r="Q37" i="83" s="1"/>
  <c r="N37" i="83"/>
  <c r="M37" i="83"/>
  <c r="L37" i="83"/>
  <c r="K37" i="83"/>
  <c r="J37" i="83"/>
  <c r="H37" i="83"/>
  <c r="G37" i="83"/>
  <c r="F37" i="83"/>
  <c r="P36" i="83"/>
  <c r="Q36" i="83" s="1"/>
  <c r="N36" i="83"/>
  <c r="M36" i="83"/>
  <c r="L36" i="83"/>
  <c r="K36" i="83"/>
  <c r="J36" i="83"/>
  <c r="H36" i="83"/>
  <c r="G36" i="83"/>
  <c r="F36" i="83"/>
  <c r="C433" i="29"/>
  <c r="C429" i="29"/>
  <c r="C430" i="29"/>
  <c r="C431" i="29"/>
  <c r="C432" i="29"/>
  <c r="C424" i="29"/>
  <c r="C425" i="29"/>
  <c r="C426" i="29"/>
  <c r="C427" i="29"/>
  <c r="C428" i="29"/>
  <c r="C436" i="29"/>
  <c r="C421" i="29"/>
  <c r="C400" i="29"/>
  <c r="C402" i="29"/>
  <c r="C404" i="29"/>
  <c r="C406" i="29"/>
  <c r="E406" i="29"/>
  <c r="C403" i="29"/>
  <c r="E403" i="29"/>
  <c r="C401" i="29"/>
  <c r="C398" i="29"/>
  <c r="C2" i="104"/>
  <c r="C2" i="103"/>
  <c r="I3" i="104"/>
  <c r="G3" i="104"/>
  <c r="E3" i="104"/>
  <c r="I2" i="104"/>
  <c r="G2" i="104"/>
  <c r="I3" i="103"/>
  <c r="G3" i="103"/>
  <c r="E3" i="103"/>
  <c r="I2" i="103"/>
  <c r="G2" i="103"/>
  <c r="C2" i="102"/>
  <c r="I3" i="102"/>
  <c r="G3" i="102"/>
  <c r="E3" i="102"/>
  <c r="I2" i="102"/>
  <c r="G2" i="102"/>
  <c r="C2" i="101"/>
  <c r="I3" i="101"/>
  <c r="G3" i="101"/>
  <c r="E3" i="101"/>
  <c r="I2" i="101"/>
  <c r="G2" i="101"/>
  <c r="C2" i="99"/>
  <c r="C2" i="98"/>
  <c r="C2" i="97"/>
  <c r="C2" i="96"/>
  <c r="C2" i="95"/>
  <c r="C2" i="94"/>
  <c r="P8" i="100"/>
  <c r="Q8" i="100" s="1"/>
  <c r="N8" i="100"/>
  <c r="M8" i="100"/>
  <c r="L8" i="100"/>
  <c r="K8" i="100"/>
  <c r="J8" i="100"/>
  <c r="H8" i="100"/>
  <c r="G8" i="100"/>
  <c r="F8" i="100"/>
  <c r="I3" i="100"/>
  <c r="G3" i="100"/>
  <c r="E3" i="100"/>
  <c r="I2" i="100"/>
  <c r="G2" i="100"/>
  <c r="P8" i="99"/>
  <c r="Q8" i="99" s="1"/>
  <c r="N8" i="99"/>
  <c r="M8" i="99"/>
  <c r="L8" i="99"/>
  <c r="K8" i="99"/>
  <c r="J8" i="99"/>
  <c r="H8" i="99"/>
  <c r="G8" i="99"/>
  <c r="F8" i="99"/>
  <c r="I3" i="99"/>
  <c r="G3" i="99"/>
  <c r="E3" i="99"/>
  <c r="I2" i="99"/>
  <c r="G2" i="99"/>
  <c r="I3" i="98"/>
  <c r="G3" i="98"/>
  <c r="E3" i="98"/>
  <c r="I2" i="98"/>
  <c r="G2" i="98"/>
  <c r="P18" i="97"/>
  <c r="Q18" i="97" s="1"/>
  <c r="N18" i="97"/>
  <c r="M18" i="97"/>
  <c r="L18" i="97"/>
  <c r="K18" i="97"/>
  <c r="J18" i="97"/>
  <c r="H18" i="97"/>
  <c r="G18" i="97"/>
  <c r="F18" i="97"/>
  <c r="I3" i="97"/>
  <c r="G3" i="97"/>
  <c r="E3" i="97"/>
  <c r="I2" i="97"/>
  <c r="G2" i="97"/>
  <c r="P13" i="96"/>
  <c r="Q13" i="96" s="1"/>
  <c r="N13" i="96"/>
  <c r="M13" i="96"/>
  <c r="L13" i="96"/>
  <c r="K13" i="96"/>
  <c r="J13" i="96"/>
  <c r="H13" i="96"/>
  <c r="G13" i="96"/>
  <c r="F13" i="96"/>
  <c r="I3" i="96"/>
  <c r="G3" i="96"/>
  <c r="E3" i="96"/>
  <c r="I2" i="96"/>
  <c r="G2" i="96"/>
  <c r="P22" i="95"/>
  <c r="Q22" i="95" s="1"/>
  <c r="N22" i="95"/>
  <c r="M22" i="95"/>
  <c r="L22" i="95"/>
  <c r="K22" i="95"/>
  <c r="J22" i="95"/>
  <c r="H22" i="95"/>
  <c r="G22" i="95"/>
  <c r="F22" i="95"/>
  <c r="I3" i="95"/>
  <c r="G3" i="95"/>
  <c r="E3" i="95"/>
  <c r="I2" i="95"/>
  <c r="G2" i="95"/>
  <c r="P18" i="94"/>
  <c r="Q18" i="94" s="1"/>
  <c r="I3" i="94"/>
  <c r="G3" i="94"/>
  <c r="E3" i="94"/>
  <c r="I2" i="94"/>
  <c r="G2" i="94"/>
  <c r="C2" i="93"/>
  <c r="P16" i="93"/>
  <c r="Q16" i="93" s="1"/>
  <c r="N16" i="93"/>
  <c r="M16" i="93"/>
  <c r="L16" i="93"/>
  <c r="K16" i="93"/>
  <c r="J16" i="93"/>
  <c r="H16" i="93"/>
  <c r="G16" i="93"/>
  <c r="F16" i="93"/>
  <c r="I3" i="93"/>
  <c r="G3" i="93"/>
  <c r="E3" i="93"/>
  <c r="I2" i="93"/>
  <c r="G2" i="93"/>
  <c r="C2" i="91"/>
  <c r="C2" i="84"/>
  <c r="P15" i="92"/>
  <c r="Q15" i="92" s="1"/>
  <c r="N15" i="92"/>
  <c r="M15" i="92"/>
  <c r="L15" i="92"/>
  <c r="K15" i="92"/>
  <c r="J15" i="92"/>
  <c r="H15" i="92"/>
  <c r="G15" i="92"/>
  <c r="F15" i="92"/>
  <c r="I3" i="92"/>
  <c r="G3" i="92"/>
  <c r="E3" i="92"/>
  <c r="I2" i="92"/>
  <c r="G2" i="92"/>
  <c r="P12" i="91"/>
  <c r="Q12" i="91" s="1"/>
  <c r="N12" i="91"/>
  <c r="M12" i="91"/>
  <c r="L12" i="91"/>
  <c r="K12" i="91"/>
  <c r="J12" i="91"/>
  <c r="H12" i="91"/>
  <c r="G12" i="91"/>
  <c r="F12" i="91"/>
  <c r="I3" i="91"/>
  <c r="G3" i="91"/>
  <c r="E3" i="91"/>
  <c r="I2" i="91"/>
  <c r="G2" i="91"/>
  <c r="C2" i="90"/>
  <c r="C2" i="89"/>
  <c r="C2" i="88"/>
  <c r="C2" i="87"/>
  <c r="C2" i="86"/>
  <c r="C2" i="85"/>
  <c r="C2" i="83"/>
  <c r="I3" i="90"/>
  <c r="G3" i="90"/>
  <c r="E3" i="90"/>
  <c r="I2" i="90"/>
  <c r="G2" i="90"/>
  <c r="I3" i="89"/>
  <c r="G3" i="89"/>
  <c r="E3" i="89"/>
  <c r="I2" i="89"/>
  <c r="G2" i="89"/>
  <c r="I3" i="88"/>
  <c r="G3" i="88"/>
  <c r="E3" i="88"/>
  <c r="I2" i="88"/>
  <c r="G2" i="88"/>
  <c r="I3" i="87"/>
  <c r="G3" i="87"/>
  <c r="E3" i="87"/>
  <c r="I2" i="87"/>
  <c r="G2" i="87"/>
  <c r="I3" i="86"/>
  <c r="G3" i="86"/>
  <c r="E3" i="86"/>
  <c r="I2" i="86"/>
  <c r="G2" i="86"/>
  <c r="I3" i="85"/>
  <c r="G3" i="85"/>
  <c r="E3" i="85"/>
  <c r="I2" i="85"/>
  <c r="G2" i="85"/>
  <c r="I3" i="84"/>
  <c r="G3" i="84"/>
  <c r="E3" i="84"/>
  <c r="I2" i="84"/>
  <c r="G2" i="84"/>
  <c r="I3" i="83"/>
  <c r="G3" i="83"/>
  <c r="E3" i="83"/>
  <c r="I2" i="83"/>
  <c r="G2" i="83"/>
  <c r="I3" i="82"/>
  <c r="G3" i="82"/>
  <c r="E3" i="82"/>
  <c r="I2" i="82"/>
  <c r="G2" i="82"/>
  <c r="V121" i="30"/>
  <c r="V32" i="30"/>
  <c r="V102" i="30"/>
  <c r="V133" i="30"/>
  <c r="G45" i="177" l="1"/>
  <c r="G41" i="83"/>
  <c r="P12" i="86"/>
  <c r="Q12" i="86" s="1"/>
  <c r="P12" i="87"/>
  <c r="Q12" i="87" s="1"/>
  <c r="P12" i="89"/>
  <c r="Q12" i="89" s="1"/>
  <c r="P12" i="88"/>
  <c r="Q12" i="88" s="1"/>
  <c r="P8" i="83"/>
  <c r="Q8" i="83" s="1"/>
  <c r="P7" i="83"/>
  <c r="Q7" i="83" s="1"/>
  <c r="H139" i="29"/>
  <c r="P27" i="48" l="1"/>
  <c r="Q27" i="48" s="1"/>
  <c r="N27" i="48"/>
  <c r="M27" i="48"/>
  <c r="L27" i="48"/>
  <c r="K27" i="48"/>
  <c r="J27" i="48"/>
  <c r="H27" i="48"/>
  <c r="G27" i="48"/>
  <c r="F27" i="48"/>
  <c r="P26" i="48"/>
  <c r="Q26" i="48" s="1"/>
  <c r="N26" i="48"/>
  <c r="M26" i="48"/>
  <c r="L26" i="48"/>
  <c r="K26" i="48"/>
  <c r="J26" i="48"/>
  <c r="H26" i="48"/>
  <c r="G26" i="48"/>
  <c r="F26" i="48"/>
  <c r="P11" i="81"/>
  <c r="Q11" i="81" s="1"/>
  <c r="N11" i="81"/>
  <c r="M11" i="81"/>
  <c r="L11" i="81"/>
  <c r="K11" i="81"/>
  <c r="J11" i="81"/>
  <c r="H11" i="81"/>
  <c r="G11" i="81"/>
  <c r="F11" i="81"/>
  <c r="P12" i="81"/>
  <c r="Q12" i="81" s="1"/>
  <c r="N12" i="81"/>
  <c r="M12" i="81"/>
  <c r="L12" i="81"/>
  <c r="K12" i="81"/>
  <c r="J12" i="81"/>
  <c r="H12" i="81"/>
  <c r="G12" i="81"/>
  <c r="F12" i="81"/>
  <c r="M161" i="27" a="1"/>
  <c r="M98" i="27" a="1"/>
  <c r="M31" i="27" a="1"/>
  <c r="M148" i="27" a="1"/>
  <c r="M156" i="27" a="1"/>
  <c r="M158" i="27" a="1"/>
  <c r="M138" i="27" a="1"/>
  <c r="M122" i="27" a="1"/>
  <c r="M147" i="27" a="1"/>
  <c r="M146" i="27" a="1"/>
  <c r="M22" i="27" a="1"/>
  <c r="M96" i="27" a="1"/>
  <c r="M14" i="27" a="1"/>
  <c r="M83" i="27" a="1"/>
  <c r="M120" i="27" a="1"/>
  <c r="M41" i="27" a="1"/>
  <c r="M37" i="27" a="1"/>
  <c r="M46" i="27" a="1"/>
  <c r="M143" i="27" a="1"/>
  <c r="M106" i="27" a="1"/>
  <c r="M121" i="27" a="1"/>
  <c r="M92" i="27" a="1"/>
  <c r="M152" i="27" a="1"/>
  <c r="M125" i="27" a="1"/>
  <c r="M72" i="27" a="1"/>
  <c r="M34" i="27" a="1"/>
  <c r="M87" i="27" a="1"/>
  <c r="M93" i="27" a="1"/>
  <c r="M30" i="27" a="1"/>
  <c r="M35" i="27" a="1"/>
  <c r="M101" i="27" a="1"/>
  <c r="M63" i="27" a="1"/>
  <c r="M84" i="27" a="1"/>
  <c r="M165" i="27" a="1"/>
  <c r="M26" i="27" a="1"/>
  <c r="M105" i="27" a="1"/>
  <c r="M130" i="27" a="1"/>
  <c r="M62" i="27" a="1"/>
  <c r="M59" i="27" a="1"/>
  <c r="M67" i="27" a="1"/>
  <c r="M164" i="27" a="1"/>
  <c r="M33" i="27" a="1"/>
  <c r="M171" i="27" a="1"/>
  <c r="M79" i="27" a="1"/>
  <c r="M116" i="27" a="1"/>
  <c r="M103" i="27" a="1"/>
  <c r="M140" i="27" a="1"/>
  <c r="M59" i="27" l="1"/>
  <c r="M156" i="27"/>
  <c r="M103" i="27"/>
  <c r="M93" i="27"/>
  <c r="M62" i="27"/>
  <c r="M41" i="27"/>
  <c r="M140" i="27"/>
  <c r="M101" i="27"/>
  <c r="M147" i="27"/>
  <c r="M87" i="27"/>
  <c r="M46" i="27"/>
  <c r="M33" i="27"/>
  <c r="M120" i="27"/>
  <c r="M34" i="27"/>
  <c r="M79" i="27"/>
  <c r="M67" i="27"/>
  <c r="M165" i="27"/>
  <c r="M146" i="27"/>
  <c r="M106" i="27"/>
  <c r="M164" i="27"/>
  <c r="M152" i="27"/>
  <c r="M130" i="27"/>
  <c r="M105" i="27"/>
  <c r="M72" i="27"/>
  <c r="M148" i="27"/>
  <c r="M92" i="27"/>
  <c r="M171" i="27"/>
  <c r="M158" i="27"/>
  <c r="M138" i="27"/>
  <c r="M125" i="27"/>
  <c r="M98" i="27"/>
  <c r="M37" i="27"/>
  <c r="M143" i="27"/>
  <c r="M116" i="27"/>
  <c r="M84" i="27"/>
  <c r="M161" i="27"/>
  <c r="M122" i="27"/>
  <c r="M96" i="27"/>
  <c r="M63" i="27"/>
  <c r="M121" i="27"/>
  <c r="M83" i="27"/>
  <c r="M35" i="27"/>
  <c r="M26" i="27"/>
  <c r="M31" i="27"/>
  <c r="M14" i="27"/>
  <c r="M30" i="27"/>
  <c r="M22" i="27"/>
  <c r="G40" i="30" l="1"/>
  <c r="V40" i="30"/>
  <c r="V21" i="30"/>
  <c r="G21" i="30"/>
  <c r="G40" i="47" s="1"/>
  <c r="G32" i="30"/>
  <c r="G15" i="30"/>
  <c r="G20" i="50" s="1"/>
  <c r="G51" i="30"/>
  <c r="G113" i="30"/>
  <c r="G90" i="128" s="1"/>
  <c r="G110" i="30"/>
  <c r="G112" i="30"/>
  <c r="G129" i="30"/>
  <c r="G130" i="30"/>
  <c r="G136" i="30"/>
  <c r="G18" i="93" s="1"/>
  <c r="G145" i="30"/>
  <c r="G19" i="135" s="1"/>
  <c r="G20" i="30"/>
  <c r="G17" i="30"/>
  <c r="G20" i="51" s="1"/>
  <c r="G69" i="30"/>
  <c r="G54" i="30"/>
  <c r="G59" i="30"/>
  <c r="G31" i="47" s="1"/>
  <c r="G67" i="30"/>
  <c r="G50" i="165" s="1"/>
  <c r="G81" i="30"/>
  <c r="G47" i="83" s="1"/>
  <c r="G82" i="30"/>
  <c r="G78" i="30"/>
  <c r="G21" i="233" s="1"/>
  <c r="G99" i="30"/>
  <c r="G21" i="231" s="1"/>
  <c r="G98" i="30"/>
  <c r="G25" i="233" s="1"/>
  <c r="G94" i="30"/>
  <c r="G27" i="211" s="1"/>
  <c r="G96" i="30"/>
  <c r="G104" i="30"/>
  <c r="G117" i="30"/>
  <c r="G91" i="128" s="1"/>
  <c r="G107" i="30"/>
  <c r="G102" i="30"/>
  <c r="G94" i="128" s="1"/>
  <c r="G133" i="30"/>
  <c r="G23" i="233" s="1"/>
  <c r="G121" i="30"/>
  <c r="G24" i="233" s="1"/>
  <c r="G132" i="30"/>
  <c r="G44" i="83" s="1"/>
  <c r="G141" i="30"/>
  <c r="G36" i="211" s="1"/>
  <c r="V20" i="30"/>
  <c r="V17" i="30"/>
  <c r="V15" i="30"/>
  <c r="V69" i="30"/>
  <c r="V51" i="30"/>
  <c r="V54" i="30"/>
  <c r="V59" i="30"/>
  <c r="V67" i="30"/>
  <c r="V81" i="30"/>
  <c r="V82" i="30"/>
  <c r="V78" i="30"/>
  <c r="V99" i="30"/>
  <c r="V98" i="30"/>
  <c r="V94" i="30"/>
  <c r="V96" i="30"/>
  <c r="V104" i="30"/>
  <c r="V113" i="30"/>
  <c r="V110" i="30"/>
  <c r="V112" i="30"/>
  <c r="V117" i="30"/>
  <c r="V107" i="30"/>
  <c r="V129" i="30"/>
  <c r="V130" i="30"/>
  <c r="V132" i="30"/>
  <c r="V136" i="30"/>
  <c r="V141" i="30"/>
  <c r="V145" i="30"/>
  <c r="Q32" i="47" l="1"/>
  <c r="G32" i="47"/>
  <c r="G88" i="193"/>
  <c r="G96" i="128"/>
  <c r="G26" i="166"/>
  <c r="G25" i="112"/>
  <c r="G46" i="177"/>
  <c r="G23" i="231"/>
  <c r="G92" i="128"/>
  <c r="G89" i="193"/>
  <c r="G35" i="47"/>
  <c r="G27" i="112"/>
  <c r="G29" i="166"/>
  <c r="G34" i="47"/>
  <c r="G49" i="177"/>
  <c r="G39" i="47"/>
  <c r="G47" i="177"/>
  <c r="Q33" i="47"/>
  <c r="G33" i="47"/>
  <c r="G28" i="167"/>
  <c r="G17" i="113"/>
  <c r="G38" i="47"/>
  <c r="G26" i="178"/>
  <c r="G24" i="112"/>
  <c r="G37" i="177"/>
  <c r="G23" i="166"/>
  <c r="G25" i="167"/>
  <c r="G20" i="113"/>
  <c r="G27" i="167"/>
  <c r="G29" i="178"/>
  <c r="Q29" i="47"/>
  <c r="G29" i="47"/>
  <c r="Q30" i="47"/>
  <c r="G30" i="47"/>
  <c r="Q37" i="47"/>
  <c r="G37" i="47"/>
  <c r="G90" i="193"/>
  <c r="G95" i="128"/>
  <c r="G19" i="50"/>
  <c r="G19" i="51"/>
  <c r="Q36" i="47"/>
  <c r="Q31" i="47"/>
  <c r="Q34" i="47"/>
  <c r="Q35" i="47"/>
  <c r="C10" i="29"/>
  <c r="C2" i="79"/>
  <c r="C2" i="81"/>
  <c r="I3" i="81"/>
  <c r="G3" i="81"/>
  <c r="E3" i="81"/>
  <c r="I2" i="81"/>
  <c r="G2" i="81"/>
  <c r="I3" i="80"/>
  <c r="G3" i="80"/>
  <c r="E3" i="80"/>
  <c r="I2" i="80"/>
  <c r="G2" i="80"/>
  <c r="C4" i="29"/>
  <c r="E4" i="29"/>
  <c r="C64" i="29"/>
  <c r="E64" i="29"/>
  <c r="C63" i="29"/>
  <c r="C62" i="29"/>
  <c r="E62" i="29"/>
  <c r="C60" i="29"/>
  <c r="C61" i="29"/>
  <c r="E61" i="29"/>
  <c r="C59" i="29"/>
  <c r="C44" i="29"/>
  <c r="C49" i="29"/>
  <c r="C50" i="29"/>
  <c r="C52" i="29"/>
  <c r="C54" i="29"/>
  <c r="C55" i="29"/>
  <c r="C56" i="29"/>
  <c r="C57" i="29"/>
  <c r="C58" i="29"/>
  <c r="C45" i="29"/>
  <c r="C46" i="29"/>
  <c r="C53" i="29"/>
  <c r="C51" i="29"/>
  <c r="C47" i="29"/>
  <c r="C48" i="29"/>
  <c r="C43" i="29"/>
  <c r="C33" i="29"/>
  <c r="C35" i="29"/>
  <c r="C38" i="29"/>
  <c r="C39" i="29"/>
  <c r="C40" i="29"/>
  <c r="C36" i="29"/>
  <c r="C37" i="29"/>
  <c r="C34" i="29"/>
  <c r="C32" i="29"/>
  <c r="C9" i="29"/>
  <c r="E9" i="29"/>
  <c r="C8" i="29"/>
  <c r="E8" i="29"/>
  <c r="C7" i="29"/>
  <c r="E7" i="29"/>
  <c r="C133" i="29"/>
  <c r="E133" i="29"/>
  <c r="C6" i="29"/>
  <c r="E6" i="29"/>
  <c r="C5" i="29"/>
  <c r="C26" i="29"/>
  <c r="C27" i="29"/>
  <c r="C28" i="29"/>
  <c r="C29" i="29"/>
  <c r="C30" i="29"/>
  <c r="C31" i="29"/>
  <c r="E28" i="29"/>
  <c r="E31" i="29"/>
  <c r="Y40" i="29" a="1"/>
  <c r="Y40" i="29" l="1"/>
  <c r="C2" i="77"/>
  <c r="C2" i="78"/>
  <c r="I3" i="79"/>
  <c r="G3" i="79"/>
  <c r="E3" i="79"/>
  <c r="I2" i="79"/>
  <c r="G2" i="79"/>
  <c r="I3" i="78"/>
  <c r="G3" i="78"/>
  <c r="E3" i="78"/>
  <c r="I2" i="78"/>
  <c r="G2" i="78"/>
  <c r="I3" i="77"/>
  <c r="G3" i="77"/>
  <c r="E3" i="77"/>
  <c r="I2" i="77"/>
  <c r="G2" i="77"/>
  <c r="C11" i="29"/>
  <c r="C12" i="29"/>
  <c r="C13" i="29"/>
  <c r="C14" i="29"/>
  <c r="C15" i="29"/>
  <c r="C16" i="29"/>
  <c r="C17" i="29"/>
  <c r="C18" i="29"/>
  <c r="C19" i="29"/>
  <c r="C20" i="29"/>
  <c r="C21" i="29"/>
  <c r="C23" i="29"/>
  <c r="C24" i="29"/>
  <c r="C25" i="29"/>
  <c r="C3" i="29"/>
  <c r="G6" i="140" l="1"/>
  <c r="F9" i="55"/>
  <c r="H9" i="65"/>
  <c r="L8" i="55"/>
  <c r="P9" i="55"/>
  <c r="M9" i="55"/>
  <c r="K9" i="55"/>
  <c r="D9" i="55"/>
  <c r="G9" i="64"/>
  <c r="N8" i="55"/>
  <c r="J9" i="65"/>
  <c r="M8" i="55"/>
  <c r="N9" i="55"/>
  <c r="D9" i="64"/>
  <c r="G9" i="65"/>
  <c r="F9" i="65"/>
  <c r="L9" i="55"/>
  <c r="N5" i="54"/>
  <c r="P5" i="54"/>
  <c r="J8" i="55"/>
  <c r="K8" i="55"/>
  <c r="K9" i="64"/>
  <c r="J9" i="55"/>
  <c r="H9" i="55"/>
  <c r="G8" i="55"/>
  <c r="M9" i="65"/>
  <c r="F9" i="64"/>
  <c r="M9" i="64"/>
  <c r="P9" i="65"/>
  <c r="M5" i="54"/>
  <c r="K5" i="54"/>
  <c r="H8" i="55"/>
  <c r="F8" i="55"/>
  <c r="D9" i="65"/>
  <c r="H5" i="54"/>
  <c r="N9" i="64"/>
  <c r="G9" i="55"/>
  <c r="J9" i="64"/>
  <c r="L9" i="64"/>
  <c r="F5" i="54"/>
  <c r="N9" i="65"/>
  <c r="J5" i="54"/>
  <c r="L9" i="65"/>
  <c r="D8" i="55"/>
  <c r="K9" i="65"/>
  <c r="G5" i="54"/>
  <c r="P8" i="55"/>
  <c r="D5" i="54"/>
  <c r="P9" i="64"/>
  <c r="L5" i="54"/>
  <c r="H9" i="64"/>
  <c r="J6" i="140"/>
  <c r="H6" i="140"/>
  <c r="L6" i="140"/>
  <c r="F6" i="140"/>
  <c r="M7" i="140"/>
  <c r="P6" i="140"/>
  <c r="P7" i="140"/>
  <c r="H7" i="140"/>
  <c r="G7" i="140"/>
  <c r="L7" i="140"/>
  <c r="K7" i="140"/>
  <c r="F7" i="140"/>
  <c r="N6" i="140"/>
  <c r="M6" i="140"/>
  <c r="N7" i="140"/>
  <c r="K6" i="140"/>
  <c r="D6" i="140"/>
  <c r="J7" i="140"/>
  <c r="D7" i="140"/>
  <c r="Q9" i="260"/>
  <c r="P7" i="280" s="1"/>
  <c r="Q7" i="280" s="1"/>
  <c r="C2" i="76"/>
  <c r="I3" i="76"/>
  <c r="G3" i="76"/>
  <c r="E3" i="76"/>
  <c r="I2" i="76"/>
  <c r="G2" i="76"/>
  <c r="C2" i="63"/>
  <c r="C2" i="74"/>
  <c r="I3" i="74"/>
  <c r="G3" i="74"/>
  <c r="E3" i="74"/>
  <c r="I2" i="74"/>
  <c r="G2" i="74"/>
  <c r="C2" i="73"/>
  <c r="I3" i="73"/>
  <c r="G3" i="73"/>
  <c r="E3" i="73"/>
  <c r="I2" i="73"/>
  <c r="G2" i="73"/>
  <c r="C2" i="72"/>
  <c r="C2" i="71"/>
  <c r="C2" i="70"/>
  <c r="C2" i="68"/>
  <c r="I3" i="72"/>
  <c r="G3" i="72"/>
  <c r="E3" i="72"/>
  <c r="I2" i="72"/>
  <c r="G2" i="72"/>
  <c r="I3" i="71"/>
  <c r="G3" i="71"/>
  <c r="E3" i="71"/>
  <c r="I2" i="71"/>
  <c r="G2" i="71"/>
  <c r="I3" i="70"/>
  <c r="G3" i="70"/>
  <c r="E3" i="70"/>
  <c r="I2" i="70"/>
  <c r="G2" i="70"/>
  <c r="I3" i="68"/>
  <c r="G3" i="68"/>
  <c r="E3" i="68"/>
  <c r="I2" i="68"/>
  <c r="G2" i="68"/>
  <c r="C2" i="67"/>
  <c r="I3" i="67"/>
  <c r="G3" i="67"/>
  <c r="E3" i="67"/>
  <c r="I2" i="67"/>
  <c r="G2" i="67"/>
  <c r="C2" i="65"/>
  <c r="C2" i="64"/>
  <c r="I3" i="66"/>
  <c r="G3" i="66"/>
  <c r="E3" i="66"/>
  <c r="I2" i="66"/>
  <c r="G2" i="66"/>
  <c r="C2" i="66"/>
  <c r="I3" i="65"/>
  <c r="G3" i="65"/>
  <c r="E3" i="65"/>
  <c r="I2" i="65"/>
  <c r="G2" i="65"/>
  <c r="I3" i="64"/>
  <c r="G3" i="64"/>
  <c r="E3" i="64"/>
  <c r="I2" i="64"/>
  <c r="G2" i="64"/>
  <c r="C2" i="55"/>
  <c r="C2" i="56"/>
  <c r="C2" i="57"/>
  <c r="C2" i="58"/>
  <c r="C2" i="59"/>
  <c r="C2" i="60"/>
  <c r="C2" i="61"/>
  <c r="C2" i="62"/>
  <c r="C2" i="54"/>
  <c r="C2" i="53"/>
  <c r="C2" i="52"/>
  <c r="C2" i="51"/>
  <c r="C2" i="50"/>
  <c r="C2" i="49"/>
  <c r="C2" i="48"/>
  <c r="C2" i="47"/>
  <c r="I3" i="63"/>
  <c r="G3" i="63"/>
  <c r="E3" i="63"/>
  <c r="I2" i="63"/>
  <c r="G2" i="63"/>
  <c r="I3" i="62"/>
  <c r="G3" i="62"/>
  <c r="E3" i="62"/>
  <c r="I2" i="62"/>
  <c r="G2" i="62"/>
  <c r="I3" i="61"/>
  <c r="G3" i="61"/>
  <c r="E3" i="61"/>
  <c r="I2" i="61"/>
  <c r="G2" i="61"/>
  <c r="I3" i="60"/>
  <c r="G3" i="60"/>
  <c r="E3" i="60"/>
  <c r="I2" i="60"/>
  <c r="G2" i="60"/>
  <c r="I3" i="59"/>
  <c r="G3" i="59"/>
  <c r="E3" i="59"/>
  <c r="I2" i="59"/>
  <c r="G2" i="59"/>
  <c r="I3" i="58"/>
  <c r="G3" i="58"/>
  <c r="E3" i="58"/>
  <c r="I2" i="58"/>
  <c r="G2" i="58"/>
  <c r="I3" i="57"/>
  <c r="G3" i="57"/>
  <c r="E3" i="57"/>
  <c r="I2" i="57"/>
  <c r="G2" i="57"/>
  <c r="I3" i="56"/>
  <c r="G3" i="56"/>
  <c r="E3" i="56"/>
  <c r="I2" i="56"/>
  <c r="G2" i="56"/>
  <c r="I3" i="55"/>
  <c r="G3" i="55"/>
  <c r="E3" i="55"/>
  <c r="I2" i="55"/>
  <c r="G2" i="55"/>
  <c r="I3" i="54"/>
  <c r="G3" i="54"/>
  <c r="E3" i="54"/>
  <c r="I2" i="54"/>
  <c r="G2" i="54"/>
  <c r="I3" i="53"/>
  <c r="G3" i="53"/>
  <c r="E3" i="53"/>
  <c r="I2" i="53"/>
  <c r="G2" i="53"/>
  <c r="I3" i="52"/>
  <c r="G3" i="52"/>
  <c r="E3" i="52"/>
  <c r="I2" i="52"/>
  <c r="G2" i="52"/>
  <c r="I3" i="51"/>
  <c r="G3" i="51"/>
  <c r="E3" i="51"/>
  <c r="I2" i="51"/>
  <c r="G2" i="51"/>
  <c r="I3" i="50"/>
  <c r="G3" i="50"/>
  <c r="E3" i="50"/>
  <c r="I2" i="50"/>
  <c r="G2" i="50"/>
  <c r="I3" i="49"/>
  <c r="G3" i="49"/>
  <c r="E3" i="49"/>
  <c r="I2" i="49"/>
  <c r="G2" i="49"/>
  <c r="I3" i="48"/>
  <c r="G3" i="48"/>
  <c r="E3" i="48"/>
  <c r="I2" i="48"/>
  <c r="G2" i="48"/>
  <c r="I3" i="47"/>
  <c r="G3" i="47"/>
  <c r="E3" i="47"/>
  <c r="I2" i="47"/>
  <c r="G2" i="47"/>
  <c r="C2" i="14"/>
  <c r="P6" i="275" l="1"/>
  <c r="Q6" i="275" s="1"/>
  <c r="P6" i="51"/>
  <c r="P6" i="278"/>
  <c r="Q6" i="278" s="1"/>
  <c r="P6" i="277"/>
  <c r="Q6" i="277" s="1"/>
  <c r="P6" i="276"/>
  <c r="Q6" i="276" s="1"/>
  <c r="P7" i="288"/>
  <c r="Q7" i="288" s="1"/>
  <c r="P7" i="287"/>
  <c r="Q7" i="287" s="1"/>
  <c r="P8" i="286"/>
  <c r="Q8" i="286" s="1"/>
  <c r="P8" i="285"/>
  <c r="Q8" i="285" s="1"/>
  <c r="P7" i="284"/>
  <c r="Q7" i="284" s="1"/>
  <c r="P7" i="283"/>
  <c r="Q7" i="283" s="1"/>
  <c r="P7" i="279"/>
  <c r="Q7" i="279" s="1"/>
  <c r="P8" i="281"/>
  <c r="Q8" i="281" s="1"/>
  <c r="P8" i="282"/>
  <c r="Q8" i="282" s="1"/>
  <c r="P6" i="212"/>
  <c r="Q6" i="212" s="1"/>
  <c r="P6" i="50"/>
  <c r="N43" i="49" l="1"/>
  <c r="N15" i="60"/>
  <c r="J45" i="49"/>
  <c r="G44" i="49"/>
  <c r="F15" i="80"/>
  <c r="J12" i="71"/>
  <c r="K16" i="60"/>
  <c r="L13" i="71"/>
  <c r="J16" i="60"/>
  <c r="K13" i="71"/>
  <c r="H15" i="58"/>
  <c r="L8" i="72"/>
  <c r="P15" i="64"/>
  <c r="Q15" i="64" s="1"/>
  <c r="P31" i="61"/>
  <c r="Q31" i="61" s="1"/>
  <c r="H16" i="52"/>
  <c r="L52" i="49"/>
  <c r="K8" i="72"/>
  <c r="F14" i="66"/>
  <c r="F16" i="60"/>
  <c r="L12" i="57"/>
  <c r="G13" i="71"/>
  <c r="M13" i="65"/>
  <c r="M18" i="59"/>
  <c r="G11" i="57"/>
  <c r="H8" i="76"/>
  <c r="P15" i="65"/>
  <c r="Q15" i="65" s="1"/>
  <c r="L15" i="64"/>
  <c r="H12" i="63"/>
  <c r="J12" i="57"/>
  <c r="M11" i="54"/>
  <c r="N16" i="51"/>
  <c r="L15" i="68"/>
  <c r="K15" i="64"/>
  <c r="G14" i="59"/>
  <c r="N14" i="55"/>
  <c r="M28" i="48"/>
  <c r="M16" i="51"/>
  <c r="M15" i="65"/>
  <c r="F29" i="61"/>
  <c r="L14" i="60"/>
  <c r="F14" i="59"/>
  <c r="K16" i="50"/>
  <c r="H9" i="72"/>
  <c r="J15" i="68"/>
  <c r="K8" i="62"/>
  <c r="N16" i="60"/>
  <c r="H18" i="59"/>
  <c r="K28" i="48"/>
  <c r="P13" i="71"/>
  <c r="Q13" i="71" s="1"/>
  <c r="K15" i="65"/>
  <c r="G15" i="64"/>
  <c r="G18" i="59"/>
  <c r="P11" i="57"/>
  <c r="Q11" i="57" s="1"/>
  <c r="K14" i="55"/>
  <c r="N16" i="52"/>
  <c r="L16" i="52"/>
  <c r="F9" i="72"/>
  <c r="K12" i="71"/>
  <c r="L14" i="66"/>
  <c r="F13" i="65"/>
  <c r="H8" i="62"/>
  <c r="L15" i="58"/>
  <c r="J9" i="56"/>
  <c r="G11" i="54"/>
  <c r="J14" i="52"/>
  <c r="H28" i="48"/>
  <c r="L16" i="51"/>
  <c r="M12" i="80"/>
  <c r="L14" i="52" l="1"/>
  <c r="J9" i="72"/>
  <c r="G16" i="50"/>
  <c r="M16" i="60"/>
  <c r="F12" i="57"/>
  <c r="L15" i="65"/>
  <c r="J11" i="54"/>
  <c r="G12" i="57"/>
  <c r="L16" i="60"/>
  <c r="G31" i="61"/>
  <c r="P16" i="51"/>
  <c r="Q16" i="51" s="1"/>
  <c r="F31" i="61"/>
  <c r="K14" i="52"/>
  <c r="J8" i="62"/>
  <c r="L12" i="71"/>
  <c r="N15" i="58"/>
  <c r="N14" i="66"/>
  <c r="L28" i="48"/>
  <c r="P15" i="58"/>
  <c r="Q15" i="58" s="1"/>
  <c r="J13" i="65"/>
  <c r="L11" i="54"/>
  <c r="G8" i="76"/>
  <c r="P14" i="52"/>
  <c r="Q14" i="52" s="1"/>
  <c r="N8" i="62"/>
  <c r="H8" i="73"/>
  <c r="N11" i="54"/>
  <c r="M15" i="64"/>
  <c r="P52" i="49"/>
  <c r="Q52" i="49" s="1"/>
  <c r="H11" i="57"/>
  <c r="N13" i="65"/>
  <c r="L29" i="61"/>
  <c r="J13" i="71"/>
  <c r="N12" i="57"/>
  <c r="G12" i="71"/>
  <c r="F14" i="60"/>
  <c r="H12" i="71"/>
  <c r="G14" i="60"/>
  <c r="P15" i="80"/>
  <c r="Q15" i="80" s="1"/>
  <c r="G24" i="48"/>
  <c r="F49" i="49"/>
  <c r="K11" i="71"/>
  <c r="K42" i="49"/>
  <c r="P14" i="64"/>
  <c r="Q14" i="64" s="1"/>
  <c r="H11" i="71"/>
  <c r="M45" i="49"/>
  <c r="H24" i="48"/>
  <c r="H47" i="49"/>
  <c r="G50" i="49"/>
  <c r="F43" i="49"/>
  <c r="F24" i="48"/>
  <c r="K50" i="49"/>
  <c r="L13" i="80"/>
  <c r="P11" i="66"/>
  <c r="Q11" i="66" s="1"/>
  <c r="J12" i="80"/>
  <c r="M14" i="65"/>
  <c r="N13" i="80"/>
  <c r="F12" i="66"/>
  <c r="P13" i="80"/>
  <c r="Q13" i="80" s="1"/>
  <c r="G12" i="66"/>
  <c r="H11" i="66"/>
  <c r="F13" i="80"/>
  <c r="F47" i="49"/>
  <c r="L25" i="48"/>
  <c r="L48" i="49"/>
  <c r="K48" i="49"/>
  <c r="J44" i="49"/>
  <c r="M15" i="60"/>
  <c r="N51" i="49"/>
  <c r="M15" i="52"/>
  <c r="L50" i="49"/>
  <c r="M13" i="80"/>
  <c r="M50" i="49"/>
  <c r="P15" i="52"/>
  <c r="Q15" i="52" s="1"/>
  <c r="N50" i="49"/>
  <c r="K13" i="81"/>
  <c r="P50" i="49"/>
  <c r="Q50" i="49" s="1"/>
  <c r="M16" i="52"/>
  <c r="N13" i="71"/>
  <c r="H11" i="54"/>
  <c r="G9" i="72"/>
  <c r="K14" i="60"/>
  <c r="F52" i="49"/>
  <c r="J18" i="59"/>
  <c r="L13" i="66"/>
  <c r="N9" i="56"/>
  <c r="K13" i="65"/>
  <c r="F28" i="48"/>
  <c r="P14" i="55"/>
  <c r="Q14" i="55" s="1"/>
  <c r="K12" i="57"/>
  <c r="P13" i="66"/>
  <c r="Q13" i="66" s="1"/>
  <c r="F15" i="58"/>
  <c r="P15" i="68"/>
  <c r="Q15" i="68" s="1"/>
  <c r="P9" i="72"/>
  <c r="Q9" i="72" s="1"/>
  <c r="M14" i="59"/>
  <c r="M8" i="72"/>
  <c r="N29" i="61"/>
  <c r="N8" i="72"/>
  <c r="P29" i="61"/>
  <c r="Q29" i="61" s="1"/>
  <c r="M13" i="71"/>
  <c r="H15" i="80"/>
  <c r="H15" i="60"/>
  <c r="M46" i="49"/>
  <c r="F14" i="58"/>
  <c r="G49" i="49"/>
  <c r="K12" i="66"/>
  <c r="G15" i="52"/>
  <c r="J48" i="49"/>
  <c r="P13" i="64"/>
  <c r="Q13" i="64" s="1"/>
  <c r="P13" i="68"/>
  <c r="Q13" i="68" s="1"/>
  <c r="K14" i="58"/>
  <c r="M49" i="49"/>
  <c r="K11" i="66"/>
  <c r="G43" i="49"/>
  <c r="M13" i="64"/>
  <c r="P51" i="49"/>
  <c r="Q51" i="49" s="1"/>
  <c r="N15" i="52"/>
  <c r="F42" i="49"/>
  <c r="M12" i="66"/>
  <c r="G42" i="49"/>
  <c r="L15" i="60"/>
  <c r="H42" i="49"/>
  <c r="N52" i="49"/>
  <c r="P13" i="58"/>
  <c r="Q13" i="58" s="1"/>
  <c r="N15" i="68"/>
  <c r="K14" i="59"/>
  <c r="K16" i="51"/>
  <c r="L12" i="63"/>
  <c r="L8" i="73"/>
  <c r="H16" i="60"/>
  <c r="M8" i="73"/>
  <c r="F8" i="62"/>
  <c r="N8" i="73"/>
  <c r="G8" i="62"/>
  <c r="P8" i="72"/>
  <c r="Q8" i="72" s="1"/>
  <c r="H14" i="80"/>
  <c r="M13" i="81"/>
  <c r="F48" i="49"/>
  <c r="J15" i="60"/>
  <c r="K45" i="49"/>
  <c r="H51" i="49"/>
  <c r="H14" i="58"/>
  <c r="M13" i="68"/>
  <c r="H14" i="65"/>
  <c r="H10" i="71"/>
  <c r="F13" i="81"/>
  <c r="F46" i="49"/>
  <c r="N45" i="49"/>
  <c r="K44" i="49"/>
  <c r="J30" i="61"/>
  <c r="H43" i="49"/>
  <c r="G14" i="58"/>
  <c r="J43" i="49"/>
  <c r="K51" i="49"/>
  <c r="K43" i="49"/>
  <c r="J13" i="81"/>
  <c r="L43" i="49"/>
  <c r="P14" i="66"/>
  <c r="Q14" i="66" s="1"/>
  <c r="H12" i="57"/>
  <c r="N15" i="65"/>
  <c r="P9" i="56"/>
  <c r="Q9" i="56" s="1"/>
  <c r="P5" i="113" s="1"/>
  <c r="Q5" i="113" s="1"/>
  <c r="G14" i="52"/>
  <c r="J14" i="55"/>
  <c r="F15" i="64"/>
  <c r="F16" i="50"/>
  <c r="K9" i="56"/>
  <c r="G13" i="65"/>
  <c r="K16" i="52"/>
  <c r="H31" i="61"/>
  <c r="M12" i="71"/>
  <c r="P16" i="60"/>
  <c r="Q16" i="60" s="1"/>
  <c r="K15" i="68"/>
  <c r="M13" i="58"/>
  <c r="M13" i="66"/>
  <c r="G28" i="48"/>
  <c r="F11" i="57"/>
  <c r="L13" i="65"/>
  <c r="J14" i="59"/>
  <c r="N18" i="59"/>
  <c r="H13" i="71"/>
  <c r="L8" i="76"/>
  <c r="M29" i="61"/>
  <c r="M8" i="76"/>
  <c r="N8" i="76"/>
  <c r="P8" i="73"/>
  <c r="Q8" i="73" s="1"/>
  <c r="K14" i="80"/>
  <c r="F25" i="48"/>
  <c r="J13" i="68"/>
  <c r="F30" i="61"/>
  <c r="N46" i="49"/>
  <c r="L42" i="49"/>
  <c r="F14" i="65"/>
  <c r="F10" i="71"/>
  <c r="L11" i="66"/>
  <c r="L11" i="71"/>
  <c r="J24" i="48"/>
  <c r="J47" i="49"/>
  <c r="L30" i="61"/>
  <c r="N49" i="49"/>
  <c r="G47" i="49"/>
  <c r="L44" i="49"/>
  <c r="J14" i="58"/>
  <c r="M44" i="49"/>
  <c r="K49" i="49"/>
  <c r="N44" i="49"/>
  <c r="G10" i="71"/>
  <c r="P44" i="49"/>
  <c r="Q44" i="49" s="1"/>
  <c r="G14" i="55"/>
  <c r="N12" i="63"/>
  <c r="F11" i="54"/>
  <c r="P12" i="63"/>
  <c r="Q12" i="63" s="1"/>
  <c r="P8" i="76"/>
  <c r="Q8" i="76" s="1"/>
  <c r="M14" i="80"/>
  <c r="J13" i="64"/>
  <c r="M14" i="68"/>
  <c r="L13" i="81"/>
  <c r="G48" i="49"/>
  <c r="P43" i="49"/>
  <c r="Q43" i="49" s="1"/>
  <c r="J11" i="66"/>
  <c r="J11" i="71"/>
  <c r="N12" i="66"/>
  <c r="F12" i="80"/>
  <c r="M25" i="48"/>
  <c r="M48" i="49"/>
  <c r="M14" i="58"/>
  <c r="G46" i="49"/>
  <c r="P15" i="60"/>
  <c r="Q15" i="60" s="1"/>
  <c r="P49" i="49"/>
  <c r="Q49" i="49" s="1"/>
  <c r="N13" i="64"/>
  <c r="F45" i="49"/>
  <c r="P14" i="58"/>
  <c r="Q14" i="58" s="1"/>
  <c r="G45" i="49"/>
  <c r="L14" i="58"/>
  <c r="H45" i="49"/>
  <c r="H14" i="52"/>
  <c r="J13" i="66"/>
  <c r="J31" i="61"/>
  <c r="G52" i="49"/>
  <c r="K18" i="59"/>
  <c r="N13" i="58"/>
  <c r="N13" i="66"/>
  <c r="P28" i="48"/>
  <c r="Q28" i="48" s="1"/>
  <c r="P14" i="60"/>
  <c r="Q14" i="60" s="1"/>
  <c r="J8" i="72"/>
  <c r="K52" i="49"/>
  <c r="K29" i="61"/>
  <c r="N9" i="72"/>
  <c r="J11" i="57"/>
  <c r="P13" i="65"/>
  <c r="Q13" i="65" s="1"/>
  <c r="M12" i="63"/>
  <c r="G9" i="56"/>
  <c r="G15" i="65"/>
  <c r="H14" i="55"/>
  <c r="H15" i="65"/>
  <c r="N14" i="80"/>
  <c r="F14" i="80"/>
  <c r="M14" i="64"/>
  <c r="F11" i="71"/>
  <c r="G25" i="48"/>
  <c r="K13" i="68"/>
  <c r="H49" i="49"/>
  <c r="L12" i="66"/>
  <c r="G13" i="80"/>
  <c r="H50" i="49"/>
  <c r="J13" i="80"/>
  <c r="F14" i="64"/>
  <c r="F14" i="68"/>
  <c r="M30" i="61"/>
  <c r="K47" i="49"/>
  <c r="N14" i="58"/>
  <c r="H46" i="49"/>
  <c r="N42" i="49"/>
  <c r="J46" i="49"/>
  <c r="F15" i="60"/>
  <c r="K46" i="49"/>
  <c r="G15" i="60"/>
  <c r="L46" i="49"/>
  <c r="N11" i="57"/>
  <c r="J15" i="65"/>
  <c r="J13" i="58"/>
  <c r="J16" i="50"/>
  <c r="M52" i="49"/>
  <c r="M14" i="52"/>
  <c r="H13" i="58"/>
  <c r="H13" i="66"/>
  <c r="J28" i="48"/>
  <c r="M15" i="58"/>
  <c r="M14" i="66"/>
  <c r="P16" i="52"/>
  <c r="Q16" i="52" s="1"/>
  <c r="K11" i="54"/>
  <c r="L8" i="62"/>
  <c r="N12" i="71"/>
  <c r="L16" i="50"/>
  <c r="M14" i="60"/>
  <c r="N28" i="48"/>
  <c r="H14" i="59"/>
  <c r="M15" i="68"/>
  <c r="J52" i="49"/>
  <c r="J29" i="61"/>
  <c r="M9" i="72"/>
  <c r="P16" i="50"/>
  <c r="Q16" i="50" s="1"/>
  <c r="N31" i="61"/>
  <c r="K8" i="73"/>
  <c r="M12" i="57"/>
  <c r="G14" i="66"/>
  <c r="F14" i="52"/>
  <c r="F15" i="65"/>
  <c r="L11" i="57"/>
  <c r="F13" i="66"/>
  <c r="H9" i="56"/>
  <c r="G13" i="66"/>
  <c r="P14" i="80"/>
  <c r="Q14" i="80" s="1"/>
  <c r="J15" i="80"/>
  <c r="F11" i="66"/>
  <c r="N12" i="80"/>
  <c r="K13" i="64"/>
  <c r="N14" i="68"/>
  <c r="L45" i="49"/>
  <c r="F50" i="49"/>
  <c r="H15" i="52"/>
  <c r="L51" i="49"/>
  <c r="K15" i="52"/>
  <c r="J14" i="65"/>
  <c r="J10" i="71"/>
  <c r="K24" i="48"/>
  <c r="N48" i="49"/>
  <c r="N30" i="61"/>
  <c r="L47" i="49"/>
  <c r="N13" i="68"/>
  <c r="M47" i="49"/>
  <c r="P13" i="81"/>
  <c r="Q13" i="81" s="1"/>
  <c r="N47" i="49"/>
  <c r="N13" i="81"/>
  <c r="P47" i="49"/>
  <c r="Q47" i="49" s="1"/>
  <c r="H15" i="68"/>
  <c r="L14" i="55"/>
  <c r="H15" i="64"/>
  <c r="M14" i="55"/>
  <c r="F8" i="72"/>
  <c r="G29" i="61"/>
  <c r="P12" i="71"/>
  <c r="Q12" i="71" s="1"/>
  <c r="H52" i="49"/>
  <c r="L18" i="59"/>
  <c r="N16" i="50"/>
  <c r="M31" i="61"/>
  <c r="J8" i="73"/>
  <c r="J16" i="51"/>
  <c r="K8" i="76"/>
  <c r="G15" i="58"/>
  <c r="J16" i="52"/>
  <c r="H14" i="66"/>
  <c r="P12" i="57"/>
  <c r="Q12" i="57" s="1"/>
  <c r="J14" i="66"/>
  <c r="M11" i="57"/>
  <c r="K14" i="66"/>
  <c r="J14" i="80"/>
  <c r="M15" i="80"/>
  <c r="H12" i="66"/>
  <c r="K15" i="60"/>
  <c r="N14" i="64"/>
  <c r="G11" i="71"/>
  <c r="P46" i="49"/>
  <c r="Q46" i="49" s="1"/>
  <c r="J51" i="49"/>
  <c r="H13" i="80"/>
  <c r="P42" i="49"/>
  <c r="Q42" i="49" s="1"/>
  <c r="G30" i="61"/>
  <c r="M11" i="66"/>
  <c r="M11" i="71"/>
  <c r="N25" i="48"/>
  <c r="G14" i="68"/>
  <c r="L24" i="48"/>
  <c r="P48" i="49"/>
  <c r="Q48" i="49" s="1"/>
  <c r="P30" i="61"/>
  <c r="Q30" i="61" s="1"/>
  <c r="F13" i="68"/>
  <c r="N24" i="48"/>
  <c r="G13" i="68"/>
  <c r="P24" i="48"/>
  <c r="Q24" i="48" s="1"/>
  <c r="H13" i="68"/>
  <c r="G15" i="68"/>
  <c r="J14" i="60"/>
  <c r="H13" i="65"/>
  <c r="F12" i="63"/>
  <c r="K31" i="61"/>
  <c r="G8" i="72"/>
  <c r="M16" i="50"/>
  <c r="N14" i="60"/>
  <c r="F13" i="71"/>
  <c r="H16" i="51"/>
  <c r="P8" i="62"/>
  <c r="Q8" i="62" s="1"/>
  <c r="J8" i="76"/>
  <c r="K12" i="63"/>
  <c r="L14" i="59"/>
  <c r="F14" i="55"/>
  <c r="F13" i="58"/>
  <c r="G13" i="58"/>
  <c r="F15" i="68"/>
  <c r="N15" i="80"/>
  <c r="L14" i="80"/>
  <c r="F51" i="49"/>
  <c r="L13" i="64"/>
  <c r="G11" i="66"/>
  <c r="P12" i="80"/>
  <c r="Q12" i="80" s="1"/>
  <c r="H48" i="49"/>
  <c r="M42" i="49"/>
  <c r="J15" i="52"/>
  <c r="H44" i="49"/>
  <c r="J25" i="48"/>
  <c r="P12" i="66"/>
  <c r="Q12" i="66" s="1"/>
  <c r="G12" i="80"/>
  <c r="G14" i="64"/>
  <c r="K10" i="71"/>
  <c r="P25" i="48"/>
  <c r="Q25" i="48" s="1"/>
  <c r="H14" i="68"/>
  <c r="M24" i="48"/>
  <c r="J14" i="68"/>
  <c r="G13" i="64"/>
  <c r="K14" i="68"/>
  <c r="H13" i="64"/>
  <c r="L14" i="68"/>
  <c r="M9" i="56"/>
  <c r="F16" i="51"/>
  <c r="H14" i="60"/>
  <c r="F8" i="73"/>
  <c r="M8" i="62"/>
  <c r="K9" i="72"/>
  <c r="G16" i="51"/>
  <c r="H29" i="61"/>
  <c r="H8" i="72"/>
  <c r="J12" i="63"/>
  <c r="G16" i="52"/>
  <c r="P18" i="59"/>
  <c r="Q18" i="59" s="1"/>
  <c r="F9" i="56"/>
  <c r="J15" i="58"/>
  <c r="K15" i="58"/>
  <c r="G15" i="80"/>
  <c r="G14" i="80"/>
  <c r="J42" i="49"/>
  <c r="H30" i="61"/>
  <c r="J12" i="66"/>
  <c r="F15" i="52"/>
  <c r="L13" i="68"/>
  <c r="F44" i="49"/>
  <c r="K30" i="61"/>
  <c r="L49" i="49"/>
  <c r="H13" i="81"/>
  <c r="J50" i="49"/>
  <c r="K13" i="80"/>
  <c r="K14" i="65"/>
  <c r="N11" i="71"/>
  <c r="H14" i="64"/>
  <c r="L10" i="71"/>
  <c r="F13" i="64"/>
  <c r="M10" i="71"/>
  <c r="K14" i="64"/>
  <c r="N10" i="71"/>
  <c r="L14" i="64"/>
  <c r="P10" i="71"/>
  <c r="Q10" i="71" s="1"/>
  <c r="F18" i="59"/>
  <c r="H16" i="50"/>
  <c r="L9" i="56"/>
  <c r="K13" i="58"/>
  <c r="K13" i="66"/>
  <c r="L13" i="58"/>
  <c r="J15" i="64"/>
  <c r="F8" i="76"/>
  <c r="N14" i="52"/>
  <c r="G12" i="63"/>
  <c r="G8" i="73"/>
  <c r="L31" i="61"/>
  <c r="L9" i="72"/>
  <c r="F16" i="52"/>
  <c r="P11" i="54"/>
  <c r="Q11" i="54" s="1"/>
  <c r="N15" i="64"/>
  <c r="G16" i="60"/>
  <c r="F12" i="71"/>
  <c r="K11" i="57"/>
  <c r="N14" i="59"/>
  <c r="P14" i="59"/>
  <c r="Q14" i="59" s="1"/>
  <c r="L15" i="80"/>
  <c r="K15" i="80"/>
  <c r="M43" i="49"/>
  <c r="G14" i="65"/>
  <c r="G51" i="49"/>
  <c r="H25" i="48"/>
  <c r="P14" i="68"/>
  <c r="Q14" i="68" s="1"/>
  <c r="J49" i="49"/>
  <c r="G13" i="81"/>
  <c r="P45" i="49"/>
  <c r="Q45" i="49" s="1"/>
  <c r="K25" i="48"/>
  <c r="M51" i="49"/>
  <c r="L15" i="52"/>
  <c r="N11" i="66"/>
  <c r="H12" i="80"/>
  <c r="L14" i="65"/>
  <c r="P11" i="71"/>
  <c r="Q11" i="71" s="1"/>
  <c r="J14" i="64"/>
  <c r="K12" i="80"/>
  <c r="N14" i="65"/>
  <c r="L12" i="80"/>
  <c r="P14" i="65"/>
  <c r="Q14" i="65" s="1"/>
  <c r="P5" i="288" l="1"/>
  <c r="Q5" i="288" s="1"/>
  <c r="P5" i="287"/>
  <c r="Q5" i="287" s="1"/>
  <c r="P5" i="286"/>
  <c r="Q5" i="286" s="1"/>
  <c r="P5" i="285"/>
  <c r="Q5" i="285" s="1"/>
  <c r="P5" i="284"/>
  <c r="Q5" i="284" s="1"/>
  <c r="P5" i="283"/>
  <c r="Q5" i="283" s="1"/>
  <c r="P5" i="281"/>
  <c r="Q5" i="281" s="1"/>
  <c r="P5" i="282"/>
  <c r="Q5" i="282" s="1"/>
  <c r="E12" i="29"/>
  <c r="E11" i="29"/>
  <c r="J26" i="2" l="1"/>
  <c r="H26" i="2"/>
  <c r="G26" i="2"/>
  <c r="K26" i="2"/>
  <c r="N26" i="2"/>
  <c r="L26" i="2"/>
  <c r="F26" i="2"/>
  <c r="P26" i="2"/>
  <c r="Q26" i="2" s="1"/>
  <c r="M26" i="2"/>
  <c r="E2" i="13"/>
  <c r="E2" i="330" s="1"/>
  <c r="E3" i="2"/>
  <c r="E2" i="327" l="1"/>
  <c r="E2" i="328"/>
  <c r="E2" i="329"/>
  <c r="E2" i="325"/>
  <c r="E2" i="326"/>
  <c r="E2" i="323"/>
  <c r="E2" i="324"/>
  <c r="E2" i="321"/>
  <c r="E2" i="322"/>
  <c r="E2" i="319"/>
  <c r="E2" i="320"/>
  <c r="E2" i="316"/>
  <c r="E2" i="318"/>
  <c r="E2" i="317"/>
  <c r="E2" i="314"/>
  <c r="E2" i="315"/>
  <c r="E2" i="312"/>
  <c r="E2" i="313"/>
  <c r="E2" i="310"/>
  <c r="E2" i="311"/>
  <c r="E2" i="308"/>
  <c r="E2" i="309"/>
  <c r="E2" i="306"/>
  <c r="E2" i="307"/>
  <c r="E2" i="304"/>
  <c r="E2" i="305"/>
  <c r="E2" i="302"/>
  <c r="E2" i="303"/>
  <c r="E2" i="300"/>
  <c r="E2" i="301"/>
  <c r="E2" i="298"/>
  <c r="E2" i="299"/>
  <c r="E2" i="296"/>
  <c r="E2" i="297"/>
  <c r="E2" i="294"/>
  <c r="E2" i="295"/>
  <c r="E2" i="293"/>
  <c r="A28" i="31"/>
  <c r="E28" i="31" s="1"/>
  <c r="E2" i="291"/>
  <c r="E2" i="292"/>
  <c r="E2" i="289"/>
  <c r="E2" i="290"/>
  <c r="E2" i="287"/>
  <c r="E2" i="288"/>
  <c r="E2" i="285"/>
  <c r="E2" i="286"/>
  <c r="E2" i="283"/>
  <c r="E2" i="284"/>
  <c r="E2" i="275"/>
  <c r="E2" i="282"/>
  <c r="E2" i="276"/>
  <c r="E2" i="277"/>
  <c r="E2" i="279"/>
  <c r="E2" i="278"/>
  <c r="E2" i="280"/>
  <c r="E2" i="281"/>
  <c r="E2" i="273"/>
  <c r="E2" i="274"/>
  <c r="E2" i="270"/>
  <c r="E2" i="272"/>
  <c r="E2" i="268"/>
  <c r="E2" i="269"/>
  <c r="E2" i="266"/>
  <c r="E2" i="267"/>
  <c r="E2" i="264"/>
  <c r="E2" i="265"/>
  <c r="A215" i="31"/>
  <c r="E215" i="31" s="1"/>
  <c r="E2" i="263"/>
  <c r="E2" i="262"/>
  <c r="E2" i="260"/>
  <c r="A49" i="31"/>
  <c r="E49" i="31" s="1"/>
  <c r="E2" i="258"/>
  <c r="E2" i="259"/>
  <c r="E2" i="256"/>
  <c r="E2" i="257"/>
  <c r="E2" i="254"/>
  <c r="E2" i="255"/>
  <c r="E2" i="252"/>
  <c r="E2" i="253"/>
  <c r="E2" i="250"/>
  <c r="E2" i="251"/>
  <c r="E2" i="248"/>
  <c r="E2" i="249"/>
  <c r="E2" i="245"/>
  <c r="E2" i="246"/>
  <c r="E2" i="247"/>
  <c r="A3" i="31"/>
  <c r="E3" i="31" s="1"/>
  <c r="E2" i="244"/>
  <c r="E2" i="242"/>
  <c r="E2" i="243"/>
  <c r="E2" i="240"/>
  <c r="E2" i="241"/>
  <c r="E2" i="238"/>
  <c r="E2" i="239"/>
  <c r="E2" i="236"/>
  <c r="E2" i="237"/>
  <c r="E2" i="234"/>
  <c r="E2" i="235"/>
  <c r="E2" i="232"/>
  <c r="E2" i="233"/>
  <c r="E2" i="230"/>
  <c r="E2" i="231"/>
  <c r="E2" i="228"/>
  <c r="E2" i="229"/>
  <c r="E2" i="226"/>
  <c r="E2" i="227"/>
  <c r="E2" i="221"/>
  <c r="E2" i="225"/>
  <c r="E2" i="224"/>
  <c r="E2" i="223"/>
  <c r="E2" i="222"/>
  <c r="E2" i="220"/>
  <c r="E2" i="219"/>
  <c r="E2" i="217"/>
  <c r="E2" i="218"/>
  <c r="E2" i="215"/>
  <c r="E2" i="216"/>
  <c r="E2" i="213"/>
  <c r="E2" i="214"/>
  <c r="E2" i="211"/>
  <c r="E2" i="212"/>
  <c r="E2" i="209"/>
  <c r="E2" i="210"/>
  <c r="E2" i="207"/>
  <c r="E2" i="205"/>
  <c r="E2" i="206"/>
  <c r="E2" i="203"/>
  <c r="E2" i="204"/>
  <c r="E2" i="201"/>
  <c r="E2" i="202"/>
  <c r="E2" i="199"/>
  <c r="E2" i="200"/>
  <c r="E2" i="197"/>
  <c r="E2" i="198"/>
  <c r="E2" i="195"/>
  <c r="E2" i="196"/>
  <c r="E2" i="193"/>
  <c r="E2" i="194"/>
  <c r="E2" i="191"/>
  <c r="E2" i="192"/>
  <c r="E2" i="189"/>
  <c r="E2" i="190"/>
  <c r="E2" i="187"/>
  <c r="E2" i="188"/>
  <c r="E2" i="185"/>
  <c r="E2" i="186"/>
  <c r="E2" i="183"/>
  <c r="E2" i="184"/>
  <c r="E2" i="181"/>
  <c r="E2" i="182"/>
  <c r="E2" i="179"/>
  <c r="E2" i="180"/>
  <c r="E2" i="177"/>
  <c r="E2" i="178"/>
  <c r="E2" i="175"/>
  <c r="E2" i="172"/>
  <c r="E2" i="173"/>
  <c r="E2" i="174"/>
  <c r="E2" i="170"/>
  <c r="E2" i="171"/>
  <c r="E2" i="168"/>
  <c r="E2" i="169"/>
  <c r="E2" i="166"/>
  <c r="E2" i="167"/>
  <c r="E2" i="164"/>
  <c r="E2" i="165"/>
  <c r="E2" i="162"/>
  <c r="E2" i="163"/>
  <c r="E2" i="160"/>
  <c r="E2" i="161"/>
  <c r="E2" i="159"/>
  <c r="E2" i="156"/>
  <c r="E2" i="157"/>
  <c r="E2" i="154"/>
  <c r="E2" i="155"/>
  <c r="E2" i="150"/>
  <c r="E2" i="148"/>
  <c r="E2" i="149"/>
  <c r="E2" i="146"/>
  <c r="E2" i="147"/>
  <c r="E2" i="144"/>
  <c r="E2" i="145"/>
  <c r="E2" i="142"/>
  <c r="E2" i="143"/>
  <c r="A234" i="31"/>
  <c r="E234" i="31" s="1"/>
  <c r="A235" i="31"/>
  <c r="E235" i="31" s="1"/>
  <c r="E2" i="140"/>
  <c r="E2" i="141"/>
  <c r="E2" i="139"/>
  <c r="A203" i="31"/>
  <c r="E203" i="31" s="1"/>
  <c r="A204" i="31"/>
  <c r="E204" i="31" s="1"/>
  <c r="E2" i="137"/>
  <c r="E2" i="138"/>
  <c r="A232" i="31"/>
  <c r="E232" i="31" s="1"/>
  <c r="E2" i="135"/>
  <c r="A228" i="31"/>
  <c r="E228" i="31" s="1"/>
  <c r="A229" i="31"/>
  <c r="E229" i="31" s="1"/>
  <c r="A230" i="31"/>
  <c r="E230" i="31" s="1"/>
  <c r="A231" i="31"/>
  <c r="E231" i="31" s="1"/>
  <c r="E2" i="133"/>
  <c r="E2" i="134"/>
  <c r="A207" i="31"/>
  <c r="E207" i="31" s="1"/>
  <c r="E2" i="131"/>
  <c r="E2" i="129"/>
  <c r="E2" i="130"/>
  <c r="E2" i="127"/>
  <c r="E2" i="128"/>
  <c r="A14" i="31"/>
  <c r="E14" i="31" s="1"/>
  <c r="E2" i="126"/>
  <c r="A15" i="31"/>
  <c r="E15" i="31" s="1"/>
  <c r="E2" i="125"/>
  <c r="E2" i="123"/>
  <c r="E2" i="124"/>
  <c r="A236" i="31"/>
  <c r="E236" i="31" s="1"/>
  <c r="A237" i="31"/>
  <c r="E237" i="31" s="1"/>
  <c r="E2" i="121"/>
  <c r="E2" i="122"/>
  <c r="E2" i="120"/>
  <c r="A227" i="31"/>
  <c r="E227" i="31" s="1"/>
  <c r="A233" i="31"/>
  <c r="E233" i="31" s="1"/>
  <c r="E2" i="106"/>
  <c r="A226" i="31"/>
  <c r="E226" i="31" s="1"/>
  <c r="E2" i="118"/>
  <c r="E2" i="119"/>
  <c r="E2" i="116"/>
  <c r="E2" i="117"/>
  <c r="E2" i="114"/>
  <c r="E2" i="115"/>
  <c r="E2" i="112"/>
  <c r="E2" i="113"/>
  <c r="E2" i="110"/>
  <c r="E2" i="111"/>
  <c r="E2" i="108"/>
  <c r="E2" i="109"/>
  <c r="E2" i="107"/>
  <c r="A4" i="31"/>
  <c r="E4" i="31" s="1"/>
  <c r="A5" i="31"/>
  <c r="E5" i="31" s="1"/>
  <c r="A223" i="31"/>
  <c r="E223" i="31" s="1"/>
  <c r="E2" i="105"/>
  <c r="E2" i="103"/>
  <c r="E2" i="104"/>
  <c r="E2" i="101"/>
  <c r="E2" i="102"/>
  <c r="E2" i="98"/>
  <c r="E2" i="99"/>
  <c r="E2" i="100"/>
  <c r="E2" i="97"/>
  <c r="E2" i="95"/>
  <c r="E2" i="96"/>
  <c r="E2" i="93"/>
  <c r="E2" i="94"/>
  <c r="E2" i="91"/>
  <c r="E2" i="92"/>
  <c r="E2" i="88"/>
  <c r="E2" i="89"/>
  <c r="E2" i="90"/>
  <c r="E2" i="86"/>
  <c r="E2" i="87"/>
  <c r="A209" i="31"/>
  <c r="E209" i="31" s="1"/>
  <c r="E2" i="85"/>
  <c r="E2" i="83"/>
  <c r="E2" i="84"/>
  <c r="A198" i="31"/>
  <c r="E198" i="31" s="1"/>
  <c r="E2" i="82"/>
  <c r="E2" i="81"/>
  <c r="A199" i="31"/>
  <c r="E199" i="31" s="1"/>
  <c r="A216" i="31"/>
  <c r="E216" i="31" s="1"/>
  <c r="A200" i="31"/>
  <c r="E200" i="31" s="1"/>
  <c r="A217" i="31"/>
  <c r="E217" i="31" s="1"/>
  <c r="A219" i="31"/>
  <c r="E219" i="31" s="1"/>
  <c r="A201" i="31"/>
  <c r="E201" i="31" s="1"/>
  <c r="A221" i="31"/>
  <c r="E221" i="31" s="1"/>
  <c r="A224" i="31"/>
  <c r="E224" i="31" s="1"/>
  <c r="A225" i="31"/>
  <c r="E225" i="31" s="1"/>
  <c r="A202" i="31"/>
  <c r="E202" i="31" s="1"/>
  <c r="A205" i="31"/>
  <c r="E205" i="31" s="1"/>
  <c r="A218" i="31"/>
  <c r="E218" i="31" s="1"/>
  <c r="A214" i="31"/>
  <c r="E214" i="31" s="1"/>
  <c r="A206" i="31"/>
  <c r="E206" i="31" s="1"/>
  <c r="A220" i="31"/>
  <c r="E220" i="31" s="1"/>
  <c r="A222" i="31"/>
  <c r="E222" i="31" s="1"/>
  <c r="A212" i="31"/>
  <c r="E212" i="31" s="1"/>
  <c r="A208" i="31"/>
  <c r="E208" i="31" s="1"/>
  <c r="A213" i="31"/>
  <c r="E213" i="31" s="1"/>
  <c r="A210" i="31"/>
  <c r="E210" i="31" s="1"/>
  <c r="A211" i="31"/>
  <c r="E211" i="31" s="1"/>
  <c r="E2" i="80"/>
  <c r="A27" i="31"/>
  <c r="E27" i="31" s="1"/>
  <c r="E2" i="79"/>
  <c r="A50" i="31"/>
  <c r="E50" i="31" s="1"/>
  <c r="E2" i="77"/>
  <c r="E2" i="78"/>
  <c r="A24" i="31"/>
  <c r="E24" i="31" s="1"/>
  <c r="A25" i="31"/>
  <c r="E25" i="31" s="1"/>
  <c r="A26" i="31"/>
  <c r="E26" i="31" s="1"/>
  <c r="A23" i="31"/>
  <c r="E23" i="31" s="1"/>
  <c r="E2" i="76"/>
  <c r="E2" i="74"/>
  <c r="C20" i="13"/>
  <c r="A22" i="31"/>
  <c r="E22" i="31" s="1"/>
  <c r="E2" i="73"/>
  <c r="A54" i="31"/>
  <c r="E54" i="31" s="1"/>
  <c r="E2" i="71"/>
  <c r="E2" i="72"/>
  <c r="E2" i="70"/>
  <c r="E2" i="67"/>
  <c r="E2" i="68"/>
  <c r="A44" i="31"/>
  <c r="E44" i="31" s="1"/>
  <c r="A45" i="31"/>
  <c r="E45" i="31" s="1"/>
  <c r="A46" i="31"/>
  <c r="E46" i="31" s="1"/>
  <c r="A48" i="31"/>
  <c r="E48" i="31" s="1"/>
  <c r="A43" i="31"/>
  <c r="E43" i="31" s="1"/>
  <c r="A75" i="31"/>
  <c r="E75" i="31" s="1"/>
  <c r="A42" i="31"/>
  <c r="E42" i="31" s="1"/>
  <c r="E2" i="65"/>
  <c r="E2" i="66"/>
  <c r="A38" i="31"/>
  <c r="E38" i="31" s="1"/>
  <c r="A39" i="31"/>
  <c r="E39" i="31" s="1"/>
  <c r="E2" i="64"/>
  <c r="A40" i="31"/>
  <c r="E40" i="31" s="1"/>
  <c r="E2" i="63"/>
  <c r="E2" i="62"/>
  <c r="E2" i="61"/>
  <c r="E2" i="59"/>
  <c r="E2" i="58"/>
  <c r="E2" i="60"/>
  <c r="E2" i="55"/>
  <c r="E2" i="57"/>
  <c r="E2" i="56"/>
  <c r="E2" i="53"/>
  <c r="E2" i="54"/>
  <c r="E2" i="51"/>
  <c r="E2" i="50"/>
  <c r="E2" i="52"/>
  <c r="E2" i="47"/>
  <c r="E2" i="48"/>
  <c r="E2" i="49"/>
  <c r="A29" i="31"/>
  <c r="E29" i="31" s="1"/>
  <c r="A30" i="31"/>
  <c r="E30" i="31" s="1"/>
  <c r="A31" i="31"/>
  <c r="E31" i="31" s="1"/>
  <c r="A32" i="31"/>
  <c r="E32" i="31" s="1"/>
  <c r="A33" i="31"/>
  <c r="E33" i="31" s="1"/>
  <c r="A34" i="31"/>
  <c r="E34" i="31" s="1"/>
  <c r="A35" i="31"/>
  <c r="E35" i="31" s="1"/>
  <c r="A36" i="31"/>
  <c r="E36" i="31" s="1"/>
  <c r="A21" i="31"/>
  <c r="E21" i="31" s="1"/>
  <c r="A52" i="31"/>
  <c r="E52" i="31" s="1"/>
  <c r="A20" i="31"/>
  <c r="E20" i="31" s="1"/>
  <c r="A53" i="31"/>
  <c r="E53" i="31" s="1"/>
  <c r="A41" i="31"/>
  <c r="E41" i="31" s="1"/>
  <c r="A37" i="31"/>
  <c r="E37" i="31" s="1"/>
  <c r="A51" i="31"/>
  <c r="E51" i="31" s="1"/>
  <c r="A2" i="31"/>
  <c r="E2" i="31" s="1"/>
  <c r="C2" i="13"/>
  <c r="C2" i="2" s="1"/>
  <c r="E2" i="2"/>
  <c r="B6" i="13"/>
  <c r="R11" i="13"/>
  <c r="R10" i="13"/>
  <c r="R17" i="13"/>
  <c r="R9" i="13"/>
  <c r="R8" i="13"/>
  <c r="R7" i="13"/>
  <c r="R16" i="13"/>
  <c r="R15" i="13"/>
  <c r="H2" i="31" a="1"/>
  <c r="G2" i="31" a="1"/>
  <c r="H2" i="31" l="1"/>
  <c r="G2" i="31"/>
  <c r="I3" i="14"/>
  <c r="G3" i="14"/>
  <c r="E3" i="14"/>
  <c r="I2" i="14"/>
  <c r="G2" i="14"/>
  <c r="R30" i="13"/>
  <c r="R29" i="13"/>
  <c r="R28" i="13"/>
  <c r="R27" i="13"/>
  <c r="O26" i="2" l="1"/>
  <c r="O23" i="2"/>
  <c r="O24" i="2"/>
  <c r="O22" i="2"/>
  <c r="O5" i="2"/>
  <c r="O20" i="2"/>
  <c r="O18" i="2"/>
  <c r="O28" i="2"/>
  <c r="H244" i="31" a="1"/>
  <c r="H198" i="31" a="1"/>
  <c r="G244" i="31" a="1"/>
  <c r="G198" i="31" a="1"/>
  <c r="H244" i="31" l="1"/>
  <c r="G244" i="31"/>
  <c r="G198" i="31"/>
  <c r="H198" i="31"/>
  <c r="Q20" i="51"/>
  <c r="Q38" i="47"/>
  <c r="Q40" i="47"/>
  <c r="Q19" i="51"/>
  <c r="Q20" i="50"/>
  <c r="Q39" i="47"/>
  <c r="Q19" i="50"/>
  <c r="O19" i="2"/>
  <c r="Q7" i="106" l="1"/>
  <c r="D20" i="13"/>
  <c r="C3" i="2" l="1"/>
  <c r="R23" i="13" l="1"/>
  <c r="R24" i="13"/>
  <c r="R25" i="13"/>
  <c r="R26" i="13"/>
  <c r="R22" i="13"/>
  <c r="E2" i="14" l="1"/>
  <c r="A18" i="31"/>
  <c r="E18" i="31" s="1"/>
  <c r="A19" i="31"/>
  <c r="E19" i="31" s="1"/>
  <c r="H18" i="31" a="1"/>
  <c r="G18" i="31" a="1"/>
  <c r="D5" i="298" l="1"/>
  <c r="C3" i="244" s="1"/>
  <c r="H18" i="31"/>
  <c r="G18" i="31"/>
  <c r="I3" i="2" l="1"/>
  <c r="G3" i="2"/>
  <c r="I2" i="2"/>
  <c r="G2" i="2"/>
  <c r="M97" i="27" a="1"/>
  <c r="M97" i="27" l="1"/>
  <c r="Q28" i="2"/>
  <c r="M16" i="27" a="1"/>
  <c r="M16" i="27" l="1"/>
  <c r="F40" i="29" a="1"/>
  <c r="M20" i="27" a="1"/>
  <c r="M20" i="27" l="1"/>
  <c r="F40" i="29"/>
  <c r="H40" i="29" s="1"/>
  <c r="M100" i="27" a="1"/>
  <c r="M100" i="27" l="1"/>
  <c r="M65" i="27" a="1"/>
  <c r="M65" i="27" l="1"/>
  <c r="M44" i="27" a="1"/>
  <c r="M44" i="27" l="1"/>
  <c r="M18" i="27" a="1"/>
  <c r="M18" i="27" l="1"/>
  <c r="R14" i="13" l="1"/>
  <c r="R13" i="13"/>
  <c r="R12" i="13"/>
  <c r="R6" i="13"/>
  <c r="N31" i="171"/>
  <c r="M31" i="171"/>
  <c r="L31" i="171"/>
  <c r="K31" i="171"/>
  <c r="J31" i="171"/>
  <c r="H31" i="171"/>
  <c r="G31" i="171"/>
  <c r="F31" i="171"/>
  <c r="P26" i="171"/>
  <c r="Q26" i="171" s="1"/>
  <c r="N26" i="171"/>
  <c r="M26" i="171"/>
  <c r="L26" i="171"/>
  <c r="K26" i="171"/>
  <c r="J26" i="171"/>
  <c r="H26" i="171"/>
  <c r="G26" i="171"/>
  <c r="F26" i="171"/>
  <c r="P25" i="171"/>
  <c r="Q25" i="171" s="1"/>
  <c r="N25" i="171"/>
  <c r="M25" i="171"/>
  <c r="L25" i="171"/>
  <c r="K25" i="171"/>
  <c r="J25" i="171"/>
  <c r="H25" i="171"/>
  <c r="G25" i="171"/>
  <c r="F25" i="171"/>
  <c r="D20" i="171"/>
  <c r="D18" i="171"/>
  <c r="D17" i="171"/>
  <c r="D16" i="171"/>
  <c r="D15" i="171"/>
  <c r="D14" i="171"/>
  <c r="D13" i="171"/>
  <c r="I3" i="171"/>
  <c r="G3" i="171"/>
  <c r="E3" i="171"/>
  <c r="I2" i="171"/>
  <c r="G2" i="171"/>
  <c r="C2" i="120"/>
  <c r="I3" i="170"/>
  <c r="G3" i="170"/>
  <c r="E3" i="170"/>
  <c r="I2" i="170"/>
  <c r="G2" i="170"/>
  <c r="E238" i="31"/>
  <c r="E239" i="31"/>
  <c r="E240" i="31"/>
  <c r="E241" i="31"/>
  <c r="E242" i="31"/>
  <c r="E243" i="31"/>
  <c r="E308" i="29"/>
  <c r="C308" i="29"/>
  <c r="C309" i="29"/>
  <c r="C320" i="29"/>
  <c r="C2" i="168"/>
  <c r="C2" i="167"/>
  <c r="C2" i="166"/>
  <c r="E80" i="31"/>
  <c r="E81" i="31"/>
  <c r="E82" i="31"/>
  <c r="E88" i="31"/>
  <c r="P10" i="169"/>
  <c r="Q10" i="169" s="1"/>
  <c r="N10" i="169"/>
  <c r="M10" i="169"/>
  <c r="L10" i="169"/>
  <c r="K10" i="169"/>
  <c r="J10" i="169"/>
  <c r="H10" i="169"/>
  <c r="G10" i="169"/>
  <c r="F10" i="169"/>
  <c r="P8" i="169"/>
  <c r="Q8" i="169" s="1"/>
  <c r="D8" i="169"/>
  <c r="P7" i="169"/>
  <c r="Q7" i="169" s="1"/>
  <c r="D7" i="169"/>
  <c r="I3" i="169"/>
  <c r="G3" i="169"/>
  <c r="E3" i="169"/>
  <c r="I2" i="169"/>
  <c r="G2" i="169"/>
  <c r="P10" i="168"/>
  <c r="Q10" i="168" s="1"/>
  <c r="N10" i="168"/>
  <c r="M10" i="168"/>
  <c r="L10" i="168"/>
  <c r="K10" i="168"/>
  <c r="J10" i="168"/>
  <c r="H10" i="168"/>
  <c r="G10" i="168"/>
  <c r="F10" i="168"/>
  <c r="P8" i="168"/>
  <c r="Q8" i="168" s="1"/>
  <c r="D8" i="168"/>
  <c r="P7" i="168"/>
  <c r="Q7" i="168" s="1"/>
  <c r="D7" i="168"/>
  <c r="I3" i="168"/>
  <c r="G3" i="168"/>
  <c r="E3" i="168"/>
  <c r="I2" i="168"/>
  <c r="G2" i="168"/>
  <c r="Q29" i="167"/>
  <c r="Q28" i="167"/>
  <c r="Q27" i="167"/>
  <c r="Q26" i="167"/>
  <c r="Q25" i="167"/>
  <c r="Q24" i="167"/>
  <c r="D22" i="167"/>
  <c r="D20" i="167"/>
  <c r="I3" i="167"/>
  <c r="G3" i="167"/>
  <c r="E3" i="167"/>
  <c r="I2" i="167"/>
  <c r="G2" i="167"/>
  <c r="I3" i="166"/>
  <c r="G3" i="166"/>
  <c r="E3" i="166"/>
  <c r="I2" i="166"/>
  <c r="G2" i="166"/>
  <c r="C145" i="29"/>
  <c r="C147" i="29"/>
  <c r="C321" i="29"/>
  <c r="D27" i="165"/>
  <c r="P47" i="165"/>
  <c r="Q47" i="165" s="1"/>
  <c r="N47" i="165"/>
  <c r="M47" i="165"/>
  <c r="L47" i="165"/>
  <c r="K47" i="165"/>
  <c r="J47" i="165"/>
  <c r="H47" i="165"/>
  <c r="G47" i="165"/>
  <c r="F47" i="165"/>
  <c r="D31" i="165"/>
  <c r="D30" i="165"/>
  <c r="D29" i="165"/>
  <c r="D28" i="165"/>
  <c r="C211" i="29"/>
  <c r="C215" i="29"/>
  <c r="C216" i="29"/>
  <c r="C217" i="29"/>
  <c r="C218" i="29"/>
  <c r="C219" i="29"/>
  <c r="C220" i="29"/>
  <c r="C221" i="29"/>
  <c r="C222" i="29"/>
  <c r="C212" i="29"/>
  <c r="C213" i="29"/>
  <c r="E221" i="29"/>
  <c r="C2" i="165"/>
  <c r="Q50" i="165"/>
  <c r="P48" i="165"/>
  <c r="Q48" i="165" s="1"/>
  <c r="N48" i="165"/>
  <c r="M48" i="165"/>
  <c r="L48" i="165"/>
  <c r="K48" i="165"/>
  <c r="J48" i="165"/>
  <c r="H48" i="165"/>
  <c r="G48" i="165"/>
  <c r="F48" i="165"/>
  <c r="P46" i="165"/>
  <c r="Q46" i="165" s="1"/>
  <c r="N46" i="165"/>
  <c r="M46" i="165"/>
  <c r="L46" i="165"/>
  <c r="K46" i="165"/>
  <c r="J46" i="165"/>
  <c r="H46" i="165"/>
  <c r="G46" i="165"/>
  <c r="F46" i="165"/>
  <c r="P45" i="165"/>
  <c r="Q45" i="165" s="1"/>
  <c r="N45" i="165"/>
  <c r="M45" i="165"/>
  <c r="L45" i="165"/>
  <c r="K45" i="165"/>
  <c r="J45" i="165"/>
  <c r="H45" i="165"/>
  <c r="G45" i="165"/>
  <c r="F45" i="165"/>
  <c r="P44" i="165"/>
  <c r="Q44" i="165" s="1"/>
  <c r="N44" i="165"/>
  <c r="M44" i="165"/>
  <c r="L44" i="165"/>
  <c r="K44" i="165"/>
  <c r="J44" i="165"/>
  <c r="H44" i="165"/>
  <c r="G44" i="165"/>
  <c r="F44" i="165"/>
  <c r="P43" i="165"/>
  <c r="Q43" i="165" s="1"/>
  <c r="N43" i="165"/>
  <c r="M43" i="165"/>
  <c r="L43" i="165"/>
  <c r="K43" i="165"/>
  <c r="J43" i="165"/>
  <c r="H43" i="165"/>
  <c r="G43" i="165"/>
  <c r="F43" i="165"/>
  <c r="P42" i="165"/>
  <c r="Q42" i="165" s="1"/>
  <c r="N42" i="165"/>
  <c r="M42" i="165"/>
  <c r="L42" i="165"/>
  <c r="K42" i="165"/>
  <c r="J42" i="165"/>
  <c r="H42" i="165"/>
  <c r="G42" i="165"/>
  <c r="F42" i="165"/>
  <c r="P41" i="165"/>
  <c r="Q41" i="165" s="1"/>
  <c r="N41" i="165"/>
  <c r="M41" i="165"/>
  <c r="L41" i="165"/>
  <c r="K41" i="165"/>
  <c r="J41" i="165"/>
  <c r="H41" i="165"/>
  <c r="G41" i="165"/>
  <c r="F41" i="165"/>
  <c r="P40" i="165"/>
  <c r="Q40" i="165" s="1"/>
  <c r="N40" i="165"/>
  <c r="M40" i="165"/>
  <c r="L40" i="165"/>
  <c r="K40" i="165"/>
  <c r="J40" i="165"/>
  <c r="H40" i="165"/>
  <c r="G40" i="165"/>
  <c r="F40" i="165"/>
  <c r="P39" i="165"/>
  <c r="Q39" i="165" s="1"/>
  <c r="N39" i="165"/>
  <c r="M39" i="165"/>
  <c r="L39" i="165"/>
  <c r="K39" i="165"/>
  <c r="J39" i="165"/>
  <c r="H39" i="165"/>
  <c r="G39" i="165"/>
  <c r="F39" i="165"/>
  <c r="P38" i="165"/>
  <c r="Q38" i="165" s="1"/>
  <c r="N38" i="165"/>
  <c r="M38" i="165"/>
  <c r="L38" i="165"/>
  <c r="K38" i="165"/>
  <c r="J38" i="165"/>
  <c r="H38" i="165"/>
  <c r="G38" i="165"/>
  <c r="F38" i="165"/>
  <c r="P37" i="165"/>
  <c r="Q37" i="165" s="1"/>
  <c r="N37" i="165"/>
  <c r="M37" i="165"/>
  <c r="L37" i="165"/>
  <c r="K37" i="165"/>
  <c r="J37" i="165"/>
  <c r="H37" i="165"/>
  <c r="G37" i="165"/>
  <c r="F37" i="165"/>
  <c r="D35" i="165"/>
  <c r="D34" i="165"/>
  <c r="D33" i="165"/>
  <c r="D32" i="165"/>
  <c r="D26" i="165"/>
  <c r="D25" i="165"/>
  <c r="D24" i="165"/>
  <c r="D23" i="165"/>
  <c r="D22" i="165"/>
  <c r="D21" i="165"/>
  <c r="D20" i="165"/>
  <c r="D19" i="165"/>
  <c r="D18" i="165"/>
  <c r="I3" i="165"/>
  <c r="G3" i="165"/>
  <c r="E3" i="165"/>
  <c r="I2" i="165"/>
  <c r="G2" i="165"/>
  <c r="E102" i="31"/>
  <c r="C2" i="116"/>
  <c r="F22" i="164"/>
  <c r="G22" i="164"/>
  <c r="H22" i="164"/>
  <c r="J22" i="164"/>
  <c r="K22" i="164"/>
  <c r="L22" i="164"/>
  <c r="M22" i="164"/>
  <c r="N22" i="164"/>
  <c r="P22" i="164"/>
  <c r="Q22" i="164" s="1"/>
  <c r="F23" i="164"/>
  <c r="G23" i="164"/>
  <c r="H23" i="164"/>
  <c r="J23" i="164"/>
  <c r="K23" i="164"/>
  <c r="L23" i="164"/>
  <c r="M23" i="164"/>
  <c r="N23" i="164"/>
  <c r="P23" i="164"/>
  <c r="Q23" i="164" s="1"/>
  <c r="F24" i="164"/>
  <c r="G24" i="164"/>
  <c r="H24" i="164"/>
  <c r="J24" i="164"/>
  <c r="K24" i="164"/>
  <c r="L24" i="164"/>
  <c r="M24" i="164"/>
  <c r="N24" i="164"/>
  <c r="P24" i="164"/>
  <c r="Q24" i="164" s="1"/>
  <c r="F25" i="164"/>
  <c r="G25" i="164"/>
  <c r="H25" i="164"/>
  <c r="J25" i="164"/>
  <c r="K25" i="164"/>
  <c r="L25" i="164"/>
  <c r="M25" i="164"/>
  <c r="N25" i="164"/>
  <c r="P25" i="164"/>
  <c r="Q25" i="164" s="1"/>
  <c r="F26" i="164"/>
  <c r="G26" i="164"/>
  <c r="H26" i="164"/>
  <c r="J26" i="164"/>
  <c r="K26" i="164"/>
  <c r="L26" i="164"/>
  <c r="M26" i="164"/>
  <c r="N26" i="164"/>
  <c r="P26" i="164"/>
  <c r="Q26" i="164" s="1"/>
  <c r="F27" i="164"/>
  <c r="G27" i="164"/>
  <c r="H27" i="164"/>
  <c r="J27" i="164"/>
  <c r="K27" i="164"/>
  <c r="L27" i="164"/>
  <c r="M27" i="164"/>
  <c r="N27" i="164"/>
  <c r="P27" i="164"/>
  <c r="Q27" i="164" s="1"/>
  <c r="F28" i="164"/>
  <c r="G28" i="164"/>
  <c r="H28" i="164"/>
  <c r="J28" i="164"/>
  <c r="K28" i="164"/>
  <c r="L28" i="164"/>
  <c r="M28" i="164"/>
  <c r="N28" i="164"/>
  <c r="P28" i="164"/>
  <c r="Q28" i="164" s="1"/>
  <c r="F29" i="164"/>
  <c r="G29" i="164"/>
  <c r="H29" i="164"/>
  <c r="J29" i="164"/>
  <c r="K29" i="164"/>
  <c r="L29" i="164"/>
  <c r="M29" i="164"/>
  <c r="N29" i="164"/>
  <c r="P29" i="164"/>
  <c r="Q29" i="164" s="1"/>
  <c r="D10" i="164"/>
  <c r="D11" i="164"/>
  <c r="D12" i="164"/>
  <c r="D13" i="164"/>
  <c r="D14" i="164"/>
  <c r="D15" i="164"/>
  <c r="D16" i="164"/>
  <c r="D17" i="164"/>
  <c r="D18" i="164"/>
  <c r="D19" i="164"/>
  <c r="D20" i="164"/>
  <c r="G2" i="164"/>
  <c r="I2" i="164"/>
  <c r="E3" i="164"/>
  <c r="G3" i="164"/>
  <c r="I3" i="164"/>
  <c r="P22" i="131"/>
  <c r="Q22" i="131" s="1"/>
  <c r="N22" i="131"/>
  <c r="M22" i="131"/>
  <c r="L22" i="131"/>
  <c r="K22" i="131"/>
  <c r="J22" i="131"/>
  <c r="H22" i="131"/>
  <c r="G22" i="131"/>
  <c r="F22" i="131"/>
  <c r="C2" i="163"/>
  <c r="P42" i="163"/>
  <c r="Q42" i="163" s="1"/>
  <c r="N42" i="163"/>
  <c r="M42" i="163"/>
  <c r="L42" i="163"/>
  <c r="K42" i="163"/>
  <c r="J42" i="163"/>
  <c r="H42" i="163"/>
  <c r="G42" i="163"/>
  <c r="F42" i="163"/>
  <c r="P41" i="163"/>
  <c r="Q41" i="163" s="1"/>
  <c r="N41" i="163"/>
  <c r="M41" i="163"/>
  <c r="L41" i="163"/>
  <c r="K41" i="163"/>
  <c r="J41" i="163"/>
  <c r="H41" i="163"/>
  <c r="G41" i="163"/>
  <c r="F41" i="163"/>
  <c r="P40" i="163"/>
  <c r="Q40" i="163" s="1"/>
  <c r="N40" i="163"/>
  <c r="M40" i="163"/>
  <c r="L40" i="163"/>
  <c r="K40" i="163"/>
  <c r="J40" i="163"/>
  <c r="H40" i="163"/>
  <c r="G40" i="163"/>
  <c r="F40" i="163"/>
  <c r="P39" i="163"/>
  <c r="Q39" i="163" s="1"/>
  <c r="N39" i="163"/>
  <c r="M39" i="163"/>
  <c r="L39" i="163"/>
  <c r="K39" i="163"/>
  <c r="J39" i="163"/>
  <c r="H39" i="163"/>
  <c r="G39" i="163"/>
  <c r="F39" i="163"/>
  <c r="P38" i="163"/>
  <c r="Q38" i="163" s="1"/>
  <c r="N38" i="163"/>
  <c r="M38" i="163"/>
  <c r="L38" i="163"/>
  <c r="K38" i="163"/>
  <c r="J38" i="163"/>
  <c r="H38" i="163"/>
  <c r="G38" i="163"/>
  <c r="F38" i="163"/>
  <c r="P37" i="163"/>
  <c r="Q37" i="163" s="1"/>
  <c r="N37" i="163"/>
  <c r="M37" i="163"/>
  <c r="L37" i="163"/>
  <c r="K37" i="163"/>
  <c r="J37" i="163"/>
  <c r="H37" i="163"/>
  <c r="G37" i="163"/>
  <c r="F37" i="163"/>
  <c r="P36" i="163"/>
  <c r="Q36" i="163" s="1"/>
  <c r="N36" i="163"/>
  <c r="M36" i="163"/>
  <c r="L36" i="163"/>
  <c r="K36" i="163"/>
  <c r="J36" i="163"/>
  <c r="H36" i="163"/>
  <c r="G36" i="163"/>
  <c r="F36" i="163"/>
  <c r="P35" i="163"/>
  <c r="Q35" i="163" s="1"/>
  <c r="N35" i="163"/>
  <c r="M35" i="163"/>
  <c r="L35" i="163"/>
  <c r="K35" i="163"/>
  <c r="J35" i="163"/>
  <c r="H35" i="163"/>
  <c r="G35" i="163"/>
  <c r="F35" i="163"/>
  <c r="P34" i="163"/>
  <c r="Q34" i="163" s="1"/>
  <c r="N34" i="163"/>
  <c r="M34" i="163"/>
  <c r="L34" i="163"/>
  <c r="K34" i="163"/>
  <c r="J34" i="163"/>
  <c r="H34" i="163"/>
  <c r="G34" i="163"/>
  <c r="F34" i="163"/>
  <c r="P33" i="163"/>
  <c r="Q33" i="163" s="1"/>
  <c r="N33" i="163"/>
  <c r="M33" i="163"/>
  <c r="L33" i="163"/>
  <c r="K33" i="163"/>
  <c r="J33" i="163"/>
  <c r="H33" i="163"/>
  <c r="G33" i="163"/>
  <c r="F33" i="163"/>
  <c r="D30" i="163"/>
  <c r="D29" i="163"/>
  <c r="D28" i="163"/>
  <c r="D27" i="163"/>
  <c r="D26" i="163"/>
  <c r="D25" i="163"/>
  <c r="D24" i="163"/>
  <c r="D23" i="163"/>
  <c r="I3" i="163"/>
  <c r="G3" i="163"/>
  <c r="E3" i="163"/>
  <c r="I2" i="163"/>
  <c r="G2" i="163"/>
  <c r="C2" i="162"/>
  <c r="P31" i="162"/>
  <c r="Q31" i="162" s="1"/>
  <c r="N31" i="162"/>
  <c r="M31" i="162"/>
  <c r="L31" i="162"/>
  <c r="K31" i="162"/>
  <c r="J31" i="162"/>
  <c r="H31" i="162"/>
  <c r="G31" i="162"/>
  <c r="F31" i="162"/>
  <c r="P30" i="162"/>
  <c r="Q30" i="162" s="1"/>
  <c r="N30" i="162"/>
  <c r="M30" i="162"/>
  <c r="L30" i="162"/>
  <c r="K30" i="162"/>
  <c r="J30" i="162"/>
  <c r="H30" i="162"/>
  <c r="G30" i="162"/>
  <c r="F30" i="162"/>
  <c r="P29" i="162"/>
  <c r="Q29" i="162" s="1"/>
  <c r="N29" i="162"/>
  <c r="M29" i="162"/>
  <c r="L29" i="162"/>
  <c r="K29" i="162"/>
  <c r="J29" i="162"/>
  <c r="H29" i="162"/>
  <c r="G29" i="162"/>
  <c r="F29" i="162"/>
  <c r="P28" i="162"/>
  <c r="Q28" i="162" s="1"/>
  <c r="N28" i="162"/>
  <c r="M28" i="162"/>
  <c r="L28" i="162"/>
  <c r="K28" i="162"/>
  <c r="J28" i="162"/>
  <c r="H28" i="162"/>
  <c r="G28" i="162"/>
  <c r="F28" i="162"/>
  <c r="P27" i="162"/>
  <c r="Q27" i="162" s="1"/>
  <c r="N27" i="162"/>
  <c r="M27" i="162"/>
  <c r="L27" i="162"/>
  <c r="K27" i="162"/>
  <c r="J27" i="162"/>
  <c r="H27" i="162"/>
  <c r="G27" i="162"/>
  <c r="F27" i="162"/>
  <c r="P26" i="162"/>
  <c r="Q26" i="162" s="1"/>
  <c r="N26" i="162"/>
  <c r="M26" i="162"/>
  <c r="L26" i="162"/>
  <c r="K26" i="162"/>
  <c r="J26" i="162"/>
  <c r="H26" i="162"/>
  <c r="G26" i="162"/>
  <c r="F26" i="162"/>
  <c r="P25" i="162"/>
  <c r="Q25" i="162" s="1"/>
  <c r="N25" i="162"/>
  <c r="M25" i="162"/>
  <c r="L25" i="162"/>
  <c r="K25" i="162"/>
  <c r="J25" i="162"/>
  <c r="H25" i="162"/>
  <c r="G25" i="162"/>
  <c r="F25" i="162"/>
  <c r="P24" i="162"/>
  <c r="Q24" i="162" s="1"/>
  <c r="N24" i="162"/>
  <c r="M24" i="162"/>
  <c r="L24" i="162"/>
  <c r="K24" i="162"/>
  <c r="J24" i="162"/>
  <c r="H24" i="162"/>
  <c r="G24" i="162"/>
  <c r="F24" i="162"/>
  <c r="D22" i="162"/>
  <c r="D21" i="162"/>
  <c r="D20" i="162"/>
  <c r="D19" i="162"/>
  <c r="D18" i="162"/>
  <c r="D17" i="162"/>
  <c r="D16" i="162"/>
  <c r="D15" i="162"/>
  <c r="D14" i="162"/>
  <c r="D13" i="162"/>
  <c r="D12" i="162"/>
  <c r="D11" i="162"/>
  <c r="I3" i="162"/>
  <c r="G3" i="162"/>
  <c r="E3" i="162"/>
  <c r="I2" i="162"/>
  <c r="G2" i="162"/>
  <c r="C2" i="157"/>
  <c r="C2" i="156"/>
  <c r="C2" i="155"/>
  <c r="C2" i="154"/>
  <c r="C2" i="150"/>
  <c r="P24" i="2"/>
  <c r="Q24" i="2" s="1"/>
  <c r="D24" i="2"/>
  <c r="P23" i="2"/>
  <c r="Q23" i="2" s="1"/>
  <c r="D23" i="2"/>
  <c r="P22" i="2"/>
  <c r="Q22" i="2" s="1"/>
  <c r="D22" i="2"/>
  <c r="P19" i="107"/>
  <c r="Q19" i="107" s="1"/>
  <c r="D19" i="107"/>
  <c r="P18" i="107"/>
  <c r="Q18" i="107" s="1"/>
  <c r="D18" i="107"/>
  <c r="P17" i="107"/>
  <c r="Q17" i="107" s="1"/>
  <c r="D17" i="107"/>
  <c r="P16" i="107"/>
  <c r="Q16" i="107" s="1"/>
  <c r="D16" i="107"/>
  <c r="P15" i="107"/>
  <c r="Q15" i="107" s="1"/>
  <c r="D15" i="107"/>
  <c r="P14" i="107"/>
  <c r="Q14" i="107" s="1"/>
  <c r="D14" i="107"/>
  <c r="P13" i="107"/>
  <c r="Q13" i="107" s="1"/>
  <c r="D13" i="107"/>
  <c r="P12" i="107"/>
  <c r="Q12" i="107" s="1"/>
  <c r="D12" i="107"/>
  <c r="P11" i="107"/>
  <c r="Q11" i="107" s="1"/>
  <c r="D11" i="107"/>
  <c r="P10" i="107"/>
  <c r="Q10" i="107" s="1"/>
  <c r="D10" i="107"/>
  <c r="P9" i="107"/>
  <c r="Q9" i="107" s="1"/>
  <c r="D9" i="107"/>
  <c r="P8" i="107"/>
  <c r="Q8" i="107" s="1"/>
  <c r="D8" i="107"/>
  <c r="P6" i="107"/>
  <c r="Q6" i="107" s="1"/>
  <c r="D6" i="107"/>
  <c r="P5" i="107"/>
  <c r="Q5" i="107" s="1"/>
  <c r="D5" i="107"/>
  <c r="P17" i="108"/>
  <c r="Q17" i="108" s="1"/>
  <c r="D17" i="108"/>
  <c r="P16" i="108"/>
  <c r="Q16" i="108" s="1"/>
  <c r="D16" i="108"/>
  <c r="P15" i="108"/>
  <c r="Q15" i="108" s="1"/>
  <c r="D15" i="108"/>
  <c r="P14" i="108"/>
  <c r="Q14" i="108" s="1"/>
  <c r="D14" i="108"/>
  <c r="P13" i="108"/>
  <c r="Q13" i="108" s="1"/>
  <c r="D13" i="108"/>
  <c r="P12" i="108"/>
  <c r="Q12" i="108" s="1"/>
  <c r="D12" i="108"/>
  <c r="P11" i="108"/>
  <c r="Q11" i="108" s="1"/>
  <c r="D11" i="108"/>
  <c r="P10" i="108"/>
  <c r="Q10" i="108" s="1"/>
  <c r="D10" i="108"/>
  <c r="P9" i="108"/>
  <c r="Q9" i="108" s="1"/>
  <c r="D9" i="108"/>
  <c r="P7" i="108"/>
  <c r="Q7" i="108" s="1"/>
  <c r="D7" i="108"/>
  <c r="P5" i="160"/>
  <c r="Q5" i="160" s="1"/>
  <c r="D5" i="160"/>
  <c r="P11" i="126"/>
  <c r="Q11" i="126" s="1"/>
  <c r="D11" i="126"/>
  <c r="P10" i="126"/>
  <c r="Q10" i="126" s="1"/>
  <c r="D10" i="126"/>
  <c r="P9" i="126"/>
  <c r="Q9" i="126" s="1"/>
  <c r="D9" i="126"/>
  <c r="P8" i="126"/>
  <c r="Q8" i="126" s="1"/>
  <c r="D8" i="126"/>
  <c r="P7" i="126"/>
  <c r="Q7" i="126" s="1"/>
  <c r="D7" i="126"/>
  <c r="P6" i="126"/>
  <c r="Q6" i="126" s="1"/>
  <c r="D6" i="126"/>
  <c r="P5" i="126"/>
  <c r="Q5" i="126" s="1"/>
  <c r="D5" i="126"/>
  <c r="P11" i="125"/>
  <c r="Q11" i="125" s="1"/>
  <c r="D11" i="125"/>
  <c r="P10" i="125"/>
  <c r="Q10" i="125" s="1"/>
  <c r="D10" i="125"/>
  <c r="P9" i="125"/>
  <c r="Q9" i="125" s="1"/>
  <c r="D9" i="125"/>
  <c r="P8" i="125"/>
  <c r="Q8" i="125" s="1"/>
  <c r="D8" i="125"/>
  <c r="P7" i="125"/>
  <c r="Q7" i="125" s="1"/>
  <c r="D7" i="125"/>
  <c r="P6" i="125"/>
  <c r="Q6" i="125" s="1"/>
  <c r="D6" i="125"/>
  <c r="P5" i="125"/>
  <c r="Q5" i="125" s="1"/>
  <c r="D5" i="125"/>
  <c r="P25" i="47"/>
  <c r="Q25" i="47" s="1"/>
  <c r="D25" i="47"/>
  <c r="P24" i="47"/>
  <c r="Q24" i="47" s="1"/>
  <c r="D24" i="47"/>
  <c r="P8" i="54"/>
  <c r="Q8" i="54" s="1"/>
  <c r="D8" i="54"/>
  <c r="P7" i="54"/>
  <c r="Q7" i="54" s="1"/>
  <c r="D7" i="54"/>
  <c r="P12" i="55"/>
  <c r="Q12" i="55" s="1"/>
  <c r="D12" i="55"/>
  <c r="P11" i="55"/>
  <c r="Q11" i="55" s="1"/>
  <c r="D11" i="55"/>
  <c r="P7" i="56"/>
  <c r="Q7" i="56" s="1"/>
  <c r="D7" i="56"/>
  <c r="P9" i="57"/>
  <c r="Q9" i="57" s="1"/>
  <c r="D9" i="57"/>
  <c r="P8" i="57"/>
  <c r="Q8" i="57" s="1"/>
  <c r="D8" i="57"/>
  <c r="P7" i="57"/>
  <c r="Q7" i="57" s="1"/>
  <c r="D7" i="57"/>
  <c r="P10" i="58"/>
  <c r="Q10" i="58" s="1"/>
  <c r="D10" i="58"/>
  <c r="P9" i="58"/>
  <c r="Q9" i="58" s="1"/>
  <c r="D9" i="58"/>
  <c r="P8" i="58"/>
  <c r="Q8" i="58" s="1"/>
  <c r="D8" i="58"/>
  <c r="P12" i="59"/>
  <c r="Q12" i="59" s="1"/>
  <c r="D12" i="59"/>
  <c r="P11" i="59"/>
  <c r="Q11" i="59" s="1"/>
  <c r="D11" i="59"/>
  <c r="P10" i="59"/>
  <c r="Q10" i="59" s="1"/>
  <c r="D10" i="59"/>
  <c r="P9" i="59"/>
  <c r="Q9" i="59" s="1"/>
  <c r="D9" i="59"/>
  <c r="P12" i="60"/>
  <c r="Q12" i="60" s="1"/>
  <c r="D12" i="60"/>
  <c r="P11" i="60"/>
  <c r="Q11" i="60" s="1"/>
  <c r="D11" i="60"/>
  <c r="P26" i="61"/>
  <c r="Q26" i="61" s="1"/>
  <c r="D26" i="61"/>
  <c r="P25" i="61"/>
  <c r="Q25" i="61" s="1"/>
  <c r="D25" i="61"/>
  <c r="P24" i="61"/>
  <c r="Q24" i="61" s="1"/>
  <c r="D24" i="61"/>
  <c r="P23" i="61"/>
  <c r="Q23" i="61" s="1"/>
  <c r="D23" i="61"/>
  <c r="P22" i="61"/>
  <c r="Q22" i="61" s="1"/>
  <c r="D22" i="61"/>
  <c r="P21" i="61"/>
  <c r="Q21" i="61" s="1"/>
  <c r="D21" i="61"/>
  <c r="P20" i="61"/>
  <c r="Q20" i="61" s="1"/>
  <c r="D20" i="61"/>
  <c r="P19" i="61"/>
  <c r="Q19" i="61" s="1"/>
  <c r="D19" i="61"/>
  <c r="P18" i="61"/>
  <c r="Q18" i="61" s="1"/>
  <c r="D18" i="61"/>
  <c r="P17" i="61"/>
  <c r="Q17" i="61" s="1"/>
  <c r="D17" i="61"/>
  <c r="P16" i="61"/>
  <c r="Q16" i="61" s="1"/>
  <c r="D16" i="61"/>
  <c r="P15" i="61"/>
  <c r="Q15" i="61" s="1"/>
  <c r="D15" i="61"/>
  <c r="P6" i="62"/>
  <c r="Q6" i="62" s="1"/>
  <c r="Q9" i="62" s="1"/>
  <c r="P13" i="47" s="1"/>
  <c r="Q13" i="47" s="1"/>
  <c r="D6" i="62"/>
  <c r="P10" i="63"/>
  <c r="Q10" i="63" s="1"/>
  <c r="D10" i="63"/>
  <c r="P9" i="63"/>
  <c r="Q9" i="63" s="1"/>
  <c r="D9" i="63"/>
  <c r="P8" i="63"/>
  <c r="Q8" i="63" s="1"/>
  <c r="D8" i="63"/>
  <c r="P6" i="76"/>
  <c r="Q6" i="76" s="1"/>
  <c r="D6" i="76"/>
  <c r="P5" i="76"/>
  <c r="Q5" i="76" s="1"/>
  <c r="D5" i="76"/>
  <c r="P8" i="81"/>
  <c r="Q8" i="81" s="1"/>
  <c r="D8" i="81"/>
  <c r="P7" i="81"/>
  <c r="Q7" i="81" s="1"/>
  <c r="D7" i="81"/>
  <c r="P19" i="48"/>
  <c r="Q19" i="48" s="1"/>
  <c r="D19" i="48"/>
  <c r="P18" i="48"/>
  <c r="Q18" i="48" s="1"/>
  <c r="D18" i="48"/>
  <c r="P17" i="48"/>
  <c r="Q17" i="48" s="1"/>
  <c r="D17" i="48"/>
  <c r="P16" i="48"/>
  <c r="Q16" i="48" s="1"/>
  <c r="D16" i="48"/>
  <c r="P15" i="48"/>
  <c r="Q15" i="48" s="1"/>
  <c r="D15" i="48"/>
  <c r="P11" i="64"/>
  <c r="Q11" i="64" s="1"/>
  <c r="D11" i="64"/>
  <c r="P11" i="65"/>
  <c r="Q11" i="65" s="1"/>
  <c r="D11" i="65"/>
  <c r="P8" i="66"/>
  <c r="Q8" i="66" s="1"/>
  <c r="D8" i="66"/>
  <c r="P36" i="49"/>
  <c r="Q36" i="49" s="1"/>
  <c r="D36" i="49"/>
  <c r="P35" i="49"/>
  <c r="Q35" i="49" s="1"/>
  <c r="D35" i="49"/>
  <c r="P34" i="49"/>
  <c r="Q34" i="49" s="1"/>
  <c r="D34" i="49"/>
  <c r="P33" i="49"/>
  <c r="Q33" i="49" s="1"/>
  <c r="D33" i="49"/>
  <c r="P32" i="49"/>
  <c r="Q32" i="49" s="1"/>
  <c r="D32" i="49"/>
  <c r="P31" i="49"/>
  <c r="Q31" i="49" s="1"/>
  <c r="D31" i="49"/>
  <c r="P30" i="49"/>
  <c r="Q30" i="49" s="1"/>
  <c r="D30" i="49"/>
  <c r="P29" i="49"/>
  <c r="Q29" i="49" s="1"/>
  <c r="D29" i="49"/>
  <c r="P28" i="49"/>
  <c r="Q28" i="49" s="1"/>
  <c r="D28" i="49"/>
  <c r="P27" i="49"/>
  <c r="Q27" i="49" s="1"/>
  <c r="D27" i="49"/>
  <c r="P26" i="49"/>
  <c r="Q26" i="49" s="1"/>
  <c r="D26" i="49"/>
  <c r="P25" i="49"/>
  <c r="Q25" i="49" s="1"/>
  <c r="D25" i="49"/>
  <c r="P24" i="49"/>
  <c r="Q24" i="49" s="1"/>
  <c r="D24" i="49"/>
  <c r="P10" i="67"/>
  <c r="Q10" i="67" s="1"/>
  <c r="D10" i="67"/>
  <c r="P9" i="67"/>
  <c r="Q9" i="67" s="1"/>
  <c r="D9" i="67"/>
  <c r="P8" i="67"/>
  <c r="Q8" i="67" s="1"/>
  <c r="D8" i="67"/>
  <c r="P7" i="67"/>
  <c r="Q7" i="67" s="1"/>
  <c r="D7" i="67"/>
  <c r="P11" i="68"/>
  <c r="Q11" i="68" s="1"/>
  <c r="D11" i="68"/>
  <c r="P10" i="68"/>
  <c r="Q10" i="68" s="1"/>
  <c r="D10" i="68"/>
  <c r="P9" i="68"/>
  <c r="Q9" i="68" s="1"/>
  <c r="D9" i="68"/>
  <c r="P8" i="68"/>
  <c r="Q8" i="68" s="1"/>
  <c r="D8" i="68"/>
  <c r="P7" i="116"/>
  <c r="Q7" i="116" s="1"/>
  <c r="D7" i="116"/>
  <c r="P8" i="71"/>
  <c r="Q8" i="71" s="1"/>
  <c r="D8" i="71"/>
  <c r="P7" i="71"/>
  <c r="Q7" i="71" s="1"/>
  <c r="D7" i="71"/>
  <c r="P6" i="72"/>
  <c r="Q6" i="72" s="1"/>
  <c r="D6" i="72"/>
  <c r="P5" i="72"/>
  <c r="Q5" i="72" s="1"/>
  <c r="D5" i="72"/>
  <c r="P8" i="119"/>
  <c r="Q8" i="119" s="1"/>
  <c r="D8" i="119"/>
  <c r="P7" i="119"/>
  <c r="Q7" i="119" s="1"/>
  <c r="D7" i="119"/>
  <c r="P14" i="50"/>
  <c r="Q14" i="50" s="1"/>
  <c r="D14" i="50"/>
  <c r="P12" i="50"/>
  <c r="Q12" i="50" s="1"/>
  <c r="D12" i="50"/>
  <c r="P11" i="50"/>
  <c r="Q11" i="50" s="1"/>
  <c r="D11" i="50"/>
  <c r="P9" i="80"/>
  <c r="Q9" i="80" s="1"/>
  <c r="D9" i="80"/>
  <c r="P8" i="80"/>
  <c r="Q8" i="80" s="1"/>
  <c r="D8" i="80"/>
  <c r="P7" i="80"/>
  <c r="Q7" i="80" s="1"/>
  <c r="D7" i="80"/>
  <c r="P13" i="51"/>
  <c r="Q13" i="51" s="1"/>
  <c r="D13" i="51"/>
  <c r="P12" i="51"/>
  <c r="Q12" i="51" s="1"/>
  <c r="D12" i="51"/>
  <c r="P11" i="51"/>
  <c r="Q11" i="51" s="1"/>
  <c r="D11" i="51"/>
  <c r="P12" i="52"/>
  <c r="Q12" i="52" s="1"/>
  <c r="D12" i="52"/>
  <c r="P11" i="52"/>
  <c r="Q11" i="52" s="1"/>
  <c r="D11" i="52"/>
  <c r="P10" i="52"/>
  <c r="Q10" i="52" s="1"/>
  <c r="D10" i="52"/>
  <c r="P9" i="52"/>
  <c r="Q9" i="52" s="1"/>
  <c r="D9" i="52"/>
  <c r="P8" i="52"/>
  <c r="Q8" i="52" s="1"/>
  <c r="D8" i="52"/>
  <c r="P7" i="52"/>
  <c r="Q7" i="52" s="1"/>
  <c r="D7" i="52"/>
  <c r="P6" i="73"/>
  <c r="Q6" i="73" s="1"/>
  <c r="D6" i="73"/>
  <c r="P5" i="73"/>
  <c r="Q5" i="73" s="1"/>
  <c r="D5" i="73"/>
  <c r="P21" i="112"/>
  <c r="Q21" i="112" s="1"/>
  <c r="D21" i="112"/>
  <c r="P20" i="112"/>
  <c r="Q20" i="112" s="1"/>
  <c r="D20" i="112"/>
  <c r="P19" i="112"/>
  <c r="Q19" i="112" s="1"/>
  <c r="D19" i="112"/>
  <c r="P7" i="115"/>
  <c r="Q7" i="115" s="1"/>
  <c r="D7" i="115"/>
  <c r="P14" i="113"/>
  <c r="Q14" i="113" s="1"/>
  <c r="D14" i="113"/>
  <c r="P13" i="113"/>
  <c r="Q13" i="113" s="1"/>
  <c r="D13" i="113"/>
  <c r="P41" i="114"/>
  <c r="Q41" i="114" s="1"/>
  <c r="D41" i="114"/>
  <c r="P40" i="114"/>
  <c r="Q40" i="114" s="1"/>
  <c r="D40" i="114"/>
  <c r="P39" i="114"/>
  <c r="Q39" i="114" s="1"/>
  <c r="D39" i="114"/>
  <c r="P38" i="114"/>
  <c r="Q38" i="114" s="1"/>
  <c r="D38" i="114"/>
  <c r="P37" i="114"/>
  <c r="Q37" i="114" s="1"/>
  <c r="D37" i="114"/>
  <c r="P36" i="114"/>
  <c r="Q36" i="114" s="1"/>
  <c r="D36" i="114"/>
  <c r="P35" i="114"/>
  <c r="Q35" i="114" s="1"/>
  <c r="D35" i="114"/>
  <c r="P34" i="114"/>
  <c r="Q34" i="114" s="1"/>
  <c r="D34" i="114"/>
  <c r="P33" i="114"/>
  <c r="Q33" i="114" s="1"/>
  <c r="D33" i="114"/>
  <c r="P32" i="114"/>
  <c r="Q32" i="114" s="1"/>
  <c r="D32" i="114"/>
  <c r="P31" i="114"/>
  <c r="Q31" i="114" s="1"/>
  <c r="D31" i="114"/>
  <c r="P30" i="114"/>
  <c r="Q30" i="114" s="1"/>
  <c r="D30" i="114"/>
  <c r="P29" i="114"/>
  <c r="Q29" i="114" s="1"/>
  <c r="D29" i="114"/>
  <c r="P28" i="114"/>
  <c r="Q28" i="114" s="1"/>
  <c r="D28" i="114"/>
  <c r="P27" i="114"/>
  <c r="Q27" i="114" s="1"/>
  <c r="D27" i="114"/>
  <c r="P9" i="117"/>
  <c r="Q9" i="117" s="1"/>
  <c r="D9" i="117"/>
  <c r="P8" i="117"/>
  <c r="Q8" i="117" s="1"/>
  <c r="D8" i="117"/>
  <c r="P11" i="118"/>
  <c r="Q11" i="118" s="1"/>
  <c r="D11" i="118"/>
  <c r="P10" i="118"/>
  <c r="Q10" i="118" s="1"/>
  <c r="D10" i="118"/>
  <c r="P9" i="118"/>
  <c r="Q9" i="118" s="1"/>
  <c r="D9" i="118"/>
  <c r="P21" i="127"/>
  <c r="Q21" i="127" s="1"/>
  <c r="D21" i="127"/>
  <c r="P43" i="128"/>
  <c r="Q43" i="128" s="1"/>
  <c r="D43" i="128"/>
  <c r="P42" i="128"/>
  <c r="Q42" i="128" s="1"/>
  <c r="D42" i="128"/>
  <c r="P41" i="128"/>
  <c r="Q41" i="128" s="1"/>
  <c r="D41" i="128"/>
  <c r="P40" i="128"/>
  <c r="Q40" i="128" s="1"/>
  <c r="D40" i="128"/>
  <c r="P39" i="128"/>
  <c r="Q39" i="128" s="1"/>
  <c r="D39" i="128"/>
  <c r="P38" i="128"/>
  <c r="Q38" i="128" s="1"/>
  <c r="D38" i="128"/>
  <c r="P37" i="128"/>
  <c r="Q37" i="128" s="1"/>
  <c r="D37" i="128"/>
  <c r="P36" i="128"/>
  <c r="Q36" i="128" s="1"/>
  <c r="D36" i="128"/>
  <c r="P35" i="128"/>
  <c r="Q35" i="128" s="1"/>
  <c r="D35" i="128"/>
  <c r="P31" i="128"/>
  <c r="Q31" i="128" s="1"/>
  <c r="D31" i="128"/>
  <c r="P23" i="159"/>
  <c r="Q23" i="159" s="1"/>
  <c r="D23" i="159"/>
  <c r="P22" i="159"/>
  <c r="Q22" i="159" s="1"/>
  <c r="D22" i="159"/>
  <c r="P21" i="159"/>
  <c r="Q21" i="159" s="1"/>
  <c r="D21" i="159"/>
  <c r="P20" i="159"/>
  <c r="Q20" i="159" s="1"/>
  <c r="D20" i="159"/>
  <c r="P19" i="159"/>
  <c r="Q19" i="159" s="1"/>
  <c r="D19" i="159"/>
  <c r="P18" i="159"/>
  <c r="Q18" i="159" s="1"/>
  <c r="D18" i="159"/>
  <c r="P17" i="159"/>
  <c r="Q17" i="159" s="1"/>
  <c r="D17" i="159"/>
  <c r="P16" i="159"/>
  <c r="Q16" i="159" s="1"/>
  <c r="D16" i="159"/>
  <c r="P15" i="159"/>
  <c r="Q15" i="159" s="1"/>
  <c r="D15" i="159"/>
  <c r="P14" i="159"/>
  <c r="Q14" i="159" s="1"/>
  <c r="D14" i="159"/>
  <c r="D14" i="133"/>
  <c r="D13" i="133"/>
  <c r="D12" i="133"/>
  <c r="D11" i="133"/>
  <c r="D10" i="133"/>
  <c r="D11" i="147"/>
  <c r="D10" i="147"/>
  <c r="D9" i="147"/>
  <c r="D8" i="147"/>
  <c r="D18" i="148"/>
  <c r="D17" i="148"/>
  <c r="D16" i="148"/>
  <c r="D15" i="148"/>
  <c r="D14" i="148"/>
  <c r="D13" i="148"/>
  <c r="D12" i="148"/>
  <c r="D11" i="148"/>
  <c r="D10" i="148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22" i="145"/>
  <c r="D21" i="145"/>
  <c r="D20" i="145"/>
  <c r="D19" i="145"/>
  <c r="D18" i="145"/>
  <c r="D17" i="145"/>
  <c r="D16" i="145"/>
  <c r="D15" i="145"/>
  <c r="D14" i="145"/>
  <c r="D13" i="145"/>
  <c r="D12" i="145"/>
  <c r="D11" i="145"/>
  <c r="D30" i="146"/>
  <c r="D29" i="146"/>
  <c r="D28" i="146"/>
  <c r="D27" i="146"/>
  <c r="D26" i="146"/>
  <c r="D25" i="146"/>
  <c r="D24" i="146"/>
  <c r="D23" i="146"/>
  <c r="D23" i="150"/>
  <c r="D22" i="150"/>
  <c r="D21" i="150"/>
  <c r="D20" i="150"/>
  <c r="D19" i="150"/>
  <c r="D18" i="150"/>
  <c r="D17" i="150"/>
  <c r="D16" i="150"/>
  <c r="D15" i="150"/>
  <c r="D14" i="150"/>
  <c r="D14" i="154"/>
  <c r="D13" i="154"/>
  <c r="D12" i="154"/>
  <c r="D11" i="154"/>
  <c r="D10" i="154"/>
  <c r="D11" i="155"/>
  <c r="D10" i="155"/>
  <c r="D9" i="155"/>
  <c r="D8" i="155"/>
  <c r="D18" i="156"/>
  <c r="D17" i="156"/>
  <c r="D16" i="156"/>
  <c r="D15" i="156"/>
  <c r="D14" i="156"/>
  <c r="D13" i="156"/>
  <c r="D12" i="156"/>
  <c r="D11" i="156"/>
  <c r="D10" i="156"/>
  <c r="D21" i="157"/>
  <c r="D20" i="157"/>
  <c r="D19" i="157"/>
  <c r="D18" i="157"/>
  <c r="D17" i="157"/>
  <c r="D16" i="157"/>
  <c r="D15" i="157"/>
  <c r="D14" i="157"/>
  <c r="D13" i="157"/>
  <c r="D12" i="157"/>
  <c r="D11" i="157"/>
  <c r="D10" i="157"/>
  <c r="D20" i="131"/>
  <c r="D19" i="131"/>
  <c r="D18" i="131"/>
  <c r="D17" i="131"/>
  <c r="D16" i="131"/>
  <c r="D15" i="131"/>
  <c r="D14" i="131"/>
  <c r="D13" i="131"/>
  <c r="D12" i="131"/>
  <c r="D11" i="131"/>
  <c r="D10" i="131"/>
  <c r="D32" i="83"/>
  <c r="D31" i="83"/>
  <c r="D30" i="83"/>
  <c r="D29" i="83"/>
  <c r="D28" i="83"/>
  <c r="D27" i="83"/>
  <c r="D26" i="83"/>
  <c r="D25" i="83"/>
  <c r="D24" i="83"/>
  <c r="D23" i="83"/>
  <c r="D22" i="83"/>
  <c r="D21" i="83"/>
  <c r="D20" i="83"/>
  <c r="D19" i="83"/>
  <c r="D18" i="83"/>
  <c r="D17" i="83"/>
  <c r="D16" i="83"/>
  <c r="D15" i="83"/>
  <c r="D14" i="84"/>
  <c r="D13" i="84"/>
  <c r="D12" i="84"/>
  <c r="D11" i="84"/>
  <c r="D10" i="84"/>
  <c r="D9" i="84"/>
  <c r="D9" i="91"/>
  <c r="D8" i="91"/>
  <c r="D7" i="91"/>
  <c r="D10" i="92"/>
  <c r="D9" i="92"/>
  <c r="D8" i="92"/>
  <c r="D7" i="92"/>
  <c r="D9" i="140"/>
  <c r="D11" i="141"/>
  <c r="D10" i="141"/>
  <c r="D9" i="141"/>
  <c r="D8" i="141"/>
  <c r="D7" i="141"/>
  <c r="D11" i="93"/>
  <c r="D10" i="93"/>
  <c r="D13" i="94"/>
  <c r="D12" i="94"/>
  <c r="D11" i="94"/>
  <c r="D15" i="95"/>
  <c r="D14" i="95"/>
  <c r="D13" i="95"/>
  <c r="D12" i="95"/>
  <c r="D11" i="95"/>
  <c r="D9" i="96"/>
  <c r="D8" i="96"/>
  <c r="D7" i="96"/>
  <c r="D14" i="97"/>
  <c r="D13" i="97"/>
  <c r="D12" i="97"/>
  <c r="D11" i="97"/>
  <c r="D10" i="97"/>
  <c r="D10" i="98"/>
  <c r="D5" i="99"/>
  <c r="D7" i="134"/>
  <c r="D13" i="101"/>
  <c r="D12" i="101"/>
  <c r="D11" i="101"/>
  <c r="D15" i="102"/>
  <c r="D14" i="102"/>
  <c r="D13" i="102"/>
  <c r="D12" i="102"/>
  <c r="D11" i="102"/>
  <c r="D16" i="103"/>
  <c r="D15" i="103"/>
  <c r="D14" i="103"/>
  <c r="D13" i="103"/>
  <c r="D12" i="103"/>
  <c r="D10" i="105"/>
  <c r="D15" i="104"/>
  <c r="D14" i="104"/>
  <c r="D13" i="104"/>
  <c r="D12" i="104"/>
  <c r="D11" i="104"/>
  <c r="D11" i="135"/>
  <c r="D10" i="135"/>
  <c r="D14" i="144"/>
  <c r="D13" i="144"/>
  <c r="D12" i="144"/>
  <c r="D11" i="144"/>
  <c r="D16" i="137"/>
  <c r="D15" i="137"/>
  <c r="D14" i="137"/>
  <c r="D13" i="137"/>
  <c r="D12" i="137"/>
  <c r="D10" i="138"/>
  <c r="D9" i="138"/>
  <c r="D8" i="138"/>
  <c r="D7" i="138"/>
  <c r="D10" i="139"/>
  <c r="D14" i="142"/>
  <c r="D13" i="142"/>
  <c r="D12" i="142"/>
  <c r="D11" i="142"/>
  <c r="D16" i="143"/>
  <c r="D15" i="143"/>
  <c r="D14" i="143"/>
  <c r="D13" i="143"/>
  <c r="D12" i="143"/>
  <c r="D31" i="123"/>
  <c r="D30" i="123"/>
  <c r="D29" i="123"/>
  <c r="D28" i="123"/>
  <c r="D27" i="123"/>
  <c r="D26" i="123"/>
  <c r="D25" i="123"/>
  <c r="D24" i="123"/>
  <c r="D23" i="123"/>
  <c r="D22" i="123"/>
  <c r="D21" i="123"/>
  <c r="D20" i="123"/>
  <c r="D19" i="123"/>
  <c r="D18" i="123"/>
  <c r="D17" i="123"/>
  <c r="D18" i="124"/>
  <c r="D17" i="124"/>
  <c r="D16" i="124"/>
  <c r="D15" i="124"/>
  <c r="D14" i="124"/>
  <c r="D13" i="124"/>
  <c r="D12" i="124"/>
  <c r="P18" i="106"/>
  <c r="Q18" i="106" s="1"/>
  <c r="D18" i="106"/>
  <c r="P17" i="106"/>
  <c r="Q17" i="106" s="1"/>
  <c r="D17" i="106"/>
  <c r="P16" i="106"/>
  <c r="Q16" i="106" s="1"/>
  <c r="D16" i="106"/>
  <c r="P15" i="161"/>
  <c r="Q15" i="161" s="1"/>
  <c r="D15" i="161"/>
  <c r="P14" i="161"/>
  <c r="Q14" i="161" s="1"/>
  <c r="D14" i="161"/>
  <c r="P13" i="161"/>
  <c r="Q13" i="161" s="1"/>
  <c r="D13" i="161"/>
  <c r="P12" i="161"/>
  <c r="Q12" i="161" s="1"/>
  <c r="D12" i="161"/>
  <c r="P11" i="161"/>
  <c r="Q11" i="161" s="1"/>
  <c r="D11" i="161"/>
  <c r="P10" i="161"/>
  <c r="Q10" i="161" s="1"/>
  <c r="D10" i="161"/>
  <c r="P9" i="161"/>
  <c r="Q9" i="161" s="1"/>
  <c r="D9" i="161"/>
  <c r="C2" i="146"/>
  <c r="E10" i="31"/>
  <c r="P18" i="161"/>
  <c r="Q18" i="161" s="1"/>
  <c r="N18" i="161"/>
  <c r="M18" i="161"/>
  <c r="L18" i="161"/>
  <c r="K18" i="161"/>
  <c r="J18" i="161"/>
  <c r="H18" i="161"/>
  <c r="G18" i="161"/>
  <c r="F18" i="161"/>
  <c r="P17" i="161"/>
  <c r="Q17" i="161" s="1"/>
  <c r="N17" i="161"/>
  <c r="M17" i="161"/>
  <c r="L17" i="161"/>
  <c r="K17" i="161"/>
  <c r="J17" i="161"/>
  <c r="H17" i="161"/>
  <c r="G17" i="161"/>
  <c r="F17" i="161"/>
  <c r="Q5" i="161"/>
  <c r="I3" i="161"/>
  <c r="G3" i="161"/>
  <c r="E3" i="161"/>
  <c r="I2" i="161"/>
  <c r="G2" i="161"/>
  <c r="P22" i="104"/>
  <c r="Q22" i="104" s="1"/>
  <c r="N22" i="104"/>
  <c r="M22" i="104"/>
  <c r="L22" i="104"/>
  <c r="K22" i="104"/>
  <c r="J22" i="104"/>
  <c r="H22" i="104"/>
  <c r="G22" i="104"/>
  <c r="F22" i="104"/>
  <c r="P21" i="104"/>
  <c r="Q21" i="104" s="1"/>
  <c r="N21" i="104"/>
  <c r="M21" i="104"/>
  <c r="L21" i="104"/>
  <c r="K21" i="104"/>
  <c r="J21" i="104"/>
  <c r="H21" i="104"/>
  <c r="G21" i="104"/>
  <c r="F21" i="104"/>
  <c r="P20" i="104"/>
  <c r="Q20" i="104" s="1"/>
  <c r="N20" i="104"/>
  <c r="M20" i="104"/>
  <c r="L20" i="104"/>
  <c r="K20" i="104"/>
  <c r="J20" i="104"/>
  <c r="H20" i="104"/>
  <c r="G20" i="104"/>
  <c r="F20" i="104"/>
  <c r="P19" i="104"/>
  <c r="Q19" i="104" s="1"/>
  <c r="N19" i="104"/>
  <c r="M19" i="104"/>
  <c r="L19" i="104"/>
  <c r="K19" i="104"/>
  <c r="J19" i="104"/>
  <c r="H19" i="104"/>
  <c r="G19" i="104"/>
  <c r="F19" i="104"/>
  <c r="P18" i="104"/>
  <c r="Q18" i="104" s="1"/>
  <c r="N18" i="104"/>
  <c r="M18" i="104"/>
  <c r="L18" i="104"/>
  <c r="K18" i="104"/>
  <c r="J18" i="104"/>
  <c r="H18" i="104"/>
  <c r="G18" i="104"/>
  <c r="F18" i="104"/>
  <c r="P17" i="104"/>
  <c r="Q17" i="104" s="1"/>
  <c r="N17" i="104"/>
  <c r="M17" i="104"/>
  <c r="L17" i="104"/>
  <c r="K17" i="104"/>
  <c r="J17" i="104"/>
  <c r="H17" i="104"/>
  <c r="G17" i="104"/>
  <c r="F17" i="104"/>
  <c r="P13" i="105"/>
  <c r="Q13" i="105" s="1"/>
  <c r="N13" i="105"/>
  <c r="M13" i="105"/>
  <c r="L13" i="105"/>
  <c r="K13" i="105"/>
  <c r="J13" i="105"/>
  <c r="H13" i="105"/>
  <c r="G13" i="105"/>
  <c r="F13" i="105"/>
  <c r="P12" i="105"/>
  <c r="Q12" i="105" s="1"/>
  <c r="N12" i="105"/>
  <c r="M12" i="105"/>
  <c r="L12" i="105"/>
  <c r="K12" i="105"/>
  <c r="J12" i="105"/>
  <c r="H12" i="105"/>
  <c r="G12" i="105"/>
  <c r="F12" i="105"/>
  <c r="P23" i="103"/>
  <c r="Q23" i="103" s="1"/>
  <c r="N23" i="103"/>
  <c r="M23" i="103"/>
  <c r="L23" i="103"/>
  <c r="K23" i="103"/>
  <c r="J23" i="103"/>
  <c r="H23" i="103"/>
  <c r="G23" i="103"/>
  <c r="F23" i="103"/>
  <c r="P22" i="103"/>
  <c r="Q22" i="103" s="1"/>
  <c r="N22" i="103"/>
  <c r="M22" i="103"/>
  <c r="L22" i="103"/>
  <c r="K22" i="103"/>
  <c r="J22" i="103"/>
  <c r="H22" i="103"/>
  <c r="G22" i="103"/>
  <c r="F22" i="103"/>
  <c r="P21" i="103"/>
  <c r="Q21" i="103" s="1"/>
  <c r="N21" i="103"/>
  <c r="M21" i="103"/>
  <c r="L21" i="103"/>
  <c r="K21" i="103"/>
  <c r="J21" i="103"/>
  <c r="H21" i="103"/>
  <c r="G21" i="103"/>
  <c r="F21" i="103"/>
  <c r="P20" i="103"/>
  <c r="Q20" i="103" s="1"/>
  <c r="N20" i="103"/>
  <c r="M20" i="103"/>
  <c r="L20" i="103"/>
  <c r="K20" i="103"/>
  <c r="J20" i="103"/>
  <c r="H20" i="103"/>
  <c r="G20" i="103"/>
  <c r="F20" i="103"/>
  <c r="P19" i="103"/>
  <c r="Q19" i="103" s="1"/>
  <c r="N19" i="103"/>
  <c r="M19" i="103"/>
  <c r="L19" i="103"/>
  <c r="K19" i="103"/>
  <c r="J19" i="103"/>
  <c r="H19" i="103"/>
  <c r="G19" i="103"/>
  <c r="F19" i="103"/>
  <c r="P18" i="103"/>
  <c r="Q18" i="103" s="1"/>
  <c r="N18" i="103"/>
  <c r="M18" i="103"/>
  <c r="L18" i="103"/>
  <c r="K18" i="103"/>
  <c r="J18" i="103"/>
  <c r="H18" i="103"/>
  <c r="G18" i="103"/>
  <c r="F18" i="103"/>
  <c r="P22" i="102"/>
  <c r="Q22" i="102" s="1"/>
  <c r="N22" i="102"/>
  <c r="M22" i="102"/>
  <c r="L22" i="102"/>
  <c r="K22" i="102"/>
  <c r="J22" i="102"/>
  <c r="H22" i="102"/>
  <c r="G22" i="102"/>
  <c r="F22" i="102"/>
  <c r="P21" i="102"/>
  <c r="Q21" i="102" s="1"/>
  <c r="N21" i="102"/>
  <c r="M21" i="102"/>
  <c r="L21" i="102"/>
  <c r="K21" i="102"/>
  <c r="J21" i="102"/>
  <c r="H21" i="102"/>
  <c r="G21" i="102"/>
  <c r="F21" i="102"/>
  <c r="P20" i="102"/>
  <c r="Q20" i="102" s="1"/>
  <c r="N20" i="102"/>
  <c r="M20" i="102"/>
  <c r="L20" i="102"/>
  <c r="K20" i="102"/>
  <c r="J20" i="102"/>
  <c r="H20" i="102"/>
  <c r="G20" i="102"/>
  <c r="F20" i="102"/>
  <c r="P19" i="102"/>
  <c r="Q19" i="102" s="1"/>
  <c r="N19" i="102"/>
  <c r="M19" i="102"/>
  <c r="L19" i="102"/>
  <c r="K19" i="102"/>
  <c r="J19" i="102"/>
  <c r="H19" i="102"/>
  <c r="G19" i="102"/>
  <c r="F19" i="102"/>
  <c r="P18" i="102"/>
  <c r="Q18" i="102" s="1"/>
  <c r="N18" i="102"/>
  <c r="M18" i="102"/>
  <c r="L18" i="102"/>
  <c r="K18" i="102"/>
  <c r="J18" i="102"/>
  <c r="H18" i="102"/>
  <c r="G18" i="102"/>
  <c r="F18" i="102"/>
  <c r="P17" i="102"/>
  <c r="Q17" i="102" s="1"/>
  <c r="N17" i="102"/>
  <c r="M17" i="102"/>
  <c r="L17" i="102"/>
  <c r="K17" i="102"/>
  <c r="J17" i="102"/>
  <c r="H17" i="102"/>
  <c r="G17" i="102"/>
  <c r="F17" i="102"/>
  <c r="P24" i="101"/>
  <c r="Q24" i="101" s="1"/>
  <c r="N24" i="101"/>
  <c r="M24" i="101"/>
  <c r="L24" i="101"/>
  <c r="K24" i="101"/>
  <c r="J24" i="101"/>
  <c r="H24" i="101"/>
  <c r="G24" i="101"/>
  <c r="F24" i="101"/>
  <c r="P23" i="101"/>
  <c r="Q23" i="101" s="1"/>
  <c r="N23" i="101"/>
  <c r="M23" i="101"/>
  <c r="L23" i="101"/>
  <c r="K23" i="101"/>
  <c r="J23" i="101"/>
  <c r="H23" i="101"/>
  <c r="G23" i="101"/>
  <c r="F23" i="101"/>
  <c r="P22" i="101"/>
  <c r="Q22" i="101" s="1"/>
  <c r="N22" i="101"/>
  <c r="M22" i="101"/>
  <c r="L22" i="101"/>
  <c r="K22" i="101"/>
  <c r="J22" i="101"/>
  <c r="H22" i="101"/>
  <c r="G22" i="101"/>
  <c r="F22" i="101"/>
  <c r="P21" i="101"/>
  <c r="Q21" i="101" s="1"/>
  <c r="N21" i="101"/>
  <c r="M21" i="101"/>
  <c r="L21" i="101"/>
  <c r="K21" i="101"/>
  <c r="J21" i="101"/>
  <c r="H21" i="101"/>
  <c r="G21" i="101"/>
  <c r="F21" i="101"/>
  <c r="P20" i="101"/>
  <c r="Q20" i="101" s="1"/>
  <c r="N20" i="101"/>
  <c r="M20" i="101"/>
  <c r="L20" i="101"/>
  <c r="K20" i="101"/>
  <c r="J20" i="101"/>
  <c r="H20" i="101"/>
  <c r="G20" i="101"/>
  <c r="F20" i="101"/>
  <c r="P19" i="101"/>
  <c r="Q19" i="101" s="1"/>
  <c r="N19" i="101"/>
  <c r="M19" i="101"/>
  <c r="L19" i="101"/>
  <c r="K19" i="101"/>
  <c r="J19" i="101"/>
  <c r="H19" i="101"/>
  <c r="G19" i="101"/>
  <c r="F19" i="101"/>
  <c r="P18" i="101"/>
  <c r="Q18" i="101" s="1"/>
  <c r="N18" i="101"/>
  <c r="M18" i="101"/>
  <c r="L18" i="101"/>
  <c r="K18" i="101"/>
  <c r="J18" i="101"/>
  <c r="H18" i="101"/>
  <c r="G18" i="101"/>
  <c r="F18" i="101"/>
  <c r="P13" i="98"/>
  <c r="Q13" i="98" s="1"/>
  <c r="N13" i="98"/>
  <c r="M13" i="98"/>
  <c r="L13" i="98"/>
  <c r="K13" i="98"/>
  <c r="J13" i="98"/>
  <c r="H13" i="98"/>
  <c r="G13" i="98"/>
  <c r="F13" i="98"/>
  <c r="P12" i="98"/>
  <c r="Q12" i="98" s="1"/>
  <c r="N12" i="98"/>
  <c r="M12" i="98"/>
  <c r="L12" i="98"/>
  <c r="K12" i="98"/>
  <c r="J12" i="98"/>
  <c r="H12" i="98"/>
  <c r="G12" i="98"/>
  <c r="F12" i="98"/>
  <c r="P9" i="134"/>
  <c r="Q9" i="134" s="1"/>
  <c r="N9" i="134"/>
  <c r="M9" i="134"/>
  <c r="L9" i="134"/>
  <c r="K9" i="134"/>
  <c r="J9" i="134"/>
  <c r="H9" i="134"/>
  <c r="G9" i="134"/>
  <c r="F9" i="134"/>
  <c r="P7" i="100"/>
  <c r="Q7" i="100" s="1"/>
  <c r="N7" i="100"/>
  <c r="M7" i="100"/>
  <c r="L7" i="100"/>
  <c r="K7" i="100"/>
  <c r="J7" i="100"/>
  <c r="H7" i="100"/>
  <c r="G7" i="100"/>
  <c r="F7" i="100"/>
  <c r="C2" i="100"/>
  <c r="P7" i="99"/>
  <c r="Q7" i="99" s="1"/>
  <c r="N7" i="99"/>
  <c r="M7" i="99"/>
  <c r="L7" i="99"/>
  <c r="K7" i="99"/>
  <c r="J7" i="99"/>
  <c r="H7" i="99"/>
  <c r="G7" i="99"/>
  <c r="F7" i="99"/>
  <c r="P17" i="97"/>
  <c r="Q17" i="97" s="1"/>
  <c r="N17" i="97"/>
  <c r="M17" i="97"/>
  <c r="L17" i="97"/>
  <c r="K17" i="97"/>
  <c r="J17" i="97"/>
  <c r="H17" i="97"/>
  <c r="G17" i="97"/>
  <c r="F17" i="97"/>
  <c r="P16" i="97"/>
  <c r="Q16" i="97" s="1"/>
  <c r="N16" i="97"/>
  <c r="M16" i="97"/>
  <c r="L16" i="97"/>
  <c r="K16" i="97"/>
  <c r="J16" i="97"/>
  <c r="H16" i="97"/>
  <c r="G16" i="97"/>
  <c r="F16" i="97"/>
  <c r="P12" i="96"/>
  <c r="Q12" i="96" s="1"/>
  <c r="N12" i="96"/>
  <c r="M12" i="96"/>
  <c r="L12" i="96"/>
  <c r="K12" i="96"/>
  <c r="J12" i="96"/>
  <c r="H12" i="96"/>
  <c r="G12" i="96"/>
  <c r="F12" i="96"/>
  <c r="P11" i="96"/>
  <c r="Q11" i="96" s="1"/>
  <c r="N11" i="96"/>
  <c r="M11" i="96"/>
  <c r="L11" i="96"/>
  <c r="K11" i="96"/>
  <c r="J11" i="96"/>
  <c r="H11" i="96"/>
  <c r="G11" i="96"/>
  <c r="F11" i="96"/>
  <c r="P20" i="95"/>
  <c r="Q20" i="95" s="1"/>
  <c r="N20" i="95"/>
  <c r="M20" i="95"/>
  <c r="L20" i="95"/>
  <c r="K20" i="95"/>
  <c r="J20" i="95"/>
  <c r="H20" i="95"/>
  <c r="G20" i="95"/>
  <c r="F20" i="95"/>
  <c r="P19" i="95"/>
  <c r="Q19" i="95" s="1"/>
  <c r="N19" i="95"/>
  <c r="M19" i="95"/>
  <c r="L19" i="95"/>
  <c r="K19" i="95"/>
  <c r="J19" i="95"/>
  <c r="H19" i="95"/>
  <c r="G19" i="95"/>
  <c r="F19" i="95"/>
  <c r="P18" i="95"/>
  <c r="Q18" i="95" s="1"/>
  <c r="N18" i="95"/>
  <c r="M18" i="95"/>
  <c r="L18" i="95"/>
  <c r="K18" i="95"/>
  <c r="J18" i="95"/>
  <c r="H18" i="95"/>
  <c r="G18" i="95"/>
  <c r="F18" i="95"/>
  <c r="P17" i="95"/>
  <c r="Q17" i="95" s="1"/>
  <c r="N17" i="95"/>
  <c r="M17" i="95"/>
  <c r="L17" i="95"/>
  <c r="K17" i="95"/>
  <c r="J17" i="95"/>
  <c r="H17" i="95"/>
  <c r="G17" i="95"/>
  <c r="F17" i="95"/>
  <c r="P21" i="95"/>
  <c r="Q21" i="95" s="1"/>
  <c r="N21" i="95"/>
  <c r="M21" i="95"/>
  <c r="L21" i="95"/>
  <c r="K21" i="95"/>
  <c r="J21" i="95"/>
  <c r="H21" i="95"/>
  <c r="G21" i="95"/>
  <c r="F21" i="95"/>
  <c r="P24" i="94"/>
  <c r="Q24" i="94" s="1"/>
  <c r="N24" i="94"/>
  <c r="M24" i="94"/>
  <c r="L24" i="94"/>
  <c r="K24" i="94"/>
  <c r="J24" i="94"/>
  <c r="H24" i="94"/>
  <c r="G24" i="94"/>
  <c r="F24" i="94"/>
  <c r="P23" i="94"/>
  <c r="Q23" i="94" s="1"/>
  <c r="N23" i="94"/>
  <c r="M23" i="94"/>
  <c r="L23" i="94"/>
  <c r="K23" i="94"/>
  <c r="J23" i="94"/>
  <c r="H23" i="94"/>
  <c r="G23" i="94"/>
  <c r="F23" i="94"/>
  <c r="P22" i="94"/>
  <c r="Q22" i="94" s="1"/>
  <c r="N22" i="94"/>
  <c r="M22" i="94"/>
  <c r="L22" i="94"/>
  <c r="K22" i="94"/>
  <c r="J22" i="94"/>
  <c r="H22" i="94"/>
  <c r="G22" i="94"/>
  <c r="F22" i="94"/>
  <c r="P21" i="94"/>
  <c r="Q21" i="94" s="1"/>
  <c r="N21" i="94"/>
  <c r="M21" i="94"/>
  <c r="L21" i="94"/>
  <c r="K21" i="94"/>
  <c r="J21" i="94"/>
  <c r="H21" i="94"/>
  <c r="G21" i="94"/>
  <c r="F21" i="94"/>
  <c r="P20" i="94"/>
  <c r="Q20" i="94" s="1"/>
  <c r="N20" i="94"/>
  <c r="M20" i="94"/>
  <c r="L20" i="94"/>
  <c r="K20" i="94"/>
  <c r="J20" i="94"/>
  <c r="H20" i="94"/>
  <c r="G20" i="94"/>
  <c r="F20" i="94"/>
  <c r="P19" i="94"/>
  <c r="Q19" i="94" s="1"/>
  <c r="N19" i="94"/>
  <c r="M19" i="94"/>
  <c r="L19" i="94"/>
  <c r="K19" i="94"/>
  <c r="J19" i="94"/>
  <c r="H19" i="94"/>
  <c r="G19" i="94"/>
  <c r="F19" i="94"/>
  <c r="C2" i="160"/>
  <c r="E6" i="31"/>
  <c r="Q5" i="108"/>
  <c r="F13" i="93"/>
  <c r="G13" i="93"/>
  <c r="H13" i="93"/>
  <c r="J13" i="93"/>
  <c r="K13" i="93"/>
  <c r="L13" i="93"/>
  <c r="M13" i="93"/>
  <c r="N13" i="93"/>
  <c r="P13" i="93"/>
  <c r="Q13" i="93" s="1"/>
  <c r="F14" i="93"/>
  <c r="G14" i="93"/>
  <c r="H14" i="93"/>
  <c r="J14" i="93"/>
  <c r="K14" i="93"/>
  <c r="L14" i="93"/>
  <c r="M14" i="93"/>
  <c r="N14" i="93"/>
  <c r="P14" i="93"/>
  <c r="Q14" i="93" s="1"/>
  <c r="J15" i="93"/>
  <c r="K15" i="93"/>
  <c r="L15" i="93"/>
  <c r="M15" i="93"/>
  <c r="N15" i="93"/>
  <c r="P15" i="93"/>
  <c r="Q15" i="93" s="1"/>
  <c r="F15" i="93"/>
  <c r="G15" i="93"/>
  <c r="H15" i="93"/>
  <c r="G2" i="160"/>
  <c r="I2" i="160"/>
  <c r="E3" i="160"/>
  <c r="G3" i="160"/>
  <c r="I3" i="160"/>
  <c r="P13" i="141"/>
  <c r="Q13" i="141" s="1"/>
  <c r="N13" i="141"/>
  <c r="M13" i="141"/>
  <c r="L13" i="141"/>
  <c r="K13" i="141"/>
  <c r="J13" i="141"/>
  <c r="H13" i="141"/>
  <c r="G13" i="141"/>
  <c r="F13" i="141"/>
  <c r="P13" i="92"/>
  <c r="Q13" i="92" s="1"/>
  <c r="N13" i="92"/>
  <c r="M13" i="92"/>
  <c r="L13" i="92"/>
  <c r="K13" i="92"/>
  <c r="J13" i="92"/>
  <c r="H13" i="92"/>
  <c r="G13" i="92"/>
  <c r="F13" i="92"/>
  <c r="P12" i="92"/>
  <c r="Q12" i="92" s="1"/>
  <c r="N12" i="92"/>
  <c r="M12" i="92"/>
  <c r="L12" i="92"/>
  <c r="K12" i="92"/>
  <c r="J12" i="92"/>
  <c r="H12" i="92"/>
  <c r="G12" i="92"/>
  <c r="F12" i="92"/>
  <c r="J14" i="92"/>
  <c r="K14" i="92"/>
  <c r="L14" i="92"/>
  <c r="M14" i="92"/>
  <c r="N14" i="92"/>
  <c r="P14" i="92"/>
  <c r="Q14" i="92" s="1"/>
  <c r="F14" i="92"/>
  <c r="G14" i="92"/>
  <c r="H14" i="92"/>
  <c r="J11" i="91"/>
  <c r="K11" i="91"/>
  <c r="L11" i="91"/>
  <c r="M11" i="91"/>
  <c r="N11" i="91"/>
  <c r="P11" i="91"/>
  <c r="Q11" i="91" s="1"/>
  <c r="F11" i="91"/>
  <c r="G11" i="91"/>
  <c r="H11" i="91"/>
  <c r="C2" i="145"/>
  <c r="C2" i="149"/>
  <c r="P22" i="124"/>
  <c r="Q22" i="124" s="1"/>
  <c r="N22" i="124"/>
  <c r="M22" i="124"/>
  <c r="L22" i="124"/>
  <c r="K22" i="124"/>
  <c r="J22" i="124"/>
  <c r="H22" i="124"/>
  <c r="G22" i="124"/>
  <c r="F22" i="124"/>
  <c r="P21" i="124"/>
  <c r="Q21" i="124" s="1"/>
  <c r="N21" i="124"/>
  <c r="M21" i="124"/>
  <c r="L21" i="124"/>
  <c r="K21" i="124"/>
  <c r="J21" i="124"/>
  <c r="H21" i="124"/>
  <c r="G21" i="124"/>
  <c r="F21" i="124"/>
  <c r="P20" i="124"/>
  <c r="Q20" i="124" s="1"/>
  <c r="N20" i="124"/>
  <c r="M20" i="124"/>
  <c r="L20" i="124"/>
  <c r="K20" i="124"/>
  <c r="J20" i="124"/>
  <c r="H20" i="124"/>
  <c r="G20" i="124"/>
  <c r="F20" i="124"/>
  <c r="D19" i="171"/>
  <c r="C477" i="29"/>
  <c r="C475" i="29"/>
  <c r="C472" i="29"/>
  <c r="C473" i="29"/>
  <c r="C474" i="29"/>
  <c r="E474" i="29"/>
  <c r="C469" i="29"/>
  <c r="C471" i="29"/>
  <c r="C468" i="29"/>
  <c r="C462" i="29"/>
  <c r="C464" i="29"/>
  <c r="C465" i="29"/>
  <c r="C466" i="29"/>
  <c r="C467" i="29"/>
  <c r="C2" i="175"/>
  <c r="C2" i="174"/>
  <c r="C2" i="173"/>
  <c r="C2" i="172"/>
  <c r="D15" i="175"/>
  <c r="D14" i="175"/>
  <c r="D12" i="175"/>
  <c r="D11" i="175"/>
  <c r="D10" i="175"/>
  <c r="D9" i="175"/>
  <c r="D8" i="175"/>
  <c r="I3" i="175"/>
  <c r="G3" i="175"/>
  <c r="E3" i="175"/>
  <c r="I2" i="175"/>
  <c r="G2" i="175"/>
  <c r="P19" i="174"/>
  <c r="Q19" i="174" s="1"/>
  <c r="N19" i="174"/>
  <c r="M19" i="174"/>
  <c r="L19" i="174"/>
  <c r="K19" i="174"/>
  <c r="J19" i="174"/>
  <c r="H19" i="174"/>
  <c r="G19" i="174"/>
  <c r="F19" i="174"/>
  <c r="P18" i="174"/>
  <c r="Q18" i="174" s="1"/>
  <c r="N18" i="174"/>
  <c r="M18" i="174"/>
  <c r="L18" i="174"/>
  <c r="K18" i="174"/>
  <c r="J18" i="174"/>
  <c r="H18" i="174"/>
  <c r="G18" i="174"/>
  <c r="F18" i="174"/>
  <c r="P17" i="174"/>
  <c r="Q17" i="174" s="1"/>
  <c r="N17" i="174"/>
  <c r="M17" i="174"/>
  <c r="L17" i="174"/>
  <c r="K17" i="174"/>
  <c r="J17" i="174"/>
  <c r="H17" i="174"/>
  <c r="G17" i="174"/>
  <c r="F17" i="174"/>
  <c r="D15" i="174"/>
  <c r="D14" i="174"/>
  <c r="D13" i="174"/>
  <c r="D12" i="174"/>
  <c r="D11" i="174"/>
  <c r="D10" i="174"/>
  <c r="D9" i="174"/>
  <c r="I3" i="174"/>
  <c r="G3" i="174"/>
  <c r="E3" i="174"/>
  <c r="I2" i="174"/>
  <c r="G2" i="174"/>
  <c r="P17" i="173"/>
  <c r="Q17" i="173" s="1"/>
  <c r="N17" i="173"/>
  <c r="M17" i="173"/>
  <c r="L17" i="173"/>
  <c r="K17" i="173"/>
  <c r="J17" i="173"/>
  <c r="H17" i="173"/>
  <c r="G17" i="173"/>
  <c r="F17" i="173"/>
  <c r="P16" i="173"/>
  <c r="Q16" i="173" s="1"/>
  <c r="N16" i="173"/>
  <c r="M16" i="173"/>
  <c r="L16" i="173"/>
  <c r="K16" i="173"/>
  <c r="J16" i="173"/>
  <c r="H16" i="173"/>
  <c r="G16" i="173"/>
  <c r="F16" i="173"/>
  <c r="P13" i="173"/>
  <c r="Q13" i="173" s="1"/>
  <c r="N13" i="173"/>
  <c r="M13" i="173"/>
  <c r="L13" i="173"/>
  <c r="K13" i="173"/>
  <c r="J13" i="173"/>
  <c r="H13" i="173"/>
  <c r="G13" i="173"/>
  <c r="F13" i="173"/>
  <c r="D11" i="173"/>
  <c r="D10" i="173"/>
  <c r="D9" i="173"/>
  <c r="I3" i="173"/>
  <c r="G3" i="173"/>
  <c r="E3" i="173"/>
  <c r="I2" i="173"/>
  <c r="G2" i="173"/>
  <c r="P14" i="172"/>
  <c r="Q14" i="172" s="1"/>
  <c r="Q15" i="172" s="1"/>
  <c r="N14" i="172"/>
  <c r="M14" i="172"/>
  <c r="L14" i="172"/>
  <c r="K14" i="172"/>
  <c r="J14" i="172"/>
  <c r="H14" i="172"/>
  <c r="G14" i="172"/>
  <c r="F14" i="172"/>
  <c r="D10" i="172"/>
  <c r="D9" i="172"/>
  <c r="D8" i="172"/>
  <c r="D7" i="172"/>
  <c r="D6" i="172"/>
  <c r="I3" i="172"/>
  <c r="G3" i="172"/>
  <c r="E3" i="172"/>
  <c r="I2" i="172"/>
  <c r="G2" i="172"/>
  <c r="C2" i="171"/>
  <c r="P24" i="171"/>
  <c r="Q24" i="171" s="1"/>
  <c r="N24" i="171"/>
  <c r="M24" i="171"/>
  <c r="L24" i="171"/>
  <c r="K24" i="171"/>
  <c r="J24" i="171"/>
  <c r="H24" i="171"/>
  <c r="G24" i="171"/>
  <c r="F24" i="171"/>
  <c r="P23" i="171"/>
  <c r="Q23" i="171" s="1"/>
  <c r="N23" i="171"/>
  <c r="M23" i="171"/>
  <c r="L23" i="171"/>
  <c r="K23" i="171"/>
  <c r="J23" i="171"/>
  <c r="H23" i="171"/>
  <c r="G23" i="171"/>
  <c r="F23" i="171"/>
  <c r="P22" i="171"/>
  <c r="Q22" i="171" s="1"/>
  <c r="N22" i="171"/>
  <c r="M22" i="171"/>
  <c r="L22" i="171"/>
  <c r="K22" i="171"/>
  <c r="J22" i="171"/>
  <c r="H22" i="171"/>
  <c r="G22" i="171"/>
  <c r="F22" i="171"/>
  <c r="G226" i="31" a="1"/>
  <c r="F451" i="29" a="1"/>
  <c r="H102" i="31" a="1"/>
  <c r="G238" i="31" a="1"/>
  <c r="G102" i="31" a="1"/>
  <c r="S253" i="28" a="1"/>
  <c r="H226" i="31" a="1"/>
  <c r="H238" i="31" a="1"/>
  <c r="K5" i="63" l="1"/>
  <c r="D5" i="65"/>
  <c r="N5" i="60"/>
  <c r="H5" i="80"/>
  <c r="F10" i="61"/>
  <c r="J5" i="66"/>
  <c r="P21" i="49"/>
  <c r="J12" i="48"/>
  <c r="N9" i="61"/>
  <c r="G21" i="49"/>
  <c r="L6" i="66"/>
  <c r="L5" i="58"/>
  <c r="D16" i="49"/>
  <c r="G20" i="49"/>
  <c r="N5" i="52"/>
  <c r="F25" i="114"/>
  <c r="H5" i="63"/>
  <c r="L5" i="68"/>
  <c r="K6" i="58"/>
  <c r="F5" i="60"/>
  <c r="J5" i="64"/>
  <c r="D5" i="81"/>
  <c r="N5" i="61"/>
  <c r="K9" i="61"/>
  <c r="G10" i="61"/>
  <c r="K5" i="57"/>
  <c r="D18" i="114"/>
  <c r="D21" i="49"/>
  <c r="G5" i="65"/>
  <c r="L5" i="81"/>
  <c r="L18" i="114"/>
  <c r="J7" i="59"/>
  <c r="F5" i="80"/>
  <c r="J22" i="114"/>
  <c r="L5" i="63"/>
  <c r="M5" i="52"/>
  <c r="H15" i="49"/>
  <c r="N20" i="114"/>
  <c r="P5" i="61"/>
  <c r="K22" i="114"/>
  <c r="N17" i="114"/>
  <c r="L7" i="61"/>
  <c r="K18" i="114"/>
  <c r="P17" i="49"/>
  <c r="M7" i="61"/>
  <c r="F5" i="68"/>
  <c r="D5" i="66"/>
  <c r="F21" i="49"/>
  <c r="P5" i="58"/>
  <c r="D6" i="66"/>
  <c r="M5" i="63"/>
  <c r="P9" i="61"/>
  <c r="K6" i="68"/>
  <c r="L24" i="114"/>
  <c r="N19" i="114"/>
  <c r="L6" i="58"/>
  <c r="L10" i="61"/>
  <c r="G9" i="61"/>
  <c r="N16" i="49"/>
  <c r="L9" i="61"/>
  <c r="N5" i="81"/>
  <c r="G5" i="66"/>
  <c r="P5" i="71"/>
  <c r="F5" i="66"/>
  <c r="D7" i="118"/>
  <c r="L25" i="114"/>
  <c r="F17" i="114"/>
  <c r="L17" i="114"/>
  <c r="J19" i="114"/>
  <c r="K21" i="49"/>
  <c r="K17" i="49"/>
  <c r="K25" i="114"/>
  <c r="K5" i="61"/>
  <c r="G15" i="49"/>
  <c r="N5" i="63"/>
  <c r="J5" i="65"/>
  <c r="H6" i="58"/>
  <c r="M12" i="48"/>
  <c r="N19" i="49"/>
  <c r="D7" i="59"/>
  <c r="H5" i="71"/>
  <c r="N22" i="114"/>
  <c r="K17" i="114"/>
  <c r="M7" i="59"/>
  <c r="L12" i="48"/>
  <c r="L14" i="49"/>
  <c r="D5" i="71"/>
  <c r="D5" i="61"/>
  <c r="M18" i="114"/>
  <c r="L5" i="80"/>
  <c r="P5" i="80"/>
  <c r="N24" i="114"/>
  <c r="L7" i="118"/>
  <c r="L5" i="64"/>
  <c r="L5" i="118"/>
  <c r="P5" i="63"/>
  <c r="Q5" i="63" s="1"/>
  <c r="Q13" i="63" s="1"/>
  <c r="P14" i="47" s="1"/>
  <c r="Q14" i="47" s="1"/>
  <c r="P18" i="114"/>
  <c r="J5" i="81"/>
  <c r="M5" i="71"/>
  <c r="M5" i="58"/>
  <c r="G17" i="114"/>
  <c r="J19" i="49"/>
  <c r="J5" i="61"/>
  <c r="M22" i="49"/>
  <c r="N5" i="80"/>
  <c r="D5" i="63"/>
  <c r="P6" i="66"/>
  <c r="G5" i="81"/>
  <c r="F5" i="71"/>
  <c r="H23" i="114"/>
  <c r="M14" i="49"/>
  <c r="M23" i="114"/>
  <c r="F5" i="63"/>
  <c r="P14" i="49"/>
  <c r="L6" i="59"/>
  <c r="G6" i="61"/>
  <c r="D5" i="60"/>
  <c r="M5" i="61"/>
  <c r="M7" i="118"/>
  <c r="D20" i="49"/>
  <c r="K7" i="61"/>
  <c r="G5" i="118"/>
  <c r="N22" i="49"/>
  <c r="P19" i="49"/>
  <c r="N7" i="59"/>
  <c r="N23" i="114"/>
  <c r="H5" i="65"/>
  <c r="F9" i="61"/>
  <c r="M20" i="114"/>
  <c r="G12" i="48"/>
  <c r="G5" i="63"/>
  <c r="N6" i="59"/>
  <c r="J6" i="61"/>
  <c r="N5" i="58"/>
  <c r="F14" i="49"/>
  <c r="F6" i="59"/>
  <c r="G6" i="68"/>
  <c r="M5" i="57"/>
  <c r="H14" i="49"/>
  <c r="P6" i="68"/>
  <c r="Q6" i="68" s="1"/>
  <c r="P7" i="118"/>
  <c r="Q7" i="118" s="1"/>
  <c r="K24" i="114"/>
  <c r="J22" i="49"/>
  <c r="P19" i="114"/>
  <c r="Q19" i="114" s="1"/>
  <c r="F18" i="114"/>
  <c r="D5" i="58"/>
  <c r="M22" i="114"/>
  <c r="H6" i="68"/>
  <c r="L23" i="114"/>
  <c r="F12" i="48"/>
  <c r="F6" i="66"/>
  <c r="F5" i="64"/>
  <c r="J5" i="63"/>
  <c r="F6" i="58"/>
  <c r="L16" i="49"/>
  <c r="J10" i="61"/>
  <c r="G7" i="59"/>
  <c r="H5" i="81"/>
  <c r="G5" i="58"/>
  <c r="P22" i="49"/>
  <c r="J9" i="61"/>
  <c r="F5" i="52"/>
  <c r="K5" i="71"/>
  <c r="F19" i="49"/>
  <c r="N25" i="114"/>
  <c r="J17" i="49"/>
  <c r="G17" i="49"/>
  <c r="M5" i="65"/>
  <c r="J5" i="60"/>
  <c r="N21" i="49"/>
  <c r="G5" i="68"/>
  <c r="P5" i="64"/>
  <c r="N6" i="66"/>
  <c r="K5" i="81"/>
  <c r="M17" i="114"/>
  <c r="P23" i="114"/>
  <c r="N5" i="66"/>
  <c r="K20" i="49"/>
  <c r="J17" i="114"/>
  <c r="K6" i="61"/>
  <c r="K19" i="49"/>
  <c r="L5" i="52"/>
  <c r="K22" i="49"/>
  <c r="J5" i="58"/>
  <c r="P5" i="52"/>
  <c r="K5" i="52"/>
  <c r="J6" i="66"/>
  <c r="K10" i="61"/>
  <c r="H7" i="61"/>
  <c r="H20" i="114"/>
  <c r="J16" i="49"/>
  <c r="F5" i="58"/>
  <c r="P5" i="60"/>
  <c r="H21" i="49"/>
  <c r="D19" i="49"/>
  <c r="P5" i="81"/>
  <c r="G5" i="80"/>
  <c r="L17" i="49"/>
  <c r="F22" i="114"/>
  <c r="L5" i="59"/>
  <c r="M20" i="49"/>
  <c r="D5" i="59"/>
  <c r="N5" i="118"/>
  <c r="K6" i="66"/>
  <c r="G6" i="58"/>
  <c r="M6" i="59"/>
  <c r="M6" i="58"/>
  <c r="F7" i="59"/>
  <c r="D6" i="61"/>
  <c r="G7" i="61"/>
  <c r="H19" i="49"/>
  <c r="H5" i="57"/>
  <c r="L5" i="65"/>
  <c r="H5" i="61"/>
  <c r="J20" i="49"/>
  <c r="P22" i="114"/>
  <c r="Q22" i="114" s="1"/>
  <c r="J5" i="59"/>
  <c r="N6" i="58"/>
  <c r="M5" i="68"/>
  <c r="M6" i="61"/>
  <c r="G5" i="71"/>
  <c r="F5" i="65"/>
  <c r="J5" i="68"/>
  <c r="P15" i="49"/>
  <c r="N5" i="57"/>
  <c r="D5" i="64"/>
  <c r="M24" i="114"/>
  <c r="D5" i="118"/>
  <c r="H5" i="64"/>
  <c r="G24" i="114"/>
  <c r="L5" i="71"/>
  <c r="F20" i="49"/>
  <c r="H6" i="61"/>
  <c r="G22" i="114"/>
  <c r="J24" i="114"/>
  <c r="M10" i="61"/>
  <c r="K5" i="64"/>
  <c r="H5" i="118"/>
  <c r="M25" i="114"/>
  <c r="M5" i="80"/>
  <c r="K5" i="59"/>
  <c r="N20" i="49"/>
  <c r="K5" i="80"/>
  <c r="L15" i="49"/>
  <c r="H5" i="60"/>
  <c r="J5" i="80"/>
  <c r="D20" i="114"/>
  <c r="N15" i="49"/>
  <c r="F7" i="118"/>
  <c r="D9" i="61"/>
  <c r="P6" i="59"/>
  <c r="F5" i="57"/>
  <c r="H5" i="59"/>
  <c r="K7" i="59"/>
  <c r="H18" i="114"/>
  <c r="K5" i="66"/>
  <c r="N6" i="61"/>
  <c r="K15" i="49"/>
  <c r="H16" i="49"/>
  <c r="N17" i="49"/>
  <c r="L6" i="68"/>
  <c r="J5" i="52"/>
  <c r="D25" i="114"/>
  <c r="P5" i="66"/>
  <c r="Q5" i="66" s="1"/>
  <c r="J25" i="114"/>
  <c r="G5" i="52"/>
  <c r="K7" i="118"/>
  <c r="L5" i="57"/>
  <c r="N5" i="65"/>
  <c r="P5" i="68"/>
  <c r="M16" i="49"/>
  <c r="H6" i="59"/>
  <c r="M5" i="81"/>
  <c r="P20" i="114"/>
  <c r="F20" i="114"/>
  <c r="D22" i="114"/>
  <c r="J20" i="114"/>
  <c r="L22" i="49"/>
  <c r="H5" i="52"/>
  <c r="N5" i="64"/>
  <c r="G25" i="114"/>
  <c r="H20" i="49"/>
  <c r="M6" i="68"/>
  <c r="L20" i="114"/>
  <c r="K12" i="48"/>
  <c r="H22" i="49"/>
  <c r="M17" i="49"/>
  <c r="J21" i="49"/>
  <c r="N12" i="48"/>
  <c r="H9" i="61"/>
  <c r="D10" i="61"/>
  <c r="F24" i="114"/>
  <c r="F5" i="59"/>
  <c r="F16" i="49"/>
  <c r="H17" i="49"/>
  <c r="L7" i="59"/>
  <c r="J14" i="49"/>
  <c r="L5" i="66"/>
  <c r="L6" i="61"/>
  <c r="M5" i="66"/>
  <c r="F5" i="81"/>
  <c r="P6" i="61"/>
  <c r="D15" i="49"/>
  <c r="P24" i="114"/>
  <c r="D5" i="80"/>
  <c r="F6" i="61"/>
  <c r="F5" i="118"/>
  <c r="G5" i="57"/>
  <c r="L5" i="61"/>
  <c r="M6" i="66"/>
  <c r="L20" i="49"/>
  <c r="P5" i="59"/>
  <c r="Q5" i="59" s="1"/>
  <c r="F22" i="49"/>
  <c r="D6" i="59"/>
  <c r="J6" i="59"/>
  <c r="G22" i="49"/>
  <c r="D22" i="49"/>
  <c r="J6" i="58"/>
  <c r="G7" i="118"/>
  <c r="D7" i="61"/>
  <c r="H22" i="114"/>
  <c r="G6" i="66"/>
  <c r="G20" i="114"/>
  <c r="P7" i="61"/>
  <c r="M21" i="49"/>
  <c r="D19" i="114"/>
  <c r="J5" i="71"/>
  <c r="G19" i="114"/>
  <c r="P5" i="65"/>
  <c r="D5" i="52"/>
  <c r="F5" i="61"/>
  <c r="M19" i="49"/>
  <c r="L22" i="114"/>
  <c r="G23" i="114"/>
  <c r="G5" i="64"/>
  <c r="K5" i="118"/>
  <c r="P20" i="49"/>
  <c r="Q20" i="49" s="1"/>
  <c r="L21" i="49"/>
  <c r="G5" i="61"/>
  <c r="K5" i="68"/>
  <c r="H6" i="66"/>
  <c r="N5" i="71"/>
  <c r="D6" i="68"/>
  <c r="M15" i="49"/>
  <c r="J5" i="118"/>
  <c r="H7" i="118"/>
  <c r="M5" i="60"/>
  <c r="L19" i="114"/>
  <c r="D12" i="48"/>
  <c r="P12" i="48"/>
  <c r="H12" i="48"/>
  <c r="P17" i="114"/>
  <c r="K14" i="49"/>
  <c r="J6" i="68"/>
  <c r="G19" i="49"/>
  <c r="F15" i="49"/>
  <c r="K20" i="114"/>
  <c r="H24" i="114"/>
  <c r="J7" i="118"/>
  <c r="G18" i="114"/>
  <c r="F23" i="114"/>
  <c r="H5" i="68"/>
  <c r="P5" i="118"/>
  <c r="N6" i="68"/>
  <c r="J5" i="57"/>
  <c r="D14" i="49"/>
  <c r="H7" i="59"/>
  <c r="G14" i="49"/>
  <c r="N10" i="61"/>
  <c r="H5" i="58"/>
  <c r="G5" i="60"/>
  <c r="N18" i="114"/>
  <c r="P10" i="61"/>
  <c r="D17" i="114"/>
  <c r="M9" i="61"/>
  <c r="J7" i="61"/>
  <c r="H10" i="61"/>
  <c r="F6" i="68"/>
  <c r="K16" i="49"/>
  <c r="G6" i="59"/>
  <c r="G16" i="49"/>
  <c r="N14" i="49"/>
  <c r="N5" i="59"/>
  <c r="D23" i="114"/>
  <c r="K5" i="65"/>
  <c r="M5" i="59"/>
  <c r="D17" i="49"/>
  <c r="H25" i="114"/>
  <c r="J15" i="49"/>
  <c r="M5" i="64"/>
  <c r="J18" i="114"/>
  <c r="N5" i="68"/>
  <c r="K6" i="59"/>
  <c r="F7" i="61"/>
  <c r="N7" i="61"/>
  <c r="D6" i="58"/>
  <c r="J23" i="114"/>
  <c r="L19" i="49"/>
  <c r="F17" i="49"/>
  <c r="H5" i="66"/>
  <c r="P5" i="57"/>
  <c r="D24" i="114"/>
  <c r="P7" i="59"/>
  <c r="D5" i="68"/>
  <c r="P6" i="58"/>
  <c r="Q6" i="58" s="1"/>
  <c r="L5" i="60"/>
  <c r="K5" i="58"/>
  <c r="M5" i="118"/>
  <c r="H17" i="114"/>
  <c r="G5" i="59"/>
  <c r="M19" i="114"/>
  <c r="H19" i="114"/>
  <c r="K19" i="114"/>
  <c r="P16" i="49"/>
  <c r="K23" i="114"/>
  <c r="P25" i="114"/>
  <c r="N7" i="118"/>
  <c r="D5" i="57"/>
  <c r="K5" i="60"/>
  <c r="F19" i="114"/>
  <c r="N5" i="70"/>
  <c r="N9" i="51"/>
  <c r="M11" i="61"/>
  <c r="L11" i="48"/>
  <c r="M10" i="48"/>
  <c r="D7" i="64"/>
  <c r="G8" i="60"/>
  <c r="H5" i="70"/>
  <c r="N15" i="114"/>
  <c r="G10" i="48"/>
  <c r="L13" i="49"/>
  <c r="L7" i="65"/>
  <c r="N16" i="114"/>
  <c r="H8" i="61"/>
  <c r="D6" i="55"/>
  <c r="G5" i="67"/>
  <c r="K11" i="61"/>
  <c r="L7" i="64"/>
  <c r="N8" i="50"/>
  <c r="D16" i="114"/>
  <c r="F15" i="114"/>
  <c r="H16" i="114"/>
  <c r="F18" i="49"/>
  <c r="K5" i="67"/>
  <c r="P10" i="48"/>
  <c r="Q10" i="48" s="1"/>
  <c r="M8" i="61"/>
  <c r="D7" i="65"/>
  <c r="J5" i="67"/>
  <c r="D10" i="48"/>
  <c r="M9" i="51"/>
  <c r="H13" i="49"/>
  <c r="K5" i="70"/>
  <c r="D15" i="114"/>
  <c r="M5" i="117"/>
  <c r="G7" i="64"/>
  <c r="D13" i="49"/>
  <c r="D21" i="114"/>
  <c r="H8" i="50"/>
  <c r="P15" i="114"/>
  <c r="P5" i="70"/>
  <c r="Q5" i="70" s="1"/>
  <c r="Q6" i="70" s="1"/>
  <c r="P7" i="49" s="1"/>
  <c r="Q7" i="49" s="1"/>
  <c r="P8" i="50"/>
  <c r="Q8" i="50" s="1"/>
  <c r="L11" i="61"/>
  <c r="K6" i="55"/>
  <c r="G13" i="49"/>
  <c r="K6" i="118"/>
  <c r="N6" i="55"/>
  <c r="G6" i="118"/>
  <c r="G21" i="114"/>
  <c r="F11" i="48"/>
  <c r="H5" i="289"/>
  <c r="D18" i="49"/>
  <c r="J15" i="114"/>
  <c r="P8" i="61"/>
  <c r="J7" i="65"/>
  <c r="H5" i="117"/>
  <c r="G11" i="61"/>
  <c r="M5" i="70"/>
  <c r="K9" i="51"/>
  <c r="L8" i="61"/>
  <c r="J13" i="49"/>
  <c r="L12" i="49"/>
  <c r="J18" i="49"/>
  <c r="M8" i="50"/>
  <c r="K15" i="114"/>
  <c r="M6" i="118"/>
  <c r="L18" i="49"/>
  <c r="H9" i="48"/>
  <c r="P21" i="114"/>
  <c r="Q21" i="114" s="1"/>
  <c r="G6" i="55"/>
  <c r="F21" i="114"/>
  <c r="F5" i="70"/>
  <c r="N18" i="49"/>
  <c r="J21" i="114"/>
  <c r="N6" i="118"/>
  <c r="N7" i="65"/>
  <c r="D8" i="60"/>
  <c r="H6" i="55"/>
  <c r="N11" i="61"/>
  <c r="D5" i="67"/>
  <c r="K12" i="49"/>
  <c r="H18" i="49"/>
  <c r="G5" i="117"/>
  <c r="K9" i="48"/>
  <c r="H10" i="48"/>
  <c r="F16" i="114"/>
  <c r="K21" i="114"/>
  <c r="F7" i="65"/>
  <c r="F6" i="55"/>
  <c r="K18" i="49"/>
  <c r="M13" i="49"/>
  <c r="G5" i="70"/>
  <c r="L5" i="289"/>
  <c r="M12" i="49"/>
  <c r="D11" i="61"/>
  <c r="J11" i="48"/>
  <c r="G12" i="49"/>
  <c r="J8" i="61"/>
  <c r="P16" i="114"/>
  <c r="M8" i="60"/>
  <c r="N7" i="64"/>
  <c r="G18" i="49"/>
  <c r="L8" i="60"/>
  <c r="M16" i="114"/>
  <c r="N8" i="60"/>
  <c r="L21" i="114"/>
  <c r="H7" i="65"/>
  <c r="P5" i="67"/>
  <c r="Q5" i="67" s="1"/>
  <c r="Q11" i="67" s="1"/>
  <c r="L9" i="48"/>
  <c r="D12" i="49"/>
  <c r="G11" i="48"/>
  <c r="L6" i="118"/>
  <c r="J5" i="70"/>
  <c r="H21" i="114"/>
  <c r="H6" i="118"/>
  <c r="L6" i="55"/>
  <c r="L5" i="117"/>
  <c r="K8" i="50"/>
  <c r="P11" i="61"/>
  <c r="Q11" i="61" s="1"/>
  <c r="F9" i="48"/>
  <c r="J5" i="289"/>
  <c r="G7" i="65"/>
  <c r="K8" i="61"/>
  <c r="K5" i="117"/>
  <c r="M5" i="289"/>
  <c r="K8" i="60"/>
  <c r="P18" i="49"/>
  <c r="Q18" i="49" s="1"/>
  <c r="H11" i="61"/>
  <c r="H7" i="64"/>
  <c r="G15" i="114"/>
  <c r="L5" i="70"/>
  <c r="K7" i="64"/>
  <c r="M7" i="65"/>
  <c r="N5" i="117"/>
  <c r="H15" i="114"/>
  <c r="P11" i="48"/>
  <c r="Q11" i="48" s="1"/>
  <c r="P9" i="51"/>
  <c r="Q9" i="51" s="1"/>
  <c r="N13" i="49"/>
  <c r="K7" i="65"/>
  <c r="L5" i="67"/>
  <c r="F8" i="60"/>
  <c r="J9" i="48"/>
  <c r="J10" i="48"/>
  <c r="N11" i="48"/>
  <c r="F9" i="51"/>
  <c r="M21" i="114"/>
  <c r="H5" i="67"/>
  <c r="P9" i="48"/>
  <c r="J8" i="50"/>
  <c r="N5" i="289"/>
  <c r="D5" i="117"/>
  <c r="M18" i="49"/>
  <c r="N12" i="49"/>
  <c r="F13" i="49"/>
  <c r="M11" i="48"/>
  <c r="D5" i="289"/>
  <c r="D8" i="61"/>
  <c r="J9" i="51"/>
  <c r="G9" i="48"/>
  <c r="D11" i="48"/>
  <c r="D8" i="50"/>
  <c r="J16" i="114"/>
  <c r="H8" i="60"/>
  <c r="F7" i="64"/>
  <c r="F12" i="49"/>
  <c r="F11" i="61"/>
  <c r="K11" i="48"/>
  <c r="N9" i="48"/>
  <c r="G16" i="114"/>
  <c r="M6" i="55"/>
  <c r="P12" i="49"/>
  <c r="Q12" i="49" s="1"/>
  <c r="P6" i="118"/>
  <c r="J6" i="55"/>
  <c r="L8" i="50"/>
  <c r="H12" i="49"/>
  <c r="N10" i="48"/>
  <c r="M5" i="67"/>
  <c r="F8" i="50"/>
  <c r="P13" i="49"/>
  <c r="Q13" i="49" s="1"/>
  <c r="D6" i="118"/>
  <c r="J6" i="118"/>
  <c r="K13" i="49"/>
  <c r="L16" i="114"/>
  <c r="J8" i="60"/>
  <c r="N5" i="67"/>
  <c r="F5" i="289"/>
  <c r="H9" i="51"/>
  <c r="F8" i="61"/>
  <c r="L9" i="51"/>
  <c r="J7" i="64"/>
  <c r="F5" i="67"/>
  <c r="D5" i="70"/>
  <c r="P5" i="117"/>
  <c r="Q5" i="117" s="1"/>
  <c r="L10" i="48"/>
  <c r="P5" i="289"/>
  <c r="Q5" i="289" s="1"/>
  <c r="G8" i="61"/>
  <c r="K10" i="48"/>
  <c r="F5" i="117"/>
  <c r="G5" i="289"/>
  <c r="M9" i="48"/>
  <c r="L15" i="114"/>
  <c r="K5" i="289"/>
  <c r="F10" i="48"/>
  <c r="F6" i="118"/>
  <c r="J5" i="117"/>
  <c r="G9" i="51"/>
  <c r="M7" i="64"/>
  <c r="J11" i="61"/>
  <c r="J12" i="49"/>
  <c r="G8" i="50"/>
  <c r="K16" i="114"/>
  <c r="D9" i="51"/>
  <c r="N21" i="114"/>
  <c r="N8" i="61"/>
  <c r="H11" i="48"/>
  <c r="D9" i="48"/>
  <c r="M15" i="114"/>
  <c r="P8" i="60"/>
  <c r="Q8" i="60" s="1"/>
  <c r="P7" i="64"/>
  <c r="Q7" i="64" s="1"/>
  <c r="P6" i="55"/>
  <c r="P7" i="65"/>
  <c r="H10" i="137"/>
  <c r="P9" i="104"/>
  <c r="G5" i="227"/>
  <c r="K10" i="137"/>
  <c r="K10" i="103"/>
  <c r="H5" i="297"/>
  <c r="K9" i="95"/>
  <c r="P10" i="103"/>
  <c r="Q10" i="103" s="1"/>
  <c r="N5" i="297"/>
  <c r="G5" i="297"/>
  <c r="M5" i="227"/>
  <c r="H10" i="103"/>
  <c r="M10" i="143"/>
  <c r="G9" i="95"/>
  <c r="H5" i="227"/>
  <c r="J5" i="297"/>
  <c r="P5" i="227"/>
  <c r="Q5" i="227" s="1"/>
  <c r="L10" i="103"/>
  <c r="G10" i="103"/>
  <c r="D10" i="137"/>
  <c r="F5" i="297"/>
  <c r="J9" i="104"/>
  <c r="H10" i="143"/>
  <c r="F10" i="103"/>
  <c r="N5" i="227"/>
  <c r="F9" i="104"/>
  <c r="L5" i="227"/>
  <c r="F9" i="95"/>
  <c r="K10" i="143"/>
  <c r="J5" i="227"/>
  <c r="P9" i="95"/>
  <c r="Q9" i="95" s="1"/>
  <c r="K9" i="104"/>
  <c r="L10" i="137"/>
  <c r="D5" i="227"/>
  <c r="J10" i="143"/>
  <c r="F10" i="143"/>
  <c r="L5" i="297"/>
  <c r="G9" i="104"/>
  <c r="J10" i="137"/>
  <c r="N10" i="137"/>
  <c r="N9" i="102"/>
  <c r="G9" i="102"/>
  <c r="P5" i="297"/>
  <c r="Q5" i="297" s="1"/>
  <c r="Q11" i="297" s="1"/>
  <c r="P16" i="211" s="1"/>
  <c r="Q16" i="211" s="1"/>
  <c r="L9" i="95"/>
  <c r="J9" i="102"/>
  <c r="N10" i="143"/>
  <c r="H9" i="102"/>
  <c r="N10" i="103"/>
  <c r="G10" i="143"/>
  <c r="N9" i="104"/>
  <c r="P10" i="143"/>
  <c r="Q10" i="143" s="1"/>
  <c r="K5" i="227"/>
  <c r="D9" i="95"/>
  <c r="N9" i="95"/>
  <c r="K5" i="297"/>
  <c r="L9" i="102"/>
  <c r="D10" i="143"/>
  <c r="M5" i="297"/>
  <c r="F5" i="227"/>
  <c r="M10" i="137"/>
  <c r="G10" i="137"/>
  <c r="D9" i="104"/>
  <c r="M9" i="95"/>
  <c r="F9" i="102"/>
  <c r="K9" i="102"/>
  <c r="H9" i="104"/>
  <c r="P10" i="137"/>
  <c r="Q10" i="137" s="1"/>
  <c r="D10" i="103"/>
  <c r="D5" i="297"/>
  <c r="M9" i="102"/>
  <c r="J10" i="103"/>
  <c r="J9" i="95"/>
  <c r="F10" i="137"/>
  <c r="L10" i="143"/>
  <c r="M10" i="103"/>
  <c r="L9" i="104"/>
  <c r="D9" i="102"/>
  <c r="P9" i="102"/>
  <c r="Q9" i="102" s="1"/>
  <c r="H9" i="95"/>
  <c r="M9" i="104"/>
  <c r="N16" i="191"/>
  <c r="M16" i="191"/>
  <c r="L16" i="191"/>
  <c r="J16" i="191"/>
  <c r="K16" i="191"/>
  <c r="H16" i="191"/>
  <c r="D12" i="114"/>
  <c r="C3" i="118" s="1"/>
  <c r="G5" i="225"/>
  <c r="D7" i="171"/>
  <c r="M6" i="124"/>
  <c r="G7" i="247"/>
  <c r="M5" i="250"/>
  <c r="M7" i="214"/>
  <c r="D17" i="213"/>
  <c r="D15" i="213"/>
  <c r="F17" i="213"/>
  <c r="F5" i="123"/>
  <c r="N5" i="222"/>
  <c r="P5" i="218"/>
  <c r="Q5" i="218" s="1"/>
  <c r="P16" i="236"/>
  <c r="Q16" i="236" s="1"/>
  <c r="K7" i="135"/>
  <c r="F16" i="236"/>
  <c r="J8" i="139"/>
  <c r="K11" i="171"/>
  <c r="L6" i="101"/>
  <c r="D7" i="330"/>
  <c r="P5" i="138"/>
  <c r="Q5" i="138" s="1"/>
  <c r="Q15" i="138" s="1"/>
  <c r="D6" i="135"/>
  <c r="D13" i="298"/>
  <c r="H5" i="102"/>
  <c r="K7" i="137"/>
  <c r="M7" i="135"/>
  <c r="N5" i="142"/>
  <c r="N12" i="123"/>
  <c r="D6" i="123"/>
  <c r="L18" i="213"/>
  <c r="H5" i="182"/>
  <c r="H10" i="201"/>
  <c r="M20" i="2"/>
  <c r="D7" i="321"/>
  <c r="G7" i="53"/>
  <c r="N7" i="322"/>
  <c r="N6" i="64"/>
  <c r="D5" i="293"/>
  <c r="N7" i="161"/>
  <c r="H5" i="184"/>
  <c r="D9" i="287"/>
  <c r="G7" i="311"/>
  <c r="G12" i="61"/>
  <c r="D7" i="78"/>
  <c r="J5" i="293"/>
  <c r="L24" i="193"/>
  <c r="M7" i="231"/>
  <c r="H16" i="146"/>
  <c r="L6" i="156"/>
  <c r="N5" i="252"/>
  <c r="D5" i="182"/>
  <c r="H11" i="279"/>
  <c r="K11" i="199"/>
  <c r="D11" i="282"/>
  <c r="N9" i="180"/>
  <c r="M6" i="199"/>
  <c r="P6" i="269"/>
  <c r="Q6" i="269" s="1"/>
  <c r="J5" i="183"/>
  <c r="L7" i="306"/>
  <c r="H12" i="150"/>
  <c r="K9" i="189"/>
  <c r="J7" i="318"/>
  <c r="N5" i="243"/>
  <c r="L10" i="282"/>
  <c r="M9" i="280"/>
  <c r="H7" i="272"/>
  <c r="F9" i="280"/>
  <c r="G13" i="61"/>
  <c r="H5" i="183"/>
  <c r="M7" i="322"/>
  <c r="J7" i="317"/>
  <c r="J15" i="193"/>
  <c r="G11" i="165"/>
  <c r="G9" i="283"/>
  <c r="G12" i="279"/>
  <c r="G7" i="306"/>
  <c r="G7" i="309"/>
  <c r="D7" i="198"/>
  <c r="J5" i="268"/>
  <c r="L8" i="205"/>
  <c r="P7" i="320"/>
  <c r="Q7" i="320" s="1"/>
  <c r="G10" i="193"/>
  <c r="K23" i="193"/>
  <c r="F11" i="285"/>
  <c r="L7" i="233"/>
  <c r="M10" i="200"/>
  <c r="F10" i="198"/>
  <c r="N8" i="180"/>
  <c r="D5" i="268"/>
  <c r="D6" i="205"/>
  <c r="L9" i="194"/>
  <c r="H9" i="190"/>
  <c r="M5" i="116"/>
  <c r="M16" i="165"/>
  <c r="G17" i="146"/>
  <c r="H7" i="148"/>
  <c r="P9" i="128"/>
  <c r="Q9" i="128" s="1"/>
  <c r="G11" i="280"/>
  <c r="G7" i="310"/>
  <c r="L22" i="128"/>
  <c r="K6" i="156"/>
  <c r="P11" i="150"/>
  <c r="Q11" i="150" s="1"/>
  <c r="K5" i="195"/>
  <c r="P8" i="95"/>
  <c r="Q8" i="95" s="1"/>
  <c r="H5" i="250"/>
  <c r="D5" i="143"/>
  <c r="H5" i="330"/>
  <c r="G5" i="249"/>
  <c r="J7" i="97"/>
  <c r="J7" i="104"/>
  <c r="P9" i="143"/>
  <c r="Q9" i="143" s="1"/>
  <c r="M8" i="214"/>
  <c r="P7" i="174"/>
  <c r="Q7" i="174" s="1"/>
  <c r="K18" i="213"/>
  <c r="N12" i="236"/>
  <c r="K6" i="142"/>
  <c r="D6" i="105"/>
  <c r="J8" i="131"/>
  <c r="K7" i="330"/>
  <c r="K5" i="56"/>
  <c r="J7" i="77"/>
  <c r="L7" i="316"/>
  <c r="K7" i="145"/>
  <c r="J7" i="209"/>
  <c r="J5" i="56"/>
  <c r="D7" i="305"/>
  <c r="G22" i="47"/>
  <c r="J10" i="276"/>
  <c r="D7" i="292"/>
  <c r="H20" i="2"/>
  <c r="K7" i="161"/>
  <c r="J5" i="262"/>
  <c r="D5" i="270"/>
  <c r="P7" i="321"/>
  <c r="Q7" i="321" s="1"/>
  <c r="D6" i="60"/>
  <c r="K7" i="327"/>
  <c r="P9" i="229"/>
  <c r="Q9" i="229" s="1"/>
  <c r="G6" i="195"/>
  <c r="P25" i="193"/>
  <c r="Q25" i="193" s="1"/>
  <c r="H5" i="141"/>
  <c r="J5" i="209"/>
  <c r="F12" i="279"/>
  <c r="N5" i="209"/>
  <c r="L9" i="189"/>
  <c r="P11" i="276"/>
  <c r="Q11" i="276" s="1"/>
  <c r="G13" i="193"/>
  <c r="J8" i="202"/>
  <c r="H9" i="194"/>
  <c r="D8" i="190"/>
  <c r="M7" i="329"/>
  <c r="F11" i="280"/>
  <c r="D5" i="181"/>
  <c r="D11" i="281"/>
  <c r="F10" i="200"/>
  <c r="J9" i="283"/>
  <c r="F7" i="189"/>
  <c r="J5" i="119"/>
  <c r="G6" i="65"/>
  <c r="P7" i="190"/>
  <c r="Q7" i="190" s="1"/>
  <c r="J9" i="280"/>
  <c r="F17" i="112"/>
  <c r="D9" i="229"/>
  <c r="G6" i="209"/>
  <c r="D13" i="193"/>
  <c r="L7" i="315"/>
  <c r="N5" i="169"/>
  <c r="J5" i="168"/>
  <c r="L6" i="65"/>
  <c r="N8" i="149"/>
  <c r="F23" i="128"/>
  <c r="N6" i="269"/>
  <c r="G8" i="101"/>
  <c r="J5" i="147"/>
  <c r="H11" i="128"/>
  <c r="K7" i="189"/>
  <c r="P21" i="146"/>
  <c r="Q21" i="146" s="1"/>
  <c r="L6" i="209"/>
  <c r="M8" i="230"/>
  <c r="J6" i="165"/>
  <c r="J16" i="201"/>
  <c r="N5" i="270"/>
  <c r="P5" i="221"/>
  <c r="Q5" i="221" s="1"/>
  <c r="Q14" i="221" s="1"/>
  <c r="P8" i="213" s="1"/>
  <c r="Q8" i="213" s="1"/>
  <c r="M5" i="330"/>
  <c r="P11" i="171"/>
  <c r="Q11" i="171" s="1"/>
  <c r="G5" i="95"/>
  <c r="L8" i="142"/>
  <c r="H7" i="217"/>
  <c r="N6" i="219"/>
  <c r="H5" i="222"/>
  <c r="D14" i="298"/>
  <c r="M5" i="225"/>
  <c r="G13" i="106"/>
  <c r="H7" i="94"/>
  <c r="P5" i="267"/>
  <c r="Q5" i="267" s="1"/>
  <c r="H6" i="139"/>
  <c r="H6" i="95"/>
  <c r="J5" i="174"/>
  <c r="N6" i="262"/>
  <c r="F7" i="306"/>
  <c r="J16" i="165"/>
  <c r="N5" i="207"/>
  <c r="M7" i="161"/>
  <c r="J5" i="269"/>
  <c r="L7" i="272"/>
  <c r="L7" i="241"/>
  <c r="N5" i="251"/>
  <c r="N22" i="47"/>
  <c r="D7" i="55"/>
  <c r="M7" i="321"/>
  <c r="H7" i="74"/>
  <c r="N11" i="281"/>
  <c r="J8" i="308"/>
  <c r="L5" i="169"/>
  <c r="H11" i="281"/>
  <c r="J17" i="146"/>
  <c r="G5" i="154"/>
  <c r="M8" i="190"/>
  <c r="K6" i="144"/>
  <c r="N7" i="308"/>
  <c r="H8" i="308"/>
  <c r="J8" i="257"/>
  <c r="G10" i="200"/>
  <c r="D7" i="74"/>
  <c r="J10" i="285"/>
  <c r="H7" i="315"/>
  <c r="J7" i="309"/>
  <c r="D5" i="209"/>
  <c r="L9" i="205"/>
  <c r="N8" i="193"/>
  <c r="P17" i="112"/>
  <c r="Q17" i="112" s="1"/>
  <c r="K28" i="177"/>
  <c r="G15" i="201"/>
  <c r="K5" i="206"/>
  <c r="L5" i="184"/>
  <c r="K19" i="2"/>
  <c r="F7" i="315"/>
  <c r="N8" i="199"/>
  <c r="M10" i="202"/>
  <c r="N7" i="292"/>
  <c r="L17" i="166"/>
  <c r="G17" i="166"/>
  <c r="K7" i="320"/>
  <c r="L6" i="165"/>
  <c r="P19" i="2"/>
  <c r="Q19" i="2" s="1"/>
  <c r="K6" i="269"/>
  <c r="D7" i="60"/>
  <c r="K7" i="270"/>
  <c r="H11" i="165"/>
  <c r="H8" i="65"/>
  <c r="L7" i="77"/>
  <c r="F9" i="283"/>
  <c r="P7" i="317"/>
  <c r="Q7" i="317" s="1"/>
  <c r="M5" i="270"/>
  <c r="M21" i="163"/>
  <c r="L13" i="200"/>
  <c r="P19" i="193"/>
  <c r="Q19" i="193" s="1"/>
  <c r="K16" i="163"/>
  <c r="N7" i="321"/>
  <c r="N7" i="325"/>
  <c r="L5" i="314"/>
  <c r="L10" i="200"/>
  <c r="F9" i="165"/>
  <c r="P10" i="179"/>
  <c r="Q10" i="179" s="1"/>
  <c r="L11" i="146"/>
  <c r="F5" i="198"/>
  <c r="K5" i="190"/>
  <c r="H8" i="253"/>
  <c r="P5" i="302"/>
  <c r="Q5" i="302" s="1"/>
  <c r="Q11" i="302" s="1"/>
  <c r="L8" i="195"/>
  <c r="H7" i="318"/>
  <c r="G7" i="180"/>
  <c r="M14" i="106"/>
  <c r="L5" i="245"/>
  <c r="D7" i="173"/>
  <c r="G5" i="226"/>
  <c r="P14" i="298"/>
  <c r="Q14" i="298" s="1"/>
  <c r="N9" i="267"/>
  <c r="N15" i="163"/>
  <c r="J7" i="174"/>
  <c r="G5" i="174"/>
  <c r="F6" i="219"/>
  <c r="M19" i="213"/>
  <c r="M8" i="97"/>
  <c r="L7" i="248"/>
  <c r="G7" i="137"/>
  <c r="L7" i="105"/>
  <c r="P5" i="175"/>
  <c r="Q5" i="175" s="1"/>
  <c r="G5" i="182"/>
  <c r="M10" i="281"/>
  <c r="P5" i="199"/>
  <c r="Q5" i="199" s="1"/>
  <c r="G11" i="282"/>
  <c r="M7" i="315"/>
  <c r="H22" i="47"/>
  <c r="M5" i="56"/>
  <c r="K5" i="243"/>
  <c r="M7" i="292"/>
  <c r="F8" i="64"/>
  <c r="D7" i="328"/>
  <c r="P10" i="275"/>
  <c r="Q10" i="275" s="1"/>
  <c r="N5" i="168"/>
  <c r="J7" i="78"/>
  <c r="F7" i="308"/>
  <c r="M7" i="262"/>
  <c r="J10" i="179"/>
  <c r="J5" i="182"/>
  <c r="M11" i="275"/>
  <c r="M17" i="166"/>
  <c r="D7" i="180"/>
  <c r="N10" i="236"/>
  <c r="F7" i="229"/>
  <c r="P7" i="215"/>
  <c r="Q7" i="215" s="1"/>
  <c r="Q8" i="215" s="1"/>
  <c r="G7" i="318"/>
  <c r="L8" i="190"/>
  <c r="G18" i="2"/>
  <c r="J6" i="117"/>
  <c r="D5" i="183"/>
  <c r="P8" i="64"/>
  <c r="Q8" i="64" s="1"/>
  <c r="L10" i="165"/>
  <c r="G6" i="269"/>
  <c r="L22" i="47"/>
  <c r="H8" i="257"/>
  <c r="H9" i="279"/>
  <c r="K5" i="268"/>
  <c r="N9" i="145"/>
  <c r="F6" i="269"/>
  <c r="H5" i="252"/>
  <c r="D14" i="128"/>
  <c r="M7" i="238"/>
  <c r="P7" i="319"/>
  <c r="Q7" i="319" s="1"/>
  <c r="H9" i="278"/>
  <c r="L18" i="163"/>
  <c r="P12" i="106"/>
  <c r="Q12" i="106" s="1"/>
  <c r="L8" i="103"/>
  <c r="P21" i="213"/>
  <c r="Q21" i="213" s="1"/>
  <c r="D16" i="163"/>
  <c r="K6" i="223"/>
  <c r="G6" i="175"/>
  <c r="L6" i="105"/>
  <c r="H16" i="298"/>
  <c r="D5" i="224"/>
  <c r="P6" i="101"/>
  <c r="Q6" i="101" s="1"/>
  <c r="N10" i="212"/>
  <c r="P5" i="226"/>
  <c r="Q5" i="226" s="1"/>
  <c r="Q13" i="226" s="1"/>
  <c r="P7" i="104"/>
  <c r="Q7" i="104" s="1"/>
  <c r="N6" i="104"/>
  <c r="G6" i="64"/>
  <c r="J9" i="179"/>
  <c r="K18" i="2"/>
  <c r="K20" i="2"/>
  <c r="L13" i="61"/>
  <c r="K7" i="239"/>
  <c r="M5" i="243"/>
  <c r="H9" i="50"/>
  <c r="G7" i="291"/>
  <c r="L7" i="74"/>
  <c r="L7" i="142"/>
  <c r="N16" i="213"/>
  <c r="H5" i="220"/>
  <c r="D7" i="143"/>
  <c r="D5" i="225"/>
  <c r="D14" i="106"/>
  <c r="L6" i="144"/>
  <c r="N5" i="171"/>
  <c r="K8" i="103"/>
  <c r="H8" i="232"/>
  <c r="M8" i="157"/>
  <c r="J5" i="249"/>
  <c r="H5" i="94"/>
  <c r="J5" i="173"/>
  <c r="J10" i="171"/>
  <c r="P10" i="171"/>
  <c r="Q10" i="171" s="1"/>
  <c r="K7" i="321"/>
  <c r="J16" i="200"/>
  <c r="P6" i="65"/>
  <c r="Q6" i="65" s="1"/>
  <c r="D17" i="112"/>
  <c r="L10" i="275"/>
  <c r="D7" i="161"/>
  <c r="L7" i="78"/>
  <c r="G6" i="60"/>
  <c r="F5" i="206"/>
  <c r="M5" i="207"/>
  <c r="J7" i="239"/>
  <c r="L7" i="321"/>
  <c r="K5" i="207"/>
  <c r="G8" i="308"/>
  <c r="L6" i="117"/>
  <c r="F11" i="199"/>
  <c r="H6" i="149"/>
  <c r="L8" i="193"/>
  <c r="N7" i="230"/>
  <c r="J7" i="55"/>
  <c r="D15" i="200"/>
  <c r="H9" i="60"/>
  <c r="P6" i="198"/>
  <c r="Q6" i="198" s="1"/>
  <c r="P9" i="179"/>
  <c r="Q9" i="179" s="1"/>
  <c r="K5" i="293"/>
  <c r="F7" i="305"/>
  <c r="F9" i="189"/>
  <c r="H17" i="200"/>
  <c r="G7" i="272"/>
  <c r="K6" i="204"/>
  <c r="J14" i="193"/>
  <c r="K5" i="181"/>
  <c r="G6" i="117"/>
  <c r="D12" i="193"/>
  <c r="P12" i="279"/>
  <c r="Q12" i="279" s="1"/>
  <c r="P5" i="269"/>
  <c r="Q5" i="269" s="1"/>
  <c r="H10" i="198"/>
  <c r="P7" i="77"/>
  <c r="Q7" i="77" s="1"/>
  <c r="H7" i="78"/>
  <c r="P7" i="274"/>
  <c r="Q7" i="274" s="1"/>
  <c r="Q8" i="274" s="1"/>
  <c r="D7" i="306"/>
  <c r="J7" i="324"/>
  <c r="G11" i="286"/>
  <c r="F5" i="209"/>
  <c r="D22" i="47"/>
  <c r="G5" i="243"/>
  <c r="N7" i="295"/>
  <c r="G7" i="307"/>
  <c r="P7" i="318"/>
  <c r="Q7" i="318" s="1"/>
  <c r="M5" i="183"/>
  <c r="F16" i="200"/>
  <c r="N11" i="193"/>
  <c r="F21" i="128"/>
  <c r="F9" i="94"/>
  <c r="L7" i="199"/>
  <c r="K9" i="288"/>
  <c r="L8" i="311"/>
  <c r="N22" i="236"/>
  <c r="N21" i="193"/>
  <c r="H14" i="165"/>
  <c r="J7" i="306"/>
  <c r="L6" i="205"/>
  <c r="F10" i="199"/>
  <c r="H13" i="146"/>
  <c r="D8" i="229"/>
  <c r="G12" i="202"/>
  <c r="F20" i="193"/>
  <c r="P7" i="229"/>
  <c r="Q7" i="229" s="1"/>
  <c r="P10" i="123"/>
  <c r="Q10" i="123" s="1"/>
  <c r="H9" i="137"/>
  <c r="L7" i="101"/>
  <c r="N5" i="220"/>
  <c r="N5" i="249"/>
  <c r="F7" i="174"/>
  <c r="F13" i="106"/>
  <c r="K6" i="224"/>
  <c r="H5" i="139"/>
  <c r="H6" i="144"/>
  <c r="N8" i="214"/>
  <c r="H7" i="105"/>
  <c r="L10" i="171"/>
  <c r="G6" i="123"/>
  <c r="K5" i="174"/>
  <c r="H7" i="306"/>
  <c r="L18" i="2"/>
  <c r="K9" i="50"/>
  <c r="J9" i="60"/>
  <c r="P6" i="60"/>
  <c r="Q6" i="60" s="1"/>
  <c r="K7" i="55"/>
  <c r="N19" i="2"/>
  <c r="D6" i="262"/>
  <c r="L7" i="53"/>
  <c r="G9" i="277"/>
  <c r="K17" i="112"/>
  <c r="D18" i="2"/>
  <c r="M7" i="320"/>
  <c r="H7" i="322"/>
  <c r="F20" i="2"/>
  <c r="G8" i="257"/>
  <c r="P5" i="243"/>
  <c r="Q5" i="243" s="1"/>
  <c r="D7" i="308"/>
  <c r="M7" i="327"/>
  <c r="H11" i="276"/>
  <c r="J9" i="165"/>
  <c r="K17" i="128"/>
  <c r="J8" i="190"/>
  <c r="J11" i="275"/>
  <c r="P9" i="287"/>
  <c r="Q9" i="287" s="1"/>
  <c r="Q19" i="287" s="1"/>
  <c r="P14" i="178" s="1"/>
  <c r="Q14" i="178" s="1"/>
  <c r="K10" i="275"/>
  <c r="J10" i="198"/>
  <c r="N6" i="198"/>
  <c r="H7" i="241"/>
  <c r="K7" i="53"/>
  <c r="M7" i="228"/>
  <c r="P7" i="239"/>
  <c r="Q7" i="239" s="1"/>
  <c r="F5" i="252"/>
  <c r="M7" i="313"/>
  <c r="P25" i="128"/>
  <c r="Q25" i="128" s="1"/>
  <c r="K10" i="279"/>
  <c r="F7" i="270"/>
  <c r="G9" i="287"/>
  <c r="L22" i="193"/>
  <c r="F6" i="209"/>
  <c r="P7" i="325"/>
  <c r="Q7" i="325" s="1"/>
  <c r="G5" i="250"/>
  <c r="P19" i="213"/>
  <c r="Q19" i="213" s="1"/>
  <c r="F5" i="267"/>
  <c r="H7" i="124"/>
  <c r="K5" i="142"/>
  <c r="D5" i="97"/>
  <c r="J7" i="105"/>
  <c r="D6" i="223"/>
  <c r="F6" i="218"/>
  <c r="P6" i="104"/>
  <c r="Q6" i="104" s="1"/>
  <c r="P5" i="93"/>
  <c r="Q5" i="93" s="1"/>
  <c r="N7" i="217"/>
  <c r="P9" i="232"/>
  <c r="Q9" i="232" s="1"/>
  <c r="P12" i="83"/>
  <c r="Q12" i="83" s="1"/>
  <c r="N6" i="97"/>
  <c r="H17" i="213"/>
  <c r="L5" i="293"/>
  <c r="D7" i="77"/>
  <c r="D7" i="239"/>
  <c r="M19" i="2"/>
  <c r="P7" i="74"/>
  <c r="Q7" i="74" s="1"/>
  <c r="G7" i="292"/>
  <c r="L20" i="2"/>
  <c r="D13" i="61"/>
  <c r="N5" i="293"/>
  <c r="L7" i="310"/>
  <c r="P24" i="193"/>
  <c r="Q24" i="193" s="1"/>
  <c r="D7" i="269"/>
  <c r="D11" i="202"/>
  <c r="G7" i="162"/>
  <c r="H8" i="311"/>
  <c r="L7" i="309"/>
  <c r="P9" i="284"/>
  <c r="Q9" i="284" s="1"/>
  <c r="Q19" i="284" s="1"/>
  <c r="P17" i="167" s="1"/>
  <c r="K7" i="241"/>
  <c r="M7" i="316"/>
  <c r="F5" i="186"/>
  <c r="P7" i="55"/>
  <c r="Q7" i="55" s="1"/>
  <c r="L8" i="258"/>
  <c r="G8" i="65"/>
  <c r="P7" i="78"/>
  <c r="Q7" i="78" s="1"/>
  <c r="D26" i="128"/>
  <c r="P11" i="128"/>
  <c r="Q11" i="128" s="1"/>
  <c r="F28" i="177"/>
  <c r="P9" i="189"/>
  <c r="Q9" i="189" s="1"/>
  <c r="F5" i="184"/>
  <c r="H12" i="61"/>
  <c r="K5" i="154"/>
  <c r="H5" i="314"/>
  <c r="D5" i="169"/>
  <c r="G14" i="201"/>
  <c r="L8" i="51"/>
  <c r="F22" i="193"/>
  <c r="D5" i="262"/>
  <c r="G7" i="322"/>
  <c r="H7" i="231"/>
  <c r="J7" i="307"/>
  <c r="H7" i="53"/>
  <c r="K5" i="218"/>
  <c r="L6" i="124"/>
  <c r="P18" i="213"/>
  <c r="Q18" i="213" s="1"/>
  <c r="K6" i="330"/>
  <c r="H5" i="225"/>
  <c r="G11" i="123"/>
  <c r="P5" i="225"/>
  <c r="Q5" i="225" s="1"/>
  <c r="Q15" i="225" s="1"/>
  <c r="J13" i="106"/>
  <c r="F5" i="219"/>
  <c r="M12" i="163"/>
  <c r="M5" i="221"/>
  <c r="H7" i="233"/>
  <c r="K5" i="219"/>
  <c r="F8" i="214"/>
  <c r="D11" i="276"/>
  <c r="K7" i="273"/>
  <c r="N13" i="61"/>
  <c r="G7" i="161"/>
  <c r="H7" i="317"/>
  <c r="G5" i="116"/>
  <c r="G9" i="60"/>
  <c r="M9" i="60"/>
  <c r="K6" i="64"/>
  <c r="L7" i="187"/>
  <c r="N5" i="116"/>
  <c r="J5" i="115"/>
  <c r="D5" i="207"/>
  <c r="K7" i="74"/>
  <c r="M5" i="293"/>
  <c r="P7" i="241"/>
  <c r="Q7" i="241" s="1"/>
  <c r="P6" i="191" s="1"/>
  <c r="Q6" i="191" s="1"/>
  <c r="P8" i="51"/>
  <c r="Q8" i="51" s="1"/>
  <c r="P8" i="257"/>
  <c r="Q8" i="257" s="1"/>
  <c r="D9" i="128"/>
  <c r="M5" i="92"/>
  <c r="F8" i="228"/>
  <c r="M11" i="198"/>
  <c r="P28" i="177"/>
  <c r="Q28" i="177" s="1"/>
  <c r="P10" i="280"/>
  <c r="Q10" i="280" s="1"/>
  <c r="H11" i="280"/>
  <c r="N7" i="307"/>
  <c r="G7" i="270"/>
  <c r="K10" i="282"/>
  <c r="H19" i="163"/>
  <c r="F7" i="319"/>
  <c r="D5" i="184"/>
  <c r="M6" i="228"/>
  <c r="M8" i="257"/>
  <c r="M7" i="269"/>
  <c r="D10" i="282"/>
  <c r="G7" i="231"/>
  <c r="G7" i="238"/>
  <c r="M7" i="55"/>
  <c r="G5" i="56"/>
  <c r="H5" i="209"/>
  <c r="J7" i="319"/>
  <c r="P5" i="268"/>
  <c r="Q5" i="268" s="1"/>
  <c r="Q13" i="268" s="1"/>
  <c r="M8" i="187"/>
  <c r="M6" i="330"/>
  <c r="P6" i="330"/>
  <c r="Q6" i="330" s="1"/>
  <c r="J9" i="171"/>
  <c r="M5" i="219"/>
  <c r="N7" i="143"/>
  <c r="G5" i="138"/>
  <c r="L6" i="330"/>
  <c r="D11" i="236"/>
  <c r="P5" i="173"/>
  <c r="Q5" i="173" s="1"/>
  <c r="F6" i="143"/>
  <c r="L7" i="103"/>
  <c r="J12" i="298"/>
  <c r="H15" i="163"/>
  <c r="M5" i="162"/>
  <c r="N21" i="213"/>
  <c r="K14" i="106"/>
  <c r="P7" i="79"/>
  <c r="Q7" i="79" s="1"/>
  <c r="G17" i="112"/>
  <c r="G20" i="2"/>
  <c r="F7" i="292"/>
  <c r="F6" i="65"/>
  <c r="P9" i="60"/>
  <c r="Q9" i="60" s="1"/>
  <c r="M6" i="65"/>
  <c r="H6" i="60"/>
  <c r="P12" i="61"/>
  <c r="Q12" i="61" s="1"/>
  <c r="P7" i="262"/>
  <c r="Q7" i="262" s="1"/>
  <c r="F11" i="276"/>
  <c r="J11" i="281"/>
  <c r="P10" i="282"/>
  <c r="Q10" i="282" s="1"/>
  <c r="J5" i="184"/>
  <c r="L5" i="269"/>
  <c r="N19" i="193"/>
  <c r="L7" i="165"/>
  <c r="K8" i="51"/>
  <c r="N8" i="258"/>
  <c r="H9" i="280"/>
  <c r="K6" i="188"/>
  <c r="K7" i="307"/>
  <c r="K5" i="169"/>
  <c r="G10" i="282"/>
  <c r="F13" i="193"/>
  <c r="D5" i="141"/>
  <c r="J13" i="48"/>
  <c r="F7" i="145"/>
  <c r="H17" i="112"/>
  <c r="F5" i="251"/>
  <c r="L5" i="268"/>
  <c r="G10" i="201"/>
  <c r="P7" i="60"/>
  <c r="Q7" i="60" s="1"/>
  <c r="L7" i="209"/>
  <c r="P9" i="50"/>
  <c r="Q9" i="50" s="1"/>
  <c r="L8" i="65"/>
  <c r="H7" i="180"/>
  <c r="N7" i="238"/>
  <c r="J5" i="251"/>
  <c r="H17" i="193"/>
  <c r="G19" i="2"/>
  <c r="H5" i="293"/>
  <c r="G5" i="186"/>
  <c r="K17" i="166"/>
  <c r="K7" i="305"/>
  <c r="P8" i="198"/>
  <c r="Q8" i="198" s="1"/>
  <c r="L11" i="199"/>
  <c r="H28" i="128"/>
  <c r="K7" i="195"/>
  <c r="P15" i="201"/>
  <c r="Q15" i="201" s="1"/>
  <c r="H9" i="165"/>
  <c r="K7" i="318"/>
  <c r="H7" i="202"/>
  <c r="P15" i="193"/>
  <c r="Q15" i="193" s="1"/>
  <c r="G14" i="163"/>
  <c r="G7" i="313"/>
  <c r="L7" i="273"/>
  <c r="N8" i="165"/>
  <c r="F11" i="286"/>
  <c r="H7" i="327"/>
  <c r="P7" i="247"/>
  <c r="Q7" i="247" s="1"/>
  <c r="N9" i="144"/>
  <c r="D6" i="94"/>
  <c r="H13" i="106"/>
  <c r="N11" i="123"/>
  <c r="M9" i="94"/>
  <c r="G7" i="149"/>
  <c r="P16" i="213"/>
  <c r="Q16" i="213" s="1"/>
  <c r="N24" i="267"/>
  <c r="H8" i="144"/>
  <c r="K8" i="214"/>
  <c r="N7" i="157"/>
  <c r="M15" i="146"/>
  <c r="N17" i="267"/>
  <c r="J8" i="214"/>
  <c r="L19" i="2"/>
  <c r="H7" i="274"/>
  <c r="F6" i="262"/>
  <c r="L11" i="281"/>
  <c r="H5" i="56"/>
  <c r="H6" i="65"/>
  <c r="N7" i="78"/>
  <c r="K12" i="61"/>
  <c r="F5" i="56"/>
  <c r="N7" i="324"/>
  <c r="J20" i="2"/>
  <c r="N7" i="74"/>
  <c r="M7" i="53"/>
  <c r="H5" i="115"/>
  <c r="J7" i="74"/>
  <c r="M6" i="117"/>
  <c r="G5" i="207"/>
  <c r="L16" i="165"/>
  <c r="D5" i="251"/>
  <c r="D7" i="190"/>
  <c r="F10" i="165"/>
  <c r="N5" i="190"/>
  <c r="J14" i="201"/>
  <c r="L12" i="61"/>
  <c r="P8" i="187"/>
  <c r="Q8" i="187" s="1"/>
  <c r="F5" i="243"/>
  <c r="F9" i="278"/>
  <c r="H5" i="165"/>
  <c r="D7" i="79"/>
  <c r="N7" i="273"/>
  <c r="H5" i="251"/>
  <c r="J7" i="325"/>
  <c r="D8" i="65"/>
  <c r="P9" i="190"/>
  <c r="Q9" i="190" s="1"/>
  <c r="F7" i="195"/>
  <c r="M8" i="270"/>
  <c r="K5" i="168"/>
  <c r="M7" i="270"/>
  <c r="D10" i="275"/>
  <c r="D5" i="145"/>
  <c r="K5" i="269"/>
  <c r="K11" i="280"/>
  <c r="M12" i="61"/>
  <c r="D7" i="320"/>
  <c r="G9" i="278"/>
  <c r="L14" i="213"/>
  <c r="D5" i="135"/>
  <c r="G6" i="171"/>
  <c r="K6" i="149"/>
  <c r="G5" i="144"/>
  <c r="K9" i="163"/>
  <c r="L9" i="137"/>
  <c r="P7" i="218"/>
  <c r="Q7" i="218" s="1"/>
  <c r="G8" i="103"/>
  <c r="M6" i="223"/>
  <c r="N7" i="246"/>
  <c r="P14" i="123"/>
  <c r="Q14" i="123" s="1"/>
  <c r="M5" i="223"/>
  <c r="J8" i="171"/>
  <c r="M14" i="213"/>
  <c r="M10" i="282"/>
  <c r="D10" i="165"/>
  <c r="J6" i="65"/>
  <c r="G6" i="262"/>
  <c r="N5" i="119"/>
  <c r="M7" i="79"/>
  <c r="D7" i="241"/>
  <c r="P5" i="206"/>
  <c r="Q5" i="206" s="1"/>
  <c r="Q11" i="206" s="1"/>
  <c r="P6" i="112" s="1"/>
  <c r="Q6" i="112" s="1"/>
  <c r="G7" i="274"/>
  <c r="F7" i="60"/>
  <c r="K6" i="60"/>
  <c r="N6" i="65"/>
  <c r="L7" i="320"/>
  <c r="M22" i="47"/>
  <c r="N7" i="262"/>
  <c r="L9" i="60"/>
  <c r="N5" i="55"/>
  <c r="J7" i="327"/>
  <c r="F6" i="199"/>
  <c r="D6" i="269"/>
  <c r="G6" i="205"/>
  <c r="P13" i="200"/>
  <c r="Q13" i="200" s="1"/>
  <c r="G5" i="229"/>
  <c r="P7" i="311"/>
  <c r="Q7" i="311" s="1"/>
  <c r="J8" i="255"/>
  <c r="H10" i="282"/>
  <c r="K10" i="276"/>
  <c r="N7" i="77"/>
  <c r="D24" i="193"/>
  <c r="M5" i="55"/>
  <c r="N8" i="253"/>
  <c r="G19" i="193"/>
  <c r="J11" i="276"/>
  <c r="M5" i="302"/>
  <c r="P11" i="202"/>
  <c r="Q11" i="202" s="1"/>
  <c r="D5" i="168"/>
  <c r="G9" i="284"/>
  <c r="F6" i="165"/>
  <c r="H5" i="270"/>
  <c r="N10" i="276"/>
  <c r="D11" i="279"/>
  <c r="N18" i="2"/>
  <c r="N11" i="275"/>
  <c r="F7" i="79"/>
  <c r="M5" i="119"/>
  <c r="M10" i="275"/>
  <c r="J7" i="238"/>
  <c r="L10" i="285"/>
  <c r="J11" i="199"/>
  <c r="L7" i="133"/>
  <c r="F7" i="203"/>
  <c r="F5" i="195"/>
  <c r="H19" i="193"/>
  <c r="G7" i="328"/>
  <c r="K7" i="325"/>
  <c r="M15" i="200"/>
  <c r="F9" i="277"/>
  <c r="F7" i="291"/>
  <c r="L19" i="146"/>
  <c r="D14" i="200"/>
  <c r="F10" i="285"/>
  <c r="N10" i="229"/>
  <c r="L7" i="123"/>
  <c r="K7" i="171"/>
  <c r="F6" i="330"/>
  <c r="M6" i="171"/>
  <c r="N8" i="103"/>
  <c r="H22" i="236"/>
  <c r="M5" i="139"/>
  <c r="N12" i="267"/>
  <c r="N5" i="218"/>
  <c r="D7" i="248"/>
  <c r="D20" i="213"/>
  <c r="F6" i="173"/>
  <c r="L8" i="144"/>
  <c r="G5" i="139"/>
  <c r="L9" i="124"/>
  <c r="D7" i="188"/>
  <c r="F5" i="185"/>
  <c r="M7" i="239"/>
  <c r="D6" i="64"/>
  <c r="L5" i="183"/>
  <c r="F7" i="74"/>
  <c r="G5" i="293"/>
  <c r="H10" i="281"/>
  <c r="K9" i="60"/>
  <c r="P7" i="53"/>
  <c r="Q7" i="53" s="1"/>
  <c r="H5" i="243"/>
  <c r="N28" i="177"/>
  <c r="G21" i="128"/>
  <c r="D7" i="316"/>
  <c r="G7" i="327"/>
  <c r="M12" i="150"/>
  <c r="P7" i="228"/>
  <c r="Q7" i="228" s="1"/>
  <c r="H7" i="262"/>
  <c r="P7" i="316"/>
  <c r="Q7" i="316" s="1"/>
  <c r="D17" i="166"/>
  <c r="J7" i="323"/>
  <c r="P8" i="65"/>
  <c r="Q8" i="65" s="1"/>
  <c r="P10" i="281"/>
  <c r="Q10" i="281" s="1"/>
  <c r="L7" i="328"/>
  <c r="K5" i="55"/>
  <c r="L10" i="279"/>
  <c r="N6" i="190"/>
  <c r="K7" i="148"/>
  <c r="P7" i="327"/>
  <c r="Q7" i="327" s="1"/>
  <c r="K7" i="326"/>
  <c r="L28" i="177"/>
  <c r="H7" i="329"/>
  <c r="N7" i="329"/>
  <c r="L9" i="193"/>
  <c r="P7" i="231"/>
  <c r="Q7" i="231" s="1"/>
  <c r="M11" i="286"/>
  <c r="M12" i="123"/>
  <c r="D8" i="171"/>
  <c r="H9" i="298"/>
  <c r="G6" i="147"/>
  <c r="N5" i="94"/>
  <c r="N23" i="267"/>
  <c r="J5" i="101"/>
  <c r="F5" i="171"/>
  <c r="N13" i="267"/>
  <c r="H15" i="213"/>
  <c r="J14" i="106"/>
  <c r="D6" i="175"/>
  <c r="F11" i="212"/>
  <c r="M5" i="220"/>
  <c r="L12" i="106"/>
  <c r="D7" i="174"/>
  <c r="J17" i="200"/>
  <c r="D8" i="180"/>
  <c r="P22" i="47"/>
  <c r="Q22" i="47" s="1"/>
  <c r="L7" i="79"/>
  <c r="L10" i="276"/>
  <c r="J7" i="79"/>
  <c r="F5" i="207"/>
  <c r="P5" i="251"/>
  <c r="Q5" i="251" s="1"/>
  <c r="Q14" i="251" s="1"/>
  <c r="P11" i="112" s="1"/>
  <c r="Q11" i="112" s="1"/>
  <c r="H7" i="161"/>
  <c r="F7" i="322"/>
  <c r="J9" i="279"/>
  <c r="H7" i="238"/>
  <c r="M6" i="189"/>
  <c r="F8" i="253"/>
  <c r="K17" i="200"/>
  <c r="K9" i="190"/>
  <c r="D21" i="146"/>
  <c r="G10" i="165"/>
  <c r="F19" i="2"/>
  <c r="P18" i="2"/>
  <c r="Q18" i="2" s="1"/>
  <c r="J10" i="279"/>
  <c r="K10" i="280"/>
  <c r="F5" i="119"/>
  <c r="D7" i="307"/>
  <c r="H8" i="51"/>
  <c r="K7" i="209"/>
  <c r="M17" i="201"/>
  <c r="M6" i="131"/>
  <c r="K5" i="186"/>
  <c r="L5" i="115"/>
  <c r="N8" i="255"/>
  <c r="L6" i="269"/>
  <c r="F7" i="321"/>
  <c r="K7" i="292"/>
  <c r="K7" i="262"/>
  <c r="M15" i="201"/>
  <c r="J17" i="166"/>
  <c r="G9" i="194"/>
  <c r="F5" i="262"/>
  <c r="G7" i="319"/>
  <c r="K7" i="143"/>
  <c r="N11" i="212"/>
  <c r="G7" i="135"/>
  <c r="M6" i="154"/>
  <c r="H10" i="123"/>
  <c r="N5" i="250"/>
  <c r="K21" i="146"/>
  <c r="M5" i="124"/>
  <c r="F9" i="171"/>
  <c r="L5" i="97"/>
  <c r="G10" i="123"/>
  <c r="D7" i="216"/>
  <c r="G14" i="213"/>
  <c r="N5" i="263"/>
  <c r="G7" i="174"/>
  <c r="N8" i="51"/>
  <c r="P11" i="275"/>
  <c r="Q11" i="275" s="1"/>
  <c r="H6" i="209"/>
  <c r="G9" i="50"/>
  <c r="H8" i="64"/>
  <c r="F5" i="55"/>
  <c r="F22" i="47"/>
  <c r="J6" i="60"/>
  <c r="G8" i="64"/>
  <c r="J8" i="65"/>
  <c r="N14" i="165"/>
  <c r="J24" i="193"/>
  <c r="L7" i="60"/>
  <c r="H9" i="128"/>
  <c r="M9" i="199"/>
  <c r="D8" i="194"/>
  <c r="H7" i="79"/>
  <c r="P13" i="48"/>
  <c r="Q13" i="48" s="1"/>
  <c r="J10" i="281"/>
  <c r="P11" i="282"/>
  <c r="Q11" i="282" s="1"/>
  <c r="F7" i="295"/>
  <c r="P7" i="315"/>
  <c r="Q7" i="315" s="1"/>
  <c r="P6" i="209"/>
  <c r="Q6" i="209" s="1"/>
  <c r="P5" i="185"/>
  <c r="Q5" i="185" s="1"/>
  <c r="Q11" i="185" s="1"/>
  <c r="Q8" i="177" s="1"/>
  <c r="G5" i="119"/>
  <c r="G6" i="149"/>
  <c r="P6" i="95"/>
  <c r="Q6" i="95" s="1"/>
  <c r="L5" i="190"/>
  <c r="G7" i="187"/>
  <c r="M9" i="279"/>
  <c r="G8" i="313"/>
  <c r="M9" i="283"/>
  <c r="F9" i="137"/>
  <c r="P6" i="135"/>
  <c r="Q6" i="135" s="1"/>
  <c r="P6" i="156"/>
  <c r="Q6" i="156" s="1"/>
  <c r="G6" i="101"/>
  <c r="D7" i="137"/>
  <c r="P6" i="224"/>
  <c r="Q6" i="224" s="1"/>
  <c r="G5" i="92"/>
  <c r="P10" i="212"/>
  <c r="Q10" i="212" s="1"/>
  <c r="G5" i="263"/>
  <c r="N7" i="312"/>
  <c r="H5" i="174"/>
  <c r="M6" i="219"/>
  <c r="N15" i="267"/>
  <c r="G7" i="105"/>
  <c r="P20" i="2"/>
  <c r="Q20" i="2" s="1"/>
  <c r="K7" i="238"/>
  <c r="F7" i="329"/>
  <c r="H18" i="2"/>
  <c r="M8" i="51"/>
  <c r="D7" i="270"/>
  <c r="D19" i="2"/>
  <c r="N7" i="306"/>
  <c r="N7" i="53"/>
  <c r="H13" i="48"/>
  <c r="G7" i="316"/>
  <c r="F7" i="78"/>
  <c r="H11" i="275"/>
  <c r="N12" i="201"/>
  <c r="G5" i="206"/>
  <c r="K19" i="163"/>
  <c r="H5" i="196"/>
  <c r="J15" i="128"/>
  <c r="K7" i="306"/>
  <c r="M11" i="280"/>
  <c r="K6" i="270"/>
  <c r="N7" i="320"/>
  <c r="L13" i="48"/>
  <c r="L21" i="193"/>
  <c r="G7" i="77"/>
  <c r="N7" i="328"/>
  <c r="D16" i="165"/>
  <c r="J7" i="326"/>
  <c r="G7" i="205"/>
  <c r="J5" i="169"/>
  <c r="F18" i="2"/>
  <c r="N6" i="204"/>
  <c r="L7" i="318"/>
  <c r="H12" i="279"/>
  <c r="P8" i="270"/>
  <c r="Q8" i="270" s="1"/>
  <c r="N13" i="201"/>
  <c r="F7" i="274"/>
  <c r="K24" i="193"/>
  <c r="F8" i="51"/>
  <c r="D7" i="53"/>
  <c r="L5" i="55"/>
  <c r="J12" i="279"/>
  <c r="G8" i="199"/>
  <c r="D6" i="103"/>
  <c r="H5" i="131"/>
  <c r="K7" i="248"/>
  <c r="L6" i="171"/>
  <c r="P16" i="298"/>
  <c r="Q16" i="298" s="1"/>
  <c r="H7" i="215"/>
  <c r="L7" i="214"/>
  <c r="J7" i="214"/>
  <c r="P9" i="171"/>
  <c r="Q9" i="171" s="1"/>
  <c r="F5" i="330"/>
  <c r="G20" i="213"/>
  <c r="H7" i="330"/>
  <c r="L7" i="330"/>
  <c r="K16" i="213"/>
  <c r="K22" i="193"/>
  <c r="G8" i="270"/>
  <c r="P8" i="253"/>
  <c r="Q8" i="253" s="1"/>
  <c r="N20" i="2"/>
  <c r="F12" i="280"/>
  <c r="F7" i="238"/>
  <c r="N12" i="61"/>
  <c r="J13" i="61"/>
  <c r="P5" i="119"/>
  <c r="Q5" i="119" s="1"/>
  <c r="F13" i="61"/>
  <c r="M9" i="277"/>
  <c r="K5" i="262"/>
  <c r="L5" i="56"/>
  <c r="M5" i="209"/>
  <c r="P5" i="168"/>
  <c r="Q5" i="168" s="1"/>
  <c r="P9" i="145"/>
  <c r="Q9" i="145" s="1"/>
  <c r="N7" i="209"/>
  <c r="M8" i="255"/>
  <c r="D7" i="310"/>
  <c r="D19" i="193"/>
  <c r="K5" i="162"/>
  <c r="M8" i="253"/>
  <c r="F10" i="279"/>
  <c r="L7" i="305"/>
  <c r="L6" i="262"/>
  <c r="N9" i="277"/>
  <c r="P5" i="115"/>
  <c r="Q5" i="115" s="1"/>
  <c r="N16" i="193"/>
  <c r="J7" i="190"/>
  <c r="G11" i="279"/>
  <c r="G12" i="280"/>
  <c r="N8" i="143"/>
  <c r="H8" i="298"/>
  <c r="L10" i="232"/>
  <c r="L21" i="213"/>
  <c r="P6" i="301"/>
  <c r="Q6" i="301" s="1"/>
  <c r="P5" i="139"/>
  <c r="Q5" i="139" s="1"/>
  <c r="D15" i="298"/>
  <c r="J5" i="221"/>
  <c r="H5" i="138"/>
  <c r="N5" i="219"/>
  <c r="K7" i="246"/>
  <c r="J6" i="175"/>
  <c r="P9" i="298"/>
  <c r="Q9" i="298" s="1"/>
  <c r="M5" i="218"/>
  <c r="F7" i="142"/>
  <c r="J5" i="207"/>
  <c r="J5" i="252"/>
  <c r="H7" i="55"/>
  <c r="G5" i="115"/>
  <c r="N6" i="60"/>
  <c r="L6" i="60"/>
  <c r="G7" i="74"/>
  <c r="K5" i="115"/>
  <c r="J7" i="60"/>
  <c r="L5" i="119"/>
  <c r="G11" i="275"/>
  <c r="P10" i="276"/>
  <c r="Q10" i="276" s="1"/>
  <c r="D7" i="309"/>
  <c r="N10" i="282"/>
  <c r="J11" i="282"/>
  <c r="J6" i="190"/>
  <c r="H25" i="128"/>
  <c r="D10" i="286"/>
  <c r="K12" i="279"/>
  <c r="N7" i="274"/>
  <c r="G13" i="48"/>
  <c r="G5" i="268"/>
  <c r="K11" i="282"/>
  <c r="D7" i="325"/>
  <c r="K10" i="281"/>
  <c r="M18" i="2"/>
  <c r="L9" i="50"/>
  <c r="H6" i="204"/>
  <c r="D5" i="56"/>
  <c r="H10" i="179"/>
  <c r="P6" i="188"/>
  <c r="Q6" i="188" s="1"/>
  <c r="G5" i="169"/>
  <c r="K6" i="65"/>
  <c r="K6" i="209"/>
  <c r="H6" i="262"/>
  <c r="L16" i="201"/>
  <c r="F12" i="61"/>
  <c r="J7" i="241"/>
  <c r="H5" i="206"/>
  <c r="D7" i="262"/>
  <c r="M7" i="60"/>
  <c r="N7" i="55"/>
  <c r="J8" i="253"/>
  <c r="D5" i="119"/>
  <c r="L6" i="64"/>
  <c r="L8" i="102"/>
  <c r="G23" i="213"/>
  <c r="H7" i="84"/>
  <c r="L9" i="171"/>
  <c r="L7" i="259"/>
  <c r="L5" i="219"/>
  <c r="J11" i="298"/>
  <c r="F7" i="330"/>
  <c r="K6" i="101"/>
  <c r="F7" i="218"/>
  <c r="P8" i="123"/>
  <c r="Q8" i="123" s="1"/>
  <c r="G12" i="298"/>
  <c r="F6" i="137"/>
  <c r="K6" i="143"/>
  <c r="G8" i="143"/>
  <c r="G7" i="60"/>
  <c r="J10" i="282"/>
  <c r="P7" i="308"/>
  <c r="Q7" i="308" s="1"/>
  <c r="N8" i="65"/>
  <c r="N8" i="308"/>
  <c r="D13" i="48"/>
  <c r="L11" i="275"/>
  <c r="D9" i="60"/>
  <c r="L7" i="262"/>
  <c r="N9" i="60"/>
  <c r="G7" i="55"/>
  <c r="N7" i="319"/>
  <c r="H19" i="2"/>
  <c r="L5" i="209"/>
  <c r="M10" i="280"/>
  <c r="L8" i="199"/>
  <c r="K7" i="315"/>
  <c r="N7" i="189"/>
  <c r="L9" i="277"/>
  <c r="G5" i="156"/>
  <c r="K7" i="290"/>
  <c r="D12" i="61"/>
  <c r="F5" i="268"/>
  <c r="D10" i="276"/>
  <c r="L9" i="279"/>
  <c r="L5" i="186"/>
  <c r="J8" i="270"/>
  <c r="P8" i="308"/>
  <c r="Q8" i="308" s="1"/>
  <c r="P7" i="270"/>
  <c r="Q7" i="270" s="1"/>
  <c r="D7" i="273"/>
  <c r="D7" i="209"/>
  <c r="H9" i="179"/>
  <c r="P14" i="200"/>
  <c r="Q14" i="200" s="1"/>
  <c r="M7" i="325"/>
  <c r="K8" i="65"/>
  <c r="K12" i="200"/>
  <c r="K8" i="187"/>
  <c r="D5" i="206"/>
  <c r="M5" i="115"/>
  <c r="G5" i="209"/>
  <c r="D6" i="117"/>
  <c r="J22" i="47"/>
  <c r="L7" i="308"/>
  <c r="M7" i="305"/>
  <c r="D7" i="272"/>
  <c r="N7" i="315"/>
  <c r="N5" i="115"/>
  <c r="N7" i="239"/>
  <c r="P11" i="285"/>
  <c r="Q11" i="285" s="1"/>
  <c r="F11" i="275"/>
  <c r="G7" i="165"/>
  <c r="G9" i="280"/>
  <c r="M8" i="65"/>
  <c r="L7" i="290"/>
  <c r="K6" i="198"/>
  <c r="M8" i="149"/>
  <c r="G10" i="276"/>
  <c r="K11" i="165"/>
  <c r="N22" i="193"/>
  <c r="D8" i="270"/>
  <c r="N6" i="330"/>
  <c r="D8" i="144"/>
  <c r="M8" i="102"/>
  <c r="G11" i="298"/>
  <c r="H6" i="104"/>
  <c r="J6" i="223"/>
  <c r="G12" i="83"/>
  <c r="N22" i="267"/>
  <c r="N7" i="267"/>
  <c r="M7" i="143"/>
  <c r="K10" i="236"/>
  <c r="P11" i="298"/>
  <c r="Q11" i="298" s="1"/>
  <c r="N5" i="330"/>
  <c r="P5" i="294"/>
  <c r="Q5" i="294" s="1"/>
  <c r="Q14" i="294" s="1"/>
  <c r="N10" i="275"/>
  <c r="D13" i="165"/>
  <c r="K8" i="64"/>
  <c r="H7" i="292"/>
  <c r="G7" i="320"/>
  <c r="N11" i="276"/>
  <c r="J9" i="277"/>
  <c r="L11" i="276"/>
  <c r="D7" i="238"/>
  <c r="D8" i="64"/>
  <c r="J19" i="2"/>
  <c r="H7" i="305"/>
  <c r="N11" i="179"/>
  <c r="J23" i="128"/>
  <c r="M10" i="165"/>
  <c r="D5" i="185"/>
  <c r="H5" i="186"/>
  <c r="N5" i="189"/>
  <c r="H5" i="202"/>
  <c r="L5" i="181"/>
  <c r="G5" i="270"/>
  <c r="F6" i="117"/>
  <c r="J10" i="280"/>
  <c r="H12" i="280"/>
  <c r="H17" i="166"/>
  <c r="H13" i="61"/>
  <c r="K5" i="209"/>
  <c r="K7" i="317"/>
  <c r="D28" i="177"/>
  <c r="L5" i="204"/>
  <c r="J7" i="320"/>
  <c r="L7" i="198"/>
  <c r="D7" i="322"/>
  <c r="N11" i="199"/>
  <c r="H7" i="187"/>
  <c r="F10" i="280"/>
  <c r="K7" i="322"/>
  <c r="J8" i="64"/>
  <c r="M9" i="180"/>
  <c r="K7" i="323"/>
  <c r="N8" i="257"/>
  <c r="J7" i="292"/>
  <c r="L11" i="280"/>
  <c r="L11" i="200"/>
  <c r="H15" i="193"/>
  <c r="D8" i="51"/>
  <c r="N13" i="48"/>
  <c r="H10" i="275"/>
  <c r="N12" i="165"/>
  <c r="J13" i="201"/>
  <c r="L8" i="189"/>
  <c r="P5" i="116"/>
  <c r="Q5" i="116" s="1"/>
  <c r="Q8" i="116" s="1"/>
  <c r="P10" i="200"/>
  <c r="Q10" i="200" s="1"/>
  <c r="G16" i="193"/>
  <c r="H21" i="193"/>
  <c r="G7" i="273"/>
  <c r="L16" i="146"/>
  <c r="P13" i="128"/>
  <c r="Q13" i="128" s="1"/>
  <c r="K5" i="96"/>
  <c r="H7" i="324"/>
  <c r="K5" i="184"/>
  <c r="G10" i="146"/>
  <c r="H6" i="147"/>
  <c r="K17" i="193"/>
  <c r="M7" i="324"/>
  <c r="P5" i="188"/>
  <c r="Q5" i="188" s="1"/>
  <c r="K8" i="270"/>
  <c r="F8" i="133"/>
  <c r="D10" i="146"/>
  <c r="L8" i="145"/>
  <c r="G7" i="229"/>
  <c r="K5" i="252"/>
  <c r="L7" i="202"/>
  <c r="F11" i="198"/>
  <c r="J6" i="157"/>
  <c r="M7" i="77"/>
  <c r="F7" i="139"/>
  <c r="P13" i="106"/>
  <c r="Q13" i="106" s="1"/>
  <c r="K7" i="214"/>
  <c r="G6" i="103"/>
  <c r="N7" i="248"/>
  <c r="N6" i="267"/>
  <c r="K6" i="219"/>
  <c r="K9" i="143"/>
  <c r="K5" i="222"/>
  <c r="F19" i="163"/>
  <c r="F10" i="298"/>
  <c r="N7" i="216"/>
  <c r="G5" i="220"/>
  <c r="D7" i="144"/>
  <c r="F12" i="236"/>
  <c r="D11" i="280"/>
  <c r="P7" i="292"/>
  <c r="Q7" i="292" s="1"/>
  <c r="P14" i="191" s="1"/>
  <c r="Q14" i="191" s="1"/>
  <c r="N8" i="187"/>
  <c r="H16" i="200"/>
  <c r="P5" i="55"/>
  <c r="Q5" i="55" s="1"/>
  <c r="G5" i="185"/>
  <c r="N7" i="269"/>
  <c r="K7" i="78"/>
  <c r="K7" i="60"/>
  <c r="M5" i="252"/>
  <c r="D7" i="317"/>
  <c r="K22" i="47"/>
  <c r="P5" i="252"/>
  <c r="Q5" i="252" s="1"/>
  <c r="Q14" i="252" s="1"/>
  <c r="N5" i="199"/>
  <c r="N7" i="154"/>
  <c r="G9" i="199"/>
  <c r="F5" i="115"/>
  <c r="N8" i="313"/>
  <c r="D11" i="229"/>
  <c r="D6" i="149"/>
  <c r="L7" i="270"/>
  <c r="N5" i="204"/>
  <c r="J17" i="112"/>
  <c r="G7" i="189"/>
  <c r="M7" i="274"/>
  <c r="J7" i="180"/>
  <c r="H7" i="326"/>
  <c r="F5" i="294"/>
  <c r="J6" i="64"/>
  <c r="L23" i="128"/>
  <c r="J16" i="128"/>
  <c r="N7" i="270"/>
  <c r="M5" i="262"/>
  <c r="J5" i="185"/>
  <c r="H6" i="223"/>
  <c r="N9" i="143"/>
  <c r="K8" i="124"/>
  <c r="G7" i="248"/>
  <c r="G17" i="298"/>
  <c r="G15" i="213"/>
  <c r="J9" i="137"/>
  <c r="M22" i="213"/>
  <c r="H18" i="213"/>
  <c r="P6" i="174"/>
  <c r="Q6" i="174" s="1"/>
  <c r="F8" i="144"/>
  <c r="H5" i="134"/>
  <c r="J12" i="165"/>
  <c r="P5" i="184"/>
  <c r="Q5" i="184" s="1"/>
  <c r="Q11" i="184" s="1"/>
  <c r="Q7" i="177" s="1"/>
  <c r="N18" i="128"/>
  <c r="F7" i="241"/>
  <c r="F17" i="166"/>
  <c r="F7" i="55"/>
  <c r="M9" i="50"/>
  <c r="N6" i="117"/>
  <c r="J7" i="315"/>
  <c r="J11" i="286"/>
  <c r="N5" i="56"/>
  <c r="D5" i="243"/>
  <c r="L8" i="64"/>
  <c r="H7" i="307"/>
  <c r="G5" i="252"/>
  <c r="N7" i="305"/>
  <c r="F7" i="187"/>
  <c r="H10" i="229"/>
  <c r="P10" i="146"/>
  <c r="Q10" i="146" s="1"/>
  <c r="G7" i="323"/>
  <c r="G8" i="253"/>
  <c r="D11" i="275"/>
  <c r="N10" i="202"/>
  <c r="N5" i="269"/>
  <c r="D6" i="202"/>
  <c r="F19" i="213"/>
  <c r="M8" i="104"/>
  <c r="D9" i="124"/>
  <c r="D17" i="298"/>
  <c r="F7" i="123"/>
  <c r="D6" i="263"/>
  <c r="D12" i="298"/>
  <c r="F5" i="143"/>
  <c r="G6" i="218"/>
  <c r="J8" i="101"/>
  <c r="N19" i="213"/>
  <c r="J8" i="123"/>
  <c r="K21" i="213"/>
  <c r="P5" i="223"/>
  <c r="Q5" i="223" s="1"/>
  <c r="P5" i="134"/>
  <c r="Q5" i="134" s="1"/>
  <c r="Q11" i="134" s="1"/>
  <c r="P13" i="85" s="1"/>
  <c r="Q13" i="85" s="1"/>
  <c r="M6" i="64"/>
  <c r="K7" i="77"/>
  <c r="H9" i="180"/>
  <c r="N12" i="279"/>
  <c r="P7" i="161"/>
  <c r="Q7" i="161" s="1"/>
  <c r="M7" i="319"/>
  <c r="J18" i="2"/>
  <c r="L7" i="239"/>
  <c r="K5" i="251"/>
  <c r="H7" i="321"/>
  <c r="K7" i="79"/>
  <c r="F7" i="77"/>
  <c r="N11" i="285"/>
  <c r="M7" i="78"/>
  <c r="J9" i="50"/>
  <c r="F10" i="286"/>
  <c r="G11" i="179"/>
  <c r="P8" i="202"/>
  <c r="Q8" i="202" s="1"/>
  <c r="D8" i="258"/>
  <c r="L5" i="185"/>
  <c r="F9" i="288"/>
  <c r="M6" i="269"/>
  <c r="J7" i="161"/>
  <c r="F7" i="318"/>
  <c r="F16" i="165"/>
  <c r="N8" i="64"/>
  <c r="K7" i="180"/>
  <c r="F7" i="316"/>
  <c r="P7" i="209"/>
  <c r="Q7" i="209" s="1"/>
  <c r="N6" i="98"/>
  <c r="P8" i="104"/>
  <c r="Q8" i="104" s="1"/>
  <c r="J7" i="123"/>
  <c r="K5" i="224"/>
  <c r="H7" i="123"/>
  <c r="L13" i="83"/>
  <c r="D8" i="298"/>
  <c r="K6" i="135"/>
  <c r="J5" i="171"/>
  <c r="P10" i="199"/>
  <c r="Q10" i="199" s="1"/>
  <c r="G6" i="98"/>
  <c r="J5" i="142"/>
  <c r="F7" i="215"/>
  <c r="D8" i="143"/>
  <c r="D9" i="142"/>
  <c r="P6" i="262"/>
  <c r="Q6" i="262" s="1"/>
  <c r="K21" i="193"/>
  <c r="J10" i="275"/>
  <c r="P5" i="56"/>
  <c r="Q5" i="56" s="1"/>
  <c r="P7" i="307"/>
  <c r="Q7" i="307" s="1"/>
  <c r="D5" i="55"/>
  <c r="K6" i="262"/>
  <c r="L7" i="161"/>
  <c r="G7" i="239"/>
  <c r="L8" i="253"/>
  <c r="N17" i="166"/>
  <c r="N11" i="279"/>
  <c r="M7" i="241"/>
  <c r="M9" i="278"/>
  <c r="G6" i="270"/>
  <c r="P7" i="238"/>
  <c r="Q7" i="238" s="1"/>
  <c r="F8" i="193"/>
  <c r="J7" i="329"/>
  <c r="D7" i="199"/>
  <c r="F15" i="201"/>
  <c r="D5" i="148"/>
  <c r="J7" i="321"/>
  <c r="K5" i="183"/>
  <c r="F13" i="165"/>
  <c r="J9" i="278"/>
  <c r="M7" i="308"/>
  <c r="F8" i="165"/>
  <c r="K7" i="324"/>
  <c r="F7" i="323"/>
  <c r="H10" i="280"/>
  <c r="K7" i="190"/>
  <c r="M19" i="127"/>
  <c r="F5" i="190"/>
  <c r="D20" i="2"/>
  <c r="M11" i="281"/>
  <c r="M13" i="61"/>
  <c r="D6" i="228"/>
  <c r="F5" i="293"/>
  <c r="H6" i="64"/>
  <c r="N11" i="201"/>
  <c r="F11" i="282"/>
  <c r="M7" i="290"/>
  <c r="M5" i="169"/>
  <c r="J7" i="322"/>
  <c r="G7" i="317"/>
  <c r="F6" i="64"/>
  <c r="M15" i="165"/>
  <c r="J5" i="206"/>
  <c r="J9" i="190"/>
  <c r="L9" i="165"/>
  <c r="M5" i="186"/>
  <c r="L5" i="263"/>
  <c r="G9" i="288"/>
  <c r="P8" i="145"/>
  <c r="Q8" i="145" s="1"/>
  <c r="P7" i="273"/>
  <c r="Q7" i="273" s="1"/>
  <c r="Q8" i="273" s="1"/>
  <c r="K6" i="199"/>
  <c r="G10" i="275"/>
  <c r="L15" i="193"/>
  <c r="M11" i="285"/>
  <c r="L10" i="281"/>
  <c r="K11" i="163"/>
  <c r="F7" i="325"/>
  <c r="J7" i="313"/>
  <c r="M5" i="204"/>
  <c r="F12" i="200"/>
  <c r="H8" i="198"/>
  <c r="L10" i="146"/>
  <c r="J6" i="199"/>
  <c r="J19" i="193"/>
  <c r="M18" i="146"/>
  <c r="F8" i="313"/>
  <c r="L8" i="257"/>
  <c r="F5" i="169"/>
  <c r="P9" i="280"/>
  <c r="Q9" i="280" s="1"/>
  <c r="L7" i="319"/>
  <c r="G17" i="128"/>
  <c r="J6" i="262"/>
  <c r="M5" i="168"/>
  <c r="P9" i="180"/>
  <c r="Q9" i="180" s="1"/>
  <c r="M7" i="205"/>
  <c r="D7" i="274"/>
  <c r="P7" i="198"/>
  <c r="Q7" i="198" s="1"/>
  <c r="G6" i="165"/>
  <c r="L15" i="201"/>
  <c r="D6" i="199"/>
  <c r="M12" i="201"/>
  <c r="K6" i="155"/>
  <c r="H7" i="310"/>
  <c r="K8" i="156"/>
  <c r="N6" i="135"/>
  <c r="L6" i="155"/>
  <c r="G7" i="305"/>
  <c r="L8" i="308"/>
  <c r="F5" i="156"/>
  <c r="G8" i="205"/>
  <c r="F5" i="269"/>
  <c r="P22" i="193"/>
  <c r="Q22" i="193" s="1"/>
  <c r="G28" i="128"/>
  <c r="K11" i="229"/>
  <c r="N25" i="128"/>
  <c r="H8" i="229"/>
  <c r="J17" i="201"/>
  <c r="G10" i="279"/>
  <c r="F14" i="201"/>
  <c r="K9" i="198"/>
  <c r="D18" i="128"/>
  <c r="M10" i="201"/>
  <c r="M7" i="202"/>
  <c r="M14" i="163"/>
  <c r="N5" i="147"/>
  <c r="F16" i="191"/>
  <c r="G7" i="269"/>
  <c r="P15" i="200"/>
  <c r="Q15" i="200" s="1"/>
  <c r="P13" i="165"/>
  <c r="Q13" i="165" s="1"/>
  <c r="F11" i="201"/>
  <c r="D12" i="236"/>
  <c r="P21" i="128"/>
  <c r="Q21" i="128" s="1"/>
  <c r="N5" i="155"/>
  <c r="F7" i="231"/>
  <c r="G9" i="234"/>
  <c r="L7" i="313"/>
  <c r="H10" i="286"/>
  <c r="J10" i="128"/>
  <c r="L7" i="162"/>
  <c r="N5" i="299"/>
  <c r="F11" i="193"/>
  <c r="P24" i="128"/>
  <c r="Q24" i="128" s="1"/>
  <c r="H7" i="290"/>
  <c r="K8" i="157"/>
  <c r="P8" i="157"/>
  <c r="Q8" i="157" s="1"/>
  <c r="N17" i="236"/>
  <c r="J8" i="149"/>
  <c r="F7" i="84"/>
  <c r="D5" i="147"/>
  <c r="K8" i="105"/>
  <c r="D8" i="165"/>
  <c r="M11" i="202"/>
  <c r="P7" i="139"/>
  <c r="Q7" i="139" s="1"/>
  <c r="N8" i="228"/>
  <c r="N21" i="146"/>
  <c r="K13" i="61"/>
  <c r="L5" i="243"/>
  <c r="H5" i="268"/>
  <c r="F10" i="276"/>
  <c r="F8" i="65"/>
  <c r="M9" i="284"/>
  <c r="N9" i="279"/>
  <c r="M7" i="317"/>
  <c r="G5" i="188"/>
  <c r="K21" i="163"/>
  <c r="F11" i="279"/>
  <c r="G8" i="148"/>
  <c r="D8" i="230"/>
  <c r="H20" i="146"/>
  <c r="J7" i="274"/>
  <c r="M7" i="306"/>
  <c r="H7" i="273"/>
  <c r="N7" i="291"/>
  <c r="M13" i="146"/>
  <c r="H8" i="133"/>
  <c r="J12" i="146"/>
  <c r="L5" i="188"/>
  <c r="D10" i="280"/>
  <c r="L11" i="83"/>
  <c r="H7" i="309"/>
  <c r="N7" i="203"/>
  <c r="D7" i="327"/>
  <c r="P14" i="193"/>
  <c r="Q14" i="193" s="1"/>
  <c r="H10" i="285"/>
  <c r="J22" i="193"/>
  <c r="G25" i="128"/>
  <c r="M12" i="280"/>
  <c r="L11" i="279"/>
  <c r="K5" i="296"/>
  <c r="M7" i="307"/>
  <c r="L7" i="154"/>
  <c r="J15" i="146"/>
  <c r="F9" i="279"/>
  <c r="M10" i="128"/>
  <c r="P20" i="236"/>
  <c r="Q20" i="236" s="1"/>
  <c r="K18" i="193"/>
  <c r="G5" i="149"/>
  <c r="D6" i="189"/>
  <c r="G6" i="131"/>
  <c r="K29" i="128"/>
  <c r="G10" i="198"/>
  <c r="L5" i="270"/>
  <c r="L7" i="148"/>
  <c r="J5" i="228"/>
  <c r="M13" i="193"/>
  <c r="D5" i="302"/>
  <c r="H7" i="295"/>
  <c r="H10" i="200"/>
  <c r="N11" i="202"/>
  <c r="H6" i="105"/>
  <c r="P17" i="128"/>
  <c r="Q17" i="128" s="1"/>
  <c r="P16" i="163"/>
  <c r="Q16" i="163" s="1"/>
  <c r="K9" i="179"/>
  <c r="K7" i="229"/>
  <c r="H11" i="159"/>
  <c r="G6" i="155"/>
  <c r="K23" i="236"/>
  <c r="H27" i="128"/>
  <c r="H10" i="165"/>
  <c r="K13" i="201"/>
  <c r="P7" i="93"/>
  <c r="Q7" i="93" s="1"/>
  <c r="P21" i="193"/>
  <c r="Q21" i="193" s="1"/>
  <c r="F6" i="157"/>
  <c r="H6" i="199"/>
  <c r="M7" i="137"/>
  <c r="L16" i="236"/>
  <c r="F6" i="174"/>
  <c r="P13" i="193"/>
  <c r="Q13" i="193" s="1"/>
  <c r="K11" i="193"/>
  <c r="M8" i="229"/>
  <c r="K8" i="165"/>
  <c r="P6" i="145"/>
  <c r="Q6" i="145" s="1"/>
  <c r="M25" i="128"/>
  <c r="M5" i="142"/>
  <c r="F11" i="83"/>
  <c r="M10" i="199"/>
  <c r="K15" i="236"/>
  <c r="F6" i="95"/>
  <c r="H6" i="154"/>
  <c r="G15" i="200"/>
  <c r="G6" i="135"/>
  <c r="D6" i="301"/>
  <c r="D21" i="236"/>
  <c r="L6" i="98"/>
  <c r="F5" i="197"/>
  <c r="P11" i="236"/>
  <c r="Q11" i="236" s="1"/>
  <c r="G9" i="144"/>
  <c r="H7" i="323"/>
  <c r="J12" i="61"/>
  <c r="G11" i="199"/>
  <c r="N7" i="327"/>
  <c r="M5" i="182"/>
  <c r="M5" i="314"/>
  <c r="K12" i="193"/>
  <c r="G8" i="51"/>
  <c r="F5" i="182"/>
  <c r="D6" i="188"/>
  <c r="G9" i="165"/>
  <c r="J5" i="165"/>
  <c r="J7" i="269"/>
  <c r="L25" i="193"/>
  <c r="J8" i="102"/>
  <c r="N5" i="202"/>
  <c r="N10" i="198"/>
  <c r="G7" i="202"/>
  <c r="G7" i="203"/>
  <c r="J5" i="188"/>
  <c r="D10" i="179"/>
  <c r="K7" i="329"/>
  <c r="D12" i="150"/>
  <c r="G5" i="104"/>
  <c r="P12" i="201"/>
  <c r="Q12" i="201" s="1"/>
  <c r="D6" i="145"/>
  <c r="L10" i="280"/>
  <c r="F10" i="275"/>
  <c r="K7" i="203"/>
  <c r="D25" i="128"/>
  <c r="F10" i="193"/>
  <c r="N7" i="310"/>
  <c r="L6" i="157"/>
  <c r="L5" i="206"/>
  <c r="M10" i="179"/>
  <c r="M5" i="190"/>
  <c r="L6" i="188"/>
  <c r="K7" i="199"/>
  <c r="F5" i="168"/>
  <c r="F12" i="202"/>
  <c r="L11" i="285"/>
  <c r="P9" i="103"/>
  <c r="Q9" i="103" s="1"/>
  <c r="F20" i="128"/>
  <c r="G8" i="193"/>
  <c r="P5" i="182"/>
  <c r="Q5" i="182" s="1"/>
  <c r="Q13" i="182" s="1"/>
  <c r="Q5" i="177" s="1"/>
  <c r="P5" i="198"/>
  <c r="Q5" i="198" s="1"/>
  <c r="G6" i="156"/>
  <c r="N13" i="128"/>
  <c r="P7" i="324"/>
  <c r="Q7" i="324" s="1"/>
  <c r="N5" i="164"/>
  <c r="H9" i="189"/>
  <c r="L9" i="145"/>
  <c r="J6" i="84"/>
  <c r="J24" i="128"/>
  <c r="H21" i="146"/>
  <c r="M7" i="326"/>
  <c r="M5" i="174"/>
  <c r="F12" i="163"/>
  <c r="K10" i="146"/>
  <c r="F10" i="128"/>
  <c r="F5" i="302"/>
  <c r="L14" i="193"/>
  <c r="K5" i="314"/>
  <c r="P5" i="155"/>
  <c r="Q5" i="155" s="1"/>
  <c r="P10" i="232"/>
  <c r="Q10" i="232" s="1"/>
  <c r="J12" i="200"/>
  <c r="H10" i="128"/>
  <c r="P19" i="146"/>
  <c r="Q19" i="146" s="1"/>
  <c r="K8" i="190"/>
  <c r="M8" i="198"/>
  <c r="F8" i="205"/>
  <c r="L7" i="228"/>
  <c r="D5" i="330"/>
  <c r="F8" i="190"/>
  <c r="F11" i="229"/>
  <c r="N20" i="236"/>
  <c r="K5" i="198"/>
  <c r="F7" i="239"/>
  <c r="G20" i="193"/>
  <c r="N5" i="206"/>
  <c r="K11" i="275"/>
  <c r="D6" i="65"/>
  <c r="H8" i="255"/>
  <c r="M11" i="276"/>
  <c r="L5" i="252"/>
  <c r="K5" i="119"/>
  <c r="N5" i="185"/>
  <c r="N7" i="60"/>
  <c r="L7" i="329"/>
  <c r="N9" i="283"/>
  <c r="H8" i="145"/>
  <c r="L8" i="202"/>
  <c r="J7" i="308"/>
  <c r="G9" i="180"/>
  <c r="N11" i="128"/>
  <c r="F9" i="194"/>
  <c r="L11" i="286"/>
  <c r="D9" i="179"/>
  <c r="D11" i="193"/>
  <c r="N14" i="146"/>
  <c r="D6" i="209"/>
  <c r="H8" i="230"/>
  <c r="N8" i="145"/>
  <c r="N10" i="200"/>
  <c r="F7" i="290"/>
  <c r="H7" i="313"/>
  <c r="K8" i="199"/>
  <c r="F7" i="53"/>
  <c r="K6" i="189"/>
  <c r="G22" i="128"/>
  <c r="G7" i="195"/>
  <c r="D5" i="314"/>
  <c r="P5" i="147"/>
  <c r="Q5" i="147" s="1"/>
  <c r="M25" i="193"/>
  <c r="N6" i="148"/>
  <c r="D10" i="163"/>
  <c r="N12" i="280"/>
  <c r="N5" i="196"/>
  <c r="N6" i="202"/>
  <c r="L17" i="146"/>
  <c r="M9" i="189"/>
  <c r="L6" i="189"/>
  <c r="P8" i="165"/>
  <c r="Q8" i="165" s="1"/>
  <c r="M23" i="128"/>
  <c r="N18" i="193"/>
  <c r="F7" i="313"/>
  <c r="K9" i="180"/>
  <c r="G12" i="146"/>
  <c r="P19" i="236"/>
  <c r="Q19" i="236" s="1"/>
  <c r="K9" i="193"/>
  <c r="J7" i="154"/>
  <c r="M18" i="163"/>
  <c r="K16" i="201"/>
  <c r="F14" i="200"/>
  <c r="F12" i="159"/>
  <c r="F17" i="200"/>
  <c r="M5" i="157"/>
  <c r="N9" i="189"/>
  <c r="M5" i="133"/>
  <c r="N10" i="279"/>
  <c r="P11" i="280"/>
  <c r="Q11" i="280" s="1"/>
  <c r="K13" i="48"/>
  <c r="M10" i="286"/>
  <c r="J9" i="234"/>
  <c r="H20" i="128"/>
  <c r="N6" i="209"/>
  <c r="H8" i="187"/>
  <c r="H6" i="165"/>
  <c r="L5" i="165"/>
  <c r="F18" i="193"/>
  <c r="H9" i="199"/>
  <c r="P5" i="189"/>
  <c r="Q5" i="189" s="1"/>
  <c r="P6" i="154"/>
  <c r="Q6" i="154" s="1"/>
  <c r="K11" i="286"/>
  <c r="K7" i="233"/>
  <c r="F7" i="148"/>
  <c r="M19" i="193"/>
  <c r="L9" i="179"/>
  <c r="N5" i="262"/>
  <c r="H26" i="128"/>
  <c r="P8" i="133"/>
  <c r="Q8" i="133" s="1"/>
  <c r="D9" i="50"/>
  <c r="F7" i="198"/>
  <c r="P8" i="162"/>
  <c r="Q8" i="162" s="1"/>
  <c r="K16" i="165"/>
  <c r="K28" i="128"/>
  <c r="N9" i="198"/>
  <c r="K25" i="128"/>
  <c r="F6" i="198"/>
  <c r="L8" i="180"/>
  <c r="P5" i="183"/>
  <c r="Q5" i="183" s="1"/>
  <c r="N11" i="163"/>
  <c r="F7" i="310"/>
  <c r="N17" i="193"/>
  <c r="K9" i="280"/>
  <c r="G7" i="209"/>
  <c r="D7" i="229"/>
  <c r="D9" i="199"/>
  <c r="N6" i="133"/>
  <c r="M7" i="229"/>
  <c r="L5" i="147"/>
  <c r="F29" i="128"/>
  <c r="K12" i="165"/>
  <c r="M7" i="323"/>
  <c r="P9" i="202"/>
  <c r="Q9" i="202" s="1"/>
  <c r="N6" i="145"/>
  <c r="L5" i="92"/>
  <c r="J22" i="128"/>
  <c r="M6" i="198"/>
  <c r="J10" i="232"/>
  <c r="J11" i="201"/>
  <c r="P8" i="154"/>
  <c r="Q8" i="154" s="1"/>
  <c r="N5" i="93"/>
  <c r="L13" i="165"/>
  <c r="G8" i="190"/>
  <c r="D24" i="128"/>
  <c r="H5" i="98"/>
  <c r="L11" i="179"/>
  <c r="P11" i="198"/>
  <c r="Q11" i="198" s="1"/>
  <c r="J7" i="199"/>
  <c r="H12" i="165"/>
  <c r="N5" i="157"/>
  <c r="H19" i="146"/>
  <c r="N5" i="123"/>
  <c r="L9" i="101"/>
  <c r="N14" i="236"/>
  <c r="D12" i="165"/>
  <c r="D7" i="202"/>
  <c r="K5" i="294"/>
  <c r="L8" i="198"/>
  <c r="G23" i="193"/>
  <c r="M7" i="156"/>
  <c r="J7" i="173"/>
  <c r="J5" i="314"/>
  <c r="G12" i="128"/>
  <c r="K9" i="199"/>
  <c r="M8" i="135"/>
  <c r="L10" i="236"/>
  <c r="P14" i="201"/>
  <c r="Q14" i="201" s="1"/>
  <c r="M5" i="299"/>
  <c r="P9" i="195"/>
  <c r="Q9" i="195" s="1"/>
  <c r="D9" i="193"/>
  <c r="F7" i="97"/>
  <c r="M5" i="268"/>
  <c r="K20" i="163"/>
  <c r="K7" i="310"/>
  <c r="P5" i="149"/>
  <c r="Q5" i="149" s="1"/>
  <c r="H8" i="228"/>
  <c r="F16" i="163"/>
  <c r="M7" i="162"/>
  <c r="D15" i="90"/>
  <c r="G5" i="131"/>
  <c r="D25" i="193"/>
  <c r="L7" i="295"/>
  <c r="P7" i="306"/>
  <c r="Q7" i="306" s="1"/>
  <c r="L5" i="168"/>
  <c r="H10" i="276"/>
  <c r="D9" i="280"/>
  <c r="D7" i="326"/>
  <c r="L9" i="283"/>
  <c r="M11" i="200"/>
  <c r="G19" i="163"/>
  <c r="G7" i="188"/>
  <c r="M5" i="251"/>
  <c r="J6" i="198"/>
  <c r="L5" i="202"/>
  <c r="M7" i="209"/>
  <c r="D22" i="128"/>
  <c r="N11" i="286"/>
  <c r="G9" i="198"/>
  <c r="J15" i="201"/>
  <c r="N15" i="165"/>
  <c r="D5" i="189"/>
  <c r="F9" i="60"/>
  <c r="P8" i="193"/>
  <c r="Q8" i="193" s="1"/>
  <c r="P9" i="162"/>
  <c r="Q9" i="162" s="1"/>
  <c r="K10" i="200"/>
  <c r="D9" i="277"/>
  <c r="L23" i="193"/>
  <c r="F11" i="200"/>
  <c r="F9" i="205"/>
  <c r="M9" i="162"/>
  <c r="D11" i="128"/>
  <c r="H7" i="162"/>
  <c r="G5" i="196"/>
  <c r="K8" i="180"/>
  <c r="D7" i="95"/>
  <c r="K8" i="228"/>
  <c r="H7" i="270"/>
  <c r="F8" i="258"/>
  <c r="D5" i="269"/>
  <c r="F11" i="159"/>
  <c r="H15" i="236"/>
  <c r="M11" i="193"/>
  <c r="P6" i="190"/>
  <c r="Q6" i="190" s="1"/>
  <c r="H7" i="157"/>
  <c r="K14" i="201"/>
  <c r="D6" i="165"/>
  <c r="G7" i="131"/>
  <c r="H8" i="205"/>
  <c r="N6" i="147"/>
  <c r="M7" i="74"/>
  <c r="N7" i="316"/>
  <c r="M17" i="112"/>
  <c r="F12" i="165"/>
  <c r="J11" i="279"/>
  <c r="L7" i="231"/>
  <c r="K23" i="128"/>
  <c r="L6" i="148"/>
  <c r="D10" i="199"/>
  <c r="N8" i="270"/>
  <c r="K5" i="196"/>
  <c r="L8" i="149"/>
  <c r="L7" i="324"/>
  <c r="D8" i="198"/>
  <c r="P7" i="199"/>
  <c r="Q7" i="199" s="1"/>
  <c r="L8" i="194"/>
  <c r="F7" i="205"/>
  <c r="F7" i="209"/>
  <c r="P10" i="193"/>
  <c r="Q10" i="193" s="1"/>
  <c r="D8" i="154"/>
  <c r="N7" i="326"/>
  <c r="L5" i="302"/>
  <c r="P13" i="61"/>
  <c r="Q13" i="61" s="1"/>
  <c r="F6" i="190"/>
  <c r="H7" i="209"/>
  <c r="G23" i="128"/>
  <c r="F5" i="199"/>
  <c r="P14" i="146"/>
  <c r="Q14" i="146" s="1"/>
  <c r="J10" i="165"/>
  <c r="G16" i="163"/>
  <c r="P5" i="165"/>
  <c r="Q5" i="165" s="1"/>
  <c r="M13" i="163"/>
  <c r="P5" i="229"/>
  <c r="Q5" i="229" s="1"/>
  <c r="F7" i="190"/>
  <c r="N6" i="188"/>
  <c r="J13" i="165"/>
  <c r="H5" i="188"/>
  <c r="M12" i="279"/>
  <c r="F5" i="202"/>
  <c r="D14" i="165"/>
  <c r="P8" i="105"/>
  <c r="Q8" i="105" s="1"/>
  <c r="M14" i="128"/>
  <c r="K9" i="195"/>
  <c r="F9" i="180"/>
  <c r="L26" i="128"/>
  <c r="F5" i="157"/>
  <c r="J9" i="146"/>
  <c r="G17" i="236"/>
  <c r="F19" i="146"/>
  <c r="J15" i="165"/>
  <c r="H5" i="175"/>
  <c r="J5" i="134"/>
  <c r="D6" i="154"/>
  <c r="F9" i="236"/>
  <c r="P8" i="189"/>
  <c r="Q8" i="189" s="1"/>
  <c r="K21" i="128"/>
  <c r="K6" i="164"/>
  <c r="F9" i="284"/>
  <c r="N8" i="101"/>
  <c r="D7" i="164"/>
  <c r="G5" i="205"/>
  <c r="P13" i="163"/>
  <c r="Q13" i="163" s="1"/>
  <c r="N10" i="281"/>
  <c r="F15" i="236"/>
  <c r="L8" i="133"/>
  <c r="D18" i="213"/>
  <c r="D15" i="163"/>
  <c r="F9" i="198"/>
  <c r="D18" i="163"/>
  <c r="K8" i="148"/>
  <c r="P13" i="201"/>
  <c r="Q13" i="201" s="1"/>
  <c r="H5" i="189"/>
  <c r="K11" i="200"/>
  <c r="F9" i="232"/>
  <c r="M8" i="95"/>
  <c r="G8" i="195"/>
  <c r="D6" i="155"/>
  <c r="D9" i="190"/>
  <c r="J10" i="193"/>
  <c r="L17" i="236"/>
  <c r="G8" i="165"/>
  <c r="P17" i="166"/>
  <c r="Q17" i="166" s="1"/>
  <c r="D8" i="257"/>
  <c r="G7" i="241"/>
  <c r="D5" i="252"/>
  <c r="N7" i="241"/>
  <c r="N9" i="288"/>
  <c r="L11" i="282"/>
  <c r="L17" i="112"/>
  <c r="J10" i="201"/>
  <c r="K5" i="182"/>
  <c r="H8" i="193"/>
  <c r="P7" i="203"/>
  <c r="Q7" i="203" s="1"/>
  <c r="N8" i="311"/>
  <c r="D14" i="163"/>
  <c r="N6" i="149"/>
  <c r="G9" i="205"/>
  <c r="D7" i="290"/>
  <c r="N7" i="231"/>
  <c r="G13" i="128"/>
  <c r="J9" i="189"/>
  <c r="K14" i="200"/>
  <c r="F16" i="128"/>
  <c r="K13" i="200"/>
  <c r="L7" i="203"/>
  <c r="P11" i="286"/>
  <c r="Q11" i="286" s="1"/>
  <c r="G7" i="321"/>
  <c r="G29" i="128"/>
  <c r="P9" i="283"/>
  <c r="Q9" i="283" s="1"/>
  <c r="Q19" i="283" s="1"/>
  <c r="P16" i="167" s="1"/>
  <c r="H13" i="165"/>
  <c r="M11" i="279"/>
  <c r="J7" i="162"/>
  <c r="F7" i="307"/>
  <c r="G10" i="286"/>
  <c r="G7" i="315"/>
  <c r="M7" i="309"/>
  <c r="K7" i="316"/>
  <c r="H11" i="193"/>
  <c r="K8" i="154"/>
  <c r="L11" i="128"/>
  <c r="K8" i="229"/>
  <c r="G5" i="183"/>
  <c r="L7" i="307"/>
  <c r="G11" i="201"/>
  <c r="P12" i="280"/>
  <c r="Q12" i="280" s="1"/>
  <c r="G10" i="199"/>
  <c r="K11" i="285"/>
  <c r="H9" i="171"/>
  <c r="H12" i="163"/>
  <c r="L12" i="279"/>
  <c r="J8" i="193"/>
  <c r="J7" i="230"/>
  <c r="M19" i="163"/>
  <c r="F8" i="145"/>
  <c r="L7" i="323"/>
  <c r="K5" i="204"/>
  <c r="J7" i="310"/>
  <c r="J11" i="163"/>
  <c r="M8" i="180"/>
  <c r="N6" i="165"/>
  <c r="H19" i="127"/>
  <c r="H5" i="197"/>
  <c r="N12" i="202"/>
  <c r="M20" i="163"/>
  <c r="G5" i="98"/>
  <c r="N7" i="149"/>
  <c r="L10" i="123"/>
  <c r="L5" i="98"/>
  <c r="J10" i="286"/>
  <c r="J5" i="95"/>
  <c r="H14" i="193"/>
  <c r="N7" i="162"/>
  <c r="N18" i="236"/>
  <c r="G6" i="301"/>
  <c r="P16" i="193"/>
  <c r="Q16" i="193" s="1"/>
  <c r="G14" i="193"/>
  <c r="D15" i="201"/>
  <c r="P6" i="195"/>
  <c r="Q6" i="195" s="1"/>
  <c r="F5" i="164"/>
  <c r="M10" i="279"/>
  <c r="D11" i="200"/>
  <c r="D8" i="131"/>
  <c r="D20" i="128"/>
  <c r="H9" i="143"/>
  <c r="G22" i="193"/>
  <c r="K15" i="201"/>
  <c r="K11" i="150"/>
  <c r="L17" i="201"/>
  <c r="N6" i="229"/>
  <c r="P8" i="93"/>
  <c r="Q8" i="93" s="1"/>
  <c r="M12" i="165"/>
  <c r="J8" i="51"/>
  <c r="G7" i="262"/>
  <c r="G8" i="311"/>
  <c r="J12" i="280"/>
  <c r="P11" i="281"/>
  <c r="Q11" i="281" s="1"/>
  <c r="N19" i="146"/>
  <c r="G8" i="133"/>
  <c r="G7" i="308"/>
  <c r="J14" i="128"/>
  <c r="F6" i="145"/>
  <c r="M13" i="165"/>
  <c r="J6" i="189"/>
  <c r="F7" i="327"/>
  <c r="D15" i="146"/>
  <c r="L15" i="236"/>
  <c r="J11" i="165"/>
  <c r="N8" i="198"/>
  <c r="H10" i="279"/>
  <c r="D15" i="165"/>
  <c r="J5" i="198"/>
  <c r="K5" i="147"/>
  <c r="M9" i="288"/>
  <c r="G11" i="200"/>
  <c r="P9" i="278"/>
  <c r="Q9" i="278" s="1"/>
  <c r="J7" i="157"/>
  <c r="G10" i="179"/>
  <c r="F6" i="204"/>
  <c r="D8" i="199"/>
  <c r="L6" i="93"/>
  <c r="D10" i="202"/>
  <c r="H7" i="308"/>
  <c r="K8" i="308"/>
  <c r="F5" i="183"/>
  <c r="H5" i="185"/>
  <c r="N16" i="128"/>
  <c r="K7" i="313"/>
  <c r="K6" i="165"/>
  <c r="F8" i="154"/>
  <c r="J6" i="202"/>
  <c r="M6" i="209"/>
  <c r="H11" i="282"/>
  <c r="G7" i="133"/>
  <c r="N5" i="205"/>
  <c r="H5" i="296"/>
  <c r="N10" i="280"/>
  <c r="J7" i="198"/>
  <c r="L19" i="193"/>
  <c r="H12" i="159"/>
  <c r="N12" i="200"/>
  <c r="H11" i="236"/>
  <c r="J7" i="188"/>
  <c r="P7" i="164"/>
  <c r="Q7" i="164" s="1"/>
  <c r="J7" i="305"/>
  <c r="M7" i="310"/>
  <c r="P5" i="262"/>
  <c r="Q5" i="262" s="1"/>
  <c r="K8" i="255"/>
  <c r="J9" i="198"/>
  <c r="K6" i="117"/>
  <c r="F5" i="189"/>
  <c r="P7" i="310"/>
  <c r="Q7" i="310" s="1"/>
  <c r="G9" i="232"/>
  <c r="F5" i="270"/>
  <c r="F8" i="229"/>
  <c r="D7" i="318"/>
  <c r="K7" i="198"/>
  <c r="N8" i="105"/>
  <c r="H13" i="201"/>
  <c r="L21" i="128"/>
  <c r="H20" i="193"/>
  <c r="L5" i="197"/>
  <c r="D8" i="189"/>
  <c r="G15" i="193"/>
  <c r="N10" i="165"/>
  <c r="N9" i="278"/>
  <c r="N5" i="92"/>
  <c r="D5" i="229"/>
  <c r="F17" i="146"/>
  <c r="K8" i="133"/>
  <c r="G6" i="188"/>
  <c r="H9" i="287"/>
  <c r="K7" i="295"/>
  <c r="H11" i="198"/>
  <c r="F11" i="165"/>
  <c r="F7" i="165"/>
  <c r="D9" i="284"/>
  <c r="J6" i="195"/>
  <c r="H15" i="201"/>
  <c r="H6" i="301"/>
  <c r="D8" i="311"/>
  <c r="P8" i="255"/>
  <c r="Q8" i="255" s="1"/>
  <c r="M8" i="202"/>
  <c r="K5" i="270"/>
  <c r="N6" i="131"/>
  <c r="H8" i="165"/>
  <c r="N11" i="198"/>
  <c r="N7" i="317"/>
  <c r="J11" i="128"/>
  <c r="P22" i="128"/>
  <c r="Q22" i="128" s="1"/>
  <c r="G6" i="190"/>
  <c r="K20" i="146"/>
  <c r="H29" i="128"/>
  <c r="N23" i="128"/>
  <c r="J6" i="162"/>
  <c r="F19" i="128"/>
  <c r="L19" i="128"/>
  <c r="G9" i="143"/>
  <c r="N6" i="95"/>
  <c r="F15" i="128"/>
  <c r="J13" i="163"/>
  <c r="H13" i="200"/>
  <c r="N10" i="201"/>
  <c r="J11" i="146"/>
  <c r="D7" i="131"/>
  <c r="K7" i="156"/>
  <c r="M20" i="236"/>
  <c r="K19" i="128"/>
  <c r="D8" i="162"/>
  <c r="K5" i="92"/>
  <c r="D11" i="285"/>
  <c r="P7" i="131"/>
  <c r="Q7" i="131" s="1"/>
  <c r="N10" i="232"/>
  <c r="F7" i="103"/>
  <c r="P7" i="148"/>
  <c r="Q7" i="148" s="1"/>
  <c r="H8" i="194"/>
  <c r="G5" i="294"/>
  <c r="F24" i="128"/>
  <c r="N6" i="162"/>
  <c r="G9" i="163"/>
  <c r="K25" i="193"/>
  <c r="D10" i="232"/>
  <c r="F14" i="128"/>
  <c r="N9" i="236"/>
  <c r="J14" i="200"/>
  <c r="P5" i="196"/>
  <c r="Q5" i="196" s="1"/>
  <c r="Q13" i="196" s="1"/>
  <c r="J18" i="146"/>
  <c r="L15" i="165"/>
  <c r="M5" i="165"/>
  <c r="P9" i="279"/>
  <c r="Q9" i="279" s="1"/>
  <c r="J8" i="198"/>
  <c r="F7" i="311"/>
  <c r="J5" i="243"/>
  <c r="L5" i="116"/>
  <c r="N11" i="282"/>
  <c r="G13" i="165"/>
  <c r="P5" i="204"/>
  <c r="Q5" i="204" s="1"/>
  <c r="F19" i="193"/>
  <c r="N5" i="101"/>
  <c r="G11" i="202"/>
  <c r="P14" i="165"/>
  <c r="Q14" i="165" s="1"/>
  <c r="K11" i="128"/>
  <c r="F7" i="133"/>
  <c r="N5" i="296"/>
  <c r="K8" i="198"/>
  <c r="G10" i="285"/>
  <c r="F7" i="188"/>
  <c r="J7" i="295"/>
  <c r="M9" i="229"/>
  <c r="N19" i="128"/>
  <c r="L9" i="229"/>
  <c r="G7" i="325"/>
  <c r="H9" i="283"/>
  <c r="H20" i="236"/>
  <c r="K9" i="202"/>
  <c r="L9" i="195"/>
  <c r="K6" i="228"/>
  <c r="P7" i="165"/>
  <c r="Q7" i="165" s="1"/>
  <c r="J7" i="316"/>
  <c r="D7" i="228"/>
  <c r="H8" i="258"/>
  <c r="F17" i="201"/>
  <c r="P8" i="194"/>
  <c r="Q8" i="194" s="1"/>
  <c r="L25" i="128"/>
  <c r="P7" i="154"/>
  <c r="Q7" i="154" s="1"/>
  <c r="D7" i="231"/>
  <c r="K17" i="201"/>
  <c r="D12" i="279"/>
  <c r="P10" i="198"/>
  <c r="Q10" i="198" s="1"/>
  <c r="K11" i="279"/>
  <c r="G7" i="97"/>
  <c r="N14" i="201"/>
  <c r="D8" i="308"/>
  <c r="N9" i="284"/>
  <c r="K9" i="162"/>
  <c r="P15" i="165"/>
  <c r="Q15" i="165" s="1"/>
  <c r="F6" i="164"/>
  <c r="F8" i="199"/>
  <c r="G17" i="163"/>
  <c r="F20" i="146"/>
  <c r="N10" i="285"/>
  <c r="P5" i="314"/>
  <c r="Q5" i="314" s="1"/>
  <c r="D16" i="201"/>
  <c r="G6" i="139"/>
  <c r="L9" i="163"/>
  <c r="G5" i="303"/>
  <c r="G5" i="184"/>
  <c r="D8" i="157"/>
  <c r="P11" i="83"/>
  <c r="Q11" i="83" s="1"/>
  <c r="M5" i="144"/>
  <c r="N25" i="193"/>
  <c r="F6" i="156"/>
  <c r="G8" i="232"/>
  <c r="F24" i="193"/>
  <c r="K6" i="147"/>
  <c r="F21" i="193"/>
  <c r="K5" i="133"/>
  <c r="N6" i="101"/>
  <c r="J21" i="193"/>
  <c r="L11" i="165"/>
  <c r="J8" i="313"/>
  <c r="H5" i="116"/>
  <c r="N5" i="314"/>
  <c r="M6" i="270"/>
  <c r="D6" i="198"/>
  <c r="H16" i="165"/>
  <c r="L9" i="278"/>
  <c r="H7" i="77"/>
  <c r="P6" i="64"/>
  <c r="Q6" i="64" s="1"/>
  <c r="P12" i="193"/>
  <c r="Q12" i="193" s="1"/>
  <c r="J11" i="229"/>
  <c r="H7" i="198"/>
  <c r="L14" i="128"/>
  <c r="L7" i="145"/>
  <c r="P5" i="228"/>
  <c r="Q5" i="228" s="1"/>
  <c r="F12" i="193"/>
  <c r="D9" i="283"/>
  <c r="G8" i="164"/>
  <c r="G13" i="236"/>
  <c r="D10" i="128"/>
  <c r="L8" i="229"/>
  <c r="N9" i="193"/>
  <c r="D7" i="291"/>
  <c r="G7" i="154"/>
  <c r="M9" i="165"/>
  <c r="L7" i="205"/>
  <c r="H8" i="202"/>
  <c r="M6" i="188"/>
  <c r="P6" i="149"/>
  <c r="Q6" i="149" s="1"/>
  <c r="F7" i="309"/>
  <c r="H14" i="146"/>
  <c r="L17" i="200"/>
  <c r="H7" i="190"/>
  <c r="M8" i="313"/>
  <c r="K13" i="128"/>
  <c r="M23" i="236"/>
  <c r="N12" i="193"/>
  <c r="F7" i="269"/>
  <c r="J7" i="272"/>
  <c r="J8" i="228"/>
  <c r="M8" i="64"/>
  <c r="J7" i="262"/>
  <c r="F7" i="161"/>
  <c r="P9" i="277"/>
  <c r="Q9" i="277" s="1"/>
  <c r="K7" i="272"/>
  <c r="K10" i="193"/>
  <c r="D7" i="315"/>
  <c r="F5" i="131"/>
  <c r="H11" i="285"/>
  <c r="G6" i="189"/>
  <c r="M16" i="163"/>
  <c r="H16" i="128"/>
  <c r="K7" i="328"/>
  <c r="H8" i="180"/>
  <c r="D9" i="205"/>
  <c r="F8" i="311"/>
  <c r="J6" i="105"/>
  <c r="J11" i="280"/>
  <c r="N9" i="202"/>
  <c r="G8" i="154"/>
  <c r="M15" i="128"/>
  <c r="M16" i="200"/>
  <c r="N7" i="156"/>
  <c r="F7" i="273"/>
  <c r="J7" i="229"/>
  <c r="G20" i="146"/>
  <c r="M19" i="146"/>
  <c r="K15" i="165"/>
  <c r="J9" i="202"/>
  <c r="M5" i="202"/>
  <c r="P17" i="236"/>
  <c r="Q17" i="236" s="1"/>
  <c r="N5" i="184"/>
  <c r="D16" i="200"/>
  <c r="M12" i="200"/>
  <c r="F7" i="328"/>
  <c r="J6" i="102"/>
  <c r="D21" i="128"/>
  <c r="P8" i="195"/>
  <c r="Q8" i="195" s="1"/>
  <c r="H14" i="201"/>
  <c r="P5" i="186"/>
  <c r="Q5" i="186" s="1"/>
  <c r="Q11" i="186" s="1"/>
  <c r="Q9" i="177" s="1"/>
  <c r="H9" i="163"/>
  <c r="N12" i="159"/>
  <c r="F9" i="195"/>
  <c r="N7" i="187"/>
  <c r="G5" i="269"/>
  <c r="G8" i="230"/>
  <c r="H5" i="229"/>
  <c r="G5" i="204"/>
  <c r="D9" i="163"/>
  <c r="K7" i="173"/>
  <c r="M23" i="193"/>
  <c r="M21" i="128"/>
  <c r="H7" i="195"/>
  <c r="J8" i="165"/>
  <c r="M12" i="146"/>
  <c r="J9" i="287"/>
  <c r="D17" i="201"/>
  <c r="F5" i="147"/>
  <c r="H5" i="155"/>
  <c r="M16" i="193"/>
  <c r="G9" i="202"/>
  <c r="M16" i="236"/>
  <c r="P8" i="148"/>
  <c r="Q8" i="148" s="1"/>
  <c r="G7" i="78"/>
  <c r="H9" i="277"/>
  <c r="P7" i="272"/>
  <c r="Q7" i="272" s="1"/>
  <c r="Q8" i="272" s="1"/>
  <c r="F6" i="60"/>
  <c r="P7" i="187"/>
  <c r="Q7" i="187" s="1"/>
  <c r="G5" i="55"/>
  <c r="P8" i="258"/>
  <c r="Q8" i="258" s="1"/>
  <c r="P10" i="279"/>
  <c r="Q10" i="279" s="1"/>
  <c r="G5" i="251"/>
  <c r="P7" i="328"/>
  <c r="Q7" i="328" s="1"/>
  <c r="J6" i="149"/>
  <c r="M6" i="94"/>
  <c r="G8" i="202"/>
  <c r="D7" i="203"/>
  <c r="G6" i="204"/>
  <c r="K7" i="319"/>
  <c r="K8" i="258"/>
  <c r="L6" i="199"/>
  <c r="G7" i="290"/>
  <c r="H11" i="286"/>
  <c r="D5" i="304"/>
  <c r="N7" i="199"/>
  <c r="M14" i="165"/>
  <c r="F9" i="190"/>
  <c r="H5" i="169"/>
  <c r="J8" i="187"/>
  <c r="M22" i="236"/>
  <c r="H6" i="228"/>
  <c r="M6" i="149"/>
  <c r="H17" i="146"/>
  <c r="D7" i="189"/>
  <c r="H6" i="202"/>
  <c r="J16" i="193"/>
  <c r="N7" i="318"/>
  <c r="H12" i="193"/>
  <c r="D10" i="281"/>
  <c r="K9" i="124"/>
  <c r="N5" i="183"/>
  <c r="P6" i="155"/>
  <c r="Q6" i="155" s="1"/>
  <c r="H12" i="146"/>
  <c r="D8" i="255"/>
  <c r="L5" i="96"/>
  <c r="F6" i="188"/>
  <c r="J8" i="156"/>
  <c r="J5" i="205"/>
  <c r="G7" i="324"/>
  <c r="K8" i="193"/>
  <c r="K19" i="146"/>
  <c r="K11" i="179"/>
  <c r="J21" i="163"/>
  <c r="D6" i="190"/>
  <c r="F8" i="235"/>
  <c r="F7" i="202"/>
  <c r="F8" i="194"/>
  <c r="J7" i="273"/>
  <c r="J12" i="83"/>
  <c r="N15" i="200"/>
  <c r="G18" i="236"/>
  <c r="F8" i="230"/>
  <c r="K7" i="188"/>
  <c r="K9" i="128"/>
  <c r="P6" i="131"/>
  <c r="Q6" i="131" s="1"/>
  <c r="G8" i="93"/>
  <c r="L8" i="313"/>
  <c r="K16" i="128"/>
  <c r="N6" i="263"/>
  <c r="L9" i="287"/>
  <c r="N6" i="199"/>
  <c r="H7" i="228"/>
  <c r="G8" i="187"/>
  <c r="M7" i="295"/>
  <c r="D7" i="324"/>
  <c r="J7" i="231"/>
  <c r="L5" i="251"/>
  <c r="M6" i="262"/>
  <c r="N9" i="50"/>
  <c r="F7" i="324"/>
  <c r="D7" i="323"/>
  <c r="F11" i="281"/>
  <c r="K7" i="231"/>
  <c r="N5" i="188"/>
  <c r="D7" i="148"/>
  <c r="G8" i="145"/>
  <c r="K17" i="146"/>
  <c r="J7" i="328"/>
  <c r="M5" i="164"/>
  <c r="P5" i="293"/>
  <c r="Q5" i="293" s="1"/>
  <c r="Q13" i="293" s="1"/>
  <c r="P20" i="47" s="1"/>
  <c r="Q20" i="47" s="1"/>
  <c r="D9" i="279"/>
  <c r="L7" i="104"/>
  <c r="M7" i="199"/>
  <c r="P10" i="201"/>
  <c r="Q10" i="201" s="1"/>
  <c r="K8" i="257"/>
  <c r="M8" i="308"/>
  <c r="F11" i="202"/>
  <c r="D5" i="165"/>
  <c r="J9" i="195"/>
  <c r="P16" i="146"/>
  <c r="Q16" i="146" s="1"/>
  <c r="L13" i="193"/>
  <c r="H24" i="193"/>
  <c r="P9" i="165"/>
  <c r="Q9" i="165" s="1"/>
  <c r="M5" i="184"/>
  <c r="M7" i="318"/>
  <c r="L17" i="128"/>
  <c r="P11" i="279"/>
  <c r="Q11" i="279" s="1"/>
  <c r="N14" i="128"/>
  <c r="F10" i="202"/>
  <c r="H5" i="145"/>
  <c r="K8" i="189"/>
  <c r="D17" i="200"/>
  <c r="G5" i="181"/>
  <c r="H7" i="189"/>
  <c r="H7" i="229"/>
  <c r="K11" i="83"/>
  <c r="G9" i="179"/>
  <c r="G9" i="279"/>
  <c r="N7" i="205"/>
  <c r="D12" i="128"/>
  <c r="H11" i="202"/>
  <c r="M6" i="157"/>
  <c r="L8" i="95"/>
  <c r="K10" i="198"/>
  <c r="J7" i="103"/>
  <c r="H6" i="131"/>
  <c r="G18" i="146"/>
  <c r="D16" i="128"/>
  <c r="D6" i="157"/>
  <c r="J7" i="205"/>
  <c r="H7" i="104"/>
  <c r="K5" i="300"/>
  <c r="K20" i="193"/>
  <c r="P7" i="269"/>
  <c r="Q7" i="269" s="1"/>
  <c r="D5" i="186"/>
  <c r="D5" i="115"/>
  <c r="M7" i="311"/>
  <c r="N11" i="280"/>
  <c r="G7" i="326"/>
  <c r="M5" i="269"/>
  <c r="N10" i="286"/>
  <c r="G11" i="229"/>
  <c r="F8" i="255"/>
  <c r="M5" i="181"/>
  <c r="J20" i="236"/>
  <c r="L10" i="199"/>
  <c r="P7" i="326"/>
  <c r="Q7" i="326" s="1"/>
  <c r="J7" i="291"/>
  <c r="H12" i="200"/>
  <c r="D8" i="133"/>
  <c r="H7" i="269"/>
  <c r="H9" i="198"/>
  <c r="L7" i="326"/>
  <c r="F5" i="145"/>
  <c r="P9" i="288"/>
  <c r="Q9" i="288" s="1"/>
  <c r="Q19" i="288" s="1"/>
  <c r="J5" i="154"/>
  <c r="M11" i="179"/>
  <c r="G18" i="128"/>
  <c r="D7" i="195"/>
  <c r="F16" i="201"/>
  <c r="F6" i="202"/>
  <c r="L9" i="280"/>
  <c r="N16" i="163"/>
  <c r="F8" i="308"/>
  <c r="H14" i="163"/>
  <c r="J11" i="285"/>
  <c r="G5" i="301"/>
  <c r="G13" i="201"/>
  <c r="J11" i="202"/>
  <c r="F5" i="133"/>
  <c r="G9" i="128"/>
  <c r="K5" i="229"/>
  <c r="M6" i="156"/>
  <c r="F16" i="193"/>
  <c r="K9" i="229"/>
  <c r="J6" i="209"/>
  <c r="P6" i="199"/>
  <c r="Q6" i="199" s="1"/>
  <c r="P9" i="163"/>
  <c r="Q9" i="163" s="1"/>
  <c r="P7" i="149"/>
  <c r="Q7" i="149" s="1"/>
  <c r="K8" i="195"/>
  <c r="J5" i="139"/>
  <c r="K6" i="131"/>
  <c r="F5" i="173"/>
  <c r="J8" i="98"/>
  <c r="F5" i="205"/>
  <c r="N7" i="165"/>
  <c r="M14" i="201"/>
  <c r="N6" i="189"/>
  <c r="K7" i="217"/>
  <c r="P9" i="101"/>
  <c r="Q9" i="101" s="1"/>
  <c r="K7" i="274"/>
  <c r="M16" i="201"/>
  <c r="K5" i="140"/>
  <c r="P5" i="220"/>
  <c r="Q5" i="220" s="1"/>
  <c r="Q16" i="220" s="1"/>
  <c r="J18" i="128"/>
  <c r="K8" i="93"/>
  <c r="L6" i="228"/>
  <c r="H6" i="148"/>
  <c r="G15" i="146"/>
  <c r="G7" i="230"/>
  <c r="J5" i="155"/>
  <c r="D17" i="236"/>
  <c r="F23" i="193"/>
  <c r="G16" i="201"/>
  <c r="K12" i="163"/>
  <c r="F6" i="270"/>
  <c r="L20" i="128"/>
  <c r="P5" i="96"/>
  <c r="Q5" i="96" s="1"/>
  <c r="Q14" i="96" s="1"/>
  <c r="L5" i="228"/>
  <c r="L12" i="128"/>
  <c r="J17" i="163"/>
  <c r="D5" i="199"/>
  <c r="M16" i="128"/>
  <c r="M24" i="193"/>
  <c r="H5" i="198"/>
  <c r="P8" i="205"/>
  <c r="Q8" i="205" s="1"/>
  <c r="D8" i="205"/>
  <c r="J20" i="146"/>
  <c r="M11" i="201"/>
  <c r="G7" i="103"/>
  <c r="G11" i="281"/>
  <c r="M6" i="60"/>
  <c r="H9" i="288"/>
  <c r="L7" i="292"/>
  <c r="D9" i="278"/>
  <c r="L5" i="207"/>
  <c r="D16" i="193"/>
  <c r="J13" i="200"/>
  <c r="M8" i="311"/>
  <c r="F5" i="204"/>
  <c r="M10" i="193"/>
  <c r="P7" i="195"/>
  <c r="Q7" i="195" s="1"/>
  <c r="D6" i="102"/>
  <c r="M5" i="206"/>
  <c r="D11" i="179"/>
  <c r="M7" i="203"/>
  <c r="P5" i="169"/>
  <c r="Q5" i="169" s="1"/>
  <c r="L5" i="149"/>
  <c r="D8" i="313"/>
  <c r="D8" i="253"/>
  <c r="M7" i="165"/>
  <c r="L10" i="202"/>
  <c r="N9" i="190"/>
  <c r="J5" i="204"/>
  <c r="D7" i="311"/>
  <c r="P9" i="198"/>
  <c r="Q9" i="198" s="1"/>
  <c r="D20" i="163"/>
  <c r="D5" i="155"/>
  <c r="F14" i="146"/>
  <c r="G7" i="329"/>
  <c r="L7" i="322"/>
  <c r="N6" i="94"/>
  <c r="G5" i="262"/>
  <c r="M5" i="205"/>
  <c r="H22" i="193"/>
  <c r="D8" i="149"/>
  <c r="J7" i="131"/>
  <c r="F10" i="179"/>
  <c r="F5" i="154"/>
  <c r="D9" i="194"/>
  <c r="P7" i="188"/>
  <c r="Q7" i="188" s="1"/>
  <c r="H8" i="270"/>
  <c r="J6" i="147"/>
  <c r="H5" i="269"/>
  <c r="G5" i="164"/>
  <c r="L8" i="165"/>
  <c r="D10" i="198"/>
  <c r="M5" i="188"/>
  <c r="G18" i="163"/>
  <c r="F7" i="149"/>
  <c r="L5" i="303"/>
  <c r="P12" i="128"/>
  <c r="Q12" i="128" s="1"/>
  <c r="N11" i="146"/>
  <c r="N9" i="194"/>
  <c r="G8" i="131"/>
  <c r="J13" i="193"/>
  <c r="J5" i="181"/>
  <c r="M7" i="291"/>
  <c r="H7" i="320"/>
  <c r="H7" i="60"/>
  <c r="K7" i="308"/>
  <c r="K5" i="116"/>
  <c r="M13" i="48"/>
  <c r="L7" i="238"/>
  <c r="G15" i="165"/>
  <c r="G7" i="148"/>
  <c r="N28" i="128"/>
  <c r="N5" i="133"/>
  <c r="L10" i="286"/>
  <c r="J19" i="146"/>
  <c r="L12" i="280"/>
  <c r="J5" i="186"/>
  <c r="L10" i="198"/>
  <c r="P7" i="290"/>
  <c r="Q7" i="290" s="1"/>
  <c r="F8" i="270"/>
  <c r="L7" i="188"/>
  <c r="F5" i="116"/>
  <c r="P9" i="234"/>
  <c r="Q9" i="234" s="1"/>
  <c r="N29" i="128"/>
  <c r="M7" i="272"/>
  <c r="D7" i="165"/>
  <c r="N8" i="230"/>
  <c r="D20" i="146"/>
  <c r="N8" i="202"/>
  <c r="F11" i="128"/>
  <c r="N11" i="165"/>
  <c r="K13" i="165"/>
  <c r="H6" i="188"/>
  <c r="H5" i="207"/>
  <c r="G5" i="189"/>
  <c r="P10" i="165"/>
  <c r="Q10" i="165" s="1"/>
  <c r="F7" i="180"/>
  <c r="F5" i="165"/>
  <c r="K8" i="311"/>
  <c r="N6" i="171"/>
  <c r="N22" i="128"/>
  <c r="L9" i="199"/>
  <c r="L6" i="190"/>
  <c r="N9" i="229"/>
  <c r="P13" i="83"/>
  <c r="Q13" i="83" s="1"/>
  <c r="G16" i="128"/>
  <c r="P28" i="128"/>
  <c r="Q28" i="128" s="1"/>
  <c r="J9" i="229"/>
  <c r="L7" i="274"/>
  <c r="L12" i="200"/>
  <c r="K11" i="281"/>
  <c r="K5" i="199"/>
  <c r="L7" i="149"/>
  <c r="F8" i="131"/>
  <c r="G9" i="162"/>
  <c r="D6" i="95"/>
  <c r="N5" i="162"/>
  <c r="N7" i="290"/>
  <c r="D19" i="127"/>
  <c r="F12" i="83"/>
  <c r="M7" i="164"/>
  <c r="H7" i="98"/>
  <c r="J14" i="165"/>
  <c r="F6" i="195"/>
  <c r="P9" i="236"/>
  <c r="Q9" i="236" s="1"/>
  <c r="P20" i="128"/>
  <c r="Q20" i="128" s="1"/>
  <c r="F8" i="102"/>
  <c r="F8" i="162"/>
  <c r="D5" i="116"/>
  <c r="G11" i="285"/>
  <c r="G16" i="165"/>
  <c r="M10" i="285"/>
  <c r="F5" i="181"/>
  <c r="D12" i="202"/>
  <c r="H16" i="193"/>
  <c r="D5" i="294"/>
  <c r="N6" i="270"/>
  <c r="G14" i="200"/>
  <c r="K11" i="276"/>
  <c r="M5" i="196"/>
  <c r="L12" i="146"/>
  <c r="H5" i="262"/>
  <c r="N5" i="182"/>
  <c r="F9" i="287"/>
  <c r="N5" i="268"/>
  <c r="H11" i="200"/>
  <c r="D5" i="202"/>
  <c r="J12" i="193"/>
  <c r="G12" i="150"/>
  <c r="N9" i="165"/>
  <c r="H6" i="189"/>
  <c r="D15" i="193"/>
  <c r="M11" i="165"/>
  <c r="G6" i="202"/>
  <c r="G6" i="198"/>
  <c r="M9" i="194"/>
  <c r="N19" i="127"/>
  <c r="F13" i="201"/>
  <c r="J28" i="128"/>
  <c r="M11" i="229"/>
  <c r="J9" i="180"/>
  <c r="D17" i="146"/>
  <c r="P21" i="163"/>
  <c r="Q21" i="163" s="1"/>
  <c r="J11" i="159"/>
  <c r="K6" i="190"/>
  <c r="F5" i="155"/>
  <c r="M6" i="164"/>
  <c r="G8" i="255"/>
  <c r="N7" i="323"/>
  <c r="K8" i="202"/>
  <c r="L10" i="193"/>
  <c r="H6" i="117"/>
  <c r="N7" i="79"/>
  <c r="F10" i="282"/>
  <c r="M5" i="149"/>
  <c r="N10" i="199"/>
  <c r="M18" i="193"/>
  <c r="D5" i="149"/>
  <c r="K5" i="148"/>
  <c r="G11" i="276"/>
  <c r="M11" i="163"/>
  <c r="M11" i="199"/>
  <c r="L28" i="128"/>
  <c r="K9" i="278"/>
  <c r="P17" i="201"/>
  <c r="Q17" i="201" s="1"/>
  <c r="P7" i="202"/>
  <c r="Q7" i="202" s="1"/>
  <c r="M17" i="193"/>
  <c r="D11" i="165"/>
  <c r="N16" i="165"/>
  <c r="P7" i="180"/>
  <c r="Q7" i="180" s="1"/>
  <c r="P7" i="309"/>
  <c r="Q7" i="309" s="1"/>
  <c r="P9" i="194"/>
  <c r="Q9" i="194" s="1"/>
  <c r="P7" i="230"/>
  <c r="Q7" i="230" s="1"/>
  <c r="M19" i="128"/>
  <c r="P16" i="201"/>
  <c r="Q16" i="201" s="1"/>
  <c r="M6" i="190"/>
  <c r="K11" i="159"/>
  <c r="P12" i="165"/>
  <c r="Q12" i="165" s="1"/>
  <c r="M5" i="296"/>
  <c r="K9" i="165"/>
  <c r="P12" i="150"/>
  <c r="Q12" i="150" s="1"/>
  <c r="L9" i="202"/>
  <c r="F5" i="301"/>
  <c r="F9" i="179"/>
  <c r="G11" i="163"/>
  <c r="N9" i="195"/>
  <c r="P9" i="193"/>
  <c r="Q9" i="193" s="1"/>
  <c r="L7" i="180"/>
  <c r="L7" i="327"/>
  <c r="M12" i="202"/>
  <c r="M21" i="193"/>
  <c r="L7" i="190"/>
  <c r="K5" i="188"/>
  <c r="H13" i="128"/>
  <c r="H12" i="236"/>
  <c r="K5" i="189"/>
  <c r="D12" i="200"/>
  <c r="D6" i="137"/>
  <c r="M20" i="128"/>
  <c r="K9" i="146"/>
  <c r="J8" i="93"/>
  <c r="J8" i="229"/>
  <c r="H16" i="201"/>
  <c r="H15" i="165"/>
  <c r="P16" i="191"/>
  <c r="Q16" i="191" s="1"/>
  <c r="M14" i="193"/>
  <c r="G10" i="298"/>
  <c r="K5" i="157"/>
  <c r="H6" i="84"/>
  <c r="M6" i="205"/>
  <c r="F9" i="234"/>
  <c r="L11" i="229"/>
  <c r="M6" i="147"/>
  <c r="P5" i="300"/>
  <c r="Q5" i="300" s="1"/>
  <c r="Q18" i="300" s="1"/>
  <c r="D5" i="95"/>
  <c r="J10" i="202"/>
  <c r="L19" i="127"/>
  <c r="K5" i="165"/>
  <c r="M5" i="199"/>
  <c r="L7" i="195"/>
  <c r="M28" i="128"/>
  <c r="F5" i="314"/>
  <c r="L20" i="146"/>
  <c r="F9" i="202"/>
  <c r="K7" i="187"/>
  <c r="H23" i="128"/>
  <c r="D9" i="202"/>
  <c r="J5" i="189"/>
  <c r="L5" i="182"/>
  <c r="J8" i="133"/>
  <c r="D7" i="319"/>
  <c r="J5" i="55"/>
  <c r="H28" i="177"/>
  <c r="L12" i="159"/>
  <c r="D5" i="300"/>
  <c r="P6" i="147"/>
  <c r="Q6" i="147" s="1"/>
  <c r="M18" i="128"/>
  <c r="N9" i="205"/>
  <c r="P8" i="311"/>
  <c r="Q8" i="311" s="1"/>
  <c r="H5" i="168"/>
  <c r="G12" i="200"/>
  <c r="F9" i="128"/>
  <c r="D6" i="204"/>
  <c r="F6" i="189"/>
  <c r="G8" i="258"/>
  <c r="J12" i="150"/>
  <c r="J5" i="149"/>
  <c r="M9" i="287"/>
  <c r="K16" i="193"/>
  <c r="G9" i="195"/>
  <c r="K11" i="202"/>
  <c r="G14" i="128"/>
  <c r="D8" i="156"/>
  <c r="M6" i="162"/>
  <c r="M14" i="146"/>
  <c r="F8" i="195"/>
  <c r="J11" i="193"/>
  <c r="F7" i="262"/>
  <c r="K6" i="205"/>
  <c r="F13" i="236"/>
  <c r="N17" i="201"/>
  <c r="M10" i="236"/>
  <c r="K10" i="285"/>
  <c r="N5" i="165"/>
  <c r="H7" i="316"/>
  <c r="K9" i="194"/>
  <c r="M5" i="154"/>
  <c r="L18" i="128"/>
  <c r="P5" i="195"/>
  <c r="Q5" i="195" s="1"/>
  <c r="G10" i="229"/>
  <c r="H7" i="203"/>
  <c r="J5" i="148"/>
  <c r="F9" i="199"/>
  <c r="D10" i="193"/>
  <c r="J6" i="269"/>
  <c r="F7" i="272"/>
  <c r="L7" i="317"/>
  <c r="M11" i="282"/>
  <c r="P6" i="117"/>
  <c r="Q6" i="117" s="1"/>
  <c r="D10" i="279"/>
  <c r="N7" i="272"/>
  <c r="D11" i="286"/>
  <c r="K6" i="93"/>
  <c r="D12" i="280"/>
  <c r="D8" i="145"/>
  <c r="M10" i="276"/>
  <c r="N13" i="165"/>
  <c r="P9" i="199"/>
  <c r="Q9" i="199" s="1"/>
  <c r="J6" i="205"/>
  <c r="M8" i="199"/>
  <c r="F12" i="150"/>
  <c r="J7" i="228"/>
  <c r="G16" i="200"/>
  <c r="K9" i="284"/>
  <c r="H5" i="119"/>
  <c r="J7" i="189"/>
  <c r="P5" i="156"/>
  <c r="Q5" i="156" s="1"/>
  <c r="M6" i="165"/>
  <c r="D23" i="193"/>
  <c r="K7" i="291"/>
  <c r="H7" i="188"/>
  <c r="K5" i="156"/>
  <c r="P16" i="128"/>
  <c r="Q16" i="128" s="1"/>
  <c r="K9" i="277"/>
  <c r="K12" i="146"/>
  <c r="P5" i="190"/>
  <c r="Q5" i="190" s="1"/>
  <c r="F10" i="146"/>
  <c r="D7" i="313"/>
  <c r="D8" i="228"/>
  <c r="H6" i="269"/>
  <c r="H6" i="270"/>
  <c r="M13" i="128"/>
  <c r="D16" i="191"/>
  <c r="M7" i="273"/>
  <c r="G8" i="156"/>
  <c r="F15" i="193"/>
  <c r="J8" i="145"/>
  <c r="J6" i="164"/>
  <c r="F8" i="189"/>
  <c r="F9" i="50"/>
  <c r="P7" i="291"/>
  <c r="Q7" i="291" s="1"/>
  <c r="G5" i="147"/>
  <c r="D9" i="189"/>
  <c r="F8" i="198"/>
  <c r="P7" i="329"/>
  <c r="Q7" i="329" s="1"/>
  <c r="M21" i="146"/>
  <c r="F7" i="157"/>
  <c r="G5" i="202"/>
  <c r="N8" i="154"/>
  <c r="N11" i="236"/>
  <c r="N10" i="179"/>
  <c r="J5" i="302"/>
  <c r="J5" i="116"/>
  <c r="P16" i="165"/>
  <c r="Q16" i="165" s="1"/>
  <c r="L12" i="165"/>
  <c r="H7" i="239"/>
  <c r="N7" i="180"/>
  <c r="J7" i="53"/>
  <c r="H5" i="55"/>
  <c r="P5" i="207"/>
  <c r="Q5" i="207" s="1"/>
  <c r="Q11" i="207" s="1"/>
  <c r="P7" i="112" s="1"/>
  <c r="Q7" i="112" s="1"/>
  <c r="L7" i="55"/>
  <c r="G7" i="79"/>
  <c r="F7" i="320"/>
  <c r="F10" i="281"/>
  <c r="D22" i="193"/>
  <c r="L6" i="198"/>
  <c r="H7" i="291"/>
  <c r="K13" i="193"/>
  <c r="N5" i="181"/>
  <c r="D6" i="270"/>
  <c r="M8" i="165"/>
  <c r="M11" i="159"/>
  <c r="K7" i="269"/>
  <c r="M12" i="159"/>
  <c r="D9" i="165"/>
  <c r="N5" i="302"/>
  <c r="P5" i="133"/>
  <c r="Q5" i="133" s="1"/>
  <c r="H5" i="190"/>
  <c r="J7" i="202"/>
  <c r="L5" i="229"/>
  <c r="L5" i="262"/>
  <c r="G6" i="84"/>
  <c r="M6" i="229"/>
  <c r="P7" i="305"/>
  <c r="Q7" i="305" s="1"/>
  <c r="M28" i="177"/>
  <c r="D28" i="128"/>
  <c r="D10" i="201"/>
  <c r="P10" i="286"/>
  <c r="Q10" i="286" s="1"/>
  <c r="G21" i="163"/>
  <c r="L18" i="193"/>
  <c r="J6" i="188"/>
  <c r="N15" i="193"/>
  <c r="P6" i="189"/>
  <c r="Q6" i="189" s="1"/>
  <c r="D10" i="285"/>
  <c r="M8" i="258"/>
  <c r="M9" i="179"/>
  <c r="D9" i="288"/>
  <c r="J29" i="128"/>
  <c r="L5" i="189"/>
  <c r="J7" i="270"/>
  <c r="J17" i="128"/>
  <c r="H15" i="200"/>
  <c r="G16" i="191"/>
  <c r="P8" i="230"/>
  <c r="Q8" i="230" s="1"/>
  <c r="G10" i="280"/>
  <c r="N6" i="228"/>
  <c r="F11" i="179"/>
  <c r="G27" i="128"/>
  <c r="M9" i="145"/>
  <c r="K10" i="128"/>
  <c r="L9" i="236"/>
  <c r="H10" i="199"/>
  <c r="J8" i="194"/>
  <c r="K7" i="311"/>
  <c r="D6" i="229"/>
  <c r="D7" i="329"/>
  <c r="N6" i="84"/>
  <c r="L5" i="199"/>
  <c r="M5" i="147"/>
  <c r="D13" i="123"/>
  <c r="F8" i="98"/>
  <c r="G7" i="164"/>
  <c r="J12" i="159"/>
  <c r="L7" i="164"/>
  <c r="H5" i="199"/>
  <c r="M9" i="128"/>
  <c r="N11" i="229"/>
  <c r="M5" i="294"/>
  <c r="J10" i="146"/>
  <c r="L11" i="150"/>
  <c r="D18" i="193"/>
  <c r="N5" i="156"/>
  <c r="F7" i="154"/>
  <c r="L11" i="171"/>
  <c r="F7" i="102"/>
  <c r="N21" i="163"/>
  <c r="D11" i="150"/>
  <c r="L9" i="162"/>
  <c r="N9" i="128"/>
  <c r="J11" i="198"/>
  <c r="J9" i="128"/>
  <c r="L5" i="134"/>
  <c r="M5" i="195"/>
  <c r="G6" i="148"/>
  <c r="K7" i="228"/>
  <c r="F17" i="193"/>
  <c r="P6" i="204"/>
  <c r="Q6" i="204" s="1"/>
  <c r="M13" i="200"/>
  <c r="D23" i="236"/>
  <c r="P7" i="322"/>
  <c r="Q7" i="322" s="1"/>
  <c r="M8" i="193"/>
  <c r="J20" i="193"/>
  <c r="M24" i="128"/>
  <c r="D8" i="202"/>
  <c r="D9" i="234"/>
  <c r="H23" i="193"/>
  <c r="J6" i="228"/>
  <c r="M22" i="193"/>
  <c r="H10" i="232"/>
  <c r="G9" i="123"/>
  <c r="H6" i="102"/>
  <c r="F8" i="164"/>
  <c r="N7" i="229"/>
  <c r="F28" i="128"/>
  <c r="H6" i="94"/>
  <c r="L7" i="229"/>
  <c r="J8" i="235"/>
  <c r="H5" i="164"/>
  <c r="F6" i="84"/>
  <c r="L5" i="133"/>
  <c r="H11" i="179"/>
  <c r="P5" i="148"/>
  <c r="Q5" i="148" s="1"/>
  <c r="L11" i="201"/>
  <c r="J9" i="145"/>
  <c r="H7" i="101"/>
  <c r="L11" i="163"/>
  <c r="P19" i="163"/>
  <c r="Q19" i="163" s="1"/>
  <c r="L9" i="103"/>
  <c r="P8" i="101"/>
  <c r="Q8" i="101" s="1"/>
  <c r="K8" i="230"/>
  <c r="N23" i="213"/>
  <c r="P8" i="232"/>
  <c r="Q8" i="232" s="1"/>
  <c r="K8" i="123"/>
  <c r="G10" i="171"/>
  <c r="P5" i="224"/>
  <c r="Q5" i="224" s="1"/>
  <c r="M9" i="205"/>
  <c r="J9" i="236"/>
  <c r="F26" i="128"/>
  <c r="K6" i="95"/>
  <c r="L12" i="150"/>
  <c r="K5" i="149"/>
  <c r="L6" i="94"/>
  <c r="G15" i="236"/>
  <c r="L20" i="213"/>
  <c r="M7" i="93"/>
  <c r="G28" i="177"/>
  <c r="P6" i="228"/>
  <c r="Q6" i="228" s="1"/>
  <c r="M7" i="188"/>
  <c r="F13" i="83"/>
  <c r="G6" i="93"/>
  <c r="J7" i="143"/>
  <c r="L6" i="162"/>
  <c r="J9" i="298"/>
  <c r="N22" i="213"/>
  <c r="J5" i="224"/>
  <c r="J5" i="223"/>
  <c r="H7" i="156"/>
  <c r="P22" i="213"/>
  <c r="Q22" i="213" s="1"/>
  <c r="J12" i="163"/>
  <c r="M7" i="123"/>
  <c r="N5" i="95"/>
  <c r="N7" i="330"/>
  <c r="L7" i="94"/>
  <c r="N10" i="124"/>
  <c r="P5" i="222"/>
  <c r="Q5" i="222" s="1"/>
  <c r="D8" i="193"/>
  <c r="P6" i="263"/>
  <c r="Q6" i="263" s="1"/>
  <c r="Q11" i="263" s="1"/>
  <c r="H8" i="190"/>
  <c r="J15" i="90"/>
  <c r="N11" i="83"/>
  <c r="L8" i="101"/>
  <c r="P7" i="246"/>
  <c r="Q7" i="246" s="1"/>
  <c r="D5" i="144"/>
  <c r="K5" i="123"/>
  <c r="P5" i="219"/>
  <c r="Q5" i="219" s="1"/>
  <c r="N10" i="123"/>
  <c r="G7" i="139"/>
  <c r="P9" i="94"/>
  <c r="Q9" i="94" s="1"/>
  <c r="F6" i="224"/>
  <c r="H5" i="96"/>
  <c r="L6" i="104"/>
  <c r="P15" i="123"/>
  <c r="Q15" i="123" s="1"/>
  <c r="M5" i="138"/>
  <c r="P10" i="236"/>
  <c r="Q10" i="236" s="1"/>
  <c r="M7" i="95"/>
  <c r="K15" i="213"/>
  <c r="D8" i="97"/>
  <c r="D6" i="162"/>
  <c r="P17" i="146"/>
  <c r="Q17" i="146" s="1"/>
  <c r="D14" i="123"/>
  <c r="D5" i="138"/>
  <c r="P7" i="173"/>
  <c r="Q7" i="173" s="1"/>
  <c r="F5" i="222"/>
  <c r="F5" i="250"/>
  <c r="P18" i="146"/>
  <c r="Q18" i="146" s="1"/>
  <c r="G7" i="216"/>
  <c r="F7" i="144"/>
  <c r="J9" i="144"/>
  <c r="J10" i="212"/>
  <c r="M8" i="139"/>
  <c r="J20" i="163"/>
  <c r="J7" i="149"/>
  <c r="D21" i="213"/>
  <c r="F21" i="236"/>
  <c r="F10" i="124"/>
  <c r="D9" i="171"/>
  <c r="F7" i="143"/>
  <c r="K9" i="279"/>
  <c r="L9" i="190"/>
  <c r="P5" i="202"/>
  <c r="Q5" i="202" s="1"/>
  <c r="K6" i="84"/>
  <c r="P17" i="163"/>
  <c r="Q17" i="163" s="1"/>
  <c r="K7" i="202"/>
  <c r="L7" i="143"/>
  <c r="D7" i="154"/>
  <c r="N8" i="102"/>
  <c r="M5" i="224"/>
  <c r="J9" i="124"/>
  <c r="M6" i="98"/>
  <c r="L5" i="299"/>
  <c r="P18" i="193"/>
  <c r="Q18" i="193" s="1"/>
  <c r="M17" i="128"/>
  <c r="N8" i="190"/>
  <c r="P6" i="133"/>
  <c r="Q6" i="133" s="1"/>
  <c r="N15" i="128"/>
  <c r="F6" i="147"/>
  <c r="J5" i="299"/>
  <c r="N27" i="128"/>
  <c r="P14" i="236"/>
  <c r="Q14" i="236" s="1"/>
  <c r="D8" i="187"/>
  <c r="F6" i="229"/>
  <c r="D11" i="198"/>
  <c r="J6" i="263"/>
  <c r="K10" i="165"/>
  <c r="M11" i="171"/>
  <c r="F14" i="165"/>
  <c r="H11" i="163"/>
  <c r="N7" i="145"/>
  <c r="N7" i="214"/>
  <c r="N6" i="218"/>
  <c r="M15" i="123"/>
  <c r="J8" i="189"/>
  <c r="D5" i="263"/>
  <c r="H21" i="128"/>
  <c r="G11" i="128"/>
  <c r="K8" i="137"/>
  <c r="D7" i="93"/>
  <c r="L9" i="143"/>
  <c r="F10" i="232"/>
  <c r="H7" i="218"/>
  <c r="J7" i="156"/>
  <c r="G11" i="198"/>
  <c r="J15" i="123"/>
  <c r="G7" i="233"/>
  <c r="D5" i="190"/>
  <c r="L5" i="143"/>
  <c r="P5" i="249"/>
  <c r="Q5" i="249" s="1"/>
  <c r="H16" i="236"/>
  <c r="H16" i="213"/>
  <c r="H7" i="93"/>
  <c r="F5" i="96"/>
  <c r="L8" i="137"/>
  <c r="H22" i="128"/>
  <c r="G5" i="93"/>
  <c r="N7" i="144"/>
  <c r="K8" i="101"/>
  <c r="M5" i="222"/>
  <c r="F8" i="202"/>
  <c r="K7" i="205"/>
  <c r="P8" i="102"/>
  <c r="Q8" i="102" s="1"/>
  <c r="M8" i="131"/>
  <c r="F21" i="146"/>
  <c r="L5" i="155"/>
  <c r="M5" i="198"/>
  <c r="M10" i="229"/>
  <c r="F12" i="201"/>
  <c r="G6" i="133"/>
  <c r="F8" i="257"/>
  <c r="J7" i="145"/>
  <c r="F14" i="163"/>
  <c r="J6" i="155"/>
  <c r="K12" i="236"/>
  <c r="J9" i="205"/>
  <c r="M8" i="195"/>
  <c r="P22" i="236"/>
  <c r="Q22" i="236" s="1"/>
  <c r="M6" i="148"/>
  <c r="D5" i="196"/>
  <c r="K14" i="193"/>
  <c r="N5" i="195"/>
  <c r="K6" i="229"/>
  <c r="G5" i="299"/>
  <c r="D5" i="100"/>
  <c r="P5" i="123"/>
  <c r="Q5" i="123" s="1"/>
  <c r="K20" i="128"/>
  <c r="D7" i="162"/>
  <c r="J6" i="156"/>
  <c r="J6" i="148"/>
  <c r="D6" i="148"/>
  <c r="G6" i="199"/>
  <c r="K9" i="101"/>
  <c r="L10" i="212"/>
  <c r="G14" i="106"/>
  <c r="J7" i="98"/>
  <c r="H5" i="171"/>
  <c r="F8" i="142"/>
  <c r="J7" i="84"/>
  <c r="F16" i="213"/>
  <c r="L11" i="198"/>
  <c r="F5" i="91"/>
  <c r="L6" i="229"/>
  <c r="J8" i="105"/>
  <c r="L10" i="229"/>
  <c r="L5" i="142"/>
  <c r="D21" i="163"/>
  <c r="L8" i="139"/>
  <c r="D8" i="232"/>
  <c r="L5" i="139"/>
  <c r="J6" i="97"/>
  <c r="K13" i="163"/>
  <c r="F6" i="171"/>
  <c r="P6" i="164"/>
  <c r="Q6" i="164" s="1"/>
  <c r="L7" i="215"/>
  <c r="G16" i="298"/>
  <c r="J5" i="98"/>
  <c r="H18" i="193"/>
  <c r="J5" i="270"/>
  <c r="J5" i="294"/>
  <c r="K13" i="146"/>
  <c r="J18" i="193"/>
  <c r="L9" i="180"/>
  <c r="M8" i="235"/>
  <c r="M9" i="235"/>
  <c r="J10" i="200"/>
  <c r="D9" i="143"/>
  <c r="K8" i="149"/>
  <c r="J14" i="146"/>
  <c r="G5" i="100"/>
  <c r="D5" i="188"/>
  <c r="G6" i="105"/>
  <c r="P17" i="193"/>
  <c r="Q17" i="193" s="1"/>
  <c r="L6" i="133"/>
  <c r="L10" i="163"/>
  <c r="G14" i="165"/>
  <c r="D20" i="236"/>
  <c r="H9" i="205"/>
  <c r="L8" i="234"/>
  <c r="H8" i="313"/>
  <c r="K5" i="263"/>
  <c r="K9" i="283"/>
  <c r="F6" i="155"/>
  <c r="P5" i="154"/>
  <c r="Q5" i="154" s="1"/>
  <c r="P6" i="270"/>
  <c r="Q6" i="270" s="1"/>
  <c r="N8" i="94"/>
  <c r="G10" i="202"/>
  <c r="D15" i="236"/>
  <c r="K13" i="236"/>
  <c r="H14" i="236"/>
  <c r="L6" i="263"/>
  <c r="K6" i="173"/>
  <c r="P5" i="164"/>
  <c r="Q5" i="164" s="1"/>
  <c r="M8" i="123"/>
  <c r="J12" i="236"/>
  <c r="G8" i="139"/>
  <c r="F18" i="128"/>
  <c r="P12" i="146"/>
  <c r="Q12" i="146" s="1"/>
  <c r="M6" i="123"/>
  <c r="K5" i="94"/>
  <c r="P6" i="219"/>
  <c r="Q6" i="219" s="1"/>
  <c r="F7" i="131"/>
  <c r="D6" i="156"/>
  <c r="D10" i="229"/>
  <c r="G7" i="156"/>
  <c r="M6" i="105"/>
  <c r="H7" i="173"/>
  <c r="G5" i="267"/>
  <c r="H9" i="193"/>
  <c r="K19" i="193"/>
  <c r="P13" i="123"/>
  <c r="Q13" i="123" s="1"/>
  <c r="J16" i="146"/>
  <c r="P8" i="135"/>
  <c r="Q8" i="135" s="1"/>
  <c r="F10" i="171"/>
  <c r="H23" i="213"/>
  <c r="H5" i="91"/>
  <c r="L8" i="97"/>
  <c r="N8" i="131"/>
  <c r="K7" i="174"/>
  <c r="N14" i="106"/>
  <c r="D9" i="236"/>
  <c r="L14" i="146"/>
  <c r="N8" i="95"/>
  <c r="F5" i="226"/>
  <c r="N5" i="105"/>
  <c r="K17" i="236"/>
  <c r="D5" i="228"/>
  <c r="P7" i="101"/>
  <c r="Q7" i="101" s="1"/>
  <c r="H9" i="195"/>
  <c r="P7" i="135"/>
  <c r="Q7" i="135" s="1"/>
  <c r="L5" i="175"/>
  <c r="N7" i="95"/>
  <c r="J9" i="101"/>
  <c r="P5" i="144"/>
  <c r="Q5" i="144" s="1"/>
  <c r="D9" i="137"/>
  <c r="K5" i="175"/>
  <c r="G6" i="223"/>
  <c r="M7" i="139"/>
  <c r="N7" i="137"/>
  <c r="J7" i="259"/>
  <c r="F6" i="103"/>
  <c r="D18" i="146"/>
  <c r="D12" i="123"/>
  <c r="F5" i="135"/>
  <c r="M5" i="263"/>
  <c r="P7" i="157"/>
  <c r="Q7" i="157" s="1"/>
  <c r="H5" i="304"/>
  <c r="K5" i="101"/>
  <c r="H13" i="123"/>
  <c r="D16" i="213"/>
  <c r="P5" i="143"/>
  <c r="Q5" i="143" s="1"/>
  <c r="D9" i="144"/>
  <c r="K10" i="124"/>
  <c r="M17" i="213"/>
  <c r="D6" i="218"/>
  <c r="K5" i="144"/>
  <c r="P8" i="137"/>
  <c r="Q8" i="137" s="1"/>
  <c r="K5" i="250"/>
  <c r="M7" i="328"/>
  <c r="G12" i="165"/>
  <c r="K12" i="280"/>
  <c r="H8" i="154"/>
  <c r="H11" i="199"/>
  <c r="M5" i="84"/>
  <c r="L5" i="94"/>
  <c r="M7" i="187"/>
  <c r="P7" i="295"/>
  <c r="Q7" i="295" s="1"/>
  <c r="Q8" i="295" s="1"/>
  <c r="D5" i="157"/>
  <c r="F7" i="162"/>
  <c r="M6" i="139"/>
  <c r="G5" i="190"/>
  <c r="N9" i="162"/>
  <c r="F8" i="94"/>
  <c r="L14" i="200"/>
  <c r="D5" i="296"/>
  <c r="D10" i="200"/>
  <c r="H7" i="328"/>
  <c r="M7" i="97"/>
  <c r="D5" i="195"/>
  <c r="K10" i="202"/>
  <c r="K8" i="194"/>
  <c r="D5" i="133"/>
  <c r="G8" i="198"/>
  <c r="J5" i="303"/>
  <c r="D7" i="157"/>
  <c r="J6" i="93"/>
  <c r="G5" i="296"/>
  <c r="G5" i="137"/>
  <c r="G19" i="128"/>
  <c r="H5" i="302"/>
  <c r="J11" i="123"/>
  <c r="L11" i="159"/>
  <c r="P6" i="218"/>
  <c r="Q6" i="218" s="1"/>
  <c r="N8" i="171"/>
  <c r="P23" i="128"/>
  <c r="Q23" i="128" s="1"/>
  <c r="J8" i="95"/>
  <c r="K7" i="154"/>
  <c r="D9" i="235"/>
  <c r="K5" i="105"/>
  <c r="J8" i="154"/>
  <c r="M5" i="300"/>
  <c r="L7" i="311"/>
  <c r="H5" i="105"/>
  <c r="M8" i="105"/>
  <c r="L14" i="236"/>
  <c r="N17" i="128"/>
  <c r="H10" i="193"/>
  <c r="H7" i="133"/>
  <c r="L6" i="103"/>
  <c r="H7" i="174"/>
  <c r="L6" i="135"/>
  <c r="J8" i="135"/>
  <c r="K5" i="104"/>
  <c r="J5" i="135"/>
  <c r="J20" i="213"/>
  <c r="D9" i="94"/>
  <c r="D19" i="146"/>
  <c r="G15" i="123"/>
  <c r="G7" i="84"/>
  <c r="K15" i="163"/>
  <c r="F13" i="146"/>
  <c r="L7" i="312"/>
  <c r="D16" i="146"/>
  <c r="F7" i="124"/>
  <c r="D6" i="133"/>
  <c r="N5" i="197"/>
  <c r="N7" i="228"/>
  <c r="G5" i="165"/>
  <c r="G15" i="128"/>
  <c r="J8" i="205"/>
  <c r="P11" i="159"/>
  <c r="Q11" i="159" s="1"/>
  <c r="H5" i="93"/>
  <c r="N5" i="198"/>
  <c r="M8" i="142"/>
  <c r="F5" i="296"/>
  <c r="H7" i="205"/>
  <c r="N15" i="146"/>
  <c r="D9" i="198"/>
  <c r="K24" i="128"/>
  <c r="N13" i="193"/>
  <c r="L8" i="228"/>
  <c r="G5" i="155"/>
  <c r="G18" i="193"/>
  <c r="H7" i="131"/>
  <c r="H11" i="201"/>
  <c r="H17" i="236"/>
  <c r="M6" i="145"/>
  <c r="H14" i="128"/>
  <c r="L5" i="145"/>
  <c r="L7" i="137"/>
  <c r="L9" i="144"/>
  <c r="G12" i="201"/>
  <c r="G7" i="259"/>
  <c r="J19" i="127"/>
  <c r="G24" i="193"/>
  <c r="L12" i="163"/>
  <c r="D5" i="105"/>
  <c r="G7" i="124"/>
  <c r="F20" i="213"/>
  <c r="D5" i="156"/>
  <c r="J9" i="193"/>
  <c r="L20" i="163"/>
  <c r="F7" i="246"/>
  <c r="F7" i="217"/>
  <c r="M5" i="304"/>
  <c r="K5" i="145"/>
  <c r="L13" i="128"/>
  <c r="J21" i="146"/>
  <c r="P7" i="205"/>
  <c r="Q7" i="205" s="1"/>
  <c r="L9" i="284"/>
  <c r="L8" i="156"/>
  <c r="J7" i="187"/>
  <c r="M15" i="193"/>
  <c r="N11" i="159"/>
  <c r="M10" i="163"/>
  <c r="G10" i="281"/>
  <c r="K7" i="309"/>
  <c r="L8" i="230"/>
  <c r="K14" i="128"/>
  <c r="J28" i="177"/>
  <c r="L12" i="202"/>
  <c r="G24" i="128"/>
  <c r="F14" i="193"/>
  <c r="K8" i="145"/>
  <c r="M6" i="202"/>
  <c r="F5" i="97"/>
  <c r="P11" i="199"/>
  <c r="Q11" i="199" s="1"/>
  <c r="D8" i="164"/>
  <c r="G16" i="236"/>
  <c r="G22" i="236"/>
  <c r="D11" i="146"/>
  <c r="L5" i="249"/>
  <c r="H11" i="229"/>
  <c r="L7" i="325"/>
  <c r="G8" i="189"/>
  <c r="F8" i="187"/>
  <c r="J5" i="195"/>
  <c r="J9" i="284"/>
  <c r="P7" i="145"/>
  <c r="Q7" i="145" s="1"/>
  <c r="H9" i="229"/>
  <c r="J5" i="190"/>
  <c r="H19" i="236"/>
  <c r="N7" i="97"/>
  <c r="J20" i="128"/>
  <c r="G9" i="189"/>
  <c r="L17" i="193"/>
  <c r="F15" i="165"/>
  <c r="M7" i="131"/>
  <c r="M7" i="190"/>
  <c r="M8" i="205"/>
  <c r="P11" i="201"/>
  <c r="Q11" i="201" s="1"/>
  <c r="G8" i="194"/>
  <c r="N8" i="157"/>
  <c r="D9" i="180"/>
  <c r="L7" i="269"/>
  <c r="L13" i="201"/>
  <c r="N7" i="202"/>
  <c r="N5" i="228"/>
  <c r="F18" i="163"/>
  <c r="L5" i="162"/>
  <c r="H6" i="133"/>
  <c r="F6" i="133"/>
  <c r="F19" i="127"/>
  <c r="M14" i="236"/>
  <c r="P5" i="91"/>
  <c r="Q5" i="91" s="1"/>
  <c r="Q13" i="91" s="1"/>
  <c r="P6" i="83" s="1"/>
  <c r="Q6" i="83" s="1"/>
  <c r="L7" i="95"/>
  <c r="N7" i="173"/>
  <c r="M13" i="106"/>
  <c r="F5" i="304"/>
  <c r="G10" i="232"/>
  <c r="N9" i="280"/>
  <c r="G8" i="180"/>
  <c r="N5" i="294"/>
  <c r="N5" i="97"/>
  <c r="M11" i="150"/>
  <c r="M8" i="232"/>
  <c r="N7" i="313"/>
  <c r="J9" i="288"/>
  <c r="L6" i="202"/>
  <c r="P5" i="140"/>
  <c r="Q5" i="140" s="1"/>
  <c r="K11" i="146"/>
  <c r="H5" i="133"/>
  <c r="N10" i="193"/>
  <c r="H13" i="163"/>
  <c r="H8" i="235"/>
  <c r="G5" i="195"/>
  <c r="G8" i="234"/>
  <c r="M9" i="193"/>
  <c r="L9" i="235"/>
  <c r="M8" i="189"/>
  <c r="F5" i="229"/>
  <c r="K15" i="128"/>
  <c r="L5" i="195"/>
  <c r="M7" i="157"/>
  <c r="J6" i="131"/>
  <c r="J6" i="270"/>
  <c r="L9" i="128"/>
  <c r="D7" i="94"/>
  <c r="G5" i="199"/>
  <c r="M17" i="236"/>
  <c r="H5" i="205"/>
  <c r="M11" i="146"/>
  <c r="K15" i="200"/>
  <c r="H14" i="200"/>
  <c r="F22" i="213"/>
  <c r="M7" i="124"/>
  <c r="N12" i="150"/>
  <c r="G16" i="146"/>
  <c r="J9" i="162"/>
  <c r="D5" i="164"/>
  <c r="G5" i="171"/>
  <c r="D17" i="193"/>
  <c r="F11" i="163"/>
  <c r="M5" i="189"/>
  <c r="N21" i="128"/>
  <c r="M5" i="96"/>
  <c r="N6" i="154"/>
  <c r="M7" i="103"/>
  <c r="J5" i="102"/>
  <c r="N13" i="83"/>
  <c r="H13" i="298"/>
  <c r="D6" i="173"/>
  <c r="P7" i="142"/>
  <c r="Q7" i="142" s="1"/>
  <c r="F14" i="298"/>
  <c r="F5" i="142"/>
  <c r="K7" i="144"/>
  <c r="L6" i="137"/>
  <c r="H10" i="298"/>
  <c r="N15" i="90"/>
  <c r="K8" i="102"/>
  <c r="K5" i="299"/>
  <c r="P11" i="229"/>
  <c r="Q11" i="229" s="1"/>
  <c r="G5" i="168"/>
  <c r="F17" i="163"/>
  <c r="J6" i="229"/>
  <c r="P5" i="299"/>
  <c r="Q5" i="299" s="1"/>
  <c r="N8" i="133"/>
  <c r="K5" i="202"/>
  <c r="M12" i="193"/>
  <c r="J5" i="145"/>
  <c r="F9" i="235"/>
  <c r="H8" i="149"/>
  <c r="L15" i="200"/>
  <c r="H7" i="230"/>
  <c r="H5" i="181"/>
  <c r="H8" i="156"/>
  <c r="F6" i="228"/>
  <c r="K8" i="234"/>
  <c r="J12" i="202"/>
  <c r="K7" i="165"/>
  <c r="F20" i="163"/>
  <c r="H18" i="128"/>
  <c r="N5" i="300"/>
  <c r="L6" i="149"/>
  <c r="G9" i="94"/>
  <c r="G7" i="198"/>
  <c r="F6" i="162"/>
  <c r="P5" i="197"/>
  <c r="Q5" i="197" s="1"/>
  <c r="Q13" i="197" s="1"/>
  <c r="P6" i="128" s="1"/>
  <c r="Q6" i="128" s="1"/>
  <c r="L20" i="236"/>
  <c r="F7" i="156"/>
  <c r="N24" i="128"/>
  <c r="F12" i="146"/>
  <c r="G17" i="193"/>
  <c r="D12" i="83"/>
  <c r="K18" i="236"/>
  <c r="M7" i="105"/>
  <c r="M6" i="143"/>
  <c r="D8" i="123"/>
  <c r="L7" i="230"/>
  <c r="L5" i="157"/>
  <c r="G11" i="159"/>
  <c r="N10" i="146"/>
  <c r="D6" i="101"/>
  <c r="K12" i="202"/>
  <c r="L11" i="202"/>
  <c r="M5" i="228"/>
  <c r="H12" i="128"/>
  <c r="J8" i="157"/>
  <c r="J19" i="163"/>
  <c r="G20" i="163"/>
  <c r="G17" i="200"/>
  <c r="N5" i="175"/>
  <c r="K7" i="142"/>
  <c r="K5" i="124"/>
  <c r="D7" i="187"/>
  <c r="D6" i="93"/>
  <c r="J9" i="199"/>
  <c r="J6" i="94"/>
  <c r="P15" i="90"/>
  <c r="Q15" i="90" s="1"/>
  <c r="H14" i="298"/>
  <c r="M5" i="135"/>
  <c r="H6" i="171"/>
  <c r="N5" i="140"/>
  <c r="M7" i="218"/>
  <c r="G5" i="94"/>
  <c r="H11" i="123"/>
  <c r="L5" i="131"/>
  <c r="H11" i="212"/>
  <c r="F5" i="218"/>
  <c r="L8" i="124"/>
  <c r="M7" i="154"/>
  <c r="J18" i="213"/>
  <c r="N8" i="123"/>
  <c r="F23" i="213"/>
  <c r="J5" i="144"/>
  <c r="L5" i="91"/>
  <c r="D5" i="220"/>
  <c r="D7" i="205"/>
  <c r="M9" i="202"/>
  <c r="D5" i="142"/>
  <c r="K6" i="123"/>
  <c r="L8" i="135"/>
  <c r="P5" i="102"/>
  <c r="Q5" i="102" s="1"/>
  <c r="N8" i="97"/>
  <c r="H12" i="202"/>
  <c r="H5" i="156"/>
  <c r="H24" i="128"/>
  <c r="P5" i="131"/>
  <c r="Q5" i="131" s="1"/>
  <c r="H5" i="301"/>
  <c r="L8" i="187"/>
  <c r="F7" i="317"/>
  <c r="J5" i="229"/>
  <c r="H12" i="201"/>
  <c r="J7" i="165"/>
  <c r="G25" i="193"/>
  <c r="G19" i="146"/>
  <c r="K22" i="128"/>
  <c r="F8" i="101"/>
  <c r="N17" i="146"/>
  <c r="J21" i="128"/>
  <c r="N20" i="193"/>
  <c r="P11" i="165"/>
  <c r="Q11" i="165" s="1"/>
  <c r="D13" i="200"/>
  <c r="N5" i="145"/>
  <c r="N7" i="148"/>
  <c r="K7" i="94"/>
  <c r="P8" i="199"/>
  <c r="Q8" i="199" s="1"/>
  <c r="M16" i="146"/>
  <c r="M5" i="141"/>
  <c r="N7" i="195"/>
  <c r="H12" i="83"/>
  <c r="L5" i="148"/>
  <c r="H15" i="128"/>
  <c r="H7" i="319"/>
  <c r="K5" i="185"/>
  <c r="P6" i="205"/>
  <c r="Q6" i="205" s="1"/>
  <c r="D12" i="159"/>
  <c r="L14" i="165"/>
  <c r="D8" i="142"/>
  <c r="H9" i="145"/>
  <c r="D14" i="201"/>
  <c r="P8" i="144"/>
  <c r="Q8" i="144" s="1"/>
  <c r="H25" i="193"/>
  <c r="N15" i="201"/>
  <c r="H6" i="162"/>
  <c r="J11" i="179"/>
  <c r="P26" i="128"/>
  <c r="Q26" i="128" s="1"/>
  <c r="N7" i="188"/>
  <c r="K6" i="301"/>
  <c r="N14" i="193"/>
  <c r="P7" i="95"/>
  <c r="Q7" i="95" s="1"/>
  <c r="N23" i="193"/>
  <c r="D5" i="197"/>
  <c r="K6" i="202"/>
  <c r="H8" i="148"/>
  <c r="J16" i="163"/>
  <c r="M6" i="204"/>
  <c r="D17" i="128"/>
  <c r="G15" i="163"/>
  <c r="P27" i="128"/>
  <c r="Q27" i="128" s="1"/>
  <c r="L27" i="128"/>
  <c r="P5" i="304"/>
  <c r="Q5" i="304" s="1"/>
  <c r="Q14" i="304" s="1"/>
  <c r="P7" i="236" s="1"/>
  <c r="Q7" i="236" s="1"/>
  <c r="P6" i="144"/>
  <c r="Q6" i="144" s="1"/>
  <c r="J8" i="311"/>
  <c r="J5" i="133"/>
  <c r="H9" i="202"/>
  <c r="L22" i="236"/>
  <c r="J27" i="128"/>
  <c r="N8" i="205"/>
  <c r="G7" i="215"/>
  <c r="J13" i="83"/>
  <c r="G10" i="124"/>
  <c r="F5" i="92"/>
  <c r="K9" i="145"/>
  <c r="F13" i="163"/>
  <c r="F25" i="128"/>
  <c r="F21" i="163"/>
  <c r="D8" i="234"/>
  <c r="N18" i="163"/>
  <c r="J6" i="145"/>
  <c r="H5" i="228"/>
  <c r="K18" i="146"/>
  <c r="P5" i="98"/>
  <c r="Q5" i="98" s="1"/>
  <c r="M5" i="148"/>
  <c r="K8" i="95"/>
  <c r="K11" i="236"/>
  <c r="H6" i="224"/>
  <c r="P16" i="200"/>
  <c r="Q16" i="200" s="1"/>
  <c r="K7" i="123"/>
  <c r="D9" i="195"/>
  <c r="M10" i="124"/>
  <c r="N5" i="304"/>
  <c r="H5" i="142"/>
  <c r="G8" i="95"/>
  <c r="G10" i="163"/>
  <c r="G7" i="98"/>
  <c r="H6" i="143"/>
  <c r="G7" i="217"/>
  <c r="H14" i="213"/>
  <c r="P8" i="313"/>
  <c r="Q8" i="313" s="1"/>
  <c r="P6" i="98"/>
  <c r="Q6" i="98" s="1"/>
  <c r="M12" i="106"/>
  <c r="M23" i="213"/>
  <c r="G5" i="224"/>
  <c r="J5" i="143"/>
  <c r="J5" i="105"/>
  <c r="J6" i="171"/>
  <c r="F13" i="48"/>
  <c r="J15" i="200"/>
  <c r="J23" i="193"/>
  <c r="P5" i="209"/>
  <c r="Q5" i="209" s="1"/>
  <c r="N8" i="164"/>
  <c r="H11" i="83"/>
  <c r="D20" i="193"/>
  <c r="K5" i="228"/>
  <c r="D8" i="235"/>
  <c r="L15" i="128"/>
  <c r="K14" i="165"/>
  <c r="M7" i="94"/>
  <c r="K16" i="146"/>
  <c r="H13" i="193"/>
  <c r="P8" i="164"/>
  <c r="Q8" i="164" s="1"/>
  <c r="K12" i="128"/>
  <c r="D12" i="201"/>
  <c r="N5" i="303"/>
  <c r="H6" i="155"/>
  <c r="N9" i="232"/>
  <c r="G7" i="145"/>
  <c r="J23" i="236"/>
  <c r="F8" i="156"/>
  <c r="H5" i="303"/>
  <c r="K8" i="313"/>
  <c r="P5" i="100"/>
  <c r="Q5" i="100" s="1"/>
  <c r="Q9" i="100" s="1"/>
  <c r="P12" i="85" s="1"/>
  <c r="Q12" i="85" s="1"/>
  <c r="N11" i="150"/>
  <c r="P6" i="229"/>
  <c r="Q6" i="229" s="1"/>
  <c r="J5" i="196"/>
  <c r="D7" i="156"/>
  <c r="J7" i="195"/>
  <c r="J17" i="236"/>
  <c r="H15" i="146"/>
  <c r="G5" i="198"/>
  <c r="N8" i="137"/>
  <c r="K7" i="105"/>
  <c r="L7" i="135"/>
  <c r="D9" i="123"/>
  <c r="M5" i="131"/>
  <c r="H8" i="157"/>
  <c r="M10" i="123"/>
  <c r="H7" i="145"/>
  <c r="N16" i="146"/>
  <c r="P5" i="92"/>
  <c r="Q5" i="92" s="1"/>
  <c r="Q16" i="92" s="1"/>
  <c r="P9" i="83" s="1"/>
  <c r="Q9" i="83" s="1"/>
  <c r="K11" i="201"/>
  <c r="N6" i="102"/>
  <c r="J8" i="97"/>
  <c r="J8" i="180"/>
  <c r="D5" i="96"/>
  <c r="J9" i="163"/>
  <c r="J5" i="296"/>
  <c r="M5" i="123"/>
  <c r="G19" i="127"/>
  <c r="G7" i="246"/>
  <c r="D19" i="128"/>
  <c r="N10" i="267"/>
  <c r="K6" i="145"/>
  <c r="P8" i="298"/>
  <c r="Q8" i="298" s="1"/>
  <c r="H8" i="143"/>
  <c r="J12" i="106"/>
  <c r="F6" i="301"/>
  <c r="F8" i="104"/>
  <c r="G5" i="134"/>
  <c r="J7" i="330"/>
  <c r="K6" i="175"/>
  <c r="J9" i="143"/>
  <c r="D9" i="232"/>
  <c r="P7" i="259"/>
  <c r="Q7" i="259" s="1"/>
  <c r="J23" i="213"/>
  <c r="H5" i="97"/>
  <c r="F9" i="162"/>
  <c r="D13" i="106"/>
  <c r="K10" i="171"/>
  <c r="M16" i="213"/>
  <c r="J17" i="298"/>
  <c r="K7" i="84"/>
  <c r="K7" i="312"/>
  <c r="G7" i="101"/>
  <c r="H8" i="94"/>
  <c r="K5" i="301"/>
  <c r="H6" i="175"/>
  <c r="K5" i="98"/>
  <c r="J8" i="143"/>
  <c r="L5" i="105"/>
  <c r="H8" i="189"/>
  <c r="K5" i="302"/>
  <c r="J7" i="290"/>
  <c r="F25" i="193"/>
  <c r="H9" i="236"/>
  <c r="J9" i="235"/>
  <c r="P11" i="179"/>
  <c r="Q11" i="179" s="1"/>
  <c r="L6" i="164"/>
  <c r="H17" i="128"/>
  <c r="G6" i="229"/>
  <c r="J11" i="200"/>
  <c r="F7" i="230"/>
  <c r="P5" i="270"/>
  <c r="Q5" i="270" s="1"/>
  <c r="K10" i="199"/>
  <c r="G9" i="193"/>
  <c r="M21" i="236"/>
  <c r="J8" i="199"/>
  <c r="D6" i="147"/>
  <c r="G10" i="128"/>
  <c r="H7" i="199"/>
  <c r="F7" i="105"/>
  <c r="N16" i="200"/>
  <c r="H5" i="140"/>
  <c r="J7" i="133"/>
  <c r="F7" i="326"/>
  <c r="H8" i="123"/>
  <c r="G5" i="84"/>
  <c r="P10" i="285"/>
  <c r="Q10" i="285" s="1"/>
  <c r="F20" i="236"/>
  <c r="L5" i="141"/>
  <c r="K8" i="205"/>
  <c r="F16" i="146"/>
  <c r="M5" i="185"/>
  <c r="K10" i="163"/>
  <c r="D14" i="213"/>
  <c r="P6" i="175"/>
  <c r="Q6" i="175" s="1"/>
  <c r="M6" i="224"/>
  <c r="P8" i="131"/>
  <c r="Q8" i="131" s="1"/>
  <c r="M7" i="148"/>
  <c r="D13" i="128"/>
  <c r="L9" i="198"/>
  <c r="M9" i="232"/>
  <c r="H8" i="93"/>
  <c r="P13" i="236"/>
  <c r="Q13" i="236" s="1"/>
  <c r="H11" i="150"/>
  <c r="G5" i="91"/>
  <c r="J6" i="144"/>
  <c r="F8" i="232"/>
  <c r="J8" i="137"/>
  <c r="M6" i="195"/>
  <c r="D5" i="267"/>
  <c r="K6" i="105"/>
  <c r="N5" i="186"/>
  <c r="M6" i="301"/>
  <c r="P15" i="163"/>
  <c r="Q15" i="163" s="1"/>
  <c r="N11" i="200"/>
  <c r="F5" i="228"/>
  <c r="J25" i="193"/>
  <c r="F9" i="193"/>
  <c r="G5" i="314"/>
  <c r="G5" i="300"/>
  <c r="M8" i="194"/>
  <c r="F5" i="148"/>
  <c r="G7" i="199"/>
  <c r="L6" i="123"/>
  <c r="N13" i="200"/>
  <c r="L6" i="131"/>
  <c r="G7" i="104"/>
  <c r="P11" i="146"/>
  <c r="Q11" i="146" s="1"/>
  <c r="D5" i="84"/>
  <c r="F9" i="146"/>
  <c r="N18" i="146"/>
  <c r="L21" i="163"/>
  <c r="N8" i="98"/>
  <c r="M8" i="154"/>
  <c r="F7" i="135"/>
  <c r="K7" i="230"/>
  <c r="G21" i="146"/>
  <c r="N6" i="144"/>
  <c r="P20" i="193"/>
  <c r="Q20" i="193" s="1"/>
  <c r="L5" i="304"/>
  <c r="J7" i="311"/>
  <c r="L8" i="157"/>
  <c r="K5" i="97"/>
  <c r="H5" i="204"/>
  <c r="K12" i="123"/>
  <c r="M12" i="128"/>
  <c r="K9" i="94"/>
  <c r="D5" i="140"/>
  <c r="N20" i="163"/>
  <c r="J5" i="202"/>
  <c r="K14" i="236"/>
  <c r="H10" i="163"/>
  <c r="D11" i="159"/>
  <c r="J6" i="95"/>
  <c r="K5" i="155"/>
  <c r="H5" i="294"/>
  <c r="M6" i="135"/>
  <c r="H9" i="146"/>
  <c r="L5" i="205"/>
  <c r="N6" i="301"/>
  <c r="F5" i="98"/>
  <c r="G8" i="214"/>
  <c r="M5" i="102"/>
  <c r="M5" i="103"/>
  <c r="F8" i="103"/>
  <c r="K7" i="97"/>
  <c r="K5" i="137"/>
  <c r="J9" i="194"/>
  <c r="H5" i="162"/>
  <c r="J6" i="330"/>
  <c r="J12" i="128"/>
  <c r="H19" i="213"/>
  <c r="F7" i="247"/>
  <c r="J8" i="103"/>
  <c r="K8" i="232"/>
  <c r="F17" i="298"/>
  <c r="M6" i="142"/>
  <c r="G14" i="236"/>
  <c r="F8" i="139"/>
  <c r="N18" i="267"/>
  <c r="G22" i="213"/>
  <c r="D5" i="104"/>
  <c r="D5" i="174"/>
  <c r="D5" i="226"/>
  <c r="N10" i="128"/>
  <c r="G7" i="228"/>
  <c r="J8" i="195"/>
  <c r="G7" i="94"/>
  <c r="L7" i="291"/>
  <c r="D7" i="233"/>
  <c r="G7" i="143"/>
  <c r="K14" i="163"/>
  <c r="K7" i="133"/>
  <c r="N8" i="189"/>
  <c r="N13" i="123"/>
  <c r="G5" i="197"/>
  <c r="K26" i="128"/>
  <c r="G9" i="145"/>
  <c r="J10" i="236"/>
  <c r="J17" i="193"/>
  <c r="K10" i="286"/>
  <c r="G5" i="228"/>
  <c r="H7" i="325"/>
  <c r="J6" i="98"/>
  <c r="M17" i="200"/>
  <c r="P10" i="128"/>
  <c r="Q10" i="128" s="1"/>
  <c r="L10" i="179"/>
  <c r="F7" i="259"/>
  <c r="J5" i="156"/>
  <c r="N8" i="229"/>
  <c r="N12" i="128"/>
  <c r="N26" i="128"/>
  <c r="H6" i="229"/>
  <c r="M17" i="146"/>
  <c r="L7" i="189"/>
  <c r="N7" i="133"/>
  <c r="D7" i="295"/>
  <c r="H10" i="146"/>
  <c r="L8" i="154"/>
  <c r="K6" i="157"/>
  <c r="H15" i="90"/>
  <c r="G12" i="159"/>
  <c r="L11" i="193"/>
  <c r="F13" i="123"/>
  <c r="H11" i="146"/>
  <c r="M8" i="162"/>
  <c r="N24" i="193"/>
  <c r="P19" i="127"/>
  <c r="Q19" i="127" s="1"/>
  <c r="G13" i="200"/>
  <c r="K9" i="232"/>
  <c r="G5" i="162"/>
  <c r="F14" i="236"/>
  <c r="L7" i="217"/>
  <c r="K12" i="201"/>
  <c r="L7" i="173"/>
  <c r="K27" i="128"/>
  <c r="F5" i="188"/>
  <c r="J8" i="258"/>
  <c r="G9" i="190"/>
  <c r="G7" i="295"/>
  <c r="L6" i="143"/>
  <c r="L17" i="163"/>
  <c r="M12" i="83"/>
  <c r="P11" i="200"/>
  <c r="Q11" i="200" s="1"/>
  <c r="M7" i="180"/>
  <c r="L9" i="288"/>
  <c r="P5" i="181"/>
  <c r="Q5" i="181" s="1"/>
  <c r="Q18" i="181" s="1"/>
  <c r="M10" i="146"/>
  <c r="P7" i="323"/>
  <c r="Q7" i="323" s="1"/>
  <c r="K8" i="94"/>
  <c r="D8" i="95"/>
  <c r="N7" i="311"/>
  <c r="M10" i="232"/>
  <c r="M7" i="198"/>
  <c r="N9" i="103"/>
  <c r="M6" i="93"/>
  <c r="P8" i="180"/>
  <c r="Q8" i="180" s="1"/>
  <c r="L8" i="148"/>
  <c r="M8" i="164"/>
  <c r="J6" i="133"/>
  <c r="L5" i="301"/>
  <c r="K8" i="97"/>
  <c r="J6" i="204"/>
  <c r="J5" i="91"/>
  <c r="N13" i="146"/>
  <c r="H21" i="163"/>
  <c r="H5" i="154"/>
  <c r="D11" i="199"/>
  <c r="D8" i="101"/>
  <c r="N23" i="236"/>
  <c r="J11" i="236"/>
  <c r="H5" i="195"/>
  <c r="H6" i="145"/>
  <c r="P29" i="128"/>
  <c r="Q29" i="128" s="1"/>
  <c r="P8" i="98"/>
  <c r="Q8" i="98" s="1"/>
  <c r="M5" i="91"/>
  <c r="N20" i="267"/>
  <c r="P15" i="146"/>
  <c r="Q15" i="146" s="1"/>
  <c r="L5" i="296"/>
  <c r="P6" i="94"/>
  <c r="Q6" i="94" s="1"/>
  <c r="H16" i="163"/>
  <c r="J7" i="148"/>
  <c r="J5" i="199"/>
  <c r="F5" i="134"/>
  <c r="J5" i="162"/>
  <c r="G6" i="145"/>
  <c r="N5" i="100"/>
  <c r="G6" i="162"/>
  <c r="M8" i="103"/>
  <c r="J7" i="217"/>
  <c r="D29" i="128"/>
  <c r="L5" i="223"/>
  <c r="K5" i="245"/>
  <c r="H8" i="142"/>
  <c r="F8" i="93"/>
  <c r="D7" i="142"/>
  <c r="M20" i="146"/>
  <c r="P7" i="133"/>
  <c r="Q7" i="133" s="1"/>
  <c r="K6" i="133"/>
  <c r="M5" i="197"/>
  <c r="F27" i="128"/>
  <c r="P7" i="189"/>
  <c r="Q7" i="189" s="1"/>
  <c r="P7" i="171"/>
  <c r="Q7" i="171" s="1"/>
  <c r="P5" i="303"/>
  <c r="Q5" i="303" s="1"/>
  <c r="Q11" i="303" s="1"/>
  <c r="F13" i="200"/>
  <c r="K17" i="163"/>
  <c r="M6" i="101"/>
  <c r="M9" i="195"/>
  <c r="D7" i="124"/>
  <c r="K5" i="139"/>
  <c r="M7" i="133"/>
  <c r="L5" i="300"/>
  <c r="P6" i="165"/>
  <c r="Q6" i="165" s="1"/>
  <c r="G23" i="236"/>
  <c r="L12" i="83"/>
  <c r="G15" i="90"/>
  <c r="K15" i="123"/>
  <c r="J6" i="301"/>
  <c r="N8" i="144"/>
  <c r="D5" i="204"/>
  <c r="F17" i="128"/>
  <c r="P20" i="146"/>
  <c r="Q20" i="146" s="1"/>
  <c r="H17" i="163"/>
  <c r="P6" i="157"/>
  <c r="Q6" i="157" s="1"/>
  <c r="N9" i="287"/>
  <c r="K9" i="287"/>
  <c r="J6" i="101"/>
  <c r="L12" i="236"/>
  <c r="G6" i="124"/>
  <c r="P5" i="296"/>
  <c r="Q5" i="296" s="1"/>
  <c r="Q14" i="296" s="1"/>
  <c r="H7" i="312"/>
  <c r="M29" i="128"/>
  <c r="M9" i="142"/>
  <c r="N8" i="195"/>
  <c r="M8" i="148"/>
  <c r="N5" i="91"/>
  <c r="G5" i="96"/>
  <c r="G11" i="193"/>
  <c r="K16" i="236"/>
  <c r="P5" i="205"/>
  <c r="Q5" i="205" s="1"/>
  <c r="H7" i="95"/>
  <c r="K10" i="212"/>
  <c r="N8" i="234"/>
  <c r="M7" i="230"/>
  <c r="H8" i="98"/>
  <c r="H5" i="173"/>
  <c r="H17" i="298"/>
  <c r="P7" i="137"/>
  <c r="Q7" i="137" s="1"/>
  <c r="L7" i="124"/>
  <c r="G12" i="193"/>
  <c r="N16" i="201"/>
  <c r="M14" i="200"/>
  <c r="L5" i="156"/>
  <c r="N14" i="200"/>
  <c r="K18" i="128"/>
  <c r="H17" i="201"/>
  <c r="M7" i="195"/>
  <c r="J15" i="236"/>
  <c r="K5" i="197"/>
  <c r="H6" i="101"/>
  <c r="L20" i="193"/>
  <c r="D11" i="123"/>
  <c r="M5" i="145"/>
  <c r="M9" i="236"/>
  <c r="F18" i="236"/>
  <c r="N7" i="198"/>
  <c r="F5" i="196"/>
  <c r="K10" i="229"/>
  <c r="M7" i="189"/>
  <c r="P23" i="193"/>
  <c r="Q23" i="193" s="1"/>
  <c r="H6" i="135"/>
  <c r="N6" i="139"/>
  <c r="P8" i="228"/>
  <c r="Q8" i="228" s="1"/>
  <c r="G8" i="123"/>
  <c r="K11" i="198"/>
  <c r="K7" i="139"/>
  <c r="K5" i="91"/>
  <c r="K5" i="164"/>
  <c r="H7" i="103"/>
  <c r="D5" i="303"/>
  <c r="P12" i="200"/>
  <c r="Q12" i="200" s="1"/>
  <c r="J12" i="201"/>
  <c r="N17" i="112"/>
  <c r="P8" i="190"/>
  <c r="Q8" i="190" s="1"/>
  <c r="L8" i="255"/>
  <c r="K10" i="179"/>
  <c r="P11" i="193"/>
  <c r="Q11" i="193" s="1"/>
  <c r="L14" i="163"/>
  <c r="L6" i="204"/>
  <c r="D6" i="164"/>
  <c r="J13" i="128"/>
  <c r="D11" i="163"/>
  <c r="H7" i="311"/>
  <c r="N18" i="213"/>
  <c r="H5" i="137"/>
  <c r="M17" i="163"/>
  <c r="L12" i="201"/>
  <c r="H6" i="190"/>
  <c r="M9" i="198"/>
  <c r="L9" i="232"/>
  <c r="K20" i="236"/>
  <c r="N17" i="200"/>
  <c r="H6" i="156"/>
  <c r="F5" i="149"/>
  <c r="L6" i="195"/>
  <c r="L5" i="198"/>
  <c r="K9" i="236"/>
  <c r="G5" i="157"/>
  <c r="K19" i="236"/>
  <c r="H10" i="202"/>
  <c r="G5" i="145"/>
  <c r="M5" i="303"/>
  <c r="P6" i="202"/>
  <c r="Q6" i="202" s="1"/>
  <c r="K7" i="131"/>
  <c r="N6" i="143"/>
  <c r="H6" i="263"/>
  <c r="G26" i="128"/>
  <c r="D22" i="236"/>
  <c r="L5" i="196"/>
  <c r="N5" i="229"/>
  <c r="J5" i="92"/>
  <c r="L23" i="236"/>
  <c r="D5" i="205"/>
  <c r="N14" i="163"/>
  <c r="N6" i="205"/>
  <c r="D15" i="128"/>
  <c r="L6" i="270"/>
  <c r="M10" i="198"/>
  <c r="L14" i="201"/>
  <c r="D18" i="236"/>
  <c r="G8" i="229"/>
  <c r="P10" i="202"/>
  <c r="Q10" i="202" s="1"/>
  <c r="P8" i="234"/>
  <c r="Q8" i="234" s="1"/>
  <c r="K19" i="127"/>
  <c r="P15" i="128"/>
  <c r="Q15" i="128" s="1"/>
  <c r="J26" i="128"/>
  <c r="J10" i="199"/>
  <c r="J7" i="164"/>
  <c r="F8" i="180"/>
  <c r="H8" i="131"/>
  <c r="H7" i="154"/>
  <c r="N7" i="139"/>
  <c r="N9" i="199"/>
  <c r="P7" i="94"/>
  <c r="Q7" i="94" s="1"/>
  <c r="L5" i="226"/>
  <c r="H5" i="135"/>
  <c r="F7" i="93"/>
  <c r="P6" i="142"/>
  <c r="Q6" i="142" s="1"/>
  <c r="L13" i="146"/>
  <c r="F8" i="157"/>
  <c r="H6" i="97"/>
  <c r="J13" i="146"/>
  <c r="F7" i="228"/>
  <c r="F5" i="144"/>
  <c r="J6" i="154"/>
  <c r="L6" i="95"/>
  <c r="D5" i="198"/>
  <c r="K15" i="193"/>
  <c r="P9" i="205"/>
  <c r="Q9" i="205" s="1"/>
  <c r="P7" i="98"/>
  <c r="Q7" i="98" s="1"/>
  <c r="P5" i="104"/>
  <c r="Q5" i="104" s="1"/>
  <c r="J7" i="142"/>
  <c r="H8" i="105"/>
  <c r="H5" i="123"/>
  <c r="H8" i="104"/>
  <c r="P6" i="139"/>
  <c r="Q6" i="139" s="1"/>
  <c r="K6" i="171"/>
  <c r="N15" i="123"/>
  <c r="K5" i="93"/>
  <c r="L5" i="100"/>
  <c r="K6" i="94"/>
  <c r="J10" i="124"/>
  <c r="N7" i="102"/>
  <c r="M5" i="226"/>
  <c r="L10" i="124"/>
  <c r="K5" i="131"/>
  <c r="F5" i="162"/>
  <c r="G8" i="228"/>
  <c r="M9" i="103"/>
  <c r="K9" i="123"/>
  <c r="F5" i="138"/>
  <c r="H5" i="226"/>
  <c r="K5" i="220"/>
  <c r="N21" i="236"/>
  <c r="L5" i="93"/>
  <c r="L6" i="219"/>
  <c r="F5" i="95"/>
  <c r="N9" i="146"/>
  <c r="H8" i="103"/>
  <c r="M7" i="330"/>
  <c r="N5" i="103"/>
  <c r="F7" i="312"/>
  <c r="F13" i="128"/>
  <c r="M6" i="263"/>
  <c r="F9" i="101"/>
  <c r="K13" i="123"/>
  <c r="F8" i="97"/>
  <c r="L7" i="98"/>
  <c r="L21" i="236"/>
  <c r="H7" i="248"/>
  <c r="P9" i="235"/>
  <c r="Q9" i="235" s="1"/>
  <c r="P7" i="123"/>
  <c r="Q7" i="123" s="1"/>
  <c r="J5" i="218"/>
  <c r="M8" i="143"/>
  <c r="F5" i="105"/>
  <c r="K5" i="267"/>
  <c r="D7" i="214"/>
  <c r="F5" i="224"/>
  <c r="D7" i="105"/>
  <c r="G5" i="223"/>
  <c r="N5" i="144"/>
  <c r="P18" i="236"/>
  <c r="Q18" i="236" s="1"/>
  <c r="J21" i="236"/>
  <c r="D27" i="128"/>
  <c r="J25" i="128"/>
  <c r="G9" i="236"/>
  <c r="K6" i="195"/>
  <c r="F5" i="221"/>
  <c r="P8" i="97"/>
  <c r="Q8" i="97" s="1"/>
  <c r="M5" i="93"/>
  <c r="N8" i="156"/>
  <c r="G9" i="171"/>
  <c r="G6" i="143"/>
  <c r="N5" i="221"/>
  <c r="D8" i="195"/>
  <c r="D6" i="142"/>
  <c r="P14" i="106"/>
  <c r="Q14" i="106" s="1"/>
  <c r="N5" i="173"/>
  <c r="J12" i="123"/>
  <c r="J7" i="248"/>
  <c r="G7" i="123"/>
  <c r="K6" i="98"/>
  <c r="D10" i="212"/>
  <c r="P11" i="123"/>
  <c r="Q11" i="123" s="1"/>
  <c r="G11" i="171"/>
  <c r="G5" i="105"/>
  <c r="F8" i="298"/>
  <c r="M13" i="83"/>
  <c r="J5" i="141"/>
  <c r="G11" i="83"/>
  <c r="L6" i="301"/>
  <c r="J6" i="137"/>
  <c r="G6" i="97"/>
  <c r="M5" i="95"/>
  <c r="D11" i="171"/>
  <c r="M13" i="123"/>
  <c r="H6" i="123"/>
  <c r="J10" i="298"/>
  <c r="P5" i="174"/>
  <c r="Q5" i="174" s="1"/>
  <c r="L7" i="102"/>
  <c r="M7" i="104"/>
  <c r="D5" i="93"/>
  <c r="P6" i="84"/>
  <c r="Q6" i="84" s="1"/>
  <c r="L19" i="236"/>
  <c r="P9" i="123"/>
  <c r="Q9" i="123" s="1"/>
  <c r="L8" i="143"/>
  <c r="J8" i="162"/>
  <c r="K6" i="218"/>
  <c r="P8" i="124"/>
  <c r="Q8" i="124" s="1"/>
  <c r="F8" i="135"/>
  <c r="F10" i="236"/>
  <c r="J5" i="164"/>
  <c r="F9" i="124"/>
  <c r="M7" i="247"/>
  <c r="J7" i="94"/>
  <c r="L6" i="142"/>
  <c r="K13" i="106"/>
  <c r="N8" i="139"/>
  <c r="P15" i="298"/>
  <c r="Q15" i="298" s="1"/>
  <c r="L8" i="98"/>
  <c r="P5" i="97"/>
  <c r="Q5" i="97" s="1"/>
  <c r="J8" i="234"/>
  <c r="K16" i="200"/>
  <c r="F7" i="137"/>
  <c r="N8" i="135"/>
  <c r="N5" i="139"/>
  <c r="F7" i="101"/>
  <c r="P6" i="162"/>
  <c r="Q6" i="162" s="1"/>
  <c r="L8" i="164"/>
  <c r="H11" i="171"/>
  <c r="F17" i="236"/>
  <c r="D14" i="193"/>
  <c r="L5" i="294"/>
  <c r="L6" i="154"/>
  <c r="P6" i="171"/>
  <c r="Q6" i="171" s="1"/>
  <c r="J8" i="298"/>
  <c r="P12" i="159"/>
  <c r="Q12" i="159" s="1"/>
  <c r="P23" i="236"/>
  <c r="Q23" i="236" s="1"/>
  <c r="J7" i="203"/>
  <c r="D13" i="201"/>
  <c r="G8" i="94"/>
  <c r="H14" i="123"/>
  <c r="P15" i="213"/>
  <c r="Q15" i="213" s="1"/>
  <c r="G16" i="213"/>
  <c r="F6" i="131"/>
  <c r="M5" i="143"/>
  <c r="H7" i="139"/>
  <c r="P7" i="233"/>
  <c r="Q7" i="233" s="1"/>
  <c r="J22" i="213"/>
  <c r="N6" i="223"/>
  <c r="P9" i="124"/>
  <c r="Q9" i="124" s="1"/>
  <c r="M8" i="171"/>
  <c r="P12" i="163"/>
  <c r="Q12" i="163" s="1"/>
  <c r="L9" i="234"/>
  <c r="K19" i="213"/>
  <c r="J5" i="222"/>
  <c r="D13" i="83"/>
  <c r="J6" i="173"/>
  <c r="J6" i="219"/>
  <c r="L13" i="106"/>
  <c r="M6" i="174"/>
  <c r="M5" i="171"/>
  <c r="H5" i="224"/>
  <c r="P11" i="163"/>
  <c r="Q11" i="163" s="1"/>
  <c r="F5" i="102"/>
  <c r="L16" i="213"/>
  <c r="P7" i="313"/>
  <c r="Q7" i="313" s="1"/>
  <c r="N9" i="137"/>
  <c r="D12" i="163"/>
  <c r="L5" i="218"/>
  <c r="L7" i="139"/>
  <c r="F5" i="249"/>
  <c r="F6" i="101"/>
  <c r="P6" i="102"/>
  <c r="Q6" i="102" s="1"/>
  <c r="G14" i="123"/>
  <c r="P6" i="123"/>
  <c r="Q6" i="123" s="1"/>
  <c r="D7" i="104"/>
  <c r="H18" i="236"/>
  <c r="H8" i="102"/>
  <c r="M8" i="94"/>
  <c r="H8" i="164"/>
  <c r="N7" i="215"/>
  <c r="K12" i="159"/>
  <c r="H6" i="157"/>
  <c r="F12" i="106"/>
  <c r="N7" i="124"/>
  <c r="F15" i="123"/>
  <c r="G13" i="83"/>
  <c r="L29" i="128"/>
  <c r="H7" i="165"/>
  <c r="N7" i="233"/>
  <c r="N7" i="259"/>
  <c r="K6" i="104"/>
  <c r="F6" i="102"/>
  <c r="D6" i="330"/>
  <c r="J6" i="124"/>
  <c r="M7" i="248"/>
  <c r="G5" i="330"/>
  <c r="N6" i="155"/>
  <c r="H12" i="123"/>
  <c r="G20" i="236"/>
  <c r="L7" i="216"/>
  <c r="F11" i="171"/>
  <c r="G6" i="219"/>
  <c r="N8" i="267"/>
  <c r="M5" i="101"/>
  <c r="J6" i="143"/>
  <c r="D7" i="101"/>
  <c r="L8" i="105"/>
  <c r="K8" i="143"/>
  <c r="K9" i="235"/>
  <c r="D23" i="213"/>
  <c r="H8" i="137"/>
  <c r="K8" i="135"/>
  <c r="J13" i="236"/>
  <c r="P6" i="137"/>
  <c r="Q6" i="137" s="1"/>
  <c r="D10" i="236"/>
  <c r="F10" i="123"/>
  <c r="G6" i="173"/>
  <c r="G8" i="235"/>
  <c r="K17" i="213"/>
  <c r="D7" i="312"/>
  <c r="M5" i="175"/>
  <c r="D8" i="139"/>
  <c r="K5" i="226"/>
  <c r="D5" i="171"/>
  <c r="G15" i="298"/>
  <c r="K5" i="330"/>
  <c r="N5" i="225"/>
  <c r="F11" i="150"/>
  <c r="L5" i="171"/>
  <c r="F12" i="123"/>
  <c r="P13" i="298"/>
  <c r="Q13" i="298" s="1"/>
  <c r="D5" i="173"/>
  <c r="G6" i="157"/>
  <c r="G6" i="94"/>
  <c r="H5" i="144"/>
  <c r="N6" i="164"/>
  <c r="J7" i="247"/>
  <c r="H6" i="195"/>
  <c r="G7" i="190"/>
  <c r="J5" i="138"/>
  <c r="P5" i="263"/>
  <c r="Q5" i="263" s="1"/>
  <c r="F7" i="214"/>
  <c r="H5" i="249"/>
  <c r="K6" i="154"/>
  <c r="L15" i="163"/>
  <c r="N8" i="142"/>
  <c r="M6" i="218"/>
  <c r="F5" i="303"/>
  <c r="F10" i="212"/>
  <c r="P17" i="213"/>
  <c r="Q17" i="213" s="1"/>
  <c r="H7" i="144"/>
  <c r="F6" i="205"/>
  <c r="L8" i="270"/>
  <c r="H5" i="148"/>
  <c r="G9" i="142"/>
  <c r="N5" i="149"/>
  <c r="N9" i="101"/>
  <c r="D9" i="146"/>
  <c r="L7" i="131"/>
  <c r="D21" i="193"/>
  <c r="D7" i="103"/>
  <c r="D7" i="145"/>
  <c r="J5" i="226"/>
  <c r="P14" i="128"/>
  <c r="Q14" i="128" s="1"/>
  <c r="L5" i="103"/>
  <c r="L8" i="123"/>
  <c r="N9" i="124"/>
  <c r="G13" i="123"/>
  <c r="G5" i="143"/>
  <c r="D10" i="123"/>
  <c r="G7" i="173"/>
  <c r="P7" i="97"/>
  <c r="Q7" i="97" s="1"/>
  <c r="N5" i="104"/>
  <c r="H18" i="163"/>
  <c r="F7" i="171"/>
  <c r="K6" i="97"/>
  <c r="F5" i="137"/>
  <c r="M10" i="212"/>
  <c r="K8" i="142"/>
  <c r="N19" i="236"/>
  <c r="L7" i="246"/>
  <c r="K7" i="247"/>
  <c r="D10" i="171"/>
  <c r="F6" i="97"/>
  <c r="N14" i="213"/>
  <c r="F6" i="142"/>
  <c r="D8" i="124"/>
  <c r="K5" i="205"/>
  <c r="M6" i="133"/>
  <c r="P18" i="128"/>
  <c r="Q18" i="128" s="1"/>
  <c r="K7" i="149"/>
  <c r="P10" i="298"/>
  <c r="Q10" i="298" s="1"/>
  <c r="G10" i="236"/>
  <c r="L18" i="236"/>
  <c r="M22" i="128"/>
  <c r="L6" i="147"/>
  <c r="M11" i="83"/>
  <c r="D5" i="245"/>
  <c r="N7" i="94"/>
  <c r="K7" i="157"/>
  <c r="F6" i="104"/>
  <c r="N5" i="137"/>
  <c r="D6" i="143"/>
  <c r="L8" i="131"/>
  <c r="M6" i="222"/>
  <c r="D5" i="139"/>
  <c r="F8" i="124"/>
  <c r="F6" i="223"/>
  <c r="H7" i="149"/>
  <c r="F8" i="148"/>
  <c r="N6" i="173"/>
  <c r="J15" i="298"/>
  <c r="N9" i="123"/>
  <c r="H14" i="106"/>
  <c r="G8" i="142"/>
  <c r="P8" i="103"/>
  <c r="Q8" i="103" s="1"/>
  <c r="F6" i="222"/>
  <c r="D6" i="104"/>
  <c r="D6" i="195"/>
  <c r="G17" i="201"/>
  <c r="K8" i="98"/>
  <c r="K6" i="139"/>
  <c r="M13" i="201"/>
  <c r="D5" i="162"/>
  <c r="H5" i="143"/>
  <c r="P5" i="135"/>
  <c r="Q5" i="135" s="1"/>
  <c r="G7" i="171"/>
  <c r="J6" i="123"/>
  <c r="P7" i="312"/>
  <c r="Q7" i="312" s="1"/>
  <c r="K23" i="213"/>
  <c r="J5" i="137"/>
  <c r="J7" i="124"/>
  <c r="D5" i="91"/>
  <c r="L7" i="247"/>
  <c r="J15" i="213"/>
  <c r="J8" i="124"/>
  <c r="J8" i="164"/>
  <c r="K8" i="253"/>
  <c r="J8" i="230"/>
  <c r="H7" i="216"/>
  <c r="D8" i="137"/>
  <c r="M8" i="156"/>
  <c r="H6" i="205"/>
  <c r="F5" i="93"/>
  <c r="G5" i="97"/>
  <c r="K9" i="103"/>
  <c r="L6" i="97"/>
  <c r="H6" i="137"/>
  <c r="G21" i="236"/>
  <c r="K8" i="162"/>
  <c r="K5" i="303"/>
  <c r="N17" i="163"/>
  <c r="H6" i="218"/>
  <c r="H7" i="259"/>
  <c r="D7" i="123"/>
  <c r="G7" i="102"/>
  <c r="M15" i="236"/>
  <c r="P10" i="229"/>
  <c r="Q10" i="229" s="1"/>
  <c r="D5" i="250"/>
  <c r="M9" i="137"/>
  <c r="G6" i="263"/>
  <c r="D7" i="98"/>
  <c r="H7" i="102"/>
  <c r="L8" i="214"/>
  <c r="K7" i="93"/>
  <c r="J5" i="330"/>
  <c r="M15" i="163"/>
  <c r="M6" i="104"/>
  <c r="K5" i="173"/>
  <c r="L5" i="102"/>
  <c r="N5" i="141"/>
  <c r="H5" i="95"/>
  <c r="N6" i="224"/>
  <c r="D5" i="218"/>
  <c r="H7" i="171"/>
  <c r="G8" i="124"/>
  <c r="G11" i="212"/>
  <c r="K15" i="90"/>
  <c r="J8" i="144"/>
  <c r="K9" i="137"/>
  <c r="L6" i="218"/>
  <c r="J7" i="215"/>
  <c r="H5" i="299"/>
  <c r="D10" i="124"/>
  <c r="K6" i="103"/>
  <c r="D7" i="217"/>
  <c r="P15" i="236"/>
  <c r="Q15" i="236" s="1"/>
  <c r="J9" i="232"/>
  <c r="J7" i="171"/>
  <c r="M5" i="173"/>
  <c r="P6" i="105"/>
  <c r="Q6" i="105" s="1"/>
  <c r="H6" i="98"/>
  <c r="D14" i="146"/>
  <c r="L5" i="250"/>
  <c r="H10" i="171"/>
  <c r="N6" i="137"/>
  <c r="H5" i="103"/>
  <c r="G9" i="229"/>
  <c r="N8" i="162"/>
  <c r="H6" i="124"/>
  <c r="M9" i="163"/>
  <c r="M8" i="234"/>
  <c r="L16" i="193"/>
  <c r="L16" i="128"/>
  <c r="K8" i="171"/>
  <c r="N12" i="146"/>
  <c r="D15" i="123"/>
  <c r="G8" i="157"/>
  <c r="F6" i="98"/>
  <c r="F11" i="236"/>
  <c r="J5" i="157"/>
  <c r="F7" i="173"/>
  <c r="L5" i="137"/>
  <c r="F6" i="154"/>
  <c r="H5" i="263"/>
  <c r="K8" i="164"/>
  <c r="D6" i="131"/>
  <c r="G8" i="137"/>
  <c r="G8" i="102"/>
  <c r="N12" i="163"/>
  <c r="H20" i="213"/>
  <c r="H8" i="124"/>
  <c r="J10" i="123"/>
  <c r="D7" i="247"/>
  <c r="G6" i="137"/>
  <c r="M6" i="173"/>
  <c r="F6" i="263"/>
  <c r="P6" i="143"/>
  <c r="Q6" i="143" s="1"/>
  <c r="G5" i="141"/>
  <c r="J6" i="135"/>
  <c r="N5" i="148"/>
  <c r="K10" i="201"/>
  <c r="M7" i="149"/>
  <c r="N9" i="163"/>
  <c r="D7" i="149"/>
  <c r="D9" i="145"/>
  <c r="L16" i="163"/>
  <c r="N12" i="106"/>
  <c r="G5" i="302"/>
  <c r="J8" i="142"/>
  <c r="N6" i="103"/>
  <c r="F9" i="142"/>
  <c r="P20" i="213"/>
  <c r="Q20" i="213" s="1"/>
  <c r="D8" i="102"/>
  <c r="G5" i="124"/>
  <c r="H5" i="218"/>
  <c r="F9" i="123"/>
  <c r="G5" i="102"/>
  <c r="M7" i="216"/>
  <c r="P8" i="143"/>
  <c r="Q8" i="143" s="1"/>
  <c r="H21" i="236"/>
  <c r="L6" i="102"/>
  <c r="F14" i="213"/>
  <c r="F18" i="213"/>
  <c r="L7" i="174"/>
  <c r="H5" i="221"/>
  <c r="P8" i="156"/>
  <c r="Q8" i="156" s="1"/>
  <c r="F8" i="171"/>
  <c r="L10" i="128"/>
  <c r="G5" i="245"/>
  <c r="M7" i="98"/>
  <c r="K8" i="131"/>
  <c r="L6" i="139"/>
  <c r="M6" i="95"/>
  <c r="G7" i="93"/>
  <c r="K6" i="137"/>
  <c r="F6" i="124"/>
  <c r="J17" i="213"/>
  <c r="P23" i="213"/>
  <c r="Q23" i="213" s="1"/>
  <c r="K14" i="213"/>
  <c r="M7" i="246"/>
  <c r="J13" i="298"/>
  <c r="M7" i="217"/>
  <c r="L7" i="171"/>
  <c r="K11" i="212"/>
  <c r="G5" i="173"/>
  <c r="G5" i="148"/>
  <c r="M9" i="146"/>
  <c r="D5" i="94"/>
  <c r="F9" i="163"/>
  <c r="M20" i="213"/>
  <c r="P11" i="212"/>
  <c r="Q11" i="212" s="1"/>
  <c r="P6" i="173"/>
  <c r="Q6" i="173" s="1"/>
  <c r="G6" i="102"/>
  <c r="H6" i="142"/>
  <c r="J5" i="225"/>
  <c r="J11" i="171"/>
  <c r="D11" i="212"/>
  <c r="F5" i="220"/>
  <c r="G5" i="222"/>
  <c r="L5" i="174"/>
  <c r="N7" i="247"/>
  <c r="P8" i="149"/>
  <c r="Q8" i="149" s="1"/>
  <c r="P8" i="94"/>
  <c r="Q8" i="94" s="1"/>
  <c r="F5" i="94"/>
  <c r="D7" i="230"/>
  <c r="H5" i="147"/>
  <c r="D13" i="236"/>
  <c r="K8" i="235"/>
  <c r="H5" i="92"/>
  <c r="J18" i="163"/>
  <c r="G7" i="95"/>
  <c r="D8" i="214"/>
  <c r="G11" i="150"/>
  <c r="L5" i="138"/>
  <c r="H9" i="142"/>
  <c r="H9" i="234"/>
  <c r="H5" i="219"/>
  <c r="D6" i="144"/>
  <c r="K6" i="263"/>
  <c r="K7" i="103"/>
  <c r="F10" i="229"/>
  <c r="H5" i="84"/>
  <c r="H15" i="123"/>
  <c r="N5" i="135"/>
  <c r="G6" i="144"/>
  <c r="G7" i="330"/>
  <c r="M6" i="144"/>
  <c r="N5" i="174"/>
  <c r="M7" i="144"/>
  <c r="P12" i="123"/>
  <c r="Q12" i="123" s="1"/>
  <c r="D5" i="299"/>
  <c r="D8" i="104"/>
  <c r="F8" i="137"/>
  <c r="D6" i="224"/>
  <c r="P5" i="105"/>
  <c r="Q5" i="105" s="1"/>
  <c r="J5" i="219"/>
  <c r="N5" i="224"/>
  <c r="M11" i="212"/>
  <c r="K6" i="102"/>
  <c r="K7" i="216"/>
  <c r="F21" i="213"/>
  <c r="N9" i="171"/>
  <c r="L15" i="123"/>
  <c r="N5" i="143"/>
  <c r="N5" i="96"/>
  <c r="H10" i="212"/>
  <c r="D8" i="105"/>
  <c r="F6" i="144"/>
  <c r="L9" i="123"/>
  <c r="F9" i="143"/>
  <c r="L11" i="212"/>
  <c r="F8" i="105"/>
  <c r="N8" i="124"/>
  <c r="G11" i="146"/>
  <c r="N7" i="142"/>
  <c r="J5" i="304"/>
  <c r="J7" i="216"/>
  <c r="M6" i="155"/>
  <c r="L5" i="164"/>
  <c r="D7" i="246"/>
  <c r="N7" i="309"/>
  <c r="H19" i="128"/>
  <c r="P7" i="162"/>
  <c r="Q7" i="162" s="1"/>
  <c r="J7" i="93"/>
  <c r="D16" i="236"/>
  <c r="L7" i="84"/>
  <c r="D9" i="162"/>
  <c r="M5" i="137"/>
  <c r="K7" i="218"/>
  <c r="J6" i="174"/>
  <c r="L8" i="94"/>
  <c r="P7" i="124"/>
  <c r="Q7" i="124" s="1"/>
  <c r="M8" i="98"/>
  <c r="G6" i="142"/>
  <c r="J5" i="220"/>
  <c r="L14" i="106"/>
  <c r="K14" i="123"/>
  <c r="P5" i="124"/>
  <c r="Q5" i="124" s="1"/>
  <c r="P17" i="298"/>
  <c r="Q17" i="298" s="1"/>
  <c r="D6" i="97"/>
  <c r="H8" i="97"/>
  <c r="M5" i="229"/>
  <c r="P12" i="298"/>
  <c r="Q12" i="298" s="1"/>
  <c r="D10" i="298"/>
  <c r="G14" i="298"/>
  <c r="L5" i="135"/>
  <c r="D22" i="213"/>
  <c r="K5" i="221"/>
  <c r="M18" i="213"/>
  <c r="F6" i="175"/>
  <c r="M27" i="128"/>
  <c r="F7" i="94"/>
  <c r="L23" i="213"/>
  <c r="G5" i="103"/>
  <c r="K5" i="141"/>
  <c r="H7" i="247"/>
  <c r="N16" i="267"/>
  <c r="P6" i="223"/>
  <c r="Q6" i="223" s="1"/>
  <c r="N9" i="235"/>
  <c r="F6" i="123"/>
  <c r="N7" i="123"/>
  <c r="G5" i="218"/>
  <c r="H23" i="236"/>
  <c r="J8" i="148"/>
  <c r="F5" i="104"/>
  <c r="H6" i="198"/>
  <c r="N13" i="163"/>
  <c r="J11" i="150"/>
  <c r="J13" i="123"/>
  <c r="L5" i="104"/>
  <c r="L8" i="235"/>
  <c r="H5" i="223"/>
  <c r="G6" i="222"/>
  <c r="G10" i="212"/>
  <c r="F13" i="298"/>
  <c r="N21" i="267"/>
  <c r="P5" i="101"/>
  <c r="Q5" i="101" s="1"/>
  <c r="G7" i="312"/>
  <c r="D6" i="174"/>
  <c r="N7" i="101"/>
  <c r="P7" i="330"/>
  <c r="Q7" i="330" s="1"/>
  <c r="P6" i="124"/>
  <c r="Q6" i="124" s="1"/>
  <c r="P5" i="301"/>
  <c r="Q5" i="301" s="1"/>
  <c r="H7" i="164"/>
  <c r="J7" i="101"/>
  <c r="N7" i="218"/>
  <c r="G8" i="104"/>
  <c r="K5" i="249"/>
  <c r="M7" i="102"/>
  <c r="M12" i="236"/>
  <c r="J16" i="298"/>
  <c r="G8" i="97"/>
  <c r="F8" i="123"/>
  <c r="N20" i="128"/>
  <c r="N8" i="235"/>
  <c r="K14" i="146"/>
  <c r="H5" i="104"/>
  <c r="H5" i="300"/>
  <c r="M5" i="97"/>
  <c r="N7" i="131"/>
  <c r="J14" i="236"/>
  <c r="G6" i="224"/>
  <c r="J7" i="312"/>
  <c r="H7" i="137"/>
  <c r="J6" i="222"/>
  <c r="K22" i="213"/>
  <c r="H7" i="142"/>
  <c r="D5" i="137"/>
  <c r="D9" i="103"/>
  <c r="L19" i="213"/>
  <c r="G12" i="123"/>
  <c r="P21" i="236"/>
  <c r="Q21" i="236" s="1"/>
  <c r="P5" i="330"/>
  <c r="Q5" i="330" s="1"/>
  <c r="N6" i="142"/>
  <c r="N14" i="267"/>
  <c r="F15" i="213"/>
  <c r="F6" i="93"/>
  <c r="P7" i="217"/>
  <c r="Q7" i="217" s="1"/>
  <c r="Q8" i="217" s="1"/>
  <c r="J19" i="236"/>
  <c r="N8" i="93"/>
  <c r="F5" i="300"/>
  <c r="K22" i="236"/>
  <c r="M14" i="123"/>
  <c r="P8" i="171"/>
  <c r="Q8" i="171" s="1"/>
  <c r="L12" i="123"/>
  <c r="J6" i="139"/>
  <c r="J5" i="100"/>
  <c r="N7" i="135"/>
  <c r="G6" i="174"/>
  <c r="H12" i="298"/>
  <c r="F15" i="298"/>
  <c r="G8" i="98"/>
  <c r="N9" i="142"/>
  <c r="L5" i="101"/>
  <c r="N11" i="171"/>
  <c r="P9" i="142"/>
  <c r="Q9" i="142" s="1"/>
  <c r="M5" i="301"/>
  <c r="L21" i="146"/>
  <c r="F18" i="146"/>
  <c r="F5" i="103"/>
  <c r="N16" i="236"/>
  <c r="L15" i="146"/>
  <c r="K5" i="304"/>
  <c r="H9" i="94"/>
  <c r="F6" i="149"/>
  <c r="F9" i="229"/>
  <c r="J5" i="123"/>
  <c r="P7" i="84"/>
  <c r="Q7" i="84" s="1"/>
  <c r="N5" i="138"/>
  <c r="J5" i="84"/>
  <c r="L15" i="213"/>
  <c r="G7" i="218"/>
  <c r="P6" i="93"/>
  <c r="Q6" i="93" s="1"/>
  <c r="L6" i="224"/>
  <c r="D5" i="102"/>
  <c r="P8" i="214"/>
  <c r="Q8" i="214" s="1"/>
  <c r="N6" i="174"/>
  <c r="K7" i="259"/>
  <c r="G6" i="164"/>
  <c r="H10" i="236"/>
  <c r="D6" i="171"/>
  <c r="F9" i="144"/>
  <c r="N6" i="93"/>
  <c r="H12" i="106"/>
  <c r="F6" i="148"/>
  <c r="H6" i="103"/>
  <c r="D5" i="301"/>
  <c r="G12" i="106"/>
  <c r="N14" i="123"/>
  <c r="N6" i="105"/>
  <c r="K10" i="232"/>
  <c r="M6" i="102"/>
  <c r="K6" i="124"/>
  <c r="J16" i="213"/>
  <c r="P5" i="137"/>
  <c r="Q5" i="137" s="1"/>
  <c r="G6" i="154"/>
  <c r="N17" i="213"/>
  <c r="K9" i="234"/>
  <c r="P7" i="214"/>
  <c r="Q7" i="214" s="1"/>
  <c r="N5" i="84"/>
  <c r="L6" i="223"/>
  <c r="D11" i="201"/>
  <c r="H18" i="146"/>
  <c r="G6" i="228"/>
  <c r="P8" i="229"/>
  <c r="Q8" i="229" s="1"/>
  <c r="J22" i="236"/>
  <c r="F15" i="146"/>
  <c r="K7" i="95"/>
  <c r="H20" i="163"/>
  <c r="N6" i="124"/>
  <c r="N20" i="146"/>
  <c r="G21" i="193"/>
  <c r="G6" i="330"/>
  <c r="N7" i="171"/>
  <c r="N5" i="223"/>
  <c r="F11" i="146"/>
  <c r="H8" i="162"/>
  <c r="D13" i="163"/>
  <c r="J7" i="233"/>
  <c r="M7" i="174"/>
  <c r="L18" i="146"/>
  <c r="L5" i="124"/>
  <c r="F10" i="163"/>
  <c r="J5" i="245"/>
  <c r="K6" i="162"/>
  <c r="N15" i="236"/>
  <c r="L5" i="267"/>
  <c r="H7" i="214"/>
  <c r="D14" i="236"/>
  <c r="P7" i="216"/>
  <c r="Q7" i="216" s="1"/>
  <c r="Q8" i="216" s="1"/>
  <c r="K5" i="84"/>
  <c r="J5" i="93"/>
  <c r="P6" i="97"/>
  <c r="Q6" i="97" s="1"/>
  <c r="J5" i="301"/>
  <c r="M7" i="312"/>
  <c r="P19" i="128"/>
  <c r="Q19" i="128" s="1"/>
  <c r="J5" i="250"/>
  <c r="J14" i="213"/>
  <c r="L5" i="330"/>
  <c r="P6" i="222"/>
  <c r="Q6" i="222" s="1"/>
  <c r="J6" i="218"/>
  <c r="M9" i="171"/>
  <c r="M26" i="128"/>
  <c r="K5" i="95"/>
  <c r="L9" i="94"/>
  <c r="F7" i="199"/>
  <c r="N13" i="106"/>
  <c r="M11" i="128"/>
  <c r="N9" i="94"/>
  <c r="F15" i="163"/>
  <c r="M9" i="143"/>
  <c r="K15" i="146"/>
  <c r="L13" i="163"/>
  <c r="J19" i="213"/>
  <c r="D8" i="94"/>
  <c r="P5" i="141"/>
  <c r="Q5" i="141" s="1"/>
  <c r="Q15" i="141" s="1"/>
  <c r="K7" i="104"/>
  <c r="M8" i="133"/>
  <c r="N5" i="154"/>
  <c r="K9" i="144"/>
  <c r="P8" i="142"/>
  <c r="Q8" i="142" s="1"/>
  <c r="F11" i="123"/>
  <c r="J5" i="124"/>
  <c r="L5" i="225"/>
  <c r="P9" i="137"/>
  <c r="Q9" i="137" s="1"/>
  <c r="H8" i="195"/>
  <c r="N7" i="174"/>
  <c r="F14" i="106"/>
  <c r="F7" i="233"/>
  <c r="J6" i="224"/>
  <c r="D8" i="148"/>
  <c r="N5" i="102"/>
  <c r="P13" i="146"/>
  <c r="Q13" i="146" s="1"/>
  <c r="M15" i="90"/>
  <c r="H7" i="135"/>
  <c r="M5" i="100"/>
  <c r="P5" i="145"/>
  <c r="Q5" i="145" s="1"/>
  <c r="M7" i="142"/>
  <c r="M5" i="249"/>
  <c r="K8" i="104"/>
  <c r="G8" i="171"/>
  <c r="N5" i="124"/>
  <c r="D11" i="298"/>
  <c r="F5" i="175"/>
  <c r="G7" i="142"/>
  <c r="J9" i="103"/>
  <c r="L11" i="236"/>
  <c r="K9" i="205"/>
  <c r="F9" i="145"/>
  <c r="L7" i="93"/>
  <c r="F22" i="128"/>
  <c r="P17" i="200"/>
  <c r="Q17" i="200" s="1"/>
  <c r="H8" i="199"/>
  <c r="H8" i="214"/>
  <c r="G13" i="163"/>
  <c r="K7" i="164"/>
  <c r="M9" i="123"/>
  <c r="L5" i="173"/>
  <c r="L9" i="146"/>
  <c r="N7" i="105"/>
  <c r="H8" i="135"/>
  <c r="D7" i="133"/>
  <c r="N11" i="267"/>
  <c r="D6" i="222"/>
  <c r="G9" i="137"/>
  <c r="M9" i="234"/>
  <c r="F5" i="263"/>
  <c r="K7" i="98"/>
  <c r="M9" i="124"/>
  <c r="D7" i="218"/>
  <c r="M7" i="215"/>
  <c r="F6" i="139"/>
  <c r="J7" i="246"/>
  <c r="M8" i="93"/>
  <c r="N7" i="98"/>
  <c r="P5" i="162"/>
  <c r="Q5" i="162" s="1"/>
  <c r="G13" i="298"/>
  <c r="D5" i="249"/>
  <c r="D6" i="219"/>
  <c r="N5" i="131"/>
  <c r="N15" i="213"/>
  <c r="J16" i="236"/>
  <c r="D5" i="98"/>
  <c r="K7" i="102"/>
  <c r="D9" i="298"/>
  <c r="J5" i="267"/>
  <c r="H9" i="124"/>
  <c r="H8" i="101"/>
  <c r="L9" i="142"/>
  <c r="F5" i="225"/>
  <c r="K6" i="174"/>
  <c r="L8" i="232"/>
  <c r="K10" i="123"/>
  <c r="D19" i="213"/>
  <c r="M10" i="171"/>
  <c r="N6" i="195"/>
  <c r="L12" i="193"/>
  <c r="H9" i="144"/>
  <c r="P14" i="163"/>
  <c r="Q14" i="163" s="1"/>
  <c r="L11" i="123"/>
  <c r="N7" i="84"/>
  <c r="N9" i="234"/>
  <c r="M7" i="233"/>
  <c r="H5" i="157"/>
  <c r="G7" i="144"/>
  <c r="D19" i="236"/>
  <c r="G9" i="103"/>
  <c r="P6" i="103"/>
  <c r="Q6" i="103" s="1"/>
  <c r="P7" i="105"/>
  <c r="Q7" i="105" s="1"/>
  <c r="N12" i="83"/>
  <c r="D6" i="84"/>
  <c r="L13" i="123"/>
  <c r="G8" i="135"/>
  <c r="P7" i="248"/>
  <c r="Q7" i="248" s="1"/>
  <c r="K7" i="162"/>
  <c r="M7" i="259"/>
  <c r="J5" i="300"/>
  <c r="F9" i="103"/>
  <c r="H5" i="124"/>
  <c r="L8" i="93"/>
  <c r="F14" i="123"/>
  <c r="M7" i="84"/>
  <c r="H5" i="101"/>
  <c r="D5" i="124"/>
  <c r="J9" i="94"/>
  <c r="G9" i="298"/>
  <c r="M7" i="145"/>
  <c r="P10" i="163"/>
  <c r="Q10" i="163" s="1"/>
  <c r="H21" i="213"/>
  <c r="H8" i="95"/>
  <c r="G14" i="146"/>
  <c r="D12" i="146"/>
  <c r="G9" i="124"/>
  <c r="J15" i="163"/>
  <c r="J5" i="104"/>
  <c r="D5" i="221"/>
  <c r="M8" i="101"/>
  <c r="G19" i="213"/>
  <c r="H22" i="213"/>
  <c r="L8" i="171"/>
  <c r="K6" i="148"/>
  <c r="J7" i="135"/>
  <c r="K9" i="142"/>
  <c r="G8" i="162"/>
  <c r="D5" i="154"/>
  <c r="D23" i="128"/>
  <c r="D9" i="101"/>
  <c r="J10" i="229"/>
  <c r="L24" i="128"/>
  <c r="G20" i="128"/>
  <c r="P5" i="245"/>
  <c r="Q5" i="245" s="1"/>
  <c r="G12" i="163"/>
  <c r="J6" i="142"/>
  <c r="D5" i="219"/>
  <c r="J7" i="102"/>
  <c r="H7" i="143"/>
  <c r="K5" i="143"/>
  <c r="K9" i="171"/>
  <c r="F5" i="101"/>
  <c r="J5" i="140"/>
  <c r="G5" i="135"/>
  <c r="M5" i="98"/>
  <c r="K6" i="222"/>
  <c r="H11" i="298"/>
  <c r="F5" i="245"/>
  <c r="H5" i="267"/>
  <c r="J8" i="94"/>
  <c r="D6" i="124"/>
  <c r="G13" i="146"/>
  <c r="D5" i="101"/>
  <c r="P6" i="148"/>
  <c r="Q6" i="148" s="1"/>
  <c r="N5" i="245"/>
  <c r="H6" i="173"/>
  <c r="M6" i="137"/>
  <c r="L6" i="174"/>
  <c r="M7" i="171"/>
  <c r="H13" i="236"/>
  <c r="M9" i="144"/>
  <c r="N6" i="157"/>
  <c r="L5" i="123"/>
  <c r="J7" i="218"/>
  <c r="P7" i="143"/>
  <c r="Q7" i="143" s="1"/>
  <c r="P5" i="84"/>
  <c r="Q5" i="84" s="1"/>
  <c r="M5" i="245"/>
  <c r="D16" i="298"/>
  <c r="L5" i="144"/>
  <c r="N6" i="156"/>
  <c r="D6" i="139"/>
  <c r="N6" i="222"/>
  <c r="J6" i="104"/>
  <c r="F15" i="90"/>
  <c r="F22" i="236"/>
  <c r="F9" i="298"/>
  <c r="P9" i="144"/>
  <c r="Q9" i="144" s="1"/>
  <c r="D5" i="222"/>
  <c r="P5" i="171"/>
  <c r="Q5" i="171" s="1"/>
  <c r="D5" i="134"/>
  <c r="J9" i="142"/>
  <c r="G17" i="213"/>
  <c r="F6" i="135"/>
  <c r="P9" i="146"/>
  <c r="Q9" i="146" s="1"/>
  <c r="N7" i="164"/>
  <c r="L5" i="140"/>
  <c r="K8" i="144"/>
  <c r="N6" i="175"/>
  <c r="H9" i="235"/>
  <c r="D13" i="146"/>
  <c r="D7" i="84"/>
  <c r="M20" i="193"/>
  <c r="N8" i="148"/>
  <c r="P12" i="236"/>
  <c r="Q12" i="236" s="1"/>
  <c r="N10" i="163"/>
  <c r="N5" i="301"/>
  <c r="J14" i="163"/>
  <c r="P18" i="163"/>
  <c r="Q18" i="163" s="1"/>
  <c r="M19" i="236"/>
  <c r="L13" i="236"/>
  <c r="K5" i="223"/>
  <c r="L7" i="97"/>
  <c r="P5" i="94"/>
  <c r="Q5" i="94" s="1"/>
  <c r="D7" i="97"/>
  <c r="L7" i="218"/>
  <c r="J7" i="95"/>
  <c r="H6" i="219"/>
  <c r="G5" i="221"/>
  <c r="J10" i="163"/>
  <c r="D11" i="83"/>
  <c r="M6" i="84"/>
  <c r="J7" i="137"/>
  <c r="N7" i="104"/>
  <c r="D8" i="103"/>
  <c r="M9" i="101"/>
  <c r="H6" i="330"/>
  <c r="H10" i="124"/>
  <c r="F11" i="298"/>
  <c r="K5" i="225"/>
  <c r="K7" i="101"/>
  <c r="K7" i="124"/>
  <c r="M11" i="236"/>
  <c r="K20" i="213"/>
  <c r="G19" i="236"/>
  <c r="G12" i="236"/>
  <c r="G9" i="101"/>
  <c r="K5" i="103"/>
  <c r="J7" i="144"/>
  <c r="G5" i="175"/>
  <c r="P12" i="202"/>
  <c r="Q12" i="202" s="1"/>
  <c r="M9" i="190"/>
  <c r="G5" i="140"/>
  <c r="H7" i="97"/>
  <c r="L8" i="162"/>
  <c r="F15" i="200"/>
  <c r="D7" i="135"/>
  <c r="F6" i="94"/>
  <c r="F7" i="95"/>
  <c r="L6" i="175"/>
  <c r="F7" i="98"/>
  <c r="P20" i="163"/>
  <c r="Q20" i="163" s="1"/>
  <c r="P8" i="235"/>
  <c r="Q8" i="235" s="1"/>
  <c r="D12" i="106"/>
  <c r="P10" i="124"/>
  <c r="Q10" i="124" s="1"/>
  <c r="M11" i="123"/>
  <c r="F7" i="248"/>
  <c r="K5" i="102"/>
  <c r="M13" i="236"/>
  <c r="L5" i="84"/>
  <c r="G18" i="213"/>
  <c r="D5" i="103"/>
  <c r="F16" i="298"/>
  <c r="L8" i="104"/>
  <c r="J11" i="83"/>
  <c r="H5" i="245"/>
  <c r="M18" i="236"/>
  <c r="L15" i="90"/>
  <c r="G5" i="133"/>
  <c r="D19" i="163"/>
  <c r="J18" i="236"/>
  <c r="G5" i="219"/>
  <c r="H9" i="101"/>
  <c r="J19" i="128"/>
  <c r="F23" i="236"/>
  <c r="G21" i="213"/>
  <c r="F19" i="236"/>
  <c r="M8" i="228"/>
  <c r="D5" i="123"/>
  <c r="F5" i="124"/>
  <c r="M5" i="94"/>
  <c r="M6" i="97"/>
  <c r="J21" i="213"/>
  <c r="G5" i="101"/>
  <c r="L22" i="213"/>
  <c r="J5" i="175"/>
  <c r="D5" i="223"/>
  <c r="M7" i="101"/>
  <c r="H8" i="234"/>
  <c r="K5" i="171"/>
  <c r="G5" i="142"/>
  <c r="H9" i="103"/>
  <c r="P8" i="139"/>
  <c r="Q8" i="139" s="1"/>
  <c r="N7" i="93"/>
  <c r="G5" i="123"/>
  <c r="L10" i="201"/>
  <c r="H9" i="123"/>
  <c r="D8" i="98"/>
  <c r="K12" i="83"/>
  <c r="M8" i="145"/>
  <c r="H9" i="162"/>
  <c r="F8" i="234"/>
  <c r="P7" i="102"/>
  <c r="Q7" i="102" s="1"/>
  <c r="J8" i="232"/>
  <c r="G9" i="235"/>
  <c r="J5" i="94"/>
  <c r="M8" i="137"/>
  <c r="F5" i="223"/>
  <c r="L5" i="154"/>
  <c r="N13" i="236"/>
  <c r="H9" i="284"/>
  <c r="G6" i="104"/>
  <c r="J5" i="263"/>
  <c r="K21" i="236"/>
  <c r="L16" i="200"/>
  <c r="F5" i="100"/>
  <c r="J5" i="97"/>
  <c r="H6" i="174"/>
  <c r="L6" i="145"/>
  <c r="G8" i="298"/>
  <c r="L19" i="163"/>
  <c r="N6" i="123"/>
  <c r="H8" i="171"/>
  <c r="D7" i="102"/>
  <c r="D7" i="139"/>
  <c r="P7" i="103"/>
  <c r="Q7" i="103" s="1"/>
  <c r="M7" i="173"/>
  <c r="G11" i="236"/>
  <c r="K11" i="123"/>
  <c r="D8" i="135"/>
  <c r="M6" i="103"/>
  <c r="F5" i="140"/>
  <c r="F12" i="298"/>
  <c r="M15" i="213"/>
  <c r="D7" i="215"/>
  <c r="L7" i="157"/>
  <c r="G6" i="95"/>
  <c r="F7" i="216"/>
  <c r="H6" i="93"/>
  <c r="H7" i="246"/>
  <c r="M8" i="144"/>
  <c r="J14" i="123"/>
  <c r="J5" i="197"/>
  <c r="K7" i="215"/>
  <c r="K8" i="139"/>
  <c r="H9" i="232"/>
  <c r="H13" i="83"/>
  <c r="J9" i="123"/>
  <c r="P5" i="250"/>
  <c r="Q5" i="250" s="1"/>
  <c r="N20" i="213"/>
  <c r="K5" i="134"/>
  <c r="F5" i="84"/>
  <c r="F8" i="143"/>
  <c r="G5" i="304"/>
  <c r="M6" i="175"/>
  <c r="J11" i="212"/>
  <c r="G8" i="149"/>
  <c r="F10" i="201"/>
  <c r="N9" i="179"/>
  <c r="J5" i="103"/>
  <c r="N8" i="104"/>
  <c r="G9" i="146"/>
  <c r="D5" i="131"/>
  <c r="N8" i="194"/>
  <c r="N10" i="171"/>
  <c r="J5" i="131"/>
  <c r="J6" i="103"/>
  <c r="K13" i="83"/>
  <c r="G7" i="157"/>
  <c r="M21" i="213"/>
  <c r="M5" i="156"/>
  <c r="F5" i="141"/>
  <c r="L14" i="123"/>
  <c r="P7" i="156"/>
  <c r="Q7" i="156" s="1"/>
  <c r="H15" i="298"/>
  <c r="P5" i="142"/>
  <c r="Q5" i="142" s="1"/>
  <c r="P14" i="213"/>
  <c r="Q14" i="213" s="1"/>
  <c r="D6" i="98"/>
  <c r="J14" i="298"/>
  <c r="F5" i="139"/>
  <c r="M5" i="155"/>
  <c r="H5" i="149"/>
  <c r="L6" i="173"/>
  <c r="P7" i="144"/>
  <c r="Q7" i="144" s="1"/>
  <c r="M5" i="104"/>
  <c r="N7" i="103"/>
  <c r="N19" i="163"/>
  <c r="L5" i="224"/>
  <c r="L6" i="84"/>
  <c r="D17" i="163"/>
  <c r="J7" i="139"/>
  <c r="K5" i="100"/>
  <c r="K5" i="135"/>
  <c r="L7" i="144"/>
  <c r="H8" i="139"/>
  <c r="N8" i="232"/>
  <c r="M5" i="140"/>
  <c r="L7" i="156"/>
  <c r="N5" i="226"/>
  <c r="F8" i="149"/>
  <c r="P5" i="95"/>
  <c r="Q5" i="95" s="1"/>
  <c r="P5" i="157"/>
  <c r="Q5" i="157" s="1"/>
  <c r="G8" i="105"/>
  <c r="L5" i="221"/>
  <c r="F6" i="105"/>
  <c r="D5" i="175"/>
  <c r="M5" i="267"/>
  <c r="F5" i="174"/>
  <c r="G8" i="144"/>
  <c r="L17" i="213"/>
  <c r="L5" i="95"/>
  <c r="M5" i="105"/>
  <c r="F8" i="95"/>
  <c r="N7" i="190"/>
  <c r="L6" i="222"/>
  <c r="H5" i="100"/>
  <c r="J5" i="96"/>
  <c r="F12" i="128"/>
  <c r="D5" i="92"/>
  <c r="M8" i="124"/>
  <c r="K12" i="106"/>
  <c r="K18" i="163"/>
  <c r="G7" i="214"/>
  <c r="P5" i="103"/>
  <c r="Q5" i="103" s="1"/>
  <c r="F7" i="104"/>
  <c r="K12" i="150"/>
  <c r="L5" i="222"/>
  <c r="F7" i="164"/>
  <c r="N5" i="134"/>
  <c r="M5" i="134"/>
  <c r="N5" i="98"/>
  <c r="F5" i="299"/>
  <c r="J8" i="104"/>
  <c r="H6" i="164"/>
  <c r="D8" i="93"/>
  <c r="H6" i="222"/>
  <c r="L5" i="220"/>
  <c r="D7" i="259"/>
  <c r="N5" i="267"/>
  <c r="K5" i="138"/>
  <c r="Q19" i="161"/>
  <c r="D25" i="177"/>
  <c r="C3" i="328" s="1"/>
  <c r="D23" i="177"/>
  <c r="C3" i="326" s="1"/>
  <c r="D22" i="177"/>
  <c r="C3" i="325" s="1"/>
  <c r="D20" i="177"/>
  <c r="C3" i="323" s="1"/>
  <c r="D24" i="177"/>
  <c r="C3" i="327" s="1"/>
  <c r="D21" i="177"/>
  <c r="C3" i="324" s="1"/>
  <c r="I15" i="123"/>
  <c r="I14" i="123"/>
  <c r="I11" i="179"/>
  <c r="I10" i="179"/>
  <c r="I15" i="298"/>
  <c r="I14" i="298"/>
  <c r="I16" i="298"/>
  <c r="I17" i="298"/>
  <c r="I6" i="218"/>
  <c r="I8" i="214"/>
  <c r="D5" i="329"/>
  <c r="D5" i="328"/>
  <c r="D5" i="327"/>
  <c r="D5" i="326"/>
  <c r="D5" i="325"/>
  <c r="D5" i="324"/>
  <c r="D19" i="177"/>
  <c r="D5" i="323"/>
  <c r="D5" i="321"/>
  <c r="D5" i="322"/>
  <c r="D12" i="112"/>
  <c r="D13" i="112"/>
  <c r="D14" i="112"/>
  <c r="C3" i="321" s="1"/>
  <c r="D5" i="320"/>
  <c r="D8" i="166"/>
  <c r="D7" i="166"/>
  <c r="D9" i="166"/>
  <c r="D5" i="319"/>
  <c r="D10" i="166"/>
  <c r="D6" i="166"/>
  <c r="C3" i="169" s="1"/>
  <c r="D5" i="315"/>
  <c r="D5" i="316"/>
  <c r="D5" i="317"/>
  <c r="D5" i="318"/>
  <c r="I10" i="171"/>
  <c r="D5" i="313"/>
  <c r="C3" i="314" s="1"/>
  <c r="D5" i="312"/>
  <c r="D16" i="211"/>
  <c r="D5" i="310"/>
  <c r="D5" i="311"/>
  <c r="D17" i="178"/>
  <c r="C3" i="310" s="1"/>
  <c r="D15" i="178"/>
  <c r="D16" i="178"/>
  <c r="D5" i="309"/>
  <c r="D13" i="167"/>
  <c r="D14" i="167"/>
  <c r="C3" i="307" s="1"/>
  <c r="D5" i="308"/>
  <c r="D5" i="307"/>
  <c r="D5" i="306"/>
  <c r="D10" i="113"/>
  <c r="C3" i="305" s="1"/>
  <c r="D9" i="113"/>
  <c r="D5" i="305"/>
  <c r="D7" i="236"/>
  <c r="C3" i="304" s="1"/>
  <c r="D7" i="212"/>
  <c r="I9" i="180"/>
  <c r="I8" i="180"/>
  <c r="I6" i="118"/>
  <c r="I5" i="118"/>
  <c r="I15" i="165"/>
  <c r="I22" i="114"/>
  <c r="I9" i="64"/>
  <c r="I6" i="140"/>
  <c r="I5" i="71"/>
  <c r="I17" i="114"/>
  <c r="I6" i="60"/>
  <c r="I18" i="114"/>
  <c r="I19" i="49"/>
  <c r="I6" i="68"/>
  <c r="I9" i="55"/>
  <c r="I6" i="66"/>
  <c r="I16" i="49"/>
  <c r="I6" i="61"/>
  <c r="I5" i="70"/>
  <c r="I5" i="54"/>
  <c r="I15" i="49"/>
  <c r="I9" i="65"/>
  <c r="I17" i="49"/>
  <c r="I24" i="114"/>
  <c r="I14" i="49"/>
  <c r="I5" i="117"/>
  <c r="I20" i="114"/>
  <c r="I12" i="48"/>
  <c r="I10" i="61"/>
  <c r="I13" i="49"/>
  <c r="I21" i="49"/>
  <c r="I9" i="61"/>
  <c r="I6" i="59"/>
  <c r="I5" i="289"/>
  <c r="I5" i="66"/>
  <c r="I5" i="58"/>
  <c r="I19" i="114"/>
  <c r="I7" i="118"/>
  <c r="I5" i="67"/>
  <c r="I21" i="114"/>
  <c r="I5" i="65"/>
  <c r="I5" i="63"/>
  <c r="I5" i="59"/>
  <c r="I10" i="48"/>
  <c r="I9" i="51"/>
  <c r="I5" i="52"/>
  <c r="I15" i="114"/>
  <c r="I11" i="48"/>
  <c r="I6" i="58"/>
  <c r="I5" i="57"/>
  <c r="I5" i="80"/>
  <c r="I7" i="140"/>
  <c r="I22" i="49"/>
  <c r="I8" i="55"/>
  <c r="I25" i="114"/>
  <c r="I12" i="49"/>
  <c r="I5" i="68"/>
  <c r="I5" i="81"/>
  <c r="I20" i="49"/>
  <c r="I18" i="49"/>
  <c r="I16" i="114"/>
  <c r="I23" i="114"/>
  <c r="I5" i="60"/>
  <c r="I7" i="61"/>
  <c r="I9" i="48"/>
  <c r="I7" i="59"/>
  <c r="I5" i="61"/>
  <c r="I5" i="64"/>
  <c r="I8" i="50"/>
  <c r="D7" i="178"/>
  <c r="D6" i="146"/>
  <c r="C3" i="302" s="1"/>
  <c r="D6" i="163"/>
  <c r="D7" i="146"/>
  <c r="C3" i="303" s="1"/>
  <c r="D7" i="163"/>
  <c r="I5" i="303"/>
  <c r="I5" i="302"/>
  <c r="D6" i="236"/>
  <c r="C3" i="301" s="1"/>
  <c r="D6" i="232"/>
  <c r="I23" i="236"/>
  <c r="I5" i="301"/>
  <c r="I21" i="236"/>
  <c r="I9" i="236"/>
  <c r="I22" i="236"/>
  <c r="D6" i="234"/>
  <c r="D6" i="235"/>
  <c r="C3" i="300" s="1"/>
  <c r="I6" i="301"/>
  <c r="I5" i="300"/>
  <c r="D5" i="234"/>
  <c r="D5" i="235"/>
  <c r="I5" i="119"/>
  <c r="I11" i="236"/>
  <c r="I14" i="236"/>
  <c r="I17" i="236"/>
  <c r="I15" i="236"/>
  <c r="I16" i="236"/>
  <c r="I12" i="236"/>
  <c r="I10" i="236"/>
  <c r="I13" i="236"/>
  <c r="I21" i="213"/>
  <c r="I20" i="213"/>
  <c r="I5" i="299"/>
  <c r="D16" i="2"/>
  <c r="C3" i="298" s="1"/>
  <c r="I11" i="298"/>
  <c r="I12" i="298"/>
  <c r="I13" i="298"/>
  <c r="I9" i="298"/>
  <c r="I10" i="298"/>
  <c r="I8" i="298"/>
  <c r="L2" i="298"/>
  <c r="D5" i="163"/>
  <c r="D5" i="146"/>
  <c r="I5" i="296"/>
  <c r="I9" i="146"/>
  <c r="I9" i="163"/>
  <c r="I7" i="295"/>
  <c r="D26" i="177"/>
  <c r="D5" i="295"/>
  <c r="D9" i="150"/>
  <c r="D9" i="159"/>
  <c r="I5" i="294"/>
  <c r="D20" i="47"/>
  <c r="C3" i="293" s="1"/>
  <c r="I5" i="293"/>
  <c r="D7" i="128"/>
  <c r="D7" i="179"/>
  <c r="D15" i="167"/>
  <c r="D6" i="280"/>
  <c r="D7" i="280"/>
  <c r="D6" i="193"/>
  <c r="D12" i="167"/>
  <c r="C3" i="281" s="1"/>
  <c r="D5" i="236"/>
  <c r="D5" i="280"/>
  <c r="I5" i="206"/>
  <c r="I5" i="225"/>
  <c r="I5" i="252"/>
  <c r="I9" i="278"/>
  <c r="I8" i="51"/>
  <c r="I7" i="247"/>
  <c r="I11" i="276"/>
  <c r="I7" i="269"/>
  <c r="I6" i="65"/>
  <c r="I5" i="250"/>
  <c r="I5" i="55"/>
  <c r="I17" i="213"/>
  <c r="I6" i="64"/>
  <c r="I12" i="61"/>
  <c r="I9" i="50"/>
  <c r="I10" i="212"/>
  <c r="I18" i="213"/>
  <c r="I14" i="213"/>
  <c r="I7" i="216"/>
  <c r="I6" i="55"/>
  <c r="I7" i="64"/>
  <c r="I13" i="48"/>
  <c r="I5" i="245"/>
  <c r="I7" i="259"/>
  <c r="I11" i="212"/>
  <c r="I5" i="262"/>
  <c r="I6" i="219"/>
  <c r="I9" i="60"/>
  <c r="I6" i="223"/>
  <c r="I5" i="220"/>
  <c r="I7" i="214"/>
  <c r="I6" i="222"/>
  <c r="I19" i="213"/>
  <c r="I7" i="74"/>
  <c r="I8" i="61"/>
  <c r="I5" i="251"/>
  <c r="I5" i="226"/>
  <c r="I11" i="61"/>
  <c r="I7" i="217"/>
  <c r="I8" i="270"/>
  <c r="I8" i="65"/>
  <c r="I5" i="218"/>
  <c r="I7" i="246"/>
  <c r="I6" i="224"/>
  <c r="I5" i="249"/>
  <c r="I8" i="64"/>
  <c r="I9" i="277"/>
  <c r="I5" i="116"/>
  <c r="I7" i="65"/>
  <c r="I11" i="275"/>
  <c r="I7" i="78"/>
  <c r="I7" i="77"/>
  <c r="I15" i="213"/>
  <c r="I7" i="60"/>
  <c r="I10" i="275"/>
  <c r="I7" i="262"/>
  <c r="I5" i="267"/>
  <c r="I5" i="115"/>
  <c r="I7" i="215"/>
  <c r="I22" i="213"/>
  <c r="I5" i="221"/>
  <c r="I7" i="53"/>
  <c r="I5" i="207"/>
  <c r="I5" i="222"/>
  <c r="I13" i="61"/>
  <c r="I7" i="79"/>
  <c r="I7" i="55"/>
  <c r="I6" i="262"/>
  <c r="I6" i="117"/>
  <c r="I7" i="248"/>
  <c r="I17" i="112"/>
  <c r="I5" i="224"/>
  <c r="I10" i="276"/>
  <c r="I23" i="213"/>
  <c r="I5" i="223"/>
  <c r="I5" i="219"/>
  <c r="I7" i="218"/>
  <c r="I22" i="47"/>
  <c r="I8" i="60"/>
  <c r="I16" i="213"/>
  <c r="I5" i="56"/>
  <c r="I10" i="279"/>
  <c r="I12" i="279"/>
  <c r="I7" i="102"/>
  <c r="I5" i="182"/>
  <c r="I9" i="101"/>
  <c r="I8" i="97"/>
  <c r="I8" i="105"/>
  <c r="I13" i="106"/>
  <c r="I5" i="155"/>
  <c r="I10" i="123"/>
  <c r="I12" i="163"/>
  <c r="I13" i="83"/>
  <c r="I8" i="156"/>
  <c r="I7" i="240"/>
  <c r="I8" i="257"/>
  <c r="I18" i="146"/>
  <c r="I7" i="95"/>
  <c r="I14" i="146"/>
  <c r="I5" i="104"/>
  <c r="I12" i="150"/>
  <c r="I6" i="269"/>
  <c r="I19" i="163"/>
  <c r="I5" i="142"/>
  <c r="I6" i="133"/>
  <c r="I14" i="163"/>
  <c r="I7" i="94"/>
  <c r="I9" i="103"/>
  <c r="I10" i="229"/>
  <c r="I11" i="282"/>
  <c r="I5" i="185"/>
  <c r="I15" i="163"/>
  <c r="I8" i="235"/>
  <c r="I5" i="174"/>
  <c r="I17" i="146"/>
  <c r="I18" i="236"/>
  <c r="I15" i="201"/>
  <c r="I5" i="95"/>
  <c r="I21" i="146"/>
  <c r="I6" i="124"/>
  <c r="I11" i="159"/>
  <c r="I9" i="162"/>
  <c r="I7" i="171"/>
  <c r="I19" i="193"/>
  <c r="I17" i="201"/>
  <c r="I11" i="286"/>
  <c r="I7" i="230"/>
  <c r="I7" i="135"/>
  <c r="I9" i="288"/>
  <c r="I6" i="93"/>
  <c r="I6" i="175"/>
  <c r="I9" i="137"/>
  <c r="I5" i="84"/>
  <c r="I8" i="189"/>
  <c r="I5" i="198"/>
  <c r="I6" i="101"/>
  <c r="I10" i="200"/>
  <c r="I12" i="280"/>
  <c r="I7" i="187"/>
  <c r="I7" i="173"/>
  <c r="I5" i="204"/>
  <c r="I11" i="150"/>
  <c r="I9" i="142"/>
  <c r="I6" i="162"/>
  <c r="I8" i="137"/>
  <c r="I5" i="202"/>
  <c r="I6" i="174"/>
  <c r="I10" i="281"/>
  <c r="I9" i="280"/>
  <c r="I18" i="163"/>
  <c r="I5" i="169"/>
  <c r="I7" i="238"/>
  <c r="I8" i="232"/>
  <c r="I8" i="131"/>
  <c r="I6" i="98"/>
  <c r="I8" i="98"/>
  <c r="I9" i="171"/>
  <c r="I12" i="202"/>
  <c r="I7" i="292"/>
  <c r="I11" i="201"/>
  <c r="I9" i="144"/>
  <c r="I8" i="230"/>
  <c r="I10" i="198"/>
  <c r="I7" i="93"/>
  <c r="I5" i="134"/>
  <c r="I9" i="102"/>
  <c r="I8" i="133"/>
  <c r="I9" i="232"/>
  <c r="I7" i="137"/>
  <c r="I5" i="135"/>
  <c r="I18" i="2"/>
  <c r="I6" i="123"/>
  <c r="I6" i="135"/>
  <c r="I7" i="241"/>
  <c r="I7" i="139"/>
  <c r="I11" i="200"/>
  <c r="I8" i="123"/>
  <c r="I10" i="124"/>
  <c r="I12" i="159"/>
  <c r="I8" i="143"/>
  <c r="I28" i="177"/>
  <c r="I5" i="229"/>
  <c r="I5" i="195"/>
  <c r="I16" i="165"/>
  <c r="I6" i="154"/>
  <c r="I7" i="188"/>
  <c r="I5" i="227"/>
  <c r="I12" i="200"/>
  <c r="I5" i="209"/>
  <c r="I8" i="194"/>
  <c r="I6" i="137"/>
  <c r="I22" i="193"/>
  <c r="I9" i="283"/>
  <c r="I5" i="184"/>
  <c r="I7" i="164"/>
  <c r="I6" i="188"/>
  <c r="I5" i="156"/>
  <c r="I7" i="133"/>
  <c r="I5" i="144"/>
  <c r="I6" i="165"/>
  <c r="I8" i="144"/>
  <c r="I5" i="173"/>
  <c r="I8" i="102"/>
  <c r="I8" i="228"/>
  <c r="I6" i="202"/>
  <c r="I17" i="200"/>
  <c r="I7" i="198"/>
  <c r="I10" i="280"/>
  <c r="I5" i="141"/>
  <c r="I6" i="204"/>
  <c r="I5" i="101"/>
  <c r="I12" i="201"/>
  <c r="I11" i="229"/>
  <c r="I6" i="143"/>
  <c r="I24" i="193"/>
  <c r="I5" i="98"/>
  <c r="I6" i="190"/>
  <c r="I17" i="166"/>
  <c r="I8" i="145"/>
  <c r="I5" i="103"/>
  <c r="I13" i="163"/>
  <c r="I19" i="127"/>
  <c r="I6" i="105"/>
  <c r="I9" i="234"/>
  <c r="I11" i="146"/>
  <c r="I11" i="171"/>
  <c r="I6" i="195"/>
  <c r="I19" i="146"/>
  <c r="I6" i="145"/>
  <c r="I8" i="253"/>
  <c r="I7" i="233"/>
  <c r="I5" i="268"/>
  <c r="I13" i="146"/>
  <c r="I6" i="94"/>
  <c r="I10" i="285"/>
  <c r="I7" i="202"/>
  <c r="I5" i="147"/>
  <c r="I6" i="209"/>
  <c r="I14" i="165"/>
  <c r="I7" i="145"/>
  <c r="I14" i="106"/>
  <c r="I7" i="98"/>
  <c r="I6" i="102"/>
  <c r="I7" i="157"/>
  <c r="I8" i="162"/>
  <c r="I8" i="205"/>
  <c r="I25" i="193"/>
  <c r="I12" i="123"/>
  <c r="I7" i="104"/>
  <c r="I5" i="123"/>
  <c r="I11" i="83"/>
  <c r="I8" i="234"/>
  <c r="I8" i="198"/>
  <c r="I5" i="138"/>
  <c r="I5" i="102"/>
  <c r="I9" i="123"/>
  <c r="I7" i="142"/>
  <c r="I5" i="148"/>
  <c r="I10" i="232"/>
  <c r="I10" i="165"/>
  <c r="I9" i="193"/>
  <c r="I7" i="180"/>
  <c r="I20" i="163"/>
  <c r="I5" i="124"/>
  <c r="I10" i="103"/>
  <c r="I9" i="143"/>
  <c r="I6" i="142"/>
  <c r="I5" i="149"/>
  <c r="I7" i="165"/>
  <c r="I8" i="148"/>
  <c r="I11" i="202"/>
  <c r="I7" i="162"/>
  <c r="I9" i="104"/>
  <c r="I11" i="193"/>
  <c r="I7" i="123"/>
  <c r="I7" i="105"/>
  <c r="I7" i="143"/>
  <c r="I7" i="231"/>
  <c r="I6" i="149"/>
  <c r="I15" i="146"/>
  <c r="I8" i="93"/>
  <c r="I5" i="171"/>
  <c r="I7" i="272"/>
  <c r="I5" i="139"/>
  <c r="I10" i="201"/>
  <c r="I9" i="189"/>
  <c r="I6" i="95"/>
  <c r="I5" i="105"/>
  <c r="I11" i="123"/>
  <c r="I9" i="235"/>
  <c r="I8" i="95"/>
  <c r="I7" i="229"/>
  <c r="I7" i="131"/>
  <c r="I7" i="209"/>
  <c r="I19" i="2"/>
  <c r="I6" i="144"/>
  <c r="I5" i="97"/>
  <c r="I7" i="189"/>
  <c r="I13" i="165"/>
  <c r="I8" i="229"/>
  <c r="I9" i="279"/>
  <c r="I7" i="291"/>
  <c r="I7" i="144"/>
  <c r="I23" i="193"/>
  <c r="I9" i="199"/>
  <c r="I12" i="106"/>
  <c r="I6" i="189"/>
  <c r="I10" i="202"/>
  <c r="I7" i="270"/>
  <c r="I5" i="269"/>
  <c r="I8" i="149"/>
  <c r="I5" i="133"/>
  <c r="I5" i="197"/>
  <c r="I7" i="124"/>
  <c r="I5" i="205"/>
  <c r="I12" i="83"/>
  <c r="I8" i="94"/>
  <c r="I5" i="157"/>
  <c r="I7" i="161"/>
  <c r="I10" i="137"/>
  <c r="I7" i="101"/>
  <c r="I6" i="270"/>
  <c r="I5" i="168"/>
  <c r="I6" i="155"/>
  <c r="I5" i="94"/>
  <c r="I7" i="274"/>
  <c r="I6" i="157"/>
  <c r="I14" i="193"/>
  <c r="I9" i="195"/>
  <c r="I10" i="163"/>
  <c r="I8" i="199"/>
  <c r="I16" i="146"/>
  <c r="I8" i="171"/>
  <c r="I13" i="200"/>
  <c r="I5" i="199"/>
  <c r="I21" i="193"/>
  <c r="I13" i="193"/>
  <c r="I7" i="156"/>
  <c r="I6" i="131"/>
  <c r="I7" i="190"/>
  <c r="I7" i="290"/>
  <c r="I6" i="205"/>
  <c r="I5" i="196"/>
  <c r="I7" i="199"/>
  <c r="I7" i="273"/>
  <c r="I16" i="200"/>
  <c r="I20" i="146"/>
  <c r="I6" i="97"/>
  <c r="I5" i="162"/>
  <c r="I8" i="164"/>
  <c r="I6" i="228"/>
  <c r="I6" i="198"/>
  <c r="I5" i="188"/>
  <c r="I13" i="201"/>
  <c r="I7" i="148"/>
  <c r="I5" i="93"/>
  <c r="I5" i="263"/>
  <c r="I11" i="281"/>
  <c r="I5" i="181"/>
  <c r="I8" i="202"/>
  <c r="I6" i="103"/>
  <c r="I7" i="228"/>
  <c r="I10" i="199"/>
  <c r="I15" i="90"/>
  <c r="I7" i="154"/>
  <c r="I5" i="140"/>
  <c r="I8" i="103"/>
  <c r="I5" i="92"/>
  <c r="I9" i="145"/>
  <c r="I5" i="186"/>
  <c r="I5" i="165"/>
  <c r="I7" i="174"/>
  <c r="I5" i="190"/>
  <c r="I11" i="165"/>
  <c r="I8" i="190"/>
  <c r="I9" i="205"/>
  <c r="I6" i="229"/>
  <c r="I9" i="202"/>
  <c r="I5" i="189"/>
  <c r="I5" i="270"/>
  <c r="I5" i="96"/>
  <c r="I9" i="179"/>
  <c r="I8" i="101"/>
  <c r="I7" i="239"/>
  <c r="I5" i="143"/>
  <c r="I5" i="137"/>
  <c r="I15" i="193"/>
  <c r="I11" i="280"/>
  <c r="I9" i="165"/>
  <c r="I14" i="200"/>
  <c r="I8" i="255"/>
  <c r="I7" i="195"/>
  <c r="I11" i="199"/>
  <c r="I9" i="287"/>
  <c r="I6" i="173"/>
  <c r="I8" i="193"/>
  <c r="I6" i="148"/>
  <c r="I6" i="139"/>
  <c r="I9" i="229"/>
  <c r="I12" i="165"/>
  <c r="I5" i="154"/>
  <c r="I6" i="147"/>
  <c r="I11" i="285"/>
  <c r="I5" i="164"/>
  <c r="I9" i="284"/>
  <c r="I16" i="163"/>
  <c r="I5" i="175"/>
  <c r="I8" i="258"/>
  <c r="I12" i="193"/>
  <c r="I8" i="142"/>
  <c r="I19" i="236"/>
  <c r="I10" i="286"/>
  <c r="I6" i="104"/>
  <c r="I8" i="124"/>
  <c r="I8" i="187"/>
  <c r="I8" i="195"/>
  <c r="I21" i="163"/>
  <c r="I10" i="143"/>
  <c r="I6" i="171"/>
  <c r="I18" i="193"/>
  <c r="I7" i="203"/>
  <c r="I11" i="279"/>
  <c r="I7" i="84"/>
  <c r="I10" i="282"/>
  <c r="I5" i="131"/>
  <c r="I5" i="91"/>
  <c r="I20" i="236"/>
  <c r="I16" i="201"/>
  <c r="I9" i="95"/>
  <c r="I6" i="199"/>
  <c r="I20" i="2"/>
  <c r="I9" i="124"/>
  <c r="I13" i="123"/>
  <c r="I11" i="163"/>
  <c r="I9" i="198"/>
  <c r="I5" i="100"/>
  <c r="I16" i="193"/>
  <c r="I6" i="84"/>
  <c r="I8" i="165"/>
  <c r="I6" i="263"/>
  <c r="I14" i="201"/>
  <c r="I8" i="157"/>
  <c r="I6" i="164"/>
  <c r="I8" i="135"/>
  <c r="I5" i="183"/>
  <c r="I9" i="194"/>
  <c r="I9" i="94"/>
  <c r="I10" i="193"/>
  <c r="I7" i="205"/>
  <c r="I7" i="97"/>
  <c r="I7" i="149"/>
  <c r="I5" i="145"/>
  <c r="I8" i="139"/>
  <c r="I17" i="193"/>
  <c r="I17" i="163"/>
  <c r="I12" i="146"/>
  <c r="I10" i="146"/>
  <c r="I8" i="154"/>
  <c r="I5" i="228"/>
  <c r="I8" i="104"/>
  <c r="I5" i="243"/>
  <c r="I9" i="190"/>
  <c r="I20" i="193"/>
  <c r="I15" i="200"/>
  <c r="I11" i="198"/>
  <c r="I6" i="156"/>
  <c r="I7" i="103"/>
  <c r="I11" i="128"/>
  <c r="I23" i="128"/>
  <c r="I28" i="128"/>
  <c r="I17" i="128"/>
  <c r="I13" i="128"/>
  <c r="I25" i="128"/>
  <c r="I16" i="128"/>
  <c r="I18" i="128"/>
  <c r="I15" i="128"/>
  <c r="I27" i="128"/>
  <c r="I29" i="128"/>
  <c r="I9" i="128"/>
  <c r="I20" i="128"/>
  <c r="I19" i="128"/>
  <c r="I10" i="128"/>
  <c r="I22" i="128"/>
  <c r="I24" i="128"/>
  <c r="I21" i="128"/>
  <c r="I12" i="128"/>
  <c r="I26" i="128"/>
  <c r="I14" i="128"/>
  <c r="D14" i="191"/>
  <c r="C3" i="292" s="1"/>
  <c r="Q5" i="80"/>
  <c r="Q16" i="80" s="1"/>
  <c r="Q17" i="49"/>
  <c r="Q19" i="49"/>
  <c r="Q24" i="114"/>
  <c r="Q15" i="49"/>
  <c r="Q6" i="61"/>
  <c r="Q16" i="49"/>
  <c r="Q9" i="61"/>
  <c r="Q17" i="114"/>
  <c r="Q18" i="114"/>
  <c r="Q15" i="114"/>
  <c r="Q14" i="49"/>
  <c r="Q5" i="81"/>
  <c r="Q14" i="81" s="1"/>
  <c r="Q7" i="140"/>
  <c r="Q12" i="140" s="1"/>
  <c r="Q5" i="118"/>
  <c r="Q6" i="140"/>
  <c r="Q23" i="114"/>
  <c r="Q6" i="118"/>
  <c r="Q16" i="114"/>
  <c r="Q10" i="61"/>
  <c r="Q25" i="114"/>
  <c r="Q20" i="114"/>
  <c r="Q7" i="61"/>
  <c r="Q8" i="55"/>
  <c r="Q5" i="61"/>
  <c r="Q5" i="64"/>
  <c r="Q5" i="57"/>
  <c r="Q13" i="57" s="1"/>
  <c r="P8" i="47" s="1"/>
  <c r="Q8" i="47" s="1"/>
  <c r="Q5" i="52"/>
  <c r="Q17" i="52" s="1"/>
  <c r="Q9" i="64"/>
  <c r="Q7" i="59"/>
  <c r="Q5" i="68"/>
  <c r="Q22" i="49"/>
  <c r="Q5" i="71"/>
  <c r="Q14" i="71" s="1"/>
  <c r="Q5" i="65"/>
  <c r="Q5" i="58"/>
  <c r="Q5" i="54"/>
  <c r="Q12" i="54" s="1"/>
  <c r="P9" i="166" s="1"/>
  <c r="Q9" i="166" s="1"/>
  <c r="Q6" i="66"/>
  <c r="Q6" i="59"/>
  <c r="Q12" i="48"/>
  <c r="Q9" i="65"/>
  <c r="Q9" i="48"/>
  <c r="Q21" i="49"/>
  <c r="Q5" i="60"/>
  <c r="Q9" i="55"/>
  <c r="D5" i="292"/>
  <c r="D7" i="282"/>
  <c r="D7" i="285"/>
  <c r="D7" i="286"/>
  <c r="D7" i="281"/>
  <c r="D6" i="279"/>
  <c r="D7" i="276"/>
  <c r="Q9" i="76"/>
  <c r="D5" i="290"/>
  <c r="D5" i="291"/>
  <c r="D7" i="275"/>
  <c r="C3" i="262" s="1"/>
  <c r="D11" i="178"/>
  <c r="C3" i="291" s="1"/>
  <c r="D10" i="178"/>
  <c r="C3" i="290" s="1"/>
  <c r="D9" i="178"/>
  <c r="C3" i="187" s="1"/>
  <c r="D12" i="14"/>
  <c r="D13" i="14"/>
  <c r="C3" i="108" s="1"/>
  <c r="D9" i="120"/>
  <c r="C3" i="125" s="1"/>
  <c r="D6" i="178"/>
  <c r="D13" i="178"/>
  <c r="C3" i="286" s="1"/>
  <c r="D12" i="178"/>
  <c r="C3" i="285" s="1"/>
  <c r="D6" i="288"/>
  <c r="D5" i="288"/>
  <c r="D7" i="287"/>
  <c r="D7" i="288"/>
  <c r="D6" i="287"/>
  <c r="D5" i="287"/>
  <c r="D8" i="286"/>
  <c r="D6" i="286"/>
  <c r="D7" i="284"/>
  <c r="D7" i="283"/>
  <c r="D5" i="285"/>
  <c r="D6" i="285"/>
  <c r="D6" i="283"/>
  <c r="D5" i="286"/>
  <c r="D8" i="285"/>
  <c r="D6" i="284"/>
  <c r="D5" i="284"/>
  <c r="D5" i="283"/>
  <c r="D6" i="278"/>
  <c r="D8" i="276"/>
  <c r="D7" i="279"/>
  <c r="D6" i="167"/>
  <c r="C3" i="253" s="1"/>
  <c r="D7" i="167"/>
  <c r="C3" i="255" s="1"/>
  <c r="D6" i="281"/>
  <c r="D8" i="167"/>
  <c r="C3" i="257" s="1"/>
  <c r="D5" i="282"/>
  <c r="D5" i="276"/>
  <c r="D8" i="281"/>
  <c r="D9" i="167"/>
  <c r="C3" i="258" s="1"/>
  <c r="D6" i="276"/>
  <c r="D5" i="274"/>
  <c r="D7" i="278"/>
  <c r="D6" i="282"/>
  <c r="D5" i="277"/>
  <c r="D8" i="282"/>
  <c r="D6" i="277"/>
  <c r="D5" i="273"/>
  <c r="D5" i="272"/>
  <c r="D5" i="278"/>
  <c r="D5" i="279"/>
  <c r="D7" i="113"/>
  <c r="C3" i="276" s="1"/>
  <c r="D7" i="277"/>
  <c r="D6" i="113"/>
  <c r="C3" i="275" s="1"/>
  <c r="D5" i="281"/>
  <c r="D8" i="113"/>
  <c r="C3" i="277" s="1"/>
  <c r="D6" i="275"/>
  <c r="D8" i="275"/>
  <c r="D5" i="275"/>
  <c r="D12" i="177"/>
  <c r="C3" i="186" s="1"/>
  <c r="D13" i="177"/>
  <c r="C3" i="268" s="1"/>
  <c r="D14" i="177"/>
  <c r="C3" i="269" s="1"/>
  <c r="D5" i="264"/>
  <c r="C3" i="267" s="1"/>
  <c r="D15" i="177"/>
  <c r="D16" i="177"/>
  <c r="C3" i="272" s="1"/>
  <c r="D17" i="177"/>
  <c r="D18" i="177"/>
  <c r="C3" i="274" s="1"/>
  <c r="D6" i="264"/>
  <c r="D7" i="264"/>
  <c r="C3" i="265" s="1"/>
  <c r="D15" i="2"/>
  <c r="C3" i="264" s="1"/>
  <c r="Q7" i="265"/>
  <c r="P7" i="264" s="1"/>
  <c r="Q7" i="264" s="1"/>
  <c r="Q9" i="266"/>
  <c r="D13" i="85"/>
  <c r="C3" i="134" s="1"/>
  <c r="L2" i="264"/>
  <c r="O19" i="264" s="1"/>
  <c r="D6" i="212"/>
  <c r="D14" i="87"/>
  <c r="D5" i="212"/>
  <c r="D5" i="113"/>
  <c r="D5" i="50"/>
  <c r="C3" i="80" s="1"/>
  <c r="D5" i="51"/>
  <c r="D8" i="212"/>
  <c r="D18" i="167"/>
  <c r="D14" i="211"/>
  <c r="D5" i="259"/>
  <c r="D6" i="258"/>
  <c r="D5" i="258"/>
  <c r="D6" i="257"/>
  <c r="D5" i="257"/>
  <c r="Q10" i="256"/>
  <c r="D5" i="255"/>
  <c r="D6" i="255"/>
  <c r="Q8" i="254"/>
  <c r="D6" i="253"/>
  <c r="C3" i="256" s="1"/>
  <c r="D5" i="253"/>
  <c r="C3" i="254" s="1"/>
  <c r="D11" i="112"/>
  <c r="D15" i="112"/>
  <c r="D13" i="211"/>
  <c r="C3" i="249" s="1"/>
  <c r="D5" i="232"/>
  <c r="D5" i="248"/>
  <c r="D12" i="211"/>
  <c r="D5" i="211"/>
  <c r="C3" i="212" s="1"/>
  <c r="D8" i="211"/>
  <c r="C3" i="217" s="1"/>
  <c r="D6" i="211"/>
  <c r="C3" i="215" s="1"/>
  <c r="D7" i="211"/>
  <c r="C3" i="216" s="1"/>
  <c r="D5" i="247"/>
  <c r="D5" i="246"/>
  <c r="D14" i="2"/>
  <c r="C3" i="210" s="1"/>
  <c r="D12" i="2"/>
  <c r="C3" i="120" s="1"/>
  <c r="D13" i="2"/>
  <c r="C3" i="170" s="1"/>
  <c r="D5" i="241"/>
  <c r="D5" i="233"/>
  <c r="D5" i="240"/>
  <c r="C3" i="242" s="1"/>
  <c r="D5" i="231"/>
  <c r="D5" i="230"/>
  <c r="D17" i="127"/>
  <c r="C3" i="236" s="1"/>
  <c r="D15" i="127"/>
  <c r="C3" i="233" s="1"/>
  <c r="D5" i="239"/>
  <c r="D5" i="238"/>
  <c r="D14" i="127"/>
  <c r="C3" i="234" s="1"/>
  <c r="D7" i="127"/>
  <c r="D13" i="127"/>
  <c r="C3" i="235" s="1"/>
  <c r="D10" i="127"/>
  <c r="C3" i="130" s="1"/>
  <c r="D11" i="127"/>
  <c r="C3" i="131" s="1"/>
  <c r="D12" i="127"/>
  <c r="C3" i="164" s="1"/>
  <c r="D6" i="127"/>
  <c r="D16" i="127"/>
  <c r="C3" i="232" s="1"/>
  <c r="Q7" i="240"/>
  <c r="Q8" i="61"/>
  <c r="Q7" i="65"/>
  <c r="Q6" i="55"/>
  <c r="D15" i="211"/>
  <c r="C3" i="259" s="1"/>
  <c r="D9" i="213"/>
  <c r="C3" i="222" s="1"/>
  <c r="D10" i="213"/>
  <c r="C3" i="223" s="1"/>
  <c r="D17" i="211"/>
  <c r="D11" i="211"/>
  <c r="C3" i="247" s="1"/>
  <c r="D10" i="211"/>
  <c r="C3" i="246" s="1"/>
  <c r="D9" i="211"/>
  <c r="D5" i="210"/>
  <c r="C3" i="211" s="1"/>
  <c r="D7" i="210"/>
  <c r="C3" i="214" s="1"/>
  <c r="L2" i="210"/>
  <c r="D6" i="210"/>
  <c r="C3" i="213" s="1"/>
  <c r="D5" i="217"/>
  <c r="D8" i="210"/>
  <c r="D5" i="216"/>
  <c r="D5" i="215"/>
  <c r="D12" i="213"/>
  <c r="C3" i="225" s="1"/>
  <c r="D6" i="213"/>
  <c r="C3" i="219" s="1"/>
  <c r="D8" i="213"/>
  <c r="C3" i="221" s="1"/>
  <c r="D5" i="213"/>
  <c r="C3" i="218" s="1"/>
  <c r="D7" i="213"/>
  <c r="C3" i="220" s="1"/>
  <c r="D5" i="214"/>
  <c r="C3" i="226" s="1"/>
  <c r="D11" i="213"/>
  <c r="C3" i="224" s="1"/>
  <c r="D12" i="166"/>
  <c r="C3" i="316" s="1"/>
  <c r="D15" i="166"/>
  <c r="D11" i="177"/>
  <c r="C3" i="185" s="1"/>
  <c r="D6" i="112"/>
  <c r="C3" i="206" s="1"/>
  <c r="D12" i="191"/>
  <c r="C3" i="201" s="1"/>
  <c r="D11" i="191"/>
  <c r="C3" i="200" s="1"/>
  <c r="D6" i="201"/>
  <c r="C3" i="230" s="1"/>
  <c r="D5" i="194"/>
  <c r="C3" i="198" s="1"/>
  <c r="D5" i="191"/>
  <c r="D7" i="112"/>
  <c r="C3" i="207" s="1"/>
  <c r="D5" i="193"/>
  <c r="D5" i="203"/>
  <c r="C3" i="205" s="1"/>
  <c r="D7" i="201"/>
  <c r="D5" i="201"/>
  <c r="C3" i="229" s="1"/>
  <c r="D7" i="191"/>
  <c r="D13" i="191"/>
  <c r="D8" i="201"/>
  <c r="D6" i="194"/>
  <c r="C3" i="199" s="1"/>
  <c r="D6" i="191"/>
  <c r="D7" i="200"/>
  <c r="C3" i="204" s="1"/>
  <c r="D9" i="2"/>
  <c r="D6" i="200"/>
  <c r="C3" i="203" s="1"/>
  <c r="D9" i="191"/>
  <c r="D5" i="200"/>
  <c r="C3" i="202" s="1"/>
  <c r="L2" i="191"/>
  <c r="D8" i="191"/>
  <c r="D10" i="191"/>
  <c r="C3" i="194" s="1"/>
  <c r="D8" i="200"/>
  <c r="C3" i="228" s="1"/>
  <c r="Q9" i="99"/>
  <c r="P10" i="90" s="1"/>
  <c r="Q10" i="90" s="1"/>
  <c r="G226" i="31"/>
  <c r="L2" i="120" s="1"/>
  <c r="H226" i="31"/>
  <c r="G102" i="31"/>
  <c r="L2" i="111" s="1"/>
  <c r="H102" i="31"/>
  <c r="D13" i="82"/>
  <c r="C3" i="126" s="1"/>
  <c r="D14" i="178"/>
  <c r="C3" i="287" s="1"/>
  <c r="D5" i="121"/>
  <c r="D10" i="106"/>
  <c r="D9" i="106"/>
  <c r="D10" i="87"/>
  <c r="D5" i="83"/>
  <c r="D5" i="111"/>
  <c r="C3" i="177" s="1"/>
  <c r="D12" i="111"/>
  <c r="D5" i="161"/>
  <c r="D12" i="88"/>
  <c r="D6" i="88"/>
  <c r="D5" i="88"/>
  <c r="D6" i="110"/>
  <c r="C3" i="167" s="1"/>
  <c r="D7" i="111"/>
  <c r="C3" i="165" s="1"/>
  <c r="D6" i="49"/>
  <c r="C3" i="68" s="1"/>
  <c r="D7" i="86"/>
  <c r="D6" i="85"/>
  <c r="C3" i="94" s="1"/>
  <c r="D5" i="49"/>
  <c r="C3" i="67" s="1"/>
  <c r="D8" i="178"/>
  <c r="D12" i="90"/>
  <c r="D10" i="85"/>
  <c r="C3" i="98" s="1"/>
  <c r="D9" i="85"/>
  <c r="C3" i="97" s="1"/>
  <c r="L2" i="127"/>
  <c r="D10" i="14"/>
  <c r="C3" i="52" s="1"/>
  <c r="D7" i="49"/>
  <c r="C3" i="70" s="1"/>
  <c r="D8" i="159"/>
  <c r="D8" i="89"/>
  <c r="D10" i="112"/>
  <c r="D5" i="112"/>
  <c r="C3" i="115" s="1"/>
  <c r="D5" i="53"/>
  <c r="C3" i="73" s="1"/>
  <c r="D12" i="85"/>
  <c r="C3" i="100" s="1"/>
  <c r="D5" i="87"/>
  <c r="D6" i="89"/>
  <c r="C3" i="105" s="1"/>
  <c r="D8" i="49"/>
  <c r="C3" i="71" s="1"/>
  <c r="D12" i="87"/>
  <c r="D5" i="78"/>
  <c r="D12" i="89"/>
  <c r="D5" i="159"/>
  <c r="D11" i="86"/>
  <c r="D10" i="177"/>
  <c r="C3" i="184" s="1"/>
  <c r="D11" i="167"/>
  <c r="D7" i="150"/>
  <c r="C3" i="156" s="1"/>
  <c r="D9" i="90"/>
  <c r="D11" i="111"/>
  <c r="C3" i="181" s="1"/>
  <c r="D9" i="83"/>
  <c r="C3" i="141" s="1"/>
  <c r="D13" i="89"/>
  <c r="D9" i="87"/>
  <c r="D8" i="88"/>
  <c r="D7" i="109"/>
  <c r="C3" i="114" s="1"/>
  <c r="D11" i="85"/>
  <c r="C3" i="99" s="1"/>
  <c r="D5" i="114"/>
  <c r="D9" i="111"/>
  <c r="C3" i="179" s="1"/>
  <c r="D8" i="106"/>
  <c r="D10" i="82"/>
  <c r="C3" i="89" s="1"/>
  <c r="D5" i="110"/>
  <c r="C3" i="166" s="1"/>
  <c r="D10" i="90"/>
  <c r="D5" i="14"/>
  <c r="C3" i="47" s="1"/>
  <c r="L2" i="109"/>
  <c r="D10" i="88"/>
  <c r="D8" i="85"/>
  <c r="C3" i="96" s="1"/>
  <c r="D6" i="51"/>
  <c r="D9" i="88"/>
  <c r="D14" i="85"/>
  <c r="C3" i="263" s="1"/>
  <c r="D14" i="47"/>
  <c r="C3" i="63" s="1"/>
  <c r="D12" i="82"/>
  <c r="D10" i="47"/>
  <c r="C3" i="59" s="1"/>
  <c r="D13" i="114"/>
  <c r="C3" i="330" s="1"/>
  <c r="D11" i="47"/>
  <c r="C3" i="60" s="1"/>
  <c r="D6" i="86"/>
  <c r="C3" i="102" s="1"/>
  <c r="D5" i="77"/>
  <c r="D6" i="128"/>
  <c r="C3" i="197" s="1"/>
  <c r="D9" i="177"/>
  <c r="C3" i="183" s="1"/>
  <c r="D10" i="167"/>
  <c r="D6" i="150"/>
  <c r="C3" i="155" s="1"/>
  <c r="D8" i="177"/>
  <c r="D8" i="150"/>
  <c r="C3" i="157" s="1"/>
  <c r="D6" i="177"/>
  <c r="D17" i="167"/>
  <c r="C3" i="284" s="1"/>
  <c r="D5" i="150"/>
  <c r="C3" i="154" s="1"/>
  <c r="D7" i="177"/>
  <c r="D16" i="167"/>
  <c r="C3" i="283" s="1"/>
  <c r="D7" i="122"/>
  <c r="C3" i="142" s="1"/>
  <c r="L2" i="106"/>
  <c r="D13" i="47"/>
  <c r="C3" i="62" s="1"/>
  <c r="D13" i="111"/>
  <c r="C3" i="243" s="1"/>
  <c r="D12" i="47"/>
  <c r="C3" i="61" s="1"/>
  <c r="D7" i="129"/>
  <c r="C3" i="146" s="1"/>
  <c r="D5" i="2"/>
  <c r="C3" i="14" s="1"/>
  <c r="D7" i="87"/>
  <c r="D5" i="167"/>
  <c r="D9" i="89"/>
  <c r="D7" i="89"/>
  <c r="D9" i="49"/>
  <c r="C3" i="72" s="1"/>
  <c r="D5" i="122"/>
  <c r="D5" i="89"/>
  <c r="C3" i="103" s="1"/>
  <c r="D8" i="127"/>
  <c r="D8" i="87"/>
  <c r="D5" i="47"/>
  <c r="C3" i="54" s="1"/>
  <c r="D10" i="122"/>
  <c r="D11" i="113"/>
  <c r="D5" i="74"/>
  <c r="C3" i="76" s="1"/>
  <c r="D11" i="88"/>
  <c r="D13" i="90"/>
  <c r="D6" i="2"/>
  <c r="C3" i="109" s="1"/>
  <c r="D8" i="82"/>
  <c r="C3" i="87" s="1"/>
  <c r="D8" i="170"/>
  <c r="C3" i="174" s="1"/>
  <c r="D14" i="166"/>
  <c r="C3" i="318" s="1"/>
  <c r="D8" i="122"/>
  <c r="C3" i="143" s="1"/>
  <c r="D8" i="120"/>
  <c r="C3" i="124" s="1"/>
  <c r="D10" i="111"/>
  <c r="C3" i="180" s="1"/>
  <c r="D7" i="90"/>
  <c r="D8" i="86"/>
  <c r="D6" i="106"/>
  <c r="D9" i="114"/>
  <c r="D5" i="166"/>
  <c r="C3" i="168" s="1"/>
  <c r="D6" i="87"/>
  <c r="D6" i="82"/>
  <c r="C3" i="85" s="1"/>
  <c r="D11" i="87"/>
  <c r="D8" i="14"/>
  <c r="C3" i="50" s="1"/>
  <c r="D5" i="130"/>
  <c r="C3" i="150" s="1"/>
  <c r="D6" i="48"/>
  <c r="C3" i="65" s="1"/>
  <c r="D7" i="170"/>
  <c r="C3" i="173" s="1"/>
  <c r="L2" i="82"/>
  <c r="D5" i="180"/>
  <c r="C3" i="190" s="1"/>
  <c r="D7" i="2"/>
  <c r="C3" i="110" s="1"/>
  <c r="D6" i="122"/>
  <c r="D11" i="89"/>
  <c r="D13" i="166"/>
  <c r="C3" i="317" s="1"/>
  <c r="D9" i="122"/>
  <c r="D13" i="86"/>
  <c r="D19" i="47"/>
  <c r="C3" i="81" s="1"/>
  <c r="D11" i="82"/>
  <c r="C3" i="90" s="1"/>
  <c r="D7" i="48"/>
  <c r="C3" i="66" s="1"/>
  <c r="D5" i="90"/>
  <c r="C3" i="104" s="1"/>
  <c r="D9" i="82"/>
  <c r="C3" i="88" s="1"/>
  <c r="D6" i="14"/>
  <c r="C3" i="48" s="1"/>
  <c r="D11" i="166"/>
  <c r="C3" i="315" s="1"/>
  <c r="D9" i="121"/>
  <c r="C3" i="138" s="1"/>
  <c r="D5" i="82"/>
  <c r="C3" i="83" s="1"/>
  <c r="D10" i="2"/>
  <c r="C3" i="127" s="1"/>
  <c r="D11" i="14"/>
  <c r="C3" i="53" s="1"/>
  <c r="D6" i="109"/>
  <c r="D7" i="85"/>
  <c r="C3" i="95" s="1"/>
  <c r="D10" i="114"/>
  <c r="D5" i="85"/>
  <c r="C3" i="93" s="1"/>
  <c r="D7" i="83"/>
  <c r="C3" i="92" s="1"/>
  <c r="D6" i="114"/>
  <c r="D11" i="114"/>
  <c r="D8" i="114"/>
  <c r="C3" i="117" s="1"/>
  <c r="D16" i="47"/>
  <c r="C3" i="77" s="1"/>
  <c r="D8" i="2"/>
  <c r="C3" i="111" s="1"/>
  <c r="D9" i="47"/>
  <c r="C3" i="58" s="1"/>
  <c r="D8" i="47"/>
  <c r="C3" i="57" s="1"/>
  <c r="D5" i="177"/>
  <c r="D6" i="159"/>
  <c r="C3" i="147" s="1"/>
  <c r="D10" i="86"/>
  <c r="D7" i="106"/>
  <c r="D11" i="90"/>
  <c r="D6" i="170"/>
  <c r="C3" i="172" s="1"/>
  <c r="D5" i="179"/>
  <c r="C3" i="188" s="1"/>
  <c r="D9" i="170"/>
  <c r="C3" i="175" s="1"/>
  <c r="D5" i="170"/>
  <c r="C3" i="171" s="1"/>
  <c r="D5" i="187"/>
  <c r="D8" i="83"/>
  <c r="C3" i="140" s="1"/>
  <c r="D5" i="109"/>
  <c r="C3" i="112" s="1"/>
  <c r="D8" i="90"/>
  <c r="D5" i="120"/>
  <c r="C3" i="121" s="1"/>
  <c r="D9" i="112"/>
  <c r="D9" i="14"/>
  <c r="C3" i="51" s="1"/>
  <c r="D7" i="14"/>
  <c r="C3" i="49" s="1"/>
  <c r="D7" i="47"/>
  <c r="C3" i="56" s="1"/>
  <c r="D8" i="121"/>
  <c r="C3" i="137" s="1"/>
  <c r="D10" i="49"/>
  <c r="C3" i="119" s="1"/>
  <c r="D13" i="87"/>
  <c r="D13" i="88"/>
  <c r="D17" i="47"/>
  <c r="C3" i="78" s="1"/>
  <c r="D6" i="129"/>
  <c r="C3" i="145" s="1"/>
  <c r="D5" i="129"/>
  <c r="C3" i="159" s="1"/>
  <c r="D7" i="88"/>
  <c r="D7" i="121"/>
  <c r="C3" i="144" s="1"/>
  <c r="D7" i="120"/>
  <c r="C3" i="123" s="1"/>
  <c r="D18" i="47"/>
  <c r="C3" i="79" s="1"/>
  <c r="D9" i="86"/>
  <c r="D6" i="130"/>
  <c r="C3" i="162" s="1"/>
  <c r="L2" i="110"/>
  <c r="D6" i="83"/>
  <c r="D6" i="90"/>
  <c r="D5" i="127"/>
  <c r="D10" i="121"/>
  <c r="C3" i="139" s="1"/>
  <c r="D5" i="86"/>
  <c r="C3" i="101" s="1"/>
  <c r="D5" i="178"/>
  <c r="D12" i="86"/>
  <c r="D8" i="110"/>
  <c r="C3" i="209" s="1"/>
  <c r="D7" i="110"/>
  <c r="D5" i="79"/>
  <c r="D7" i="114"/>
  <c r="C3" i="116" s="1"/>
  <c r="D5" i="108"/>
  <c r="D7" i="82"/>
  <c r="C3" i="86" s="1"/>
  <c r="D9" i="127"/>
  <c r="C3" i="129" s="1"/>
  <c r="D7" i="159"/>
  <c r="C3" i="148" s="1"/>
  <c r="D5" i="48"/>
  <c r="C3" i="64" s="1"/>
  <c r="D6" i="179"/>
  <c r="C3" i="189" s="1"/>
  <c r="D6" i="121"/>
  <c r="C3" i="135" s="1"/>
  <c r="D11" i="2"/>
  <c r="C3" i="82" s="1"/>
  <c r="D7" i="130"/>
  <c r="C3" i="163" s="1"/>
  <c r="D6" i="47"/>
  <c r="C3" i="55" s="1"/>
  <c r="D5" i="128"/>
  <c r="D6" i="50"/>
  <c r="C3" i="260" s="1"/>
  <c r="D8" i="111"/>
  <c r="D18" i="178"/>
  <c r="D6" i="120"/>
  <c r="C3" i="122" s="1"/>
  <c r="D15" i="47"/>
  <c r="C3" i="74" s="1"/>
  <c r="D6" i="111"/>
  <c r="C3" i="178" s="1"/>
  <c r="D5" i="106"/>
  <c r="D10" i="89"/>
  <c r="L2" i="14"/>
  <c r="Q9" i="104"/>
  <c r="P6" i="170"/>
  <c r="Q6" i="170" s="1"/>
  <c r="Q9" i="73"/>
  <c r="P5" i="53" s="1"/>
  <c r="Q5" i="53" s="1"/>
  <c r="Q16" i="125"/>
  <c r="P9" i="120" s="1"/>
  <c r="Q9" i="120" s="1"/>
  <c r="Q16" i="126"/>
  <c r="P13" i="82" s="1"/>
  <c r="Q13" i="82" s="1"/>
  <c r="Q24" i="137"/>
  <c r="P8" i="121" s="1"/>
  <c r="Q8" i="121" s="1"/>
  <c r="Q8" i="106"/>
  <c r="Q23" i="108"/>
  <c r="P13" i="14" s="1"/>
  <c r="Q13" i="14" s="1"/>
  <c r="Q5" i="106"/>
  <c r="Q10" i="72"/>
  <c r="Q23" i="107"/>
  <c r="P12" i="14" s="1"/>
  <c r="Q12" i="14" s="1"/>
  <c r="Q23" i="124"/>
  <c r="P7" i="179" s="1"/>
  <c r="Q7" i="179" s="1"/>
  <c r="Q12" i="119"/>
  <c r="F451" i="29"/>
  <c r="H451" i="29" s="1"/>
  <c r="S253" i="28"/>
  <c r="H238" i="31"/>
  <c r="G238" i="31"/>
  <c r="L2" i="170" s="1"/>
  <c r="P5" i="127" l="1"/>
  <c r="Q13" i="330"/>
  <c r="P13" i="114" s="1"/>
  <c r="Q26" i="233"/>
  <c r="P15" i="127" s="1"/>
  <c r="Q15" i="127" s="1"/>
  <c r="P5" i="191"/>
  <c r="Q5" i="191" s="1"/>
  <c r="C3" i="241"/>
  <c r="P6" i="264"/>
  <c r="P6" i="298"/>
  <c r="Q6" i="298" s="1"/>
  <c r="O31" i="298"/>
  <c r="O5" i="298"/>
  <c r="O6" i="298"/>
  <c r="O51" i="298"/>
  <c r="O49" i="298"/>
  <c r="O50" i="298"/>
  <c r="O47" i="298"/>
  <c r="O48" i="298"/>
  <c r="O45" i="298"/>
  <c r="O46" i="298"/>
  <c r="O17" i="298"/>
  <c r="O15" i="298"/>
  <c r="O16" i="298"/>
  <c r="O14" i="298"/>
  <c r="O30" i="298"/>
  <c r="Q20" i="135"/>
  <c r="P6" i="122" s="1"/>
  <c r="Q6" i="122" s="1"/>
  <c r="Q24" i="209"/>
  <c r="P8" i="110" s="1"/>
  <c r="Q8" i="110" s="1"/>
  <c r="Q25" i="142"/>
  <c r="P7" i="122" s="1"/>
  <c r="Q7" i="122" s="1"/>
  <c r="Q15" i="139"/>
  <c r="C3" i="266"/>
  <c r="C3" i="329"/>
  <c r="Q18" i="173"/>
  <c r="P7" i="170" s="1"/>
  <c r="Q7" i="170" s="1"/>
  <c r="P5" i="328"/>
  <c r="Q5" i="328" s="1"/>
  <c r="Q8" i="328" s="1"/>
  <c r="P25" i="177" s="1"/>
  <c r="Q25" i="177" s="1"/>
  <c r="P5" i="329"/>
  <c r="Q5" i="329" s="1"/>
  <c r="Q8" i="329" s="1"/>
  <c r="P26" i="177" s="1"/>
  <c r="P5" i="327"/>
  <c r="Q5" i="327" s="1"/>
  <c r="Q8" i="327" s="1"/>
  <c r="P24" i="177" s="1"/>
  <c r="Q24" i="177" s="1"/>
  <c r="P5" i="325"/>
  <c r="Q5" i="325" s="1"/>
  <c r="Q8" i="325" s="1"/>
  <c r="P22" i="177" s="1"/>
  <c r="Q22" i="177" s="1"/>
  <c r="P5" i="326"/>
  <c r="Q5" i="326" s="1"/>
  <c r="Q8" i="326" s="1"/>
  <c r="P23" i="177" s="1"/>
  <c r="Q23" i="177" s="1"/>
  <c r="P5" i="323"/>
  <c r="Q5" i="323" s="1"/>
  <c r="Q8" i="323" s="1"/>
  <c r="P5" i="324"/>
  <c r="Q5" i="324" s="1"/>
  <c r="Q8" i="324" s="1"/>
  <c r="P21" i="177" s="1"/>
  <c r="Q21" i="177" s="1"/>
  <c r="C3" i="295"/>
  <c r="C3" i="270"/>
  <c r="Q10" i="289"/>
  <c r="P7" i="278" s="1"/>
  <c r="Q7" i="278" s="1"/>
  <c r="Q13" i="262"/>
  <c r="P7" i="286" s="1"/>
  <c r="Q7" i="286" s="1"/>
  <c r="C3" i="319"/>
  <c r="C3" i="252"/>
  <c r="C3" i="322"/>
  <c r="C3" i="320"/>
  <c r="P5" i="321"/>
  <c r="Q5" i="321" s="1"/>
  <c r="Q8" i="321" s="1"/>
  <c r="P14" i="112" s="1"/>
  <c r="Q14" i="112" s="1"/>
  <c r="P5" i="322"/>
  <c r="Q5" i="322" s="1"/>
  <c r="Q8" i="322" s="1"/>
  <c r="P15" i="112" s="1"/>
  <c r="Q15" i="112" s="1"/>
  <c r="C3" i="251"/>
  <c r="P5" i="319"/>
  <c r="Q5" i="319" s="1"/>
  <c r="Q8" i="319" s="1"/>
  <c r="P15" i="166" s="1"/>
  <c r="P5" i="320"/>
  <c r="Q5" i="320" s="1"/>
  <c r="Q8" i="320" s="1"/>
  <c r="P13" i="112" s="1"/>
  <c r="Q13" i="112" s="1"/>
  <c r="Q10" i="115"/>
  <c r="Q10" i="56"/>
  <c r="P5" i="318"/>
  <c r="Q5" i="318" s="1"/>
  <c r="Q8" i="318" s="1"/>
  <c r="P14" i="166" s="1"/>
  <c r="Q14" i="166" s="1"/>
  <c r="P5" i="316"/>
  <c r="Q5" i="316" s="1"/>
  <c r="Q8" i="316" s="1"/>
  <c r="P12" i="166" s="1"/>
  <c r="P5" i="317"/>
  <c r="Q5" i="317" s="1"/>
  <c r="Q8" i="317" s="1"/>
  <c r="P13" i="166" s="1"/>
  <c r="P5" i="312"/>
  <c r="Q5" i="312" s="1"/>
  <c r="Q8" i="312" s="1"/>
  <c r="P17" i="211" s="1"/>
  <c r="P5" i="315"/>
  <c r="Q5" i="315" s="1"/>
  <c r="Q8" i="315" s="1"/>
  <c r="P11" i="166" s="1"/>
  <c r="Q16" i="175"/>
  <c r="P9" i="170" s="1"/>
  <c r="Q9" i="170" s="1"/>
  <c r="Q20" i="174"/>
  <c r="P8" i="170" s="1"/>
  <c r="Q8" i="170" s="1"/>
  <c r="Q34" i="171"/>
  <c r="P5" i="170" s="1"/>
  <c r="Q5" i="170" s="1"/>
  <c r="Q11" i="314"/>
  <c r="P5" i="313" s="1"/>
  <c r="Q5" i="313" s="1"/>
  <c r="Q23" i="313" s="1"/>
  <c r="C3" i="313"/>
  <c r="C3" i="297"/>
  <c r="C3" i="312"/>
  <c r="C3" i="311"/>
  <c r="C3" i="309"/>
  <c r="P5" i="310"/>
  <c r="Q5" i="310" s="1"/>
  <c r="Q8" i="310" s="1"/>
  <c r="P17" i="178" s="1"/>
  <c r="Q17" i="178" s="1"/>
  <c r="P5" i="311"/>
  <c r="Q5" i="311" s="1"/>
  <c r="Q9" i="311" s="1"/>
  <c r="P18" i="178" s="1"/>
  <c r="Q18" i="178" s="1"/>
  <c r="C3" i="288"/>
  <c r="P5" i="308"/>
  <c r="Q5" i="308" s="1"/>
  <c r="Q9" i="308" s="1"/>
  <c r="P15" i="167" s="1"/>
  <c r="P5" i="309"/>
  <c r="Q5" i="309" s="1"/>
  <c r="Q8" i="309" s="1"/>
  <c r="P16" i="178" s="1"/>
  <c r="Q16" i="178" s="1"/>
  <c r="C3" i="282"/>
  <c r="C3" i="308"/>
  <c r="P5" i="306"/>
  <c r="Q5" i="306" s="1"/>
  <c r="Q8" i="306" s="1"/>
  <c r="P5" i="307"/>
  <c r="Q5" i="307" s="1"/>
  <c r="Q8" i="307" s="1"/>
  <c r="P14" i="167" s="1"/>
  <c r="Q14" i="167" s="1"/>
  <c r="C3" i="278"/>
  <c r="C3" i="306"/>
  <c r="P5" i="74"/>
  <c r="Q5" i="74" s="1"/>
  <c r="Q10" i="74" s="1"/>
  <c r="P15" i="47" s="1"/>
  <c r="Q15" i="47" s="1"/>
  <c r="P5" i="305"/>
  <c r="Q5" i="305" s="1"/>
  <c r="Q8" i="305" s="1"/>
  <c r="O14" i="264"/>
  <c r="O15" i="264"/>
  <c r="P14" i="85"/>
  <c r="Q14" i="85" s="1"/>
  <c r="P14" i="87"/>
  <c r="Q14" i="87" s="1"/>
  <c r="P6" i="163"/>
  <c r="Q6" i="163" s="1"/>
  <c r="P6" i="146"/>
  <c r="Q6" i="146" s="1"/>
  <c r="P7" i="163"/>
  <c r="Q7" i="163" s="1"/>
  <c r="P7" i="146"/>
  <c r="Q7" i="146" s="1"/>
  <c r="C3" i="296"/>
  <c r="Q11" i="301"/>
  <c r="P6" i="236" s="1"/>
  <c r="Q6" i="236" s="1"/>
  <c r="Q57" i="236" s="1"/>
  <c r="P17" i="127" s="1"/>
  <c r="Q17" i="127" s="1"/>
  <c r="C3" i="84"/>
  <c r="C3" i="299"/>
  <c r="Q9" i="224"/>
  <c r="P11" i="213" s="1"/>
  <c r="Q11" i="213" s="1"/>
  <c r="Q16" i="218"/>
  <c r="P5" i="213" s="1"/>
  <c r="Q5" i="213" s="1"/>
  <c r="Q13" i="250"/>
  <c r="P14" i="211" s="1"/>
  <c r="Q14" i="211" s="1"/>
  <c r="Q8" i="259"/>
  <c r="P15" i="211" s="1"/>
  <c r="Q8" i="247"/>
  <c r="P11" i="211" s="1"/>
  <c r="Q11" i="211" s="1"/>
  <c r="Q9" i="222"/>
  <c r="P9" i="213" s="1"/>
  <c r="Q9" i="213" s="1"/>
  <c r="Q9" i="223"/>
  <c r="P10" i="213" s="1"/>
  <c r="Q10" i="213" s="1"/>
  <c r="Q17" i="219"/>
  <c r="P6" i="213" s="1"/>
  <c r="Q6" i="213" s="1"/>
  <c r="Q20" i="249"/>
  <c r="P13" i="211" s="1"/>
  <c r="Q13" i="211" s="1"/>
  <c r="Q12" i="245"/>
  <c r="P9" i="211" s="1"/>
  <c r="Q8" i="246"/>
  <c r="P10" i="211" s="1"/>
  <c r="Q10" i="211" s="1"/>
  <c r="Q8" i="248"/>
  <c r="P12" i="211" s="1"/>
  <c r="Q12" i="211" s="1"/>
  <c r="P5" i="234"/>
  <c r="Q5" i="234" s="1"/>
  <c r="Q22" i="234" s="1"/>
  <c r="P5" i="235"/>
  <c r="Q5" i="235" s="1"/>
  <c r="Q22" i="235" s="1"/>
  <c r="C3" i="91"/>
  <c r="O37" i="298"/>
  <c r="O44" i="298"/>
  <c r="O41" i="298"/>
  <c r="O42" i="298"/>
  <c r="O43" i="298"/>
  <c r="O36" i="298"/>
  <c r="O35" i="298"/>
  <c r="O29" i="298"/>
  <c r="O28" i="298"/>
  <c r="O27" i="298"/>
  <c r="O23" i="298"/>
  <c r="O24" i="298"/>
  <c r="O25" i="298"/>
  <c r="O26" i="298"/>
  <c r="O22" i="298"/>
  <c r="O13" i="298"/>
  <c r="O11" i="298"/>
  <c r="O12" i="298"/>
  <c r="O39" i="298"/>
  <c r="O9" i="298"/>
  <c r="O10" i="298"/>
  <c r="O19" i="298"/>
  <c r="O34" i="298"/>
  <c r="O8" i="298"/>
  <c r="O21" i="298"/>
  <c r="O40" i="298"/>
  <c r="O33" i="298"/>
  <c r="O20" i="298"/>
  <c r="C3" i="227"/>
  <c r="P5" i="146"/>
  <c r="Q5" i="146" s="1"/>
  <c r="P5" i="163"/>
  <c r="Q5" i="163" s="1"/>
  <c r="C3" i="133"/>
  <c r="C3" i="294"/>
  <c r="P5" i="273"/>
  <c r="Q5" i="273" s="1"/>
  <c r="P5" i="295"/>
  <c r="Q5" i="295" s="1"/>
  <c r="C3" i="273"/>
  <c r="C3" i="149"/>
  <c r="C3" i="250"/>
  <c r="P8" i="120"/>
  <c r="Q8" i="120" s="1"/>
  <c r="P6" i="193"/>
  <c r="Q6" i="193" s="1"/>
  <c r="P7" i="128"/>
  <c r="Q7" i="128" s="1"/>
  <c r="P5" i="128"/>
  <c r="Q5" i="128" s="1"/>
  <c r="P5" i="193"/>
  <c r="Q5" i="193" s="1"/>
  <c r="P5" i="79"/>
  <c r="Q5" i="79" s="1"/>
  <c r="Q8" i="79" s="1"/>
  <c r="P18" i="47" s="1"/>
  <c r="Q18" i="47" s="1"/>
  <c r="P5" i="77"/>
  <c r="Q5" i="77" s="1"/>
  <c r="Q8" i="77" s="1"/>
  <c r="P16" i="47" s="1"/>
  <c r="Q16" i="47" s="1"/>
  <c r="P5" i="78"/>
  <c r="Q5" i="78" s="1"/>
  <c r="Q8" i="78" s="1"/>
  <c r="P17" i="47" s="1"/>
  <c r="Q17" i="47" s="1"/>
  <c r="O14" i="191"/>
  <c r="O18" i="191"/>
  <c r="O12" i="264"/>
  <c r="O13" i="264"/>
  <c r="O10" i="264"/>
  <c r="O11" i="264"/>
  <c r="O5" i="264"/>
  <c r="O9" i="264"/>
  <c r="Q18" i="118"/>
  <c r="Q19" i="59"/>
  <c r="P10" i="47" s="1"/>
  <c r="Q10" i="47" s="1"/>
  <c r="Q16" i="68"/>
  <c r="P6" i="114" s="1"/>
  <c r="Q6" i="114" s="1"/>
  <c r="Q15" i="66"/>
  <c r="P7" i="48" s="1"/>
  <c r="Q7" i="48" s="1"/>
  <c r="Q29" i="48" s="1"/>
  <c r="P6" i="14" s="1"/>
  <c r="Q6" i="14" s="1"/>
  <c r="Q12" i="117"/>
  <c r="P8" i="114" s="1"/>
  <c r="Q8" i="114" s="1"/>
  <c r="Q16" i="58"/>
  <c r="P9" i="47" s="1"/>
  <c r="Q9" i="47" s="1"/>
  <c r="Q31" i="280"/>
  <c r="P11" i="167" s="1"/>
  <c r="Q22" i="281"/>
  <c r="P12" i="167" s="1"/>
  <c r="Q12" i="167" s="1"/>
  <c r="P7" i="114"/>
  <c r="Q7" i="114" s="1"/>
  <c r="P5" i="278"/>
  <c r="Q5" i="278" s="1"/>
  <c r="P5" i="114"/>
  <c r="Q5" i="114" s="1"/>
  <c r="P5" i="49"/>
  <c r="Q5" i="49" s="1"/>
  <c r="Q22" i="282"/>
  <c r="P8" i="49"/>
  <c r="Q8" i="49" s="1"/>
  <c r="P9" i="114"/>
  <c r="Q9" i="114" s="1"/>
  <c r="Q31" i="279"/>
  <c r="P10" i="167" s="1"/>
  <c r="P5" i="277"/>
  <c r="Q5" i="277" s="1"/>
  <c r="P5" i="51"/>
  <c r="Q5" i="51" s="1"/>
  <c r="P5" i="276"/>
  <c r="Q5" i="276" s="1"/>
  <c r="P5" i="275"/>
  <c r="Q5" i="275" s="1"/>
  <c r="C3" i="240"/>
  <c r="P5" i="272"/>
  <c r="Q5" i="272" s="1"/>
  <c r="Q22" i="285"/>
  <c r="P12" i="178" s="1"/>
  <c r="Q12" i="178" s="1"/>
  <c r="Q22" i="286"/>
  <c r="P13" i="178" s="1"/>
  <c r="Q13" i="178" s="1"/>
  <c r="P10" i="14"/>
  <c r="Q10" i="14" s="1"/>
  <c r="P5" i="178"/>
  <c r="Q5" i="178" s="1"/>
  <c r="P5" i="274"/>
  <c r="Q5" i="274" s="1"/>
  <c r="P5" i="290"/>
  <c r="Q5" i="290" s="1"/>
  <c r="Q8" i="290" s="1"/>
  <c r="P10" i="178" s="1"/>
  <c r="Q10" i="178" s="1"/>
  <c r="P5" i="291"/>
  <c r="Q5" i="291" s="1"/>
  <c r="Q8" i="291" s="1"/>
  <c r="P11" i="178" s="1"/>
  <c r="Q11" i="178" s="1"/>
  <c r="P5" i="187"/>
  <c r="Q5" i="187" s="1"/>
  <c r="Q14" i="187" s="1"/>
  <c r="P9" i="178" s="1"/>
  <c r="Q9" i="178" s="1"/>
  <c r="C3" i="289"/>
  <c r="C3" i="107"/>
  <c r="Q24" i="270"/>
  <c r="C3" i="128"/>
  <c r="C3" i="280"/>
  <c r="P18" i="167"/>
  <c r="Q18" i="167" s="1"/>
  <c r="C3" i="279"/>
  <c r="Q23" i="269"/>
  <c r="C3" i="182"/>
  <c r="Q25" i="267"/>
  <c r="O7" i="264"/>
  <c r="O6" i="264"/>
  <c r="O18" i="264"/>
  <c r="O17" i="264"/>
  <c r="P5" i="50"/>
  <c r="Q5" i="50" s="1"/>
  <c r="P5" i="212"/>
  <c r="Q5" i="212" s="1"/>
  <c r="C3" i="113"/>
  <c r="P6" i="258"/>
  <c r="Q6" i="258" s="1"/>
  <c r="P6" i="257"/>
  <c r="Q6" i="257" s="1"/>
  <c r="P6" i="255"/>
  <c r="Q6" i="255" s="1"/>
  <c r="P6" i="253"/>
  <c r="Q6" i="253" s="1"/>
  <c r="P5" i="258"/>
  <c r="Q5" i="258" s="1"/>
  <c r="P5" i="257"/>
  <c r="Q5" i="257" s="1"/>
  <c r="P5" i="255"/>
  <c r="Q5" i="255" s="1"/>
  <c r="P5" i="253"/>
  <c r="Q5" i="253" s="1"/>
  <c r="P6" i="211"/>
  <c r="Q6" i="211" s="1"/>
  <c r="P7" i="211"/>
  <c r="Q7" i="211" s="1"/>
  <c r="C3" i="248"/>
  <c r="Q8" i="53"/>
  <c r="P11" i="14" s="1"/>
  <c r="Q11" i="14" s="1"/>
  <c r="C3" i="245"/>
  <c r="C3" i="237"/>
  <c r="C3" i="238"/>
  <c r="C3" i="239"/>
  <c r="C3" i="160"/>
  <c r="C3" i="161"/>
  <c r="Q17" i="60"/>
  <c r="P11" i="47" s="1"/>
  <c r="Q11" i="47" s="1"/>
  <c r="Q32" i="61"/>
  <c r="P12" i="47" s="1"/>
  <c r="Q12" i="47" s="1"/>
  <c r="C3" i="195"/>
  <c r="O16" i="127"/>
  <c r="O17" i="127"/>
  <c r="O14" i="127"/>
  <c r="O15" i="127"/>
  <c r="O12" i="127"/>
  <c r="O13" i="127"/>
  <c r="O10" i="127"/>
  <c r="O11" i="127"/>
  <c r="O7" i="127"/>
  <c r="O6" i="127"/>
  <c r="C3" i="231"/>
  <c r="C3" i="192"/>
  <c r="Q16" i="64"/>
  <c r="P5" i="48" s="1"/>
  <c r="Q5" i="48" s="1"/>
  <c r="Q15" i="55"/>
  <c r="Q16" i="65"/>
  <c r="P6" i="48" s="1"/>
  <c r="Q6" i="48" s="1"/>
  <c r="Q11" i="177"/>
  <c r="C3" i="193"/>
  <c r="Q28" i="229"/>
  <c r="P5" i="201" s="1"/>
  <c r="Q5" i="201" s="1"/>
  <c r="Q11" i="227"/>
  <c r="Q21" i="228"/>
  <c r="Q26" i="189"/>
  <c r="P6" i="179" s="1"/>
  <c r="Q6" i="179" s="1"/>
  <c r="Q20" i="188"/>
  <c r="P5" i="179" s="1"/>
  <c r="Q5" i="179" s="1"/>
  <c r="P12" i="213"/>
  <c r="Q12" i="213" s="1"/>
  <c r="P7" i="213"/>
  <c r="Q7" i="213" s="1"/>
  <c r="O5" i="210"/>
  <c r="O6" i="210"/>
  <c r="O7" i="210"/>
  <c r="O8" i="210"/>
  <c r="Q30" i="190"/>
  <c r="P5" i="180" s="1"/>
  <c r="Q5" i="180" s="1"/>
  <c r="Q27" i="180" s="1"/>
  <c r="Q10" i="177"/>
  <c r="Q6" i="50"/>
  <c r="P19" i="47"/>
  <c r="Q19" i="47" s="1"/>
  <c r="Q11" i="183"/>
  <c r="Q6" i="177" s="1"/>
  <c r="P11" i="88"/>
  <c r="Q11" i="88" s="1"/>
  <c r="P11" i="86"/>
  <c r="Q11" i="86" s="1"/>
  <c r="P11" i="89"/>
  <c r="Q11" i="89" s="1"/>
  <c r="P11" i="85"/>
  <c r="Q11" i="85" s="1"/>
  <c r="P11" i="87"/>
  <c r="Q11" i="87" s="1"/>
  <c r="O8" i="191"/>
  <c r="O7" i="191"/>
  <c r="O20" i="191"/>
  <c r="O9" i="191"/>
  <c r="O16" i="191"/>
  <c r="O13" i="191"/>
  <c r="O12" i="191"/>
  <c r="O11" i="191"/>
  <c r="O6" i="191"/>
  <c r="O22" i="191"/>
  <c r="O10" i="191"/>
  <c r="O5" i="191"/>
  <c r="C3" i="191"/>
  <c r="Q15" i="204"/>
  <c r="Q26" i="205"/>
  <c r="Q30" i="202"/>
  <c r="P5" i="200" s="1"/>
  <c r="Q5" i="200" s="1"/>
  <c r="Q34" i="195"/>
  <c r="P13" i="191" s="1"/>
  <c r="Q13" i="191" s="1"/>
  <c r="Q27" i="199"/>
  <c r="P6" i="194" s="1"/>
  <c r="Q6" i="194" s="1"/>
  <c r="Q27" i="198"/>
  <c r="P5" i="194" s="1"/>
  <c r="Q5" i="194" s="1"/>
  <c r="C3" i="196"/>
  <c r="O8" i="127"/>
  <c r="O9" i="127"/>
  <c r="O19" i="127"/>
  <c r="O23" i="127"/>
  <c r="O5" i="127"/>
  <c r="O21" i="127"/>
  <c r="O25" i="127"/>
  <c r="O14" i="106"/>
  <c r="O17" i="106"/>
  <c r="O7" i="106"/>
  <c r="O12" i="106"/>
  <c r="O21" i="106"/>
  <c r="O8" i="106"/>
  <c r="O6" i="106"/>
  <c r="O20" i="106"/>
  <c r="O24" i="106"/>
  <c r="O9" i="106"/>
  <c r="O18" i="106"/>
  <c r="O23" i="106"/>
  <c r="O10" i="106"/>
  <c r="O16" i="106"/>
  <c r="O13" i="106"/>
  <c r="O5" i="106"/>
  <c r="O5" i="14"/>
  <c r="O6" i="14"/>
  <c r="O9" i="14"/>
  <c r="O12" i="14"/>
  <c r="O11" i="14"/>
  <c r="O10" i="14"/>
  <c r="O8" i="14"/>
  <c r="O7" i="14"/>
  <c r="O13" i="14"/>
  <c r="O7" i="120"/>
  <c r="O9" i="120"/>
  <c r="O6" i="120"/>
  <c r="O5" i="120"/>
  <c r="O8" i="120"/>
  <c r="O7" i="109"/>
  <c r="O6" i="109"/>
  <c r="O5" i="109"/>
  <c r="O6" i="111"/>
  <c r="O9" i="111"/>
  <c r="O13" i="111"/>
  <c r="O10" i="111"/>
  <c r="O5" i="111"/>
  <c r="O7" i="111"/>
  <c r="O11" i="111"/>
  <c r="O12" i="111"/>
  <c r="O8" i="111"/>
  <c r="O7" i="110"/>
  <c r="O8" i="110"/>
  <c r="O6" i="110"/>
  <c r="O5" i="110"/>
  <c r="O7" i="82"/>
  <c r="O6" i="82"/>
  <c r="O11" i="82"/>
  <c r="O10" i="82"/>
  <c r="O5" i="82"/>
  <c r="O9" i="82"/>
  <c r="O12" i="82"/>
  <c r="O8" i="82"/>
  <c r="O13" i="82"/>
  <c r="Q18" i="84"/>
  <c r="P5" i="83" s="1"/>
  <c r="Q5" i="83" s="1"/>
  <c r="Q48" i="83" s="1"/>
  <c r="P5" i="82" s="1"/>
  <c r="Q5" i="82" s="1"/>
  <c r="Q18" i="147"/>
  <c r="P6" i="159" s="1"/>
  <c r="Q6" i="159" s="1"/>
  <c r="Q14" i="105"/>
  <c r="P12" i="90" s="1"/>
  <c r="Q12" i="90" s="1"/>
  <c r="Q24" i="148"/>
  <c r="P7" i="159" s="1"/>
  <c r="Q7" i="159" s="1"/>
  <c r="Q18" i="155"/>
  <c r="P6" i="150" s="1"/>
  <c r="Q6" i="150" s="1"/>
  <c r="Q23" i="104"/>
  <c r="P5" i="90" s="1"/>
  <c r="Q5" i="90" s="1"/>
  <c r="Q14" i="98"/>
  <c r="P10" i="88" s="1"/>
  <c r="Q10" i="88" s="1"/>
  <c r="Q24" i="156"/>
  <c r="P7" i="150" s="1"/>
  <c r="Q7" i="150" s="1"/>
  <c r="Q32" i="145"/>
  <c r="P6" i="129" s="1"/>
  <c r="Q6" i="129" s="1"/>
  <c r="Q29" i="157"/>
  <c r="P8" i="150" s="1"/>
  <c r="Q8" i="150" s="1"/>
  <c r="Q21" i="154"/>
  <c r="P5" i="150" s="1"/>
  <c r="Q5" i="150" s="1"/>
  <c r="Q30" i="131"/>
  <c r="Q51" i="165"/>
  <c r="P7" i="111" s="1"/>
  <c r="Q7" i="111" s="1"/>
  <c r="Q29" i="149"/>
  <c r="P8" i="159" s="1"/>
  <c r="Q8" i="159" s="1"/>
  <c r="Q24" i="103"/>
  <c r="P5" i="89" s="1"/>
  <c r="Q5" i="89" s="1"/>
  <c r="Q23" i="95"/>
  <c r="P7" i="87" s="1"/>
  <c r="Q7" i="87" s="1"/>
  <c r="Q21" i="133"/>
  <c r="P5" i="159" s="1"/>
  <c r="Q5" i="159" s="1"/>
  <c r="Q25" i="101"/>
  <c r="P7" i="90" s="1"/>
  <c r="Q7" i="90" s="1"/>
  <c r="Q25" i="94"/>
  <c r="P6" i="85" s="1"/>
  <c r="Q6" i="85" s="1"/>
  <c r="Q32" i="162"/>
  <c r="P6" i="130" s="1"/>
  <c r="Q6" i="130" s="1"/>
  <c r="Q25" i="144"/>
  <c r="P7" i="121" s="1"/>
  <c r="Q7" i="121" s="1"/>
  <c r="Q19" i="97"/>
  <c r="Q19" i="93"/>
  <c r="P7" i="86" s="1"/>
  <c r="Q7" i="86" s="1"/>
  <c r="Q11" i="169"/>
  <c r="Q30" i="164"/>
  <c r="Q23" i="102"/>
  <c r="P6" i="86" s="1"/>
  <c r="Q6" i="86" s="1"/>
  <c r="Q24" i="143"/>
  <c r="P8" i="122" s="1"/>
  <c r="Q8" i="122" s="1"/>
  <c r="P13" i="90"/>
  <c r="Q13" i="90" s="1"/>
  <c r="P13" i="89"/>
  <c r="Q13" i="89" s="1"/>
  <c r="P13" i="86"/>
  <c r="Q13" i="86" s="1"/>
  <c r="P13" i="87"/>
  <c r="Q13" i="87" s="1"/>
  <c r="P13" i="88"/>
  <c r="Q13" i="88" s="1"/>
  <c r="P11" i="90"/>
  <c r="Q11" i="90" s="1"/>
  <c r="Q47" i="123"/>
  <c r="P7" i="120" s="1"/>
  <c r="Q7" i="120" s="1"/>
  <c r="Q11" i="168"/>
  <c r="P5" i="166" s="1"/>
  <c r="Q5" i="166" s="1"/>
  <c r="Q6" i="51"/>
  <c r="P9" i="89"/>
  <c r="Q9" i="89" s="1"/>
  <c r="P8" i="85"/>
  <c r="Q8" i="85" s="1"/>
  <c r="P8" i="87"/>
  <c r="Q8" i="87" s="1"/>
  <c r="P8" i="86"/>
  <c r="Q8" i="86" s="1"/>
  <c r="P8" i="88"/>
  <c r="Q8" i="88" s="1"/>
  <c r="P8" i="90"/>
  <c r="Q8" i="90" s="1"/>
  <c r="P9" i="49"/>
  <c r="Q9" i="49" s="1"/>
  <c r="P10" i="114"/>
  <c r="Q10" i="114" s="1"/>
  <c r="P10" i="49"/>
  <c r="Q10" i="49" s="1"/>
  <c r="P11" i="114"/>
  <c r="Q11" i="114" s="1"/>
  <c r="P9" i="121"/>
  <c r="Q9" i="121" s="1"/>
  <c r="P9" i="122"/>
  <c r="Q9" i="122" s="1"/>
  <c r="P5" i="47"/>
  <c r="Q5" i="47" s="1"/>
  <c r="Q6" i="106"/>
  <c r="Q25" i="106" s="1"/>
  <c r="O9" i="170"/>
  <c r="O5" i="170"/>
  <c r="O7" i="170"/>
  <c r="O6" i="170"/>
  <c r="O8" i="170"/>
  <c r="H5" i="31" a="1"/>
  <c r="H16" i="31" a="1"/>
  <c r="G48" i="31" a="1"/>
  <c r="G233" i="31" a="1"/>
  <c r="S440" i="28" a="1"/>
  <c r="F112" i="29" a="1"/>
  <c r="S441" i="28" a="1"/>
  <c r="C164" i="27" a="1"/>
  <c r="H187" i="31" a="1"/>
  <c r="H19" i="31" a="1"/>
  <c r="H243" i="31" a="1"/>
  <c r="M154" i="27" a="1"/>
  <c r="H74" i="31" a="1"/>
  <c r="G240" i="31" a="1"/>
  <c r="C125" i="27" a="1"/>
  <c r="H56" i="31" a="1"/>
  <c r="C121" i="27" a="1"/>
  <c r="G56" i="31" a="1"/>
  <c r="F113" i="29" a="1"/>
  <c r="G4" i="31" a="1"/>
  <c r="G137" i="31" a="1"/>
  <c r="G193" i="31" a="1"/>
  <c r="C67" i="27" a="1"/>
  <c r="C65" i="27" a="1"/>
  <c r="G143" i="31" a="1"/>
  <c r="S215" i="28" a="1"/>
  <c r="G236" i="31" a="1"/>
  <c r="G271" i="31" a="1"/>
  <c r="G17" i="31" a="1"/>
  <c r="S439" i="28" a="1"/>
  <c r="S438" i="28" a="1"/>
  <c r="G74" i="31" a="1"/>
  <c r="H220" i="31" a="1"/>
  <c r="S218" i="28" a="1"/>
  <c r="C148" i="27" a="1"/>
  <c r="F107" i="29" a="1"/>
  <c r="H37" i="31" a="1"/>
  <c r="G80" i="31" a="1"/>
  <c r="G189" i="31" a="1"/>
  <c r="F108" i="29" a="1"/>
  <c r="G146" i="31" a="1"/>
  <c r="H239" i="31" a="1"/>
  <c r="C143" i="27" a="1"/>
  <c r="G88" i="31" a="1"/>
  <c r="G15" i="31" a="1"/>
  <c r="Y112" i="29" a="1"/>
  <c r="G187" i="31" a="1"/>
  <c r="G194" i="31" a="1"/>
  <c r="H13" i="31" a="1"/>
  <c r="F114" i="29" a="1"/>
  <c r="C79" i="27" a="1"/>
  <c r="C100" i="27" a="1"/>
  <c r="C44" i="27" a="1"/>
  <c r="C22" i="27" a="1"/>
  <c r="W29" i="30" a="1"/>
  <c r="H4" i="31" a="1"/>
  <c r="G153" i="31" a="1"/>
  <c r="H271" i="31" a="1"/>
  <c r="Y109" i="29" a="1"/>
  <c r="G179" i="31" a="1"/>
  <c r="G199" i="31" a="1"/>
  <c r="G7" i="31" a="1"/>
  <c r="G3" i="31" a="1"/>
  <c r="G268" i="31" a="1"/>
  <c r="G239" i="31" a="1"/>
  <c r="S213" i="28" a="1"/>
  <c r="G259" i="31" a="1"/>
  <c r="H162" i="31" a="1"/>
  <c r="G167" i="31" a="1"/>
  <c r="H195" i="31" a="1"/>
  <c r="H199" i="31" a="1"/>
  <c r="H150" i="31" a="1"/>
  <c r="G53" i="31" a="1"/>
  <c r="H9" i="31" a="1"/>
  <c r="G103" i="31" a="1"/>
  <c r="G140" i="31" a="1"/>
  <c r="H101" i="31" a="1"/>
  <c r="C14" i="27" a="1"/>
  <c r="Y110" i="29" a="1"/>
  <c r="S214" i="28" a="1"/>
  <c r="E221" i="28" a="1"/>
  <c r="G13" i="31" a="1"/>
  <c r="S420" i="28" a="1"/>
  <c r="C171" i="27" a="1"/>
  <c r="C161" i="27" a="1"/>
  <c r="H179" i="31" a="1"/>
  <c r="C63" i="27" a="1"/>
  <c r="C62" i="27" a="1"/>
  <c r="H143" i="31" a="1"/>
  <c r="G9" i="31" a="1"/>
  <c r="Y106" i="29" a="1"/>
  <c r="C96" i="27" a="1"/>
  <c r="C101" i="27" a="1"/>
  <c r="H242" i="31" a="1"/>
  <c r="C146" i="27" a="1"/>
  <c r="H7" i="31" a="1"/>
  <c r="H17" i="31" a="1"/>
  <c r="H80" i="31" a="1"/>
  <c r="H149" i="31" a="1"/>
  <c r="H164" i="31" a="1"/>
  <c r="H205" i="31" a="1"/>
  <c r="H188" i="31" a="1"/>
  <c r="C16" i="27" a="1"/>
  <c r="C93" i="27" a="1"/>
  <c r="C35" i="27" a="1"/>
  <c r="C165" i="27" a="1"/>
  <c r="C97" i="27" a="1"/>
  <c r="C72" i="27" a="1"/>
  <c r="C147" i="27" a="1"/>
  <c r="C92" i="27" a="1"/>
  <c r="G19" i="31" a="1"/>
  <c r="C98" i="27" a="1"/>
  <c r="G136" i="31" a="1"/>
  <c r="H233" i="31" a="1"/>
  <c r="G243" i="31" a="1"/>
  <c r="G219" i="31" a="1"/>
  <c r="H148" i="31" a="1"/>
  <c r="G150" i="31" a="1"/>
  <c r="H241" i="31" a="1"/>
  <c r="H137" i="31" a="1"/>
  <c r="C106" i="27" a="1"/>
  <c r="Y113" i="29" a="1"/>
  <c r="F105" i="29" a="1"/>
  <c r="C138" i="27" a="1"/>
  <c r="G192" i="31" a="1"/>
  <c r="C46" i="27" a="1"/>
  <c r="G225" i="31" a="1"/>
  <c r="C130" i="27" a="1"/>
  <c r="G123" i="31" a="1"/>
  <c r="H51" i="31" a="1"/>
  <c r="G164" i="31" a="1"/>
  <c r="G12" i="31" a="1"/>
  <c r="H159" i="31" a="1"/>
  <c r="C152" i="27" a="1"/>
  <c r="H167" i="31" a="1"/>
  <c r="G159" i="31" a="1"/>
  <c r="W42" i="30" a="1"/>
  <c r="H3" i="31" a="1"/>
  <c r="Y108" i="29" a="1"/>
  <c r="H53" i="31" a="1"/>
  <c r="S301" i="28" a="1"/>
  <c r="H65" i="31" a="1"/>
  <c r="C59" i="27" a="1"/>
  <c r="H221" i="31" a="1"/>
  <c r="G221" i="31" a="1"/>
  <c r="G37" i="31" a="1"/>
  <c r="C33" i="27" a="1"/>
  <c r="C120" i="27" a="1"/>
  <c r="G51" i="31" a="1"/>
  <c r="H142" i="31" a="1"/>
  <c r="C18" i="27" a="1"/>
  <c r="C116" i="27" a="1"/>
  <c r="F106" i="29" a="1"/>
  <c r="C37" i="27" a="1"/>
  <c r="S217" i="28" a="1"/>
  <c r="G41" i="31" a="1"/>
  <c r="Y114" i="29" a="1"/>
  <c r="H15" i="31" a="1"/>
  <c r="H189" i="31" a="1"/>
  <c r="H41" i="31" a="1"/>
  <c r="Y111" i="29" a="1"/>
  <c r="F109" i="29" a="1"/>
  <c r="C170" i="27" a="1"/>
  <c r="H140" i="31" a="1"/>
  <c r="C84" i="27" a="1"/>
  <c r="C20" i="27" a="1"/>
  <c r="G195" i="31" a="1"/>
  <c r="H194" i="31" a="1"/>
  <c r="C156" i="27" a="1"/>
  <c r="H225" i="31" a="1"/>
  <c r="G16" i="31" a="1"/>
  <c r="G245" i="31" a="1"/>
  <c r="W34" i="30" a="1"/>
  <c r="C104" i="27" a="1"/>
  <c r="G216" i="31" a="1"/>
  <c r="G148" i="31" a="1"/>
  <c r="H146" i="31" a="1"/>
  <c r="Y107" i="29" a="1"/>
  <c r="C105" i="27" a="1"/>
  <c r="H153" i="31" a="1"/>
  <c r="C103" i="27" a="1"/>
  <c r="C140" i="27" a="1"/>
  <c r="C83" i="27" a="1"/>
  <c r="C154" i="27" a="1"/>
  <c r="S507" i="28" a="1"/>
  <c r="M150" i="27" a="1"/>
  <c r="G5" i="31" a="1"/>
  <c r="S504" i="28" a="1"/>
  <c r="W30" i="30" a="1"/>
  <c r="G188" i="31" a="1"/>
  <c r="G220" i="31" a="1"/>
  <c r="F110" i="29" a="1"/>
  <c r="G10" i="31" a="1"/>
  <c r="C34" i="27" a="1"/>
  <c r="C158" i="27" a="1"/>
  <c r="H219" i="31" a="1"/>
  <c r="E253" i="28" a="1"/>
  <c r="H192" i="31" a="1"/>
  <c r="S212" i="28" a="1"/>
  <c r="H236" i="31" a="1"/>
  <c r="H12" i="31" a="1"/>
  <c r="G273" i="31" a="1"/>
  <c r="Y105" i="29" a="1"/>
  <c r="H123" i="31" a="1"/>
  <c r="H240" i="31" a="1"/>
  <c r="G227" i="31" a="1"/>
  <c r="G272" i="31" a="1"/>
  <c r="C26" i="27" a="1"/>
  <c r="H136" i="31" a="1"/>
  <c r="G162" i="31" a="1"/>
  <c r="W25" i="30" a="1"/>
  <c r="C45" i="27" a="1"/>
  <c r="C41" i="27" a="1"/>
  <c r="C122" i="27" a="1"/>
  <c r="H227" i="31" a="1"/>
  <c r="H268" i="31" a="1"/>
  <c r="G242" i="31" a="1"/>
  <c r="H193" i="31" a="1"/>
  <c r="H48" i="31" a="1"/>
  <c r="H259" i="31" a="1"/>
  <c r="H103" i="31" a="1"/>
  <c r="G241" i="31" a="1"/>
  <c r="H216" i="31" a="1"/>
  <c r="G142" i="31" a="1"/>
  <c r="H273" i="31" a="1"/>
  <c r="H88" i="31" a="1"/>
  <c r="G14" i="31" a="1"/>
  <c r="G65" i="31" a="1"/>
  <c r="C30" i="27" a="1"/>
  <c r="H10" i="31" a="1"/>
  <c r="H14" i="31" a="1"/>
  <c r="C4" i="27" a="1"/>
  <c r="G101" i="31" a="1"/>
  <c r="C87" i="27" a="1"/>
  <c r="E377" i="28" a="1"/>
  <c r="C31" i="27" a="1"/>
  <c r="G149" i="31" a="1"/>
  <c r="W31" i="30" a="1"/>
  <c r="H245" i="31" a="1"/>
  <c r="E504" i="28" a="1"/>
  <c r="H272" i="31" a="1"/>
  <c r="M104" i="27" a="1"/>
  <c r="F111" i="29" a="1"/>
  <c r="G205" i="31" a="1"/>
  <c r="C150" i="27" a="1"/>
  <c r="Q13" i="114" l="1"/>
  <c r="P12" i="114"/>
  <c r="Q12" i="114" s="1"/>
  <c r="P14" i="127"/>
  <c r="Q14" i="127" s="1"/>
  <c r="P13" i="127"/>
  <c r="Q13" i="127" s="1"/>
  <c r="Q93" i="193"/>
  <c r="P9" i="191" s="1"/>
  <c r="Q9" i="191" s="1"/>
  <c r="S504" i="28"/>
  <c r="P5" i="264"/>
  <c r="Q5" i="264" s="1"/>
  <c r="P5" i="298"/>
  <c r="Q5" i="298" s="1"/>
  <c r="Q52" i="298" s="1"/>
  <c r="P16" i="2" s="1"/>
  <c r="Q16" i="2" s="1"/>
  <c r="E504" i="28"/>
  <c r="F504" i="28" s="1"/>
  <c r="H504" i="28" s="1"/>
  <c r="W25" i="30"/>
  <c r="F106" i="29"/>
  <c r="H106" i="29" s="1"/>
  <c r="Y106" i="29"/>
  <c r="W34" i="30"/>
  <c r="W42" i="30"/>
  <c r="W31" i="30"/>
  <c r="F114" i="29"/>
  <c r="H114" i="29" s="1"/>
  <c r="Y114" i="29"/>
  <c r="Y113" i="29"/>
  <c r="F113" i="29"/>
  <c r="H113" i="29" s="1"/>
  <c r="F112" i="29"/>
  <c r="H112" i="29" s="1"/>
  <c r="Y112" i="29"/>
  <c r="Q99" i="128"/>
  <c r="P8" i="127" s="1"/>
  <c r="Q8" i="127" s="1"/>
  <c r="P6" i="121"/>
  <c r="Q6" i="121" s="1"/>
  <c r="P10" i="122"/>
  <c r="Q10" i="122" s="1"/>
  <c r="P10" i="121"/>
  <c r="Q10" i="121" s="1"/>
  <c r="P7" i="276"/>
  <c r="Q7" i="276" s="1"/>
  <c r="P9" i="87"/>
  <c r="Q9" i="87" s="1"/>
  <c r="P5" i="121"/>
  <c r="Q5" i="121" s="1"/>
  <c r="P5" i="122"/>
  <c r="Q5" i="122" s="1"/>
  <c r="Q26" i="177"/>
  <c r="P20" i="177"/>
  <c r="Q20" i="177" s="1"/>
  <c r="P7" i="285"/>
  <c r="Q7" i="285" s="1"/>
  <c r="P8" i="276"/>
  <c r="Q8" i="276" s="1"/>
  <c r="P7" i="277"/>
  <c r="Q7" i="277" s="1"/>
  <c r="Q19" i="277" s="1"/>
  <c r="P8" i="113" s="1"/>
  <c r="Q8" i="113" s="1"/>
  <c r="P8" i="275"/>
  <c r="Q8" i="275" s="1"/>
  <c r="P8" i="212"/>
  <c r="Q8" i="212" s="1"/>
  <c r="Q22" i="212" s="1"/>
  <c r="P5" i="211" s="1"/>
  <c r="Q5" i="211" s="1"/>
  <c r="Q19" i="278"/>
  <c r="P8" i="210"/>
  <c r="Q8" i="210" s="1"/>
  <c r="P10" i="166"/>
  <c r="Q10" i="166" s="1"/>
  <c r="Q12" i="166"/>
  <c r="P7" i="166"/>
  <c r="Q7" i="166" s="1"/>
  <c r="P7" i="275"/>
  <c r="Q7" i="275" s="1"/>
  <c r="P6" i="178"/>
  <c r="Q6" i="178" s="1"/>
  <c r="P8" i="166"/>
  <c r="Q8" i="166" s="1"/>
  <c r="Q11" i="166"/>
  <c r="P6" i="166"/>
  <c r="Q6" i="166" s="1"/>
  <c r="P10" i="112"/>
  <c r="Q10" i="112" s="1"/>
  <c r="P12" i="82"/>
  <c r="Q12" i="82" s="1"/>
  <c r="P7" i="47"/>
  <c r="Q7" i="47" s="1"/>
  <c r="P5" i="167"/>
  <c r="Q5" i="167" s="1"/>
  <c r="Q13" i="166"/>
  <c r="Q15" i="166"/>
  <c r="P5" i="112"/>
  <c r="Q5" i="112" s="1"/>
  <c r="P8" i="178"/>
  <c r="Q8" i="178" s="1"/>
  <c r="Q10" i="170"/>
  <c r="P13" i="2" s="1"/>
  <c r="Q13" i="2" s="1"/>
  <c r="H143" i="31"/>
  <c r="G143" i="31"/>
  <c r="L2" i="313" s="1"/>
  <c r="Q15" i="167"/>
  <c r="P11" i="113"/>
  <c r="Q11" i="113" s="1"/>
  <c r="P10" i="113"/>
  <c r="Q10" i="113" s="1"/>
  <c r="S215" i="28"/>
  <c r="Q21" i="50"/>
  <c r="P8" i="14" s="1"/>
  <c r="Q8" i="14" s="1"/>
  <c r="Q21" i="51"/>
  <c r="P9" i="14" s="1"/>
  <c r="Q9" i="14" s="1"/>
  <c r="Q44" i="163"/>
  <c r="P7" i="130" s="1"/>
  <c r="Q7" i="130" s="1"/>
  <c r="Q44" i="146"/>
  <c r="P7" i="129" s="1"/>
  <c r="Q7" i="129" s="1"/>
  <c r="Q46" i="213"/>
  <c r="P6" i="210" s="1"/>
  <c r="Q6" i="210" s="1"/>
  <c r="W29" i="30"/>
  <c r="W30" i="30"/>
  <c r="M154" i="27"/>
  <c r="M150" i="27"/>
  <c r="M104" i="27"/>
  <c r="S507" i="28"/>
  <c r="S439" i="28"/>
  <c r="S441" i="28"/>
  <c r="S420" i="28"/>
  <c r="S440" i="28"/>
  <c r="S301" i="28"/>
  <c r="S438" i="28"/>
  <c r="F111" i="29"/>
  <c r="H111" i="29" s="1"/>
  <c r="Y111" i="29"/>
  <c r="F110" i="29"/>
  <c r="H110" i="29" s="1"/>
  <c r="Y110" i="29"/>
  <c r="F108" i="29"/>
  <c r="H108" i="29" s="1"/>
  <c r="Y108" i="29"/>
  <c r="Y107" i="29"/>
  <c r="F107" i="29"/>
  <c r="H107" i="29" s="1"/>
  <c r="F109" i="29"/>
  <c r="H109" i="29" s="1"/>
  <c r="Y109" i="29"/>
  <c r="F105" i="29"/>
  <c r="H105" i="29" s="1"/>
  <c r="Y105" i="29"/>
  <c r="Q17" i="211"/>
  <c r="P5" i="231"/>
  <c r="Q5" i="231" s="1"/>
  <c r="Q26" i="231" s="1"/>
  <c r="C170" i="27"/>
  <c r="H17" i="31"/>
  <c r="G17" i="31"/>
  <c r="P6" i="49"/>
  <c r="Q6" i="49" s="1"/>
  <c r="Q53" i="49" s="1"/>
  <c r="P7" i="14" s="1"/>
  <c r="Q7" i="14" s="1"/>
  <c r="G273" i="31"/>
  <c r="H273" i="31"/>
  <c r="P5" i="214"/>
  <c r="Q5" i="214" s="1"/>
  <c r="Q6" i="264"/>
  <c r="G272" i="31"/>
  <c r="H272" i="31"/>
  <c r="G271" i="31"/>
  <c r="L2" i="267" s="1"/>
  <c r="H271" i="31"/>
  <c r="S217" i="28"/>
  <c r="S212" i="28"/>
  <c r="S214" i="28"/>
  <c r="S218" i="28"/>
  <c r="S213" i="28"/>
  <c r="Q9" i="257"/>
  <c r="Q9" i="253"/>
  <c r="P6" i="167" s="1"/>
  <c r="Q9" i="258"/>
  <c r="Q9" i="255"/>
  <c r="Q15" i="211"/>
  <c r="P8" i="211"/>
  <c r="Q8" i="211" s="1"/>
  <c r="Q9" i="211"/>
  <c r="G3" i="31"/>
  <c r="H3" i="31"/>
  <c r="G16" i="31"/>
  <c r="H16" i="31"/>
  <c r="G9" i="31"/>
  <c r="H9" i="31"/>
  <c r="G7" i="31"/>
  <c r="H7" i="31"/>
  <c r="G13" i="31"/>
  <c r="H13" i="31"/>
  <c r="G12" i="31"/>
  <c r="H12" i="31"/>
  <c r="P6" i="47"/>
  <c r="Q6" i="47" s="1"/>
  <c r="P9" i="112"/>
  <c r="Q9" i="112" s="1"/>
  <c r="P12" i="127"/>
  <c r="Q12" i="127" s="1"/>
  <c r="P11" i="127"/>
  <c r="Q11" i="127" s="1"/>
  <c r="Q5" i="127"/>
  <c r="H195" i="31"/>
  <c r="G195" i="31"/>
  <c r="G194" i="31"/>
  <c r="H194" i="31"/>
  <c r="G192" i="31"/>
  <c r="H192" i="31"/>
  <c r="H189" i="31"/>
  <c r="G189" i="31"/>
  <c r="H193" i="31"/>
  <c r="G193" i="31"/>
  <c r="H146" i="31"/>
  <c r="G146" i="31"/>
  <c r="P5" i="203"/>
  <c r="Q5" i="203" s="1"/>
  <c r="Q18" i="203" s="1"/>
  <c r="P6" i="200" s="1"/>
  <c r="Q6" i="200" s="1"/>
  <c r="P5" i="230"/>
  <c r="Q5" i="230" s="1"/>
  <c r="Q18" i="230" s="1"/>
  <c r="P6" i="201" s="1"/>
  <c r="Q6" i="201" s="1"/>
  <c r="P7" i="200"/>
  <c r="Q7" i="200" s="1"/>
  <c r="P7" i="201"/>
  <c r="Q7" i="201" s="1"/>
  <c r="P8" i="200"/>
  <c r="Q8" i="200" s="1"/>
  <c r="P8" i="201"/>
  <c r="Q8" i="201" s="1"/>
  <c r="Q32" i="179"/>
  <c r="G268" i="31"/>
  <c r="L2" i="214" s="1"/>
  <c r="G259" i="31"/>
  <c r="L2" i="213" s="1"/>
  <c r="O45" i="213" s="1"/>
  <c r="G245" i="31"/>
  <c r="L2" i="211" s="1"/>
  <c r="O16" i="211" s="1"/>
  <c r="H268" i="31"/>
  <c r="H259" i="31"/>
  <c r="H245" i="31"/>
  <c r="H101" i="31"/>
  <c r="G101" i="31"/>
  <c r="L2" i="209" s="1"/>
  <c r="G159" i="31"/>
  <c r="L2" i="201" s="1"/>
  <c r="O49" i="201" s="1"/>
  <c r="H159" i="31"/>
  <c r="G162" i="31"/>
  <c r="L2" i="195" s="1"/>
  <c r="H162" i="31"/>
  <c r="G153" i="31"/>
  <c r="L2" i="200" s="1"/>
  <c r="H153" i="31"/>
  <c r="H148" i="31"/>
  <c r="G148" i="31"/>
  <c r="G150" i="31"/>
  <c r="H150" i="31"/>
  <c r="H149" i="31"/>
  <c r="G149" i="31"/>
  <c r="Q22" i="194"/>
  <c r="P10" i="191" s="1"/>
  <c r="Q10" i="191" s="1"/>
  <c r="C156" i="27"/>
  <c r="C46" i="27"/>
  <c r="C20" i="27"/>
  <c r="C122" i="27"/>
  <c r="C120" i="27"/>
  <c r="C164" i="27"/>
  <c r="C148" i="27"/>
  <c r="C105" i="27"/>
  <c r="C171" i="27"/>
  <c r="C4" i="27"/>
  <c r="C121" i="27"/>
  <c r="C92" i="27"/>
  <c r="C14" i="27"/>
  <c r="C18" i="27"/>
  <c r="C59" i="27"/>
  <c r="C41" i="27"/>
  <c r="C143" i="27"/>
  <c r="C165" i="27"/>
  <c r="E377" i="28"/>
  <c r="F377" i="28" s="1"/>
  <c r="C106" i="27"/>
  <c r="C96" i="27"/>
  <c r="C34" i="27"/>
  <c r="C87" i="27"/>
  <c r="C67" i="27"/>
  <c r="E253" i="28"/>
  <c r="F253" i="28" s="1"/>
  <c r="C130" i="27"/>
  <c r="C65" i="27"/>
  <c r="C63" i="27"/>
  <c r="E221" i="28"/>
  <c r="F221" i="28" s="1"/>
  <c r="C37" i="27"/>
  <c r="C35" i="27"/>
  <c r="C116" i="27"/>
  <c r="C62" i="27"/>
  <c r="C84" i="27"/>
  <c r="C147" i="27"/>
  <c r="C101" i="27"/>
  <c r="C154" i="27"/>
  <c r="C98" i="27"/>
  <c r="C30" i="27"/>
  <c r="C100" i="27"/>
  <c r="C45" i="27"/>
  <c r="C22" i="27"/>
  <c r="C150" i="27"/>
  <c r="C146" i="27"/>
  <c r="C97" i="27"/>
  <c r="C103" i="27"/>
  <c r="C16" i="27"/>
  <c r="C152" i="27"/>
  <c r="C93" i="27"/>
  <c r="C72" i="27"/>
  <c r="C140" i="27"/>
  <c r="C44" i="27"/>
  <c r="C138" i="27"/>
  <c r="C31" i="27"/>
  <c r="C33" i="27"/>
  <c r="C83" i="27"/>
  <c r="C26" i="27"/>
  <c r="C79" i="27"/>
  <c r="C104" i="27"/>
  <c r="C161" i="27"/>
  <c r="C125" i="27"/>
  <c r="C158" i="27"/>
  <c r="P7" i="85"/>
  <c r="Q7" i="85" s="1"/>
  <c r="P6" i="89"/>
  <c r="Q6" i="89" s="1"/>
  <c r="Q32" i="159"/>
  <c r="P5" i="129" s="1"/>
  <c r="Q5" i="129" s="1"/>
  <c r="H216" i="31"/>
  <c r="G216" i="31"/>
  <c r="L2" i="86" s="1"/>
  <c r="H15" i="31"/>
  <c r="G15" i="31"/>
  <c r="L2" i="125" s="1"/>
  <c r="H137" i="31"/>
  <c r="G137" i="31"/>
  <c r="L2" i="179" s="1"/>
  <c r="G199" i="31"/>
  <c r="L2" i="83" s="1"/>
  <c r="O34" i="83" s="1"/>
  <c r="H199" i="31"/>
  <c r="H205" i="31"/>
  <c r="G205" i="31"/>
  <c r="L2" i="85" s="1"/>
  <c r="O13" i="85" s="1"/>
  <c r="G219" i="31"/>
  <c r="L2" i="87" s="1"/>
  <c r="O14" i="87" s="1"/>
  <c r="H219" i="31"/>
  <c r="H236" i="31"/>
  <c r="G236" i="31"/>
  <c r="L2" i="123" s="1"/>
  <c r="O15" i="123" s="1"/>
  <c r="G5" i="31"/>
  <c r="L2" i="108" s="1"/>
  <c r="H5" i="31"/>
  <c r="H14" i="31"/>
  <c r="G14" i="31"/>
  <c r="L2" i="126" s="1"/>
  <c r="G123" i="31"/>
  <c r="H123" i="31"/>
  <c r="H220" i="31"/>
  <c r="G220" i="31"/>
  <c r="L2" i="88" s="1"/>
  <c r="H225" i="31"/>
  <c r="G225" i="31"/>
  <c r="L2" i="90" s="1"/>
  <c r="G80" i="31"/>
  <c r="L2" i="166" s="1"/>
  <c r="H80" i="31"/>
  <c r="H164" i="31"/>
  <c r="G164" i="31"/>
  <c r="G41" i="31"/>
  <c r="L2" i="49" s="1"/>
  <c r="H41" i="31"/>
  <c r="H48" i="31"/>
  <c r="G48" i="31"/>
  <c r="G136" i="31"/>
  <c r="L2" i="165" s="1"/>
  <c r="O15" i="165" s="1"/>
  <c r="H136" i="31"/>
  <c r="G53" i="31"/>
  <c r="L2" i="53" s="1"/>
  <c r="H53" i="31"/>
  <c r="G103" i="31"/>
  <c r="L2" i="177" s="1"/>
  <c r="H103" i="31"/>
  <c r="G4" i="31"/>
  <c r="H4" i="31"/>
  <c r="H140" i="31"/>
  <c r="G140" i="31"/>
  <c r="L2" i="180" s="1"/>
  <c r="O9" i="180" s="1"/>
  <c r="G51" i="31"/>
  <c r="L2" i="51" s="1"/>
  <c r="H51" i="31"/>
  <c r="G10" i="31"/>
  <c r="H10" i="31"/>
  <c r="H37" i="31"/>
  <c r="G37" i="31"/>
  <c r="L2" i="48" s="1"/>
  <c r="O20" i="48" s="1"/>
  <c r="G167" i="31"/>
  <c r="H167" i="31"/>
  <c r="H19" i="31"/>
  <c r="G19" i="31"/>
  <c r="L2" i="47" s="1"/>
  <c r="O27" i="47" s="1"/>
  <c r="G221" i="31"/>
  <c r="L2" i="89" s="1"/>
  <c r="H221" i="31"/>
  <c r="G188" i="31"/>
  <c r="H188" i="31"/>
  <c r="H56" i="31"/>
  <c r="G56" i="31"/>
  <c r="L2" i="112" s="1"/>
  <c r="G187" i="31"/>
  <c r="H187" i="31"/>
  <c r="G88" i="31"/>
  <c r="L2" i="167" s="1"/>
  <c r="H88" i="31"/>
  <c r="H65" i="31"/>
  <c r="G65" i="31"/>
  <c r="H74" i="31"/>
  <c r="G74" i="31"/>
  <c r="L2" i="114" s="1"/>
  <c r="H179" i="31"/>
  <c r="G179" i="31"/>
  <c r="G227" i="31"/>
  <c r="L2" i="121" s="1"/>
  <c r="H227" i="31"/>
  <c r="H233" i="31"/>
  <c r="G233" i="31"/>
  <c r="L2" i="122" s="1"/>
  <c r="G142" i="31"/>
  <c r="L2" i="181" s="1"/>
  <c r="O14" i="181" s="1"/>
  <c r="H142" i="31"/>
  <c r="Q32" i="150"/>
  <c r="P5" i="130" s="1"/>
  <c r="Q5" i="130" s="1"/>
  <c r="P10" i="87"/>
  <c r="Q10" i="87" s="1"/>
  <c r="P10" i="86"/>
  <c r="Q10" i="86" s="1"/>
  <c r="P10" i="85"/>
  <c r="Q10" i="85" s="1"/>
  <c r="P5" i="86"/>
  <c r="Q5" i="86" s="1"/>
  <c r="P5" i="88"/>
  <c r="Q5" i="88" s="1"/>
  <c r="P6" i="87"/>
  <c r="Q6" i="87" s="1"/>
  <c r="P8" i="89"/>
  <c r="Q8" i="89" s="1"/>
  <c r="P9" i="85"/>
  <c r="Q9" i="85" s="1"/>
  <c r="P9" i="88"/>
  <c r="Q9" i="88" s="1"/>
  <c r="P7" i="88"/>
  <c r="Q7" i="88" s="1"/>
  <c r="P9" i="86"/>
  <c r="Q9" i="86" s="1"/>
  <c r="P5" i="85"/>
  <c r="Q5" i="85" s="1"/>
  <c r="P9" i="90"/>
  <c r="Q9" i="90" s="1"/>
  <c r="P10" i="89"/>
  <c r="Q10" i="89" s="1"/>
  <c r="P5" i="87"/>
  <c r="Q5" i="87" s="1"/>
  <c r="P6" i="88"/>
  <c r="Q6" i="88" s="1"/>
  <c r="P7" i="89"/>
  <c r="Q7" i="89" s="1"/>
  <c r="P6" i="90"/>
  <c r="Q6" i="90" s="1"/>
  <c r="G242" i="31"/>
  <c r="L2" i="174" s="1"/>
  <c r="O15" i="174" s="1"/>
  <c r="H242" i="31"/>
  <c r="H240" i="31"/>
  <c r="G240" i="31"/>
  <c r="L2" i="172" s="1"/>
  <c r="H239" i="31"/>
  <c r="G239" i="31"/>
  <c r="L2" i="171" s="1"/>
  <c r="O10" i="171" s="1"/>
  <c r="H241" i="31"/>
  <c r="G241" i="31"/>
  <c r="L2" i="173" s="1"/>
  <c r="O11" i="173" s="1"/>
  <c r="H243" i="31"/>
  <c r="G243" i="31"/>
  <c r="L2" i="175" s="1"/>
  <c r="O15" i="175" s="1"/>
  <c r="S153" i="28" a="1"/>
  <c r="F238" i="29" a="1"/>
  <c r="F455" i="29" a="1"/>
  <c r="Y455" i="29" a="1"/>
  <c r="Y238" i="29" a="1"/>
  <c r="Q63" i="114" l="1"/>
  <c r="P7" i="110" s="1"/>
  <c r="Q7" i="110" s="1"/>
  <c r="O46" i="114"/>
  <c r="O12" i="114"/>
  <c r="Q20" i="264"/>
  <c r="P15" i="2" s="1"/>
  <c r="Q15" i="2" s="1"/>
  <c r="L2" i="292"/>
  <c r="O5" i="292" s="1"/>
  <c r="O10" i="179"/>
  <c r="O11" i="179"/>
  <c r="O14" i="123"/>
  <c r="Y238" i="29"/>
  <c r="Y455" i="29"/>
  <c r="P7" i="191"/>
  <c r="Q7" i="191" s="1"/>
  <c r="O16" i="313"/>
  <c r="O13" i="313"/>
  <c r="Q22" i="276"/>
  <c r="P7" i="113" s="1"/>
  <c r="Q7" i="113" s="1"/>
  <c r="O17" i="313"/>
  <c r="O12" i="313"/>
  <c r="Q13" i="122"/>
  <c r="P6" i="120" s="1"/>
  <c r="Q6" i="120" s="1"/>
  <c r="Q13" i="121"/>
  <c r="P5" i="120" s="1"/>
  <c r="Q5" i="120" s="1"/>
  <c r="Q50" i="177"/>
  <c r="P5" i="111" s="1"/>
  <c r="Q5" i="111" s="1"/>
  <c r="Q22" i="275"/>
  <c r="P6" i="113" s="1"/>
  <c r="Q6" i="113" s="1"/>
  <c r="O21" i="177"/>
  <c r="O22" i="177"/>
  <c r="O23" i="177"/>
  <c r="O19" i="177"/>
  <c r="O20" i="177"/>
  <c r="O25" i="177"/>
  <c r="O24" i="177"/>
  <c r="Q31" i="178"/>
  <c r="P6" i="111" s="1"/>
  <c r="Q6" i="111" s="1"/>
  <c r="Q29" i="112"/>
  <c r="P5" i="109" s="1"/>
  <c r="Q5" i="109" s="1"/>
  <c r="Q43" i="47"/>
  <c r="P5" i="14" s="1"/>
  <c r="Q5" i="14" s="1"/>
  <c r="O14" i="112"/>
  <c r="O13" i="112"/>
  <c r="O28" i="112"/>
  <c r="O12" i="112"/>
  <c r="Q30" i="166"/>
  <c r="P5" i="110" s="1"/>
  <c r="Q5" i="110" s="1"/>
  <c r="O10" i="166"/>
  <c r="O7" i="166"/>
  <c r="O6" i="166"/>
  <c r="O9" i="166"/>
  <c r="O8" i="166"/>
  <c r="O20" i="171"/>
  <c r="O30" i="171"/>
  <c r="L2" i="243"/>
  <c r="O18" i="313"/>
  <c r="O11" i="313"/>
  <c r="O5" i="313"/>
  <c r="O19" i="313"/>
  <c r="O8" i="313"/>
  <c r="O7" i="313"/>
  <c r="O21" i="313"/>
  <c r="O22" i="313"/>
  <c r="O14" i="313"/>
  <c r="O10" i="313"/>
  <c r="O14" i="167"/>
  <c r="O13" i="167"/>
  <c r="O24" i="267"/>
  <c r="O14" i="267"/>
  <c r="O15" i="267"/>
  <c r="O23" i="267"/>
  <c r="O22" i="267"/>
  <c r="O18" i="267"/>
  <c r="O16" i="267"/>
  <c r="O17" i="267"/>
  <c r="O25" i="214"/>
  <c r="O19" i="214"/>
  <c r="O22" i="214"/>
  <c r="O23" i="214"/>
  <c r="O26" i="214"/>
  <c r="O24" i="214"/>
  <c r="O8" i="214"/>
  <c r="O18" i="214"/>
  <c r="O34" i="213"/>
  <c r="O35" i="213"/>
  <c r="F455" i="29"/>
  <c r="H455" i="29" s="1"/>
  <c r="O35" i="123"/>
  <c r="F238" i="29"/>
  <c r="H238" i="29" s="1"/>
  <c r="O19" i="180"/>
  <c r="O8" i="180"/>
  <c r="O21" i="179"/>
  <c r="O27" i="179"/>
  <c r="Q14" i="86"/>
  <c r="P7" i="82" s="1"/>
  <c r="Q7" i="82" s="1"/>
  <c r="O47" i="114"/>
  <c r="O45" i="114"/>
  <c r="Q8" i="130"/>
  <c r="P10" i="127" s="1"/>
  <c r="Q10" i="127" s="1"/>
  <c r="Q8" i="129"/>
  <c r="P9" i="127" s="1"/>
  <c r="Q9" i="127" s="1"/>
  <c r="Q41" i="211"/>
  <c r="P5" i="210" s="1"/>
  <c r="Q5" i="210" s="1"/>
  <c r="O20" i="213"/>
  <c r="O30" i="213"/>
  <c r="O44" i="213"/>
  <c r="O21" i="213"/>
  <c r="O29" i="213"/>
  <c r="Q27" i="214"/>
  <c r="P7" i="210" s="1"/>
  <c r="Q7" i="210" s="1"/>
  <c r="O10" i="172"/>
  <c r="O12" i="172"/>
  <c r="O11" i="172"/>
  <c r="S153" i="28"/>
  <c r="O16" i="214"/>
  <c r="O20" i="214"/>
  <c r="O17" i="214"/>
  <c r="O43" i="114"/>
  <c r="O44" i="114"/>
  <c r="O42" i="114"/>
  <c r="O40" i="49"/>
  <c r="O39" i="49"/>
  <c r="O21" i="48"/>
  <c r="O22" i="48"/>
  <c r="O26" i="177"/>
  <c r="O30" i="177"/>
  <c r="O33" i="177"/>
  <c r="O21" i="211"/>
  <c r="O42" i="47"/>
  <c r="O41" i="47"/>
  <c r="O20" i="47"/>
  <c r="O26" i="47"/>
  <c r="O19" i="179"/>
  <c r="O20" i="179"/>
  <c r="O31" i="179"/>
  <c r="O30" i="179"/>
  <c r="O7" i="179"/>
  <c r="H221" i="28"/>
  <c r="H377" i="28"/>
  <c r="H253" i="28"/>
  <c r="O22" i="167"/>
  <c r="O12" i="167"/>
  <c r="O15" i="167"/>
  <c r="O20" i="167"/>
  <c r="O21" i="167"/>
  <c r="O16" i="209"/>
  <c r="O17" i="209"/>
  <c r="O14" i="209"/>
  <c r="O15" i="209"/>
  <c r="O12" i="209"/>
  <c r="O13" i="209"/>
  <c r="O9" i="209"/>
  <c r="O11" i="209"/>
  <c r="O10" i="209"/>
  <c r="O31" i="177"/>
  <c r="O32" i="177"/>
  <c r="O34" i="165"/>
  <c r="O35" i="165"/>
  <c r="O32" i="165"/>
  <c r="O33" i="165"/>
  <c r="O30" i="165"/>
  <c r="O31" i="165"/>
  <c r="O28" i="165"/>
  <c r="O29" i="165"/>
  <c r="O26" i="165"/>
  <c r="O27" i="165"/>
  <c r="O24" i="165"/>
  <c r="O25" i="165"/>
  <c r="O22" i="165"/>
  <c r="O23" i="165"/>
  <c r="O20" i="165"/>
  <c r="O21" i="165"/>
  <c r="O18" i="165"/>
  <c r="O19" i="165"/>
  <c r="O17" i="179"/>
  <c r="O18" i="179"/>
  <c r="O15" i="179"/>
  <c r="O16" i="179"/>
  <c r="O13" i="179"/>
  <c r="O14" i="179"/>
  <c r="O17" i="180"/>
  <c r="O18" i="180"/>
  <c r="O15" i="180"/>
  <c r="O16" i="180"/>
  <c r="O13" i="180"/>
  <c r="O14" i="180"/>
  <c r="O11" i="180"/>
  <c r="O12" i="180"/>
  <c r="O12" i="181"/>
  <c r="O13" i="181"/>
  <c r="O11" i="181"/>
  <c r="O9" i="181"/>
  <c r="O10" i="181"/>
  <c r="O7" i="181"/>
  <c r="O8" i="181"/>
  <c r="O14" i="214"/>
  <c r="O15" i="214"/>
  <c r="O12" i="214"/>
  <c r="O13" i="214"/>
  <c r="O10" i="214"/>
  <c r="O11" i="214"/>
  <c r="O31" i="213"/>
  <c r="O32" i="213"/>
  <c r="O27" i="213"/>
  <c r="O28" i="213"/>
  <c r="O25" i="213"/>
  <c r="O26" i="213"/>
  <c r="O19" i="211"/>
  <c r="O20" i="211"/>
  <c r="O13" i="175"/>
  <c r="O14" i="175"/>
  <c r="O11" i="175"/>
  <c r="O12" i="175"/>
  <c r="O9" i="175"/>
  <c r="O10" i="175"/>
  <c r="O8" i="175"/>
  <c r="O13" i="174"/>
  <c r="O14" i="174"/>
  <c r="O12" i="174"/>
  <c r="O10" i="174"/>
  <c r="O9" i="174"/>
  <c r="O11" i="174"/>
  <c r="O9" i="173"/>
  <c r="O10" i="173"/>
  <c r="O8" i="172"/>
  <c r="O9" i="172"/>
  <c r="O7" i="172"/>
  <c r="O6" i="172"/>
  <c r="O18" i="171"/>
  <c r="O19" i="171"/>
  <c r="O17" i="171"/>
  <c r="O15" i="171"/>
  <c r="O16" i="171"/>
  <c r="O13" i="171"/>
  <c r="O14" i="171"/>
  <c r="O33" i="123"/>
  <c r="O34" i="123"/>
  <c r="O31" i="123"/>
  <c r="O32" i="123"/>
  <c r="O29" i="123"/>
  <c r="O30" i="123"/>
  <c r="O27" i="123"/>
  <c r="O28" i="123"/>
  <c r="O25" i="123"/>
  <c r="O26" i="123"/>
  <c r="O23" i="123"/>
  <c r="O24" i="123"/>
  <c r="O21" i="123"/>
  <c r="O22" i="123"/>
  <c r="O19" i="123"/>
  <c r="O20" i="123"/>
  <c r="O17" i="123"/>
  <c r="O18" i="123"/>
  <c r="O32" i="83"/>
  <c r="O33" i="83"/>
  <c r="O30" i="83"/>
  <c r="O31" i="83"/>
  <c r="O28" i="83"/>
  <c r="O29" i="83"/>
  <c r="O26" i="83"/>
  <c r="O27" i="83"/>
  <c r="O24" i="83"/>
  <c r="O25" i="83"/>
  <c r="O22" i="83"/>
  <c r="O23" i="83"/>
  <c r="O20" i="83"/>
  <c r="O21" i="83"/>
  <c r="O18" i="83"/>
  <c r="O19" i="83"/>
  <c r="O16" i="83"/>
  <c r="O17" i="83"/>
  <c r="O15" i="83"/>
  <c r="O9" i="267"/>
  <c r="O11" i="267"/>
  <c r="O8" i="267"/>
  <c r="O10" i="267"/>
  <c r="O7" i="267"/>
  <c r="O5" i="267"/>
  <c r="O20" i="267"/>
  <c r="O21" i="267"/>
  <c r="O13" i="267"/>
  <c r="O12" i="267"/>
  <c r="Q11" i="167"/>
  <c r="P7" i="167"/>
  <c r="Q7" i="167" s="1"/>
  <c r="Q17" i="167"/>
  <c r="P9" i="167"/>
  <c r="Q9" i="167" s="1"/>
  <c r="Q10" i="167"/>
  <c r="Q6" i="167"/>
  <c r="Q16" i="167"/>
  <c r="P8" i="167"/>
  <c r="Q8" i="167" s="1"/>
  <c r="O30" i="167"/>
  <c r="O6" i="167"/>
  <c r="O7" i="167"/>
  <c r="O8" i="167"/>
  <c r="O9" i="167"/>
  <c r="O48" i="177"/>
  <c r="O46" i="177"/>
  <c r="O49" i="177"/>
  <c r="O47" i="177"/>
  <c r="O13" i="177"/>
  <c r="O12" i="177"/>
  <c r="O11" i="177"/>
  <c r="O16" i="177"/>
  <c r="O15" i="177"/>
  <c r="O18" i="177"/>
  <c r="O14" i="177"/>
  <c r="O17" i="177"/>
  <c r="L2" i="266"/>
  <c r="O5" i="266" s="1"/>
  <c r="L2" i="265"/>
  <c r="O6" i="265" s="1"/>
  <c r="O47" i="83"/>
  <c r="O46" i="83"/>
  <c r="O5" i="51"/>
  <c r="O14" i="51"/>
  <c r="O31" i="211"/>
  <c r="O24" i="211"/>
  <c r="O39" i="211"/>
  <c r="O6" i="209"/>
  <c r="O23" i="209"/>
  <c r="O22" i="209"/>
  <c r="O18" i="167"/>
  <c r="O13" i="211"/>
  <c r="O14" i="211"/>
  <c r="O15" i="112"/>
  <c r="O11" i="112"/>
  <c r="O12" i="211"/>
  <c r="O38" i="211"/>
  <c r="O7" i="214"/>
  <c r="O37" i="211"/>
  <c r="O5" i="211"/>
  <c r="O6" i="211"/>
  <c r="O7" i="211"/>
  <c r="O8" i="211"/>
  <c r="O18" i="108"/>
  <c r="O8" i="108"/>
  <c r="L2" i="107"/>
  <c r="O20" i="107" s="1"/>
  <c r="L2" i="244"/>
  <c r="O16" i="195"/>
  <c r="O17" i="195"/>
  <c r="L2" i="241"/>
  <c r="L2" i="130"/>
  <c r="O7" i="130" s="1"/>
  <c r="L2" i="239"/>
  <c r="L2" i="240"/>
  <c r="L2" i="161"/>
  <c r="L2" i="238"/>
  <c r="L2" i="235"/>
  <c r="O16" i="235" s="1"/>
  <c r="L2" i="192"/>
  <c r="L2" i="236"/>
  <c r="L2" i="131"/>
  <c r="O20" i="131" s="1"/>
  <c r="L2" i="128"/>
  <c r="L2" i="129"/>
  <c r="O6" i="129" s="1"/>
  <c r="L2" i="164"/>
  <c r="L2" i="233"/>
  <c r="O16" i="233" s="1"/>
  <c r="L2" i="234"/>
  <c r="O16" i="234" s="1"/>
  <c r="L2" i="231"/>
  <c r="L2" i="232"/>
  <c r="O29" i="232" s="1"/>
  <c r="Q50" i="200"/>
  <c r="P11" i="191" s="1"/>
  <c r="Q11" i="191" s="1"/>
  <c r="L2" i="193"/>
  <c r="O71" i="193" s="1"/>
  <c r="L2" i="194"/>
  <c r="O18" i="194" s="1"/>
  <c r="O37" i="49"/>
  <c r="O38" i="49"/>
  <c r="Q50" i="201"/>
  <c r="P12" i="191" s="1"/>
  <c r="Q12" i="191" s="1"/>
  <c r="O36" i="201"/>
  <c r="O32" i="201"/>
  <c r="O33" i="201"/>
  <c r="O34" i="201"/>
  <c r="O35" i="201"/>
  <c r="O31" i="201"/>
  <c r="O49" i="200"/>
  <c r="O32" i="200"/>
  <c r="O34" i="200"/>
  <c r="O36" i="200"/>
  <c r="O33" i="200"/>
  <c r="O35" i="200"/>
  <c r="O15" i="211"/>
  <c r="O40" i="211"/>
  <c r="O11" i="211"/>
  <c r="O26" i="211"/>
  <c r="O30" i="211"/>
  <c r="O34" i="211"/>
  <c r="O25" i="211"/>
  <c r="O33" i="211"/>
  <c r="O32" i="211"/>
  <c r="O17" i="211"/>
  <c r="O28" i="211"/>
  <c r="O35" i="211"/>
  <c r="O29" i="211"/>
  <c r="O27" i="211"/>
  <c r="O9" i="211"/>
  <c r="O36" i="211"/>
  <c r="O10" i="211"/>
  <c r="O40" i="213"/>
  <c r="O16" i="213"/>
  <c r="O41" i="213"/>
  <c r="O39" i="213"/>
  <c r="O6" i="213"/>
  <c r="O8" i="213"/>
  <c r="O7" i="213"/>
  <c r="O36" i="213"/>
  <c r="O43" i="213"/>
  <c r="O19" i="213"/>
  <c r="O15" i="213"/>
  <c r="O9" i="213"/>
  <c r="O18" i="213"/>
  <c r="O10" i="213"/>
  <c r="O38" i="213"/>
  <c r="O17" i="213"/>
  <c r="O42" i="213"/>
  <c r="O23" i="213"/>
  <c r="O11" i="213"/>
  <c r="O5" i="213"/>
  <c r="O37" i="213"/>
  <c r="O14" i="213"/>
  <c r="O12" i="213"/>
  <c r="O22" i="213"/>
  <c r="O5" i="214"/>
  <c r="O17" i="112"/>
  <c r="O25" i="112"/>
  <c r="O26" i="112"/>
  <c r="O24" i="112"/>
  <c r="O27" i="112"/>
  <c r="O7" i="209"/>
  <c r="O20" i="209"/>
  <c r="O21" i="209"/>
  <c r="O5" i="209"/>
  <c r="O19" i="209"/>
  <c r="O17" i="166"/>
  <c r="O12" i="166"/>
  <c r="O19" i="166"/>
  <c r="O20" i="166"/>
  <c r="O21" i="166"/>
  <c r="O26" i="166"/>
  <c r="O28" i="166"/>
  <c r="O27" i="166"/>
  <c r="O25" i="166"/>
  <c r="O23" i="166"/>
  <c r="O24" i="166"/>
  <c r="O29" i="166"/>
  <c r="O15" i="166"/>
  <c r="O23" i="200"/>
  <c r="O26" i="200"/>
  <c r="O48" i="200"/>
  <c r="O44" i="200"/>
  <c r="O21" i="200"/>
  <c r="O8" i="200"/>
  <c r="O46" i="200"/>
  <c r="O20" i="200"/>
  <c r="O24" i="200"/>
  <c r="O12" i="200"/>
  <c r="O14" i="200"/>
  <c r="O31" i="200"/>
  <c r="O25" i="200"/>
  <c r="O43" i="200"/>
  <c r="O5" i="200"/>
  <c r="O17" i="200"/>
  <c r="O38" i="200"/>
  <c r="O10" i="200"/>
  <c r="O11" i="200"/>
  <c r="O15" i="200"/>
  <c r="O13" i="200"/>
  <c r="O41" i="200"/>
  <c r="O19" i="200"/>
  <c r="O45" i="200"/>
  <c r="O30" i="200"/>
  <c r="O27" i="200"/>
  <c r="O47" i="200"/>
  <c r="O29" i="200"/>
  <c r="O22" i="200"/>
  <c r="O6" i="200"/>
  <c r="O16" i="200"/>
  <c r="O39" i="200"/>
  <c r="O28" i="200"/>
  <c r="O7" i="200"/>
  <c r="O40" i="200"/>
  <c r="O42" i="200"/>
  <c r="O14" i="195"/>
  <c r="O22" i="195"/>
  <c r="O8" i="195"/>
  <c r="O18" i="195"/>
  <c r="O31" i="195"/>
  <c r="O28" i="195"/>
  <c r="O33" i="195"/>
  <c r="O23" i="195"/>
  <c r="O27" i="195"/>
  <c r="O24" i="195"/>
  <c r="O20" i="195"/>
  <c r="O30" i="195"/>
  <c r="O12" i="195"/>
  <c r="O6" i="195"/>
  <c r="O29" i="195"/>
  <c r="O21" i="195"/>
  <c r="O26" i="195"/>
  <c r="O15" i="195"/>
  <c r="O11" i="195"/>
  <c r="O5" i="195"/>
  <c r="O9" i="195"/>
  <c r="O19" i="195"/>
  <c r="O13" i="195"/>
  <c r="O7" i="195"/>
  <c r="O32" i="195"/>
  <c r="O8" i="201"/>
  <c r="O11" i="201"/>
  <c r="O20" i="201"/>
  <c r="O29" i="201"/>
  <c r="O46" i="201"/>
  <c r="O39" i="201"/>
  <c r="O48" i="201"/>
  <c r="O40" i="201"/>
  <c r="O7" i="201"/>
  <c r="O47" i="201"/>
  <c r="O21" i="201"/>
  <c r="O41" i="201"/>
  <c r="O22" i="201"/>
  <c r="O42" i="201"/>
  <c r="O6" i="201"/>
  <c r="O44" i="201"/>
  <c r="O5" i="201"/>
  <c r="O25" i="201"/>
  <c r="O12" i="201"/>
  <c r="O19" i="201"/>
  <c r="O28" i="201"/>
  <c r="O24" i="201"/>
  <c r="O45" i="201"/>
  <c r="O16" i="201"/>
  <c r="O15" i="201"/>
  <c r="O27" i="201"/>
  <c r="O43" i="201"/>
  <c r="O17" i="201"/>
  <c r="O30" i="201"/>
  <c r="O23" i="201"/>
  <c r="O14" i="201"/>
  <c r="O10" i="201"/>
  <c r="O13" i="201"/>
  <c r="O38" i="201"/>
  <c r="O26" i="201"/>
  <c r="O6" i="112"/>
  <c r="O7" i="112"/>
  <c r="Q16" i="90"/>
  <c r="P11" i="82" s="1"/>
  <c r="Q11" i="82" s="1"/>
  <c r="O21" i="114"/>
  <c r="O60" i="114"/>
  <c r="O30" i="114"/>
  <c r="O39" i="114"/>
  <c r="O58" i="114"/>
  <c r="O13" i="114"/>
  <c r="O33" i="114"/>
  <c r="O52" i="114"/>
  <c r="O37" i="114"/>
  <c r="O11" i="114"/>
  <c r="O27" i="114"/>
  <c r="O31" i="114"/>
  <c r="O53" i="114"/>
  <c r="O62" i="114"/>
  <c r="O36" i="114"/>
  <c r="O55" i="114"/>
  <c r="O59" i="114"/>
  <c r="O8" i="114"/>
  <c r="O41" i="114"/>
  <c r="O38" i="114"/>
  <c r="O22" i="114"/>
  <c r="O34" i="114"/>
  <c r="O10" i="114"/>
  <c r="O57" i="114"/>
  <c r="O35" i="114"/>
  <c r="O23" i="114"/>
  <c r="O50" i="114"/>
  <c r="O18" i="114"/>
  <c r="O25" i="114"/>
  <c r="O29" i="114"/>
  <c r="O28" i="114"/>
  <c r="O51" i="114"/>
  <c r="O9" i="114"/>
  <c r="O5" i="114"/>
  <c r="O54" i="114"/>
  <c r="O15" i="114"/>
  <c r="O24" i="114"/>
  <c r="O16" i="114"/>
  <c r="O40" i="114"/>
  <c r="O6" i="114"/>
  <c r="O49" i="114"/>
  <c r="O7" i="114"/>
  <c r="O17" i="114"/>
  <c r="O19" i="114"/>
  <c r="O56" i="114"/>
  <c r="O20" i="114"/>
  <c r="O32" i="114"/>
  <c r="O12" i="88"/>
  <c r="O10" i="88"/>
  <c r="O9" i="88"/>
  <c r="O8" i="88"/>
  <c r="O5" i="88"/>
  <c r="O6" i="88"/>
  <c r="O13" i="88"/>
  <c r="O7" i="88"/>
  <c r="O11" i="88"/>
  <c r="O12" i="90"/>
  <c r="O11" i="90"/>
  <c r="O7" i="90"/>
  <c r="O9" i="90"/>
  <c r="O6" i="90"/>
  <c r="O8" i="90"/>
  <c r="O13" i="90"/>
  <c r="O10" i="90"/>
  <c r="O15" i="90"/>
  <c r="O5" i="90"/>
  <c r="O19" i="51"/>
  <c r="O13" i="51"/>
  <c r="O12" i="51"/>
  <c r="O11" i="51"/>
  <c r="O16" i="51"/>
  <c r="O6" i="51"/>
  <c r="O8" i="51"/>
  <c r="O9" i="51"/>
  <c r="O20" i="51"/>
  <c r="O17" i="51"/>
  <c r="O26" i="180"/>
  <c r="O25" i="180"/>
  <c r="O24" i="180"/>
  <c r="O22" i="180"/>
  <c r="O5" i="180"/>
  <c r="O21" i="180"/>
  <c r="O7" i="180"/>
  <c r="O23" i="180"/>
  <c r="O6" i="121"/>
  <c r="O5" i="121"/>
  <c r="O8" i="121"/>
  <c r="O9" i="121"/>
  <c r="O10" i="121"/>
  <c r="O12" i="121"/>
  <c r="O7" i="121"/>
  <c r="O7" i="83"/>
  <c r="O8" i="83"/>
  <c r="O44" i="83"/>
  <c r="O11" i="83"/>
  <c r="O36" i="83"/>
  <c r="O45" i="83"/>
  <c r="O37" i="83"/>
  <c r="O43" i="83"/>
  <c r="O42" i="83"/>
  <c r="O41" i="83"/>
  <c r="O40" i="83"/>
  <c r="O12" i="83"/>
  <c r="O39" i="83"/>
  <c r="O9" i="83"/>
  <c r="O13" i="83"/>
  <c r="O6" i="83"/>
  <c r="O5" i="83"/>
  <c r="O27" i="167"/>
  <c r="O24" i="167"/>
  <c r="O11" i="167"/>
  <c r="O29" i="167"/>
  <c r="O5" i="167"/>
  <c r="O26" i="167"/>
  <c r="O28" i="167"/>
  <c r="O10" i="167"/>
  <c r="O17" i="167"/>
  <c r="O16" i="167"/>
  <c r="O25" i="167"/>
  <c r="O8" i="47"/>
  <c r="O12" i="47"/>
  <c r="O31" i="47"/>
  <c r="O24" i="47"/>
  <c r="O40" i="47"/>
  <c r="O37" i="47"/>
  <c r="O35" i="47"/>
  <c r="O39" i="47"/>
  <c r="O9" i="47"/>
  <c r="O22" i="47"/>
  <c r="O16" i="47"/>
  <c r="O14" i="47"/>
  <c r="O7" i="47"/>
  <c r="O25" i="47"/>
  <c r="O30" i="47"/>
  <c r="O19" i="47"/>
  <c r="O38" i="47"/>
  <c r="O34" i="47"/>
  <c r="O32" i="47"/>
  <c r="O10" i="47"/>
  <c r="O5" i="47"/>
  <c r="O13" i="47"/>
  <c r="O36" i="47"/>
  <c r="O11" i="47"/>
  <c r="O6" i="47"/>
  <c r="O17" i="47"/>
  <c r="O29" i="47"/>
  <c r="O33" i="47"/>
  <c r="O18" i="47"/>
  <c r="O15" i="47"/>
  <c r="O25" i="179"/>
  <c r="O23" i="179"/>
  <c r="O6" i="179"/>
  <c r="O5" i="179"/>
  <c r="O26" i="179"/>
  <c r="O29" i="179"/>
  <c r="O24" i="179"/>
  <c r="O9" i="179"/>
  <c r="O20" i="112"/>
  <c r="O5" i="112"/>
  <c r="O21" i="112"/>
  <c r="O9" i="112"/>
  <c r="O10" i="112"/>
  <c r="O19" i="112"/>
  <c r="O23" i="112"/>
  <c r="O9" i="85"/>
  <c r="O5" i="85"/>
  <c r="O7" i="85"/>
  <c r="O6" i="85"/>
  <c r="O14" i="85"/>
  <c r="O8" i="85"/>
  <c r="O11" i="85"/>
  <c r="O12" i="85"/>
  <c r="O10" i="85"/>
  <c r="O10" i="49"/>
  <c r="O16" i="49"/>
  <c r="O8" i="49"/>
  <c r="O7" i="49"/>
  <c r="O34" i="49"/>
  <c r="O9" i="49"/>
  <c r="O43" i="49"/>
  <c r="O44" i="49"/>
  <c r="O17" i="49"/>
  <c r="O13" i="49"/>
  <c r="O5" i="49"/>
  <c r="O45" i="49"/>
  <c r="O49" i="49"/>
  <c r="O31" i="49"/>
  <c r="O32" i="49"/>
  <c r="O12" i="49"/>
  <c r="O36" i="49"/>
  <c r="O33" i="49"/>
  <c r="O22" i="49"/>
  <c r="O14" i="49"/>
  <c r="O27" i="49"/>
  <c r="O26" i="49"/>
  <c r="O28" i="49"/>
  <c r="O29" i="49"/>
  <c r="O51" i="49"/>
  <c r="O35" i="49"/>
  <c r="O20" i="49"/>
  <c r="O47" i="49"/>
  <c r="O18" i="49"/>
  <c r="O19" i="49"/>
  <c r="O15" i="49"/>
  <c r="O21" i="49"/>
  <c r="O24" i="49"/>
  <c r="O42" i="49"/>
  <c r="O46" i="49"/>
  <c r="O25" i="49"/>
  <c r="O52" i="49"/>
  <c r="O48" i="49"/>
  <c r="O6" i="49"/>
  <c r="O50" i="49"/>
  <c r="O30" i="49"/>
  <c r="O14" i="126"/>
  <c r="O6" i="126"/>
  <c r="O15" i="126"/>
  <c r="O5" i="126"/>
  <c r="O13" i="126"/>
  <c r="O11" i="126"/>
  <c r="O9" i="126"/>
  <c r="O10" i="126"/>
  <c r="O7" i="126"/>
  <c r="O8" i="126"/>
  <c r="O5" i="53"/>
  <c r="O7" i="53"/>
  <c r="O44" i="165"/>
  <c r="O39" i="165"/>
  <c r="O37" i="165"/>
  <c r="O38" i="165"/>
  <c r="O5" i="165"/>
  <c r="O42" i="165"/>
  <c r="O47" i="165"/>
  <c r="O50" i="165"/>
  <c r="O16" i="165"/>
  <c r="O8" i="165"/>
  <c r="O13" i="165"/>
  <c r="O43" i="165"/>
  <c r="O40" i="165"/>
  <c r="O12" i="165"/>
  <c r="O48" i="165"/>
  <c r="O9" i="165"/>
  <c r="O41" i="165"/>
  <c r="O45" i="165"/>
  <c r="O14" i="165"/>
  <c r="O10" i="165"/>
  <c r="O11" i="165"/>
  <c r="O7" i="165"/>
  <c r="O6" i="165"/>
  <c r="O46" i="165"/>
  <c r="O6" i="125"/>
  <c r="O11" i="125"/>
  <c r="O14" i="125"/>
  <c r="O15" i="125"/>
  <c r="O13" i="125"/>
  <c r="O5" i="125"/>
  <c r="O10" i="125"/>
  <c r="O8" i="125"/>
  <c r="O9" i="125"/>
  <c r="O7" i="125"/>
  <c r="O10" i="177"/>
  <c r="O45" i="177"/>
  <c r="O7" i="177"/>
  <c r="O35" i="177"/>
  <c r="O40" i="177"/>
  <c r="O44" i="177"/>
  <c r="O39" i="177"/>
  <c r="O9" i="177"/>
  <c r="O38" i="177"/>
  <c r="O43" i="177"/>
  <c r="O5" i="177"/>
  <c r="O36" i="177"/>
  <c r="O6" i="177"/>
  <c r="O41" i="177"/>
  <c r="O37" i="177"/>
  <c r="O42" i="177"/>
  <c r="O28" i="177"/>
  <c r="O8" i="177"/>
  <c r="O12" i="87"/>
  <c r="O6" i="87"/>
  <c r="O5" i="87"/>
  <c r="O11" i="87"/>
  <c r="O10" i="87"/>
  <c r="O9" i="87"/>
  <c r="O7" i="87"/>
  <c r="O13" i="87"/>
  <c r="O8" i="87"/>
  <c r="L2" i="113"/>
  <c r="L2" i="50"/>
  <c r="O16" i="181"/>
  <c r="O5" i="181"/>
  <c r="O17" i="181"/>
  <c r="O45" i="123"/>
  <c r="O43" i="123"/>
  <c r="O42" i="123"/>
  <c r="O46" i="123"/>
  <c r="O7" i="123"/>
  <c r="O10" i="123"/>
  <c r="O41" i="123"/>
  <c r="O37" i="123"/>
  <c r="O40" i="123"/>
  <c r="O8" i="123"/>
  <c r="O39" i="123"/>
  <c r="O38" i="123"/>
  <c r="O13" i="123"/>
  <c r="O12" i="123"/>
  <c r="O11" i="123"/>
  <c r="O9" i="123"/>
  <c r="O6" i="123"/>
  <c r="O5" i="123"/>
  <c r="O12" i="89"/>
  <c r="O11" i="89"/>
  <c r="O10" i="89"/>
  <c r="O13" i="89"/>
  <c r="O7" i="89"/>
  <c r="O9" i="89"/>
  <c r="O5" i="89"/>
  <c r="O8" i="89"/>
  <c r="O6" i="89"/>
  <c r="O12" i="122"/>
  <c r="O10" i="122"/>
  <c r="O6" i="122"/>
  <c r="O5" i="122"/>
  <c r="O7" i="122"/>
  <c r="O8" i="122"/>
  <c r="O9" i="122"/>
  <c r="O18" i="48"/>
  <c r="O13" i="48"/>
  <c r="O19" i="48"/>
  <c r="O28" i="48"/>
  <c r="O27" i="48"/>
  <c r="O16" i="48"/>
  <c r="O5" i="48"/>
  <c r="O11" i="48"/>
  <c r="O9" i="48"/>
  <c r="O17" i="48"/>
  <c r="O24" i="48"/>
  <c r="O10" i="48"/>
  <c r="O6" i="48"/>
  <c r="O7" i="48"/>
  <c r="O12" i="48"/>
  <c r="O26" i="48"/>
  <c r="O15" i="48"/>
  <c r="O25" i="48"/>
  <c r="O12" i="86"/>
  <c r="O8" i="86"/>
  <c r="O11" i="86"/>
  <c r="O5" i="86"/>
  <c r="O7" i="86"/>
  <c r="O10" i="86"/>
  <c r="O6" i="86"/>
  <c r="O9" i="86"/>
  <c r="O13" i="86"/>
  <c r="L2" i="178"/>
  <c r="O17" i="178" s="1"/>
  <c r="O5" i="108"/>
  <c r="O17" i="108"/>
  <c r="O12" i="108"/>
  <c r="O10" i="108"/>
  <c r="O13" i="108"/>
  <c r="O7" i="108"/>
  <c r="O20" i="108"/>
  <c r="O16" i="108"/>
  <c r="O11" i="108"/>
  <c r="O21" i="108"/>
  <c r="O15" i="108"/>
  <c r="O9" i="108"/>
  <c r="O22" i="108"/>
  <c r="O14" i="108"/>
  <c r="O5" i="166"/>
  <c r="O13" i="166"/>
  <c r="O14" i="166"/>
  <c r="O11" i="166"/>
  <c r="Q14" i="89"/>
  <c r="P10" i="82" s="1"/>
  <c r="Q10" i="82" s="1"/>
  <c r="Q14" i="88"/>
  <c r="P9" i="82" s="1"/>
  <c r="Q9" i="82" s="1"/>
  <c r="Q15" i="87"/>
  <c r="P8" i="82" s="1"/>
  <c r="Q8" i="82" s="1"/>
  <c r="Q15" i="85"/>
  <c r="P6" i="82" s="1"/>
  <c r="Q6" i="82" s="1"/>
  <c r="O27" i="171"/>
  <c r="O33" i="171"/>
  <c r="O14" i="173"/>
  <c r="O15" i="173"/>
  <c r="P7" i="109"/>
  <c r="Q7" i="109" s="1"/>
  <c r="P8" i="111"/>
  <c r="Q8" i="111" s="1"/>
  <c r="O28" i="171"/>
  <c r="O29" i="171"/>
  <c r="O5" i="174"/>
  <c r="O17" i="174"/>
  <c r="O18" i="174"/>
  <c r="O19" i="174"/>
  <c r="O7" i="174"/>
  <c r="O6" i="174"/>
  <c r="O7" i="173"/>
  <c r="O6" i="173"/>
  <c r="O17" i="173"/>
  <c r="O5" i="173"/>
  <c r="O16" i="173"/>
  <c r="O13" i="173"/>
  <c r="O14" i="172"/>
  <c r="O6" i="175"/>
  <c r="O5" i="175"/>
  <c r="O31" i="171"/>
  <c r="O22" i="171"/>
  <c r="O7" i="171"/>
  <c r="O23" i="171"/>
  <c r="O24" i="171"/>
  <c r="O11" i="171"/>
  <c r="O25" i="171"/>
  <c r="O9" i="171"/>
  <c r="O5" i="171"/>
  <c r="O26" i="171"/>
  <c r="O8" i="171"/>
  <c r="O6" i="171"/>
  <c r="G120" i="31" a="1"/>
  <c r="G86" i="31" a="1"/>
  <c r="F241" i="29" a="1"/>
  <c r="W63" i="30" a="1"/>
  <c r="H122" i="31" a="1"/>
  <c r="H64" i="31" a="1"/>
  <c r="H118" i="31" a="1"/>
  <c r="S49" i="28" a="1"/>
  <c r="W74" i="30" a="1"/>
  <c r="G117" i="31" a="1"/>
  <c r="Y82" i="29" a="1"/>
  <c r="G121" i="31" a="1"/>
  <c r="H116" i="31" a="1"/>
  <c r="S424" i="28" a="1"/>
  <c r="G83" i="31" a="1"/>
  <c r="H83" i="31" a="1"/>
  <c r="H62" i="31" a="1"/>
  <c r="G118" i="31" a="1"/>
  <c r="G122" i="31" a="1"/>
  <c r="Y237" i="29" a="1"/>
  <c r="W73" i="30" a="1"/>
  <c r="H144" i="31" a="1"/>
  <c r="H84" i="31" a="1"/>
  <c r="H85" i="31" a="1"/>
  <c r="G84" i="31" a="1"/>
  <c r="Y103" i="29" a="1"/>
  <c r="Y233" i="29" a="1"/>
  <c r="Y241" i="29" a="1"/>
  <c r="H78" i="31" a="1"/>
  <c r="G87" i="31" a="1"/>
  <c r="H87" i="31" a="1"/>
  <c r="G85" i="31" a="1"/>
  <c r="W48" i="30" a="1"/>
  <c r="Y87" i="29" a="1"/>
  <c r="H120" i="31" a="1"/>
  <c r="G116" i="31" a="1"/>
  <c r="F240" i="29" a="1"/>
  <c r="G144" i="31" a="1"/>
  <c r="Y232" i="29" a="1"/>
  <c r="H117" i="31" a="1"/>
  <c r="G119" i="31" a="1"/>
  <c r="W60" i="30" a="1"/>
  <c r="G64" i="31" a="1"/>
  <c r="H63" i="31" a="1"/>
  <c r="G62" i="31" a="1"/>
  <c r="G78" i="31" a="1"/>
  <c r="H121" i="31" a="1"/>
  <c r="H86" i="31" a="1"/>
  <c r="Y240" i="29" a="1"/>
  <c r="G63" i="31" a="1"/>
  <c r="Y454" i="29" a="1"/>
  <c r="Y100" i="29" a="1"/>
  <c r="H119" i="31" a="1"/>
  <c r="O11" i="244" l="1"/>
  <c r="O15" i="243"/>
  <c r="O18" i="243"/>
  <c r="G78" i="31"/>
  <c r="L2" i="330" s="1"/>
  <c r="H78" i="31"/>
  <c r="Q14" i="82"/>
  <c r="P11" i="2" s="1"/>
  <c r="Q11" i="2" s="1"/>
  <c r="Y87" i="29"/>
  <c r="Q10" i="120"/>
  <c r="P12" i="2" s="1"/>
  <c r="Q12" i="2" s="1"/>
  <c r="Q26" i="127"/>
  <c r="P10" i="2" s="1"/>
  <c r="Q10" i="2" s="1"/>
  <c r="Q14" i="14"/>
  <c r="P5" i="2" s="1"/>
  <c r="Q5" i="2" s="1"/>
  <c r="Q23" i="191"/>
  <c r="P9" i="2" s="1"/>
  <c r="Q9" i="2" s="1"/>
  <c r="S49" i="28"/>
  <c r="O9" i="292"/>
  <c r="O7" i="292"/>
  <c r="O11" i="292"/>
  <c r="O12" i="292"/>
  <c r="Y82" i="29"/>
  <c r="Y103" i="29"/>
  <c r="Y237" i="29"/>
  <c r="Y454" i="29"/>
  <c r="Y233" i="29"/>
  <c r="Y100" i="29"/>
  <c r="Y232" i="29"/>
  <c r="W63" i="30"/>
  <c r="W48" i="30"/>
  <c r="W73" i="30"/>
  <c r="O16" i="231"/>
  <c r="O12" i="231"/>
  <c r="Q21" i="113"/>
  <c r="P6" i="109" s="1"/>
  <c r="Q6" i="109" s="1"/>
  <c r="Q8" i="109" s="1"/>
  <c r="P6" i="2" s="1"/>
  <c r="Q6" i="2" s="1"/>
  <c r="Q14" i="111"/>
  <c r="P8" i="2" s="1"/>
  <c r="Q8" i="2" s="1"/>
  <c r="H122" i="31"/>
  <c r="G122" i="31"/>
  <c r="H120" i="31"/>
  <c r="G120" i="31"/>
  <c r="H121" i="31"/>
  <c r="G121" i="31"/>
  <c r="H119" i="31"/>
  <c r="G119" i="31"/>
  <c r="H118" i="31"/>
  <c r="G118" i="31"/>
  <c r="H117" i="31"/>
  <c r="G117" i="31"/>
  <c r="H116" i="31"/>
  <c r="G116" i="31"/>
  <c r="H64" i="31"/>
  <c r="G64" i="31"/>
  <c r="H62" i="31"/>
  <c r="G62" i="31"/>
  <c r="H63" i="31"/>
  <c r="G63" i="31"/>
  <c r="G87" i="31"/>
  <c r="H87" i="31"/>
  <c r="G86" i="31"/>
  <c r="H86" i="31"/>
  <c r="G85" i="31"/>
  <c r="H85" i="31"/>
  <c r="G84" i="31"/>
  <c r="H84" i="31"/>
  <c r="G83" i="31"/>
  <c r="H83" i="31"/>
  <c r="O13" i="243"/>
  <c r="O14" i="243"/>
  <c r="O23" i="243"/>
  <c r="O21" i="243"/>
  <c r="O11" i="243"/>
  <c r="O10" i="243"/>
  <c r="O12" i="243"/>
  <c r="O7" i="243"/>
  <c r="O5" i="243"/>
  <c r="O9" i="243"/>
  <c r="O17" i="243"/>
  <c r="O8" i="243"/>
  <c r="O16" i="243"/>
  <c r="W74" i="30"/>
  <c r="O20" i="243"/>
  <c r="W60" i="30"/>
  <c r="S424" i="28"/>
  <c r="F241" i="29"/>
  <c r="H241" i="29" s="1"/>
  <c r="Y241" i="29"/>
  <c r="F240" i="29"/>
  <c r="H240" i="29" s="1"/>
  <c r="Y240" i="29"/>
  <c r="H144" i="31"/>
  <c r="G144" i="31"/>
  <c r="L2" i="314" s="1"/>
  <c r="O7" i="178"/>
  <c r="O16" i="178"/>
  <c r="O15" i="178"/>
  <c r="O9" i="113"/>
  <c r="O10" i="113"/>
  <c r="O6" i="235"/>
  <c r="O41" i="236"/>
  <c r="O7" i="236"/>
  <c r="O40" i="236"/>
  <c r="O53" i="236"/>
  <c r="O54" i="236"/>
  <c r="O39" i="236"/>
  <c r="O38" i="236"/>
  <c r="O9" i="236"/>
  <c r="O23" i="236"/>
  <c r="O22" i="236"/>
  <c r="O21" i="236"/>
  <c r="O37" i="236"/>
  <c r="O6" i="236"/>
  <c r="O24" i="232"/>
  <c r="O28" i="232"/>
  <c r="O23" i="232"/>
  <c r="O6" i="232"/>
  <c r="O22" i="232"/>
  <c r="O37" i="232"/>
  <c r="O36" i="232"/>
  <c r="O21" i="232"/>
  <c r="O5" i="234"/>
  <c r="O6" i="234"/>
  <c r="O49" i="236"/>
  <c r="O50" i="236"/>
  <c r="O25" i="236"/>
  <c r="O45" i="236"/>
  <c r="O43" i="236"/>
  <c r="O46" i="236"/>
  <c r="O44" i="236"/>
  <c r="O27" i="236"/>
  <c r="O29" i="236"/>
  <c r="O31" i="236"/>
  <c r="O30" i="236"/>
  <c r="O28" i="236"/>
  <c r="O12" i="236"/>
  <c r="O14" i="236"/>
  <c r="O10" i="236"/>
  <c r="O11" i="236"/>
  <c r="O13" i="236"/>
  <c r="O15" i="236"/>
  <c r="O17" i="236"/>
  <c r="O16" i="236"/>
  <c r="Q9" i="210"/>
  <c r="P14" i="2" s="1"/>
  <c r="Q14" i="2" s="1"/>
  <c r="O15" i="235"/>
  <c r="O5" i="235"/>
  <c r="O15" i="234"/>
  <c r="O13" i="234"/>
  <c r="O14" i="234"/>
  <c r="O13" i="235"/>
  <c r="O14" i="235"/>
  <c r="Q31" i="167"/>
  <c r="O7" i="128"/>
  <c r="O74" i="128"/>
  <c r="O40" i="128"/>
  <c r="O98" i="128"/>
  <c r="O92" i="193"/>
  <c r="O6" i="193"/>
  <c r="O70" i="193"/>
  <c r="O18" i="236"/>
  <c r="O20" i="236"/>
  <c r="O19" i="236"/>
  <c r="O20" i="232"/>
  <c r="O10" i="232"/>
  <c r="O9" i="232"/>
  <c r="O5" i="236"/>
  <c r="O9" i="239"/>
  <c r="O10" i="239"/>
  <c r="O21" i="178"/>
  <c r="O22" i="178"/>
  <c r="O20" i="178"/>
  <c r="O14" i="231"/>
  <c r="O15" i="231"/>
  <c r="O13" i="231"/>
  <c r="O10" i="231"/>
  <c r="O11" i="231"/>
  <c r="O9" i="231"/>
  <c r="O12" i="192"/>
  <c r="O13" i="192"/>
  <c r="O10" i="192"/>
  <c r="O11" i="192"/>
  <c r="O9" i="192"/>
  <c r="O8" i="192"/>
  <c r="O6" i="192"/>
  <c r="O7" i="192"/>
  <c r="O5" i="192"/>
  <c r="O68" i="193"/>
  <c r="O69" i="193"/>
  <c r="O66" i="193"/>
  <c r="O67" i="193"/>
  <c r="O64" i="193"/>
  <c r="O65" i="193"/>
  <c r="O62" i="193"/>
  <c r="O63" i="193"/>
  <c r="O60" i="193"/>
  <c r="O61" i="193"/>
  <c r="O58" i="193"/>
  <c r="O59" i="193"/>
  <c r="O56" i="193"/>
  <c r="O57" i="193"/>
  <c r="O54" i="193"/>
  <c r="O55" i="193"/>
  <c r="O52" i="193"/>
  <c r="O53" i="193"/>
  <c r="O50" i="193"/>
  <c r="O51" i="193"/>
  <c r="O48" i="193"/>
  <c r="O49" i="193"/>
  <c r="O46" i="193"/>
  <c r="O47" i="193"/>
  <c r="O44" i="193"/>
  <c r="O45" i="193"/>
  <c r="O42" i="193"/>
  <c r="O43" i="193"/>
  <c r="O40" i="193"/>
  <c r="O41" i="193"/>
  <c r="O39" i="193"/>
  <c r="O38" i="193"/>
  <c r="O36" i="193"/>
  <c r="O37" i="193"/>
  <c r="O34" i="193"/>
  <c r="O35" i="193"/>
  <c r="O32" i="193"/>
  <c r="O33" i="193"/>
  <c r="O30" i="193"/>
  <c r="O31" i="193"/>
  <c r="O28" i="193"/>
  <c r="O29" i="193"/>
  <c r="O27" i="193"/>
  <c r="O16" i="194"/>
  <c r="O17" i="194"/>
  <c r="O14" i="194"/>
  <c r="O15" i="194"/>
  <c r="O12" i="194"/>
  <c r="O13" i="194"/>
  <c r="O11" i="194"/>
  <c r="O18" i="232"/>
  <c r="O19" i="232"/>
  <c r="O16" i="232"/>
  <c r="O17" i="232"/>
  <c r="O14" i="232"/>
  <c r="O15" i="232"/>
  <c r="O13" i="232"/>
  <c r="O12" i="232"/>
  <c r="O14" i="233"/>
  <c r="O15" i="233"/>
  <c r="O12" i="233"/>
  <c r="O13" i="233"/>
  <c r="O10" i="233"/>
  <c r="O11" i="233"/>
  <c r="O9" i="233"/>
  <c r="O11" i="234"/>
  <c r="O12" i="234"/>
  <c r="O11" i="235"/>
  <c r="O12" i="235"/>
  <c r="O19" i="164"/>
  <c r="O20" i="164"/>
  <c r="O17" i="164"/>
  <c r="O18" i="164"/>
  <c r="O15" i="164"/>
  <c r="O16" i="164"/>
  <c r="O13" i="164"/>
  <c r="O14" i="164"/>
  <c r="O11" i="164"/>
  <c r="O12" i="164"/>
  <c r="O10" i="164"/>
  <c r="O18" i="131"/>
  <c r="O19" i="131"/>
  <c r="O16" i="131"/>
  <c r="O17" i="131"/>
  <c r="O14" i="131"/>
  <c r="O15" i="131"/>
  <c r="O12" i="131"/>
  <c r="O13" i="131"/>
  <c r="O10" i="131"/>
  <c r="O11" i="131"/>
  <c r="O37" i="128"/>
  <c r="O38" i="128"/>
  <c r="O34" i="128"/>
  <c r="O36" i="128"/>
  <c r="O39" i="128"/>
  <c r="O35" i="128"/>
  <c r="O33" i="128"/>
  <c r="O32" i="128"/>
  <c r="O28" i="128"/>
  <c r="O29" i="128"/>
  <c r="O6" i="178"/>
  <c r="O11" i="178"/>
  <c r="O10" i="178"/>
  <c r="O9" i="178"/>
  <c r="O13" i="178"/>
  <c r="O12" i="178"/>
  <c r="O85" i="193"/>
  <c r="O25" i="193"/>
  <c r="O21" i="128"/>
  <c r="O25" i="128"/>
  <c r="O27" i="128"/>
  <c r="O87" i="128"/>
  <c r="O73" i="128"/>
  <c r="O26" i="128"/>
  <c r="O86" i="128"/>
  <c r="O72" i="128"/>
  <c r="O5" i="113"/>
  <c r="O6" i="113"/>
  <c r="O7" i="113"/>
  <c r="O8" i="113"/>
  <c r="O84" i="193"/>
  <c r="O83" i="193"/>
  <c r="O12" i="193"/>
  <c r="O24" i="193"/>
  <c r="O23" i="193"/>
  <c r="O8" i="266"/>
  <c r="O6" i="266"/>
  <c r="O5" i="265"/>
  <c r="O5" i="50"/>
  <c r="O13" i="50"/>
  <c r="O8" i="232"/>
  <c r="O5" i="232"/>
  <c r="O8" i="234"/>
  <c r="O9" i="234"/>
  <c r="O9" i="235"/>
  <c r="O11" i="240"/>
  <c r="O13" i="240"/>
  <c r="O12" i="240"/>
  <c r="O8" i="244"/>
  <c r="O9" i="244"/>
  <c r="O6" i="244"/>
  <c r="O7" i="244"/>
  <c r="O16" i="107"/>
  <c r="O7" i="107"/>
  <c r="O17" i="107"/>
  <c r="O6" i="107"/>
  <c r="O19" i="107"/>
  <c r="O9" i="107"/>
  <c r="O15" i="107"/>
  <c r="O12" i="107"/>
  <c r="O22" i="107"/>
  <c r="O10" i="107"/>
  <c r="O8" i="107"/>
  <c r="O18" i="107"/>
  <c r="O13" i="107"/>
  <c r="O14" i="107"/>
  <c r="O5" i="107"/>
  <c r="O11" i="107"/>
  <c r="O5" i="244"/>
  <c r="O10" i="244"/>
  <c r="O7" i="241"/>
  <c r="O14" i="241"/>
  <c r="O5" i="130"/>
  <c r="O9" i="241"/>
  <c r="O5" i="241"/>
  <c r="O13" i="241"/>
  <c r="O10" i="241"/>
  <c r="O11" i="241"/>
  <c r="O6" i="130"/>
  <c r="O5" i="239"/>
  <c r="O11" i="239"/>
  <c r="O13" i="239"/>
  <c r="O7" i="239"/>
  <c r="O14" i="239"/>
  <c r="O18" i="240"/>
  <c r="O14" i="240"/>
  <c r="O10" i="240"/>
  <c r="O20" i="240"/>
  <c r="O15" i="240"/>
  <c r="O21" i="240"/>
  <c r="O5" i="240"/>
  <c r="O16" i="240"/>
  <c r="O17" i="240"/>
  <c r="O9" i="240"/>
  <c r="O7" i="240"/>
  <c r="O11" i="161"/>
  <c r="O15" i="161"/>
  <c r="O5" i="161"/>
  <c r="O14" i="161"/>
  <c r="O17" i="161"/>
  <c r="O13" i="161"/>
  <c r="O12" i="161"/>
  <c r="O7" i="161"/>
  <c r="O9" i="161"/>
  <c r="O18" i="161"/>
  <c r="O10" i="161"/>
  <c r="O10" i="238"/>
  <c r="O9" i="238"/>
  <c r="O13" i="238"/>
  <c r="O7" i="238"/>
  <c r="O11" i="238"/>
  <c r="O14" i="238"/>
  <c r="O5" i="238"/>
  <c r="O24" i="131"/>
  <c r="O5" i="131"/>
  <c r="O29" i="131"/>
  <c r="O15" i="128"/>
  <c r="O13" i="128"/>
  <c r="O97" i="128"/>
  <c r="O25" i="131"/>
  <c r="O55" i="128"/>
  <c r="O26" i="131"/>
  <c r="O68" i="128"/>
  <c r="O56" i="128"/>
  <c r="O23" i="128"/>
  <c r="O19" i="235"/>
  <c r="O8" i="235"/>
  <c r="O21" i="235"/>
  <c r="O18" i="235"/>
  <c r="O18" i="192"/>
  <c r="O83" i="128"/>
  <c r="O58" i="128"/>
  <c r="O60" i="128"/>
  <c r="O59" i="128"/>
  <c r="O65" i="128"/>
  <c r="O76" i="128"/>
  <c r="O44" i="128"/>
  <c r="O20" i="192"/>
  <c r="O67" i="128"/>
  <c r="O69" i="128"/>
  <c r="O24" i="128"/>
  <c r="O66" i="128"/>
  <c r="O64" i="128"/>
  <c r="O17" i="192"/>
  <c r="O79" i="128"/>
  <c r="O21" i="192"/>
  <c r="O91" i="128"/>
  <c r="O23" i="131"/>
  <c r="O80" i="128"/>
  <c r="O16" i="192"/>
  <c r="O94" i="128"/>
  <c r="O63" i="128"/>
  <c r="O5" i="129"/>
  <c r="O81" i="128"/>
  <c r="O20" i="128"/>
  <c r="O15" i="192"/>
  <c r="O14" i="128"/>
  <c r="O84" i="128"/>
  <c r="O19" i="128"/>
  <c r="O22" i="192"/>
  <c r="O95" i="128"/>
  <c r="O10" i="128"/>
  <c r="O78" i="128"/>
  <c r="O90" i="128"/>
  <c r="O43" i="128"/>
  <c r="O9" i="128"/>
  <c r="O17" i="128"/>
  <c r="O92" i="128"/>
  <c r="O71" i="128"/>
  <c r="O27" i="131"/>
  <c r="O41" i="128"/>
  <c r="O45" i="128"/>
  <c r="O52" i="128"/>
  <c r="O16" i="128"/>
  <c r="O51" i="128"/>
  <c r="O5" i="128"/>
  <c r="O54" i="128"/>
  <c r="O89" i="128"/>
  <c r="O53" i="128"/>
  <c r="O47" i="236"/>
  <c r="O51" i="236"/>
  <c r="O33" i="236"/>
  <c r="O56" i="236"/>
  <c r="O36" i="236"/>
  <c r="O26" i="236"/>
  <c r="O34" i="236"/>
  <c r="O35" i="236"/>
  <c r="O32" i="236"/>
  <c r="O48" i="236"/>
  <c r="O52" i="236"/>
  <c r="O28" i="164"/>
  <c r="O8" i="164"/>
  <c r="O6" i="164"/>
  <c r="O8" i="131"/>
  <c r="O7" i="131"/>
  <c r="O28" i="131"/>
  <c r="O22" i="131"/>
  <c r="O12" i="128"/>
  <c r="O22" i="128"/>
  <c r="O11" i="128"/>
  <c r="O62" i="128"/>
  <c r="O61" i="128"/>
  <c r="O6" i="131"/>
  <c r="O7" i="129"/>
  <c r="O5" i="233"/>
  <c r="O85" i="128"/>
  <c r="O6" i="128"/>
  <c r="O48" i="128"/>
  <c r="O5" i="164"/>
  <c r="O7" i="164"/>
  <c r="O24" i="164"/>
  <c r="O93" i="128"/>
  <c r="O47" i="128"/>
  <c r="O23" i="164"/>
  <c r="O26" i="164"/>
  <c r="O82" i="128"/>
  <c r="O96" i="128"/>
  <c r="O50" i="128"/>
  <c r="O46" i="128"/>
  <c r="O18" i="128"/>
  <c r="O49" i="128"/>
  <c r="O70" i="128"/>
  <c r="O31" i="128"/>
  <c r="O57" i="128"/>
  <c r="O23" i="233"/>
  <c r="O42" i="128"/>
  <c r="O77" i="128"/>
  <c r="O27" i="164"/>
  <c r="O29" i="164"/>
  <c r="O25" i="164"/>
  <c r="O22" i="164"/>
  <c r="O21" i="233"/>
  <c r="O24" i="233"/>
  <c r="O22" i="233"/>
  <c r="O25" i="233"/>
  <c r="O18" i="233"/>
  <c r="O19" i="233"/>
  <c r="O7" i="233"/>
  <c r="O21" i="234"/>
  <c r="O19" i="234"/>
  <c r="O18" i="234"/>
  <c r="O25" i="231"/>
  <c r="O19" i="231"/>
  <c r="O23" i="231"/>
  <c r="O21" i="231"/>
  <c r="O24" i="231"/>
  <c r="O22" i="231"/>
  <c r="O5" i="231"/>
  <c r="O18" i="231"/>
  <c r="O7" i="231"/>
  <c r="O26" i="232"/>
  <c r="O33" i="232"/>
  <c r="O34" i="232"/>
  <c r="O30" i="232"/>
  <c r="O35" i="232"/>
  <c r="O27" i="232"/>
  <c r="O31" i="232"/>
  <c r="O81" i="193"/>
  <c r="O16" i="193"/>
  <c r="O74" i="193"/>
  <c r="O89" i="193"/>
  <c r="O9" i="193"/>
  <c r="O8" i="193"/>
  <c r="O21" i="193"/>
  <c r="O75" i="193"/>
  <c r="O13" i="193"/>
  <c r="O90" i="193"/>
  <c r="O88" i="193"/>
  <c r="O5" i="193"/>
  <c r="O82" i="193"/>
  <c r="O14" i="193"/>
  <c r="O77" i="193"/>
  <c r="O76" i="193"/>
  <c r="O91" i="193"/>
  <c r="O15" i="193"/>
  <c r="O78" i="193"/>
  <c r="O11" i="193"/>
  <c r="O19" i="193"/>
  <c r="O79" i="193"/>
  <c r="O17" i="193"/>
  <c r="O22" i="193"/>
  <c r="O73" i="193"/>
  <c r="O18" i="193"/>
  <c r="O10" i="193"/>
  <c r="O87" i="193"/>
  <c r="O20" i="193"/>
  <c r="O80" i="193"/>
  <c r="O6" i="194"/>
  <c r="O8" i="194"/>
  <c r="O21" i="194"/>
  <c r="O9" i="194"/>
  <c r="O5" i="194"/>
  <c r="O20" i="194"/>
  <c r="O20" i="113"/>
  <c r="O18" i="113"/>
  <c r="O19" i="113"/>
  <c r="O17" i="50"/>
  <c r="O6" i="50"/>
  <c r="O9" i="50"/>
  <c r="O12" i="50"/>
  <c r="O16" i="50"/>
  <c r="O11" i="50"/>
  <c r="O14" i="50"/>
  <c r="O19" i="50"/>
  <c r="O8" i="50"/>
  <c r="O20" i="50"/>
  <c r="O18" i="178"/>
  <c r="O8" i="178"/>
  <c r="O29" i="178"/>
  <c r="O25" i="178"/>
  <c r="O27" i="178"/>
  <c r="O5" i="178"/>
  <c r="O14" i="178"/>
  <c r="O28" i="178"/>
  <c r="O24" i="178"/>
  <c r="O30" i="178"/>
  <c r="O26" i="178"/>
  <c r="O13" i="113"/>
  <c r="O16" i="113"/>
  <c r="O11" i="113"/>
  <c r="O17" i="113"/>
  <c r="O14" i="113"/>
  <c r="Y304" i="29" a="1"/>
  <c r="F304" i="29" a="1"/>
  <c r="S183" i="28" a="1"/>
  <c r="Y244" i="29" a="1"/>
  <c r="M17" i="27" a="1"/>
  <c r="F244" i="29" a="1"/>
  <c r="O10" i="314" l="1"/>
  <c r="O7" i="314"/>
  <c r="S183" i="28"/>
  <c r="Y244" i="29"/>
  <c r="F244" i="29"/>
  <c r="H244" i="29" s="1"/>
  <c r="Y304" i="29"/>
  <c r="F304" i="29"/>
  <c r="H304" i="29" s="1"/>
  <c r="O5" i="330"/>
  <c r="O10" i="330"/>
  <c r="O6" i="330"/>
  <c r="O7" i="330"/>
  <c r="O12" i="330"/>
  <c r="O9" i="330"/>
  <c r="M17" i="27"/>
  <c r="L2" i="328"/>
  <c r="L2" i="329"/>
  <c r="L2" i="327"/>
  <c r="L2" i="326"/>
  <c r="L2" i="325"/>
  <c r="L2" i="324"/>
  <c r="L2" i="321"/>
  <c r="L2" i="322"/>
  <c r="O5" i="314"/>
  <c r="O9" i="314"/>
  <c r="O8" i="314"/>
  <c r="P6" i="110"/>
  <c r="Q6" i="110" s="1"/>
  <c r="Q9" i="110" s="1"/>
  <c r="P7" i="2" s="1"/>
  <c r="Q7" i="2" s="1"/>
  <c r="Q29" i="2" s="1"/>
  <c r="Y144" i="29" a="1"/>
  <c r="S425" i="28" a="1"/>
  <c r="F143" i="29" a="1"/>
  <c r="F144" i="29" a="1"/>
  <c r="Y143" i="29" a="1"/>
  <c r="Y142" i="29" a="1"/>
  <c r="F142" i="29" a="1"/>
  <c r="S425" i="28" l="1"/>
  <c r="F144" i="29"/>
  <c r="H144" i="29" s="1"/>
  <c r="Y144" i="29"/>
  <c r="F143" i="29"/>
  <c r="H143" i="29" s="1"/>
  <c r="Y143" i="29"/>
  <c r="F142" i="29"/>
  <c r="H142" i="29" s="1"/>
  <c r="Y142" i="29"/>
  <c r="Q20" i="13"/>
  <c r="R20" i="13" s="1"/>
  <c r="O5" i="326"/>
  <c r="O7" i="326"/>
  <c r="O5" i="327"/>
  <c r="O7" i="327"/>
  <c r="O5" i="325"/>
  <c r="O7" i="325"/>
  <c r="O5" i="329"/>
  <c r="O7" i="329"/>
  <c r="O5" i="328"/>
  <c r="O7" i="328"/>
  <c r="O5" i="324"/>
  <c r="O7" i="324"/>
  <c r="O5" i="322"/>
  <c r="O7" i="322"/>
  <c r="O5" i="321"/>
  <c r="O7" i="321"/>
  <c r="Q18" i="13" l="1"/>
  <c r="R18" i="13" s="1"/>
  <c r="R31" i="13" s="1"/>
  <c r="L2" i="323"/>
  <c r="L2" i="319"/>
  <c r="O7" i="319" s="1"/>
  <c r="L2" i="320"/>
  <c r="L2" i="318"/>
  <c r="H421" i="28"/>
  <c r="O39" i="13" l="1"/>
  <c r="Q39" i="13" s="1"/>
  <c r="R39" i="13" s="1"/>
  <c r="O36" i="13"/>
  <c r="Q36" i="13" s="1"/>
  <c r="R36" i="13" s="1"/>
  <c r="O41" i="13"/>
  <c r="Q41" i="13" s="1"/>
  <c r="R41" i="13" s="1"/>
  <c r="O43" i="13"/>
  <c r="Q43" i="13" s="1"/>
  <c r="R43" i="13" s="1"/>
  <c r="O35" i="13"/>
  <c r="Q35" i="13" s="1"/>
  <c r="R35" i="13" s="1"/>
  <c r="O42" i="13"/>
  <c r="Q42" i="13" s="1"/>
  <c r="R42" i="13" s="1"/>
  <c r="O37" i="13"/>
  <c r="Q37" i="13" s="1"/>
  <c r="R37" i="13" s="1"/>
  <c r="O40" i="13"/>
  <c r="Q40" i="13" s="1"/>
  <c r="R40" i="13" s="1"/>
  <c r="O34" i="13"/>
  <c r="Q34" i="13" s="1"/>
  <c r="R34" i="13" s="1"/>
  <c r="O38" i="13"/>
  <c r="Q38" i="13" s="1"/>
  <c r="R38" i="13" s="1"/>
  <c r="O5" i="323"/>
  <c r="O7" i="323"/>
  <c r="O5" i="319"/>
  <c r="O5" i="320"/>
  <c r="O7" i="320"/>
  <c r="O7" i="318"/>
  <c r="O5" i="318"/>
  <c r="L2" i="317" l="1"/>
  <c r="L2" i="316"/>
  <c r="L2" i="315"/>
  <c r="G266" i="31" a="1"/>
  <c r="H253" i="31" a="1"/>
  <c r="G133" i="31" a="1"/>
  <c r="E106" i="28" a="1"/>
  <c r="G126" i="31" a="1"/>
  <c r="Y284" i="29" a="1"/>
  <c r="S291" i="28" a="1"/>
  <c r="Y221" i="29" a="1"/>
  <c r="H66" i="31" a="1"/>
  <c r="D117" i="30" a="1"/>
  <c r="G251" i="31" a="1"/>
  <c r="S248" i="28" a="1"/>
  <c r="D70" i="30" a="1"/>
  <c r="E196" i="28" a="1"/>
  <c r="S459" i="28" a="1"/>
  <c r="D75" i="30" a="1"/>
  <c r="Y437" i="29" a="1"/>
  <c r="S428" i="28" a="1"/>
  <c r="Y402" i="29" a="1"/>
  <c r="F146" i="29" a="1"/>
  <c r="W92" i="30" a="1"/>
  <c r="H71" i="31" a="1"/>
  <c r="M68" i="27" a="1"/>
  <c r="S79" i="28" a="1"/>
  <c r="Y182" i="29" a="1"/>
  <c r="S70" i="28" a="1"/>
  <c r="F236" i="29" a="1"/>
  <c r="F404" i="29" a="1"/>
  <c r="D86" i="30" a="1"/>
  <c r="F103" i="29" a="1"/>
  <c r="Y373" i="29" a="1"/>
  <c r="E247" i="28" a="1"/>
  <c r="E191" i="28" a="1"/>
  <c r="S398" i="28" a="1"/>
  <c r="F281" i="29" a="1"/>
  <c r="D34" i="30" a="1"/>
  <c r="H141" i="31" a="1"/>
  <c r="Y453" i="29" a="1"/>
  <c r="F38" i="29" a="1"/>
  <c r="G11" i="31" a="1"/>
  <c r="Y452" i="29" a="1"/>
  <c r="S219" i="28" a="1"/>
  <c r="E198" i="28" a="1"/>
  <c r="W19" i="30" a="1"/>
  <c r="E477" i="28" a="1"/>
  <c r="Y62" i="29" a="1"/>
  <c r="G260" i="31" a="1"/>
  <c r="G147" i="31" a="1"/>
  <c r="G125" i="31" a="1"/>
  <c r="S178" i="28" a="1"/>
  <c r="H261" i="31" a="1"/>
  <c r="E16" i="28" a="1"/>
  <c r="E125" i="28" a="1"/>
  <c r="D62" i="30" a="1"/>
  <c r="G200" i="31" a="1"/>
  <c r="G258" i="31" a="1"/>
  <c r="W49" i="30" a="1"/>
  <c r="S57" i="28" a="1"/>
  <c r="E381" i="28" a="1"/>
  <c r="G114" i="31" a="1"/>
  <c r="W103" i="30" a="1"/>
  <c r="G72" i="31" a="1"/>
  <c r="F289" i="29" a="1"/>
  <c r="S22" i="28" a="1"/>
  <c r="W125" i="30" a="1"/>
  <c r="W127" i="30" a="1"/>
  <c r="Y226" i="29" a="1"/>
  <c r="E369" i="28" a="1"/>
  <c r="F237" i="29" a="1"/>
  <c r="E408" i="28" a="1"/>
  <c r="H97" i="31" a="1"/>
  <c r="H256" i="31" a="1"/>
  <c r="Y469" i="29" a="1"/>
  <c r="W85" i="30" a="1"/>
  <c r="G128" i="31" a="1"/>
  <c r="H72" i="31" a="1"/>
  <c r="G106" i="31" a="1"/>
  <c r="E440" i="28" a="1"/>
  <c r="E291" i="28" a="1"/>
  <c r="G45" i="31" a="1"/>
  <c r="S496" i="28" a="1"/>
  <c r="F39" i="29" a="1"/>
  <c r="D88" i="30" a="1"/>
  <c r="E88" i="28" a="1"/>
  <c r="S427" i="28" a="1"/>
  <c r="Y212" i="29" a="1"/>
  <c r="G207" i="31" a="1"/>
  <c r="Y215" i="29" a="1"/>
  <c r="S382" i="28" a="1"/>
  <c r="S28" i="28" a="1"/>
  <c r="Y310" i="29" a="1"/>
  <c r="W116" i="30" a="1"/>
  <c r="S12" i="28" a="1"/>
  <c r="W71" i="30" a="1"/>
  <c r="G264" i="31" a="1"/>
  <c r="S393" i="28" a="1"/>
  <c r="F476" i="29" a="1"/>
  <c r="S185" i="28" a="1"/>
  <c r="G97" i="31" a="1"/>
  <c r="H161" i="31" a="1"/>
  <c r="M73" i="27" a="1"/>
  <c r="E367" i="28" a="1"/>
  <c r="Y328" i="29" a="1"/>
  <c r="W33" i="30" a="1"/>
  <c r="E102" i="28" a="1"/>
  <c r="F309" i="29" a="1"/>
  <c r="G95" i="31" a="1"/>
  <c r="H202" i="31" a="1"/>
  <c r="H147" i="31" a="1"/>
  <c r="Y146" i="29" a="1"/>
  <c r="D59" i="30" a="1"/>
  <c r="W140" i="30" a="1"/>
  <c r="S41" i="28" a="1"/>
  <c r="E460" i="28" a="1"/>
  <c r="D143" i="30" a="1"/>
  <c r="D56" i="30" a="1"/>
  <c r="W120" i="30" a="1"/>
  <c r="F55" i="29" a="1"/>
  <c r="S39" i="28" a="1"/>
  <c r="C48" i="27" a="1"/>
  <c r="D51" i="30" a="1"/>
  <c r="G208" i="31" a="1"/>
  <c r="Y462" i="29" a="1"/>
  <c r="F274" i="29" a="1"/>
  <c r="D104" i="30" a="1"/>
  <c r="D119" i="30" a="1"/>
  <c r="S154" i="28" a="1"/>
  <c r="F33" i="29" a="1"/>
  <c r="E217" i="28" a="1"/>
  <c r="E459" i="28" a="1"/>
  <c r="G110" i="31" a="1"/>
  <c r="Y45" i="29" a="1"/>
  <c r="Y336" i="29" a="1"/>
  <c r="W129" i="30" a="1"/>
  <c r="F54" i="29" a="1"/>
  <c r="S477" i="28" a="1"/>
  <c r="E445" i="28" a="1"/>
  <c r="F87" i="29" a="1"/>
  <c r="M50" i="27" a="1"/>
  <c r="E303" i="28" a="1"/>
  <c r="D130" i="30" a="1"/>
  <c r="D89" i="30" a="1"/>
  <c r="G100" i="31" a="1"/>
  <c r="E181" i="28" a="1"/>
  <c r="S415" i="28" a="1"/>
  <c r="S147" i="28" a="1"/>
  <c r="H43" i="31" a="1"/>
  <c r="S252" i="28" a="1"/>
  <c r="Y81" i="29" a="1"/>
  <c r="D61" i="30" a="1"/>
  <c r="S156" i="28" a="1"/>
  <c r="E280" i="28" a="1"/>
  <c r="S36" i="28" a="1"/>
  <c r="W118" i="30" a="1"/>
  <c r="G151" i="31" a="1"/>
  <c r="G263" i="31" a="1"/>
  <c r="H21" i="31" a="1"/>
  <c r="W21" i="30" a="1"/>
  <c r="S447" i="28" a="1"/>
  <c r="H75" i="31" a="1"/>
  <c r="E455" i="28" a="1"/>
  <c r="G196" i="31" a="1"/>
  <c r="G206" i="31" a="1"/>
  <c r="Y318" i="29" a="1"/>
  <c r="E9" i="28" a="1"/>
  <c r="F392" i="29" a="1"/>
  <c r="S66" i="28" a="1"/>
  <c r="G115" i="31" a="1"/>
  <c r="F327" i="29" a="1"/>
  <c r="S187" i="28" a="1"/>
  <c r="W131" i="30" a="1"/>
  <c r="E17" i="28" a="1"/>
  <c r="W78" i="30" a="1"/>
  <c r="E179" i="28" a="1"/>
  <c r="F393" i="29" a="1"/>
  <c r="E446" i="28" a="1"/>
  <c r="E13" i="28" a="1"/>
  <c r="S323" i="28" a="1"/>
  <c r="E279" i="28" a="1"/>
  <c r="C89" i="27" a="1"/>
  <c r="D58" i="30" a="1"/>
  <c r="F183" i="29" a="1"/>
  <c r="E8" i="28" a="1"/>
  <c r="E448" i="28" a="1"/>
  <c r="E399" i="28" a="1"/>
  <c r="H185" i="31" a="1"/>
  <c r="Y333" i="29" a="1"/>
  <c r="S129" i="28" a="1"/>
  <c r="D74" i="30" a="1"/>
  <c r="M94" i="27" a="1"/>
  <c r="H232" i="31" a="1"/>
  <c r="G211" i="31" a="1"/>
  <c r="M123" i="27" a="1"/>
  <c r="H254" i="31" a="1"/>
  <c r="E441" i="28" a="1"/>
  <c r="F470" i="29" a="1"/>
  <c r="G157" i="31" a="1"/>
  <c r="G30" i="31" a="1"/>
  <c r="S72" i="28" a="1"/>
  <c r="E156" i="28" a="1"/>
  <c r="G47" i="31" a="1"/>
  <c r="C167" i="27" a="1"/>
  <c r="S157" i="28" a="1"/>
  <c r="Y474" i="29" a="1"/>
  <c r="E49" i="28" a="1"/>
  <c r="H139" i="31" a="1"/>
  <c r="Y243" i="29" a="1"/>
  <c r="W134" i="30" a="1"/>
  <c r="S442" i="28" a="1"/>
  <c r="H39" i="31" a="1"/>
  <c r="D106" i="30" a="1"/>
  <c r="E22" i="28" a="1"/>
  <c r="W24" i="30" a="1"/>
  <c r="E420" i="28" a="1"/>
  <c r="E228" i="28" a="1"/>
  <c r="C43" i="27" a="1"/>
  <c r="D42" i="30" a="1"/>
  <c r="D95" i="30" a="1"/>
  <c r="W124" i="30" a="1"/>
  <c r="Y57" i="29" a="1"/>
  <c r="S13" i="28" a="1"/>
  <c r="M43" i="27" a="1"/>
  <c r="S220" i="28" a="1"/>
  <c r="G36" i="31" a="1"/>
  <c r="H157" i="31" a="1"/>
  <c r="S152" i="28" a="1"/>
  <c r="E50" i="28" a="1"/>
  <c r="D93" i="30" a="1"/>
  <c r="G152" i="31" a="1"/>
  <c r="E75" i="28" a="1"/>
  <c r="S394" i="28" a="1"/>
  <c r="F323" i="29" a="1"/>
  <c r="W91" i="30" a="1"/>
  <c r="E401" i="28" a="1"/>
  <c r="E45" i="28" a="1"/>
  <c r="Y307" i="29" a="1"/>
  <c r="E382" i="28" a="1"/>
  <c r="W121" i="30" a="1"/>
  <c r="C42" i="27" a="1"/>
  <c r="F216" i="29" a="1"/>
  <c r="G108" i="31" a="1"/>
  <c r="E41" i="28" a="1"/>
  <c r="E245" i="28" a="1"/>
  <c r="W59" i="30" a="1"/>
  <c r="G190" i="31" a="1"/>
  <c r="D37" i="30" a="1"/>
  <c r="D114" i="30" a="1"/>
  <c r="G76" i="31" a="1"/>
  <c r="S458" i="28" a="1"/>
  <c r="Y38" i="29" a="1"/>
  <c r="E430" i="28" a="1"/>
  <c r="W138" i="30" a="1"/>
  <c r="M137" i="27" a="1"/>
  <c r="G222" i="31" a="1"/>
  <c r="H81" i="31" a="1"/>
  <c r="E218" i="28" a="1"/>
  <c r="E289" i="28" a="1"/>
  <c r="D44" i="30" a="1"/>
  <c r="W47" i="30" a="1"/>
  <c r="H203" i="31" a="1"/>
  <c r="Y477" i="29" a="1"/>
  <c r="Y323" i="29" a="1"/>
  <c r="Y46" i="29" a="1"/>
  <c r="G58" i="31" a="1"/>
  <c r="H132" i="31" a="1"/>
  <c r="S95" i="28" a="1"/>
  <c r="F319" i="29" a="1"/>
  <c r="S324" i="28" a="1"/>
  <c r="D121" i="30" a="1"/>
  <c r="G261" i="31" a="1"/>
  <c r="Y309" i="29" a="1"/>
  <c r="D138" i="30" a="1"/>
  <c r="E250" i="28" a="1"/>
  <c r="H206" i="31" a="1"/>
  <c r="S466" i="28" a="1"/>
  <c r="Y475" i="29" a="1"/>
  <c r="M167" i="27" a="1"/>
  <c r="F303" i="29" a="1"/>
  <c r="H99" i="31" a="1"/>
  <c r="F396" i="29" a="1"/>
  <c r="S230" i="28" a="1"/>
  <c r="C47" i="27" a="1"/>
  <c r="Y50" i="29" a="1"/>
  <c r="F232" i="29" a="1"/>
  <c r="S90" i="28" a="1"/>
  <c r="F222" i="29" a="1"/>
  <c r="M76" i="27" a="1"/>
  <c r="S231" i="28" a="1"/>
  <c r="C144" i="27" a="1"/>
  <c r="D64" i="30" a="1"/>
  <c r="M70" i="27" a="1"/>
  <c r="H77" i="31" a="1"/>
  <c r="W5" i="30" a="1"/>
  <c r="G215" i="31" a="1"/>
  <c r="F321" i="29" a="1"/>
  <c r="D69" i="30" a="1"/>
  <c r="S370" i="28" a="1"/>
  <c r="E6" i="28" a="1"/>
  <c r="W83" i="30" a="1"/>
  <c r="S414" i="28" a="1"/>
  <c r="H257" i="31" a="1"/>
  <c r="G21" i="31" a="1"/>
  <c r="E223" i="28" a="1"/>
  <c r="S78" i="28" a="1"/>
  <c r="W66" i="30" a="1"/>
  <c r="E124" i="28" a="1"/>
  <c r="F250" i="29" a="1"/>
  <c r="C32" i="27" a="1"/>
  <c r="E319" i="28" a="1"/>
  <c r="G124" i="31" a="1"/>
  <c r="Y179" i="29" a="1"/>
  <c r="S226" i="28" a="1"/>
  <c r="M181" i="27" a="1"/>
  <c r="G265" i="31" a="1"/>
  <c r="H30" i="31" a="1"/>
  <c r="S422" i="28" a="1"/>
  <c r="F245" i="29" a="1"/>
  <c r="W141" i="30" a="1"/>
  <c r="F82" i="29" a="1"/>
  <c r="G252" i="31" a="1"/>
  <c r="E144" i="28" a="1"/>
  <c r="Y329" i="29" a="1"/>
  <c r="W132" i="30" a="1"/>
  <c r="C135" i="27" a="1"/>
  <c r="S26" i="28" a="1"/>
  <c r="M6" i="27" a="1"/>
  <c r="H214" i="31" a="1"/>
  <c r="E190" i="28" a="1"/>
  <c r="E127" i="28" a="1"/>
  <c r="E243" i="28" a="1"/>
  <c r="D94" i="30" a="1"/>
  <c r="F246" i="29" a="1"/>
  <c r="D111" i="30" a="1"/>
  <c r="H213" i="31" a="1"/>
  <c r="Y248" i="29" a="1"/>
  <c r="E66" i="28" a="1"/>
  <c r="Y400" i="29" a="1"/>
  <c r="G38" i="31" a="1"/>
  <c r="E434" i="28" a="1"/>
  <c r="Y58" i="29" a="1"/>
  <c r="D126" i="30" a="1"/>
  <c r="E4" i="28" a="1"/>
  <c r="F466" i="29" a="1"/>
  <c r="Y290" i="29" a="1"/>
  <c r="W22" i="30" a="1"/>
  <c r="Y239" i="29" a="1"/>
  <c r="Y338" i="29" a="1"/>
  <c r="F315" i="29" a="1"/>
  <c r="F121" i="29" a="1"/>
  <c r="F178" i="29" a="1"/>
  <c r="G70" i="31" a="1"/>
  <c r="E155" i="28" a="1"/>
  <c r="F243" i="29" a="1"/>
  <c r="G186" i="31" a="1"/>
  <c r="G246" i="31" a="1"/>
  <c r="E208" i="28" a="1"/>
  <c r="F462" i="29" a="1"/>
  <c r="W67" i="30" a="1"/>
  <c r="S431" i="28" a="1"/>
  <c r="E429" i="28" a="1"/>
  <c r="S390" i="28" a="1"/>
  <c r="Y291" i="29" a="1"/>
  <c r="G113" i="31" a="1"/>
  <c r="H223" i="31" a="1"/>
  <c r="S409" i="28" a="1"/>
  <c r="F326" i="29" a="1"/>
  <c r="F41" i="29" a="1"/>
  <c r="E436" i="28" a="1"/>
  <c r="W50" i="30" a="1"/>
  <c r="S182" i="28" a="1"/>
  <c r="H36" i="31" a="1"/>
  <c r="F213" i="29" a="1"/>
  <c r="W41" i="30" a="1"/>
  <c r="G42" i="31" a="1"/>
  <c r="E290" i="28" a="1"/>
  <c r="F97" i="29" a="1"/>
  <c r="G218" i="31" a="1"/>
  <c r="W94" i="30" a="1"/>
  <c r="D91" i="30" a="1"/>
  <c r="Y64" i="29" a="1"/>
  <c r="W56" i="30" a="1"/>
  <c r="E186" i="28" a="1"/>
  <c r="E64" i="28" a="1"/>
  <c r="G180" i="31" a="1"/>
  <c r="H152" i="31" a="1"/>
  <c r="W98" i="30" a="1"/>
  <c r="E244" i="28" a="1"/>
  <c r="G250" i="31" a="1"/>
  <c r="H38" i="31" a="1"/>
  <c r="W84" i="30" a="1"/>
  <c r="G267" i="31" a="1"/>
  <c r="E493" i="28" a="1"/>
  <c r="H262" i="31" a="1"/>
  <c r="S374" i="28" a="1"/>
  <c r="E130" i="28" a="1"/>
  <c r="Y302" i="29" a="1"/>
  <c r="S418" i="28" a="1"/>
  <c r="F81" i="29" a="1"/>
  <c r="S67" i="28" a="1"/>
  <c r="H247" i="31" a="1"/>
  <c r="S232" i="28" a="1"/>
  <c r="Y136" i="29" a="1"/>
  <c r="Y214" i="29" a="1"/>
  <c r="Y249" i="29" a="1"/>
  <c r="W76" i="30" a="1"/>
  <c r="E104" i="28" a="1"/>
  <c r="C94" i="27" a="1"/>
  <c r="W75" i="30" a="1"/>
  <c r="E184" i="28" a="1"/>
  <c r="F218" i="29" a="1"/>
  <c r="S68" i="28" a="1"/>
  <c r="W88" i="30" a="1"/>
  <c r="E117" i="28" a="1"/>
  <c r="S286" i="28" a="1"/>
  <c r="S482" i="28" a="1"/>
  <c r="H110" i="31" a="1"/>
  <c r="Y41" i="29" a="1"/>
  <c r="G134" i="31" a="1"/>
  <c r="F265" i="29" a="1"/>
  <c r="G160" i="31" a="1"/>
  <c r="D98" i="30" a="1"/>
  <c r="F473" i="29" a="1"/>
  <c r="E258" i="28" a="1"/>
  <c r="H33" i="31" a="1"/>
  <c r="S177" i="28" a="1"/>
  <c r="E225" i="28" a="1"/>
  <c r="E403" i="28" a="1"/>
  <c r="F328" i="29" a="1"/>
  <c r="F337" i="29" a="1"/>
  <c r="D23" i="30" a="1"/>
  <c r="E466" i="28" a="1"/>
  <c r="F171" i="29" a="1"/>
  <c r="Y259" i="29" a="1"/>
  <c r="S246" i="28" a="1"/>
  <c r="S281" i="28" a="1"/>
  <c r="W126" i="30" a="1"/>
  <c r="S243" i="28" a="1"/>
  <c r="G210" i="31" a="1"/>
  <c r="S195" i="28" a="1"/>
  <c r="Y183" i="29" a="1"/>
  <c r="S316" i="28" a="1"/>
  <c r="S223" i="28" a="1"/>
  <c r="S194" i="28" a="1"/>
  <c r="S402" i="28" a="1"/>
  <c r="Y211" i="29" a="1"/>
  <c r="Y301" i="29" a="1"/>
  <c r="Y312" i="29" a="1"/>
  <c r="E10" i="28" a="1"/>
  <c r="S403" i="28" a="1"/>
  <c r="Y308" i="29" a="1"/>
  <c r="G71" i="31" a="1"/>
  <c r="E215" i="28" a="1"/>
  <c r="S124" i="28" a="1"/>
  <c r="E220" i="28" a="1"/>
  <c r="S476" i="28" a="1"/>
  <c r="S505" i="28" a="1"/>
  <c r="S454" i="28" a="1"/>
  <c r="E74" i="28" a="1"/>
  <c r="E454" i="28" a="1"/>
  <c r="S104" i="28" a="1"/>
  <c r="H29" i="31" a="1"/>
  <c r="W97" i="30" a="1"/>
  <c r="C68" i="27" a="1"/>
  <c r="E24" i="28" a="1"/>
  <c r="C10" i="27" a="1"/>
  <c r="H76" i="31" a="1"/>
  <c r="S401" i="28" a="1"/>
  <c r="D79" i="30" a="1"/>
  <c r="D103" i="30" a="1"/>
  <c r="E398" i="28" a="1"/>
  <c r="F332" i="29" a="1"/>
  <c r="G158" i="31" a="1"/>
  <c r="H40" i="31" a="1"/>
  <c r="E57" i="28" a="1"/>
  <c r="E424" i="28" a="1"/>
  <c r="Y250" i="29" a="1"/>
  <c r="W82" i="30" a="1"/>
  <c r="G73" i="31" a="1"/>
  <c r="W57" i="30" a="1"/>
  <c r="G230" i="31" a="1"/>
  <c r="E229" i="28" a="1"/>
  <c r="Y92" i="29" a="1"/>
  <c r="W16" i="30" a="1"/>
  <c r="F310" i="29" a="1"/>
  <c r="E376" i="28" a="1"/>
  <c r="Y178" i="29" a="1"/>
  <c r="F314" i="29" a="1"/>
  <c r="Y184" i="29" a="1"/>
  <c r="Y471" i="29" a="1"/>
  <c r="Y337" i="29" a="1"/>
  <c r="E231" i="28" a="1"/>
  <c r="H217" i="31" a="1"/>
  <c r="G33" i="31" a="1"/>
  <c r="S112" i="28" a="1"/>
  <c r="G231" i="31" a="1"/>
  <c r="H112" i="31" a="1"/>
  <c r="D66" i="30" a="1"/>
  <c r="Y289" i="29" a="1"/>
  <c r="W110" i="30" a="1"/>
  <c r="F46" i="29" a="1"/>
  <c r="Y321" i="29" a="1"/>
  <c r="Y52" i="29" a="1"/>
  <c r="Y102" i="29" a="1"/>
  <c r="E105" i="28" a="1"/>
  <c r="S17" i="28" a="1"/>
  <c r="G59" i="31" a="1"/>
  <c r="Y473" i="29" a="1"/>
  <c r="G269" i="31" a="1"/>
  <c r="E122" i="28" a="1"/>
  <c r="H100" i="31" a="1"/>
  <c r="S123" i="28" a="1"/>
  <c r="Y311" i="29" a="1"/>
  <c r="G141" i="31" a="1"/>
  <c r="Y274" i="29" a="1"/>
  <c r="E46" i="28" a="1"/>
  <c r="E71" i="28" a="1"/>
  <c r="E417" i="28" a="1"/>
  <c r="H46" i="31" a="1"/>
  <c r="G96" i="31" a="1"/>
  <c r="W44" i="30" a="1"/>
  <c r="W115" i="30" a="1"/>
  <c r="D29" i="30" a="1"/>
  <c r="D49" i="30" a="1"/>
  <c r="W104" i="30" a="1"/>
  <c r="H32" i="31" a="1"/>
  <c r="Y319" i="29" a="1"/>
  <c r="F221" i="29" a="1"/>
  <c r="H231" i="31" a="1"/>
  <c r="E189" i="28" a="1"/>
  <c r="D135" i="30" a="1"/>
  <c r="H58" i="31" a="1"/>
  <c r="H269" i="31" a="1"/>
  <c r="Y476" i="29" a="1"/>
  <c r="H125" i="31" a="1"/>
  <c r="W40" i="30" a="1"/>
  <c r="W93" i="30" a="1"/>
  <c r="Y44" i="29" a="1"/>
  <c r="D24" i="30" a="1"/>
  <c r="H138" i="31" a="1"/>
  <c r="G25" i="31" a="1"/>
  <c r="D19" i="30" a="1"/>
  <c r="H154" i="31" a="1"/>
  <c r="H42" i="31" a="1"/>
  <c r="G166" i="31" a="1"/>
  <c r="F316" i="29" a="1"/>
  <c r="E135" i="28" a="1"/>
  <c r="S406" i="28" a="1"/>
  <c r="S155" i="28" a="1"/>
  <c r="F219" i="29" a="1"/>
  <c r="H208" i="31" a="1"/>
  <c r="F180" i="29" a="1"/>
  <c r="G105" i="31" a="1"/>
  <c r="C168" i="27" a="1"/>
  <c r="C123" i="27" a="1"/>
  <c r="H258" i="31" a="1"/>
  <c r="E213" i="28" a="1"/>
  <c r="M42" i="27" a="1"/>
  <c r="W61" i="30" a="1"/>
  <c r="F317" i="29" a="1"/>
  <c r="E219" i="28" a="1"/>
  <c r="Y152" i="29" a="1"/>
  <c r="Y386" i="29" a="1"/>
  <c r="F334" i="29" a="1"/>
  <c r="S497" i="28" a="1"/>
  <c r="W20" i="30" a="1"/>
  <c r="E438" i="28" a="1"/>
  <c r="S446" i="28" a="1"/>
  <c r="E188" i="28" a="1"/>
  <c r="F477" i="29" a="1"/>
  <c r="E129" i="28" a="1"/>
  <c r="M135" i="27" a="1"/>
  <c r="E222" i="28" a="1"/>
  <c r="H200" i="31" a="1"/>
  <c r="F450" i="29" a="1"/>
  <c r="E453" i="28" a="1"/>
  <c r="S364" i="28" a="1"/>
  <c r="E69" i="28" a="1"/>
  <c r="D48" i="30" a="1"/>
  <c r="S209" i="28" a="1"/>
  <c r="Y245" i="29" a="1"/>
  <c r="S399" i="28" a="1"/>
  <c r="S389" i="28" a="1"/>
  <c r="F468" i="29" a="1"/>
  <c r="E456" i="28" a="1"/>
  <c r="Y470" i="29" a="1"/>
  <c r="H95" i="31" a="1"/>
  <c r="S465" i="28" a="1"/>
  <c r="G203" i="31" a="1"/>
  <c r="F322" i="29" a="1"/>
  <c r="W86" i="30" a="1"/>
  <c r="S189" i="28" a="1"/>
  <c r="F57" i="29" a="1"/>
  <c r="F373" i="29" a="1"/>
  <c r="H98" i="31" a="1"/>
  <c r="S279" i="28" a="1"/>
  <c r="H133" i="31" a="1"/>
  <c r="M144" i="27" a="1"/>
  <c r="S48" i="28" a="1"/>
  <c r="E152" i="28" a="1"/>
  <c r="W53" i="30" a="1"/>
  <c r="W130" i="30" a="1"/>
  <c r="F370" i="29" a="1"/>
  <c r="E63" i="28" a="1"/>
  <c r="W18" i="30" a="1"/>
  <c r="D141" i="30" a="1"/>
  <c r="H230" i="31" a="1"/>
  <c r="F90" i="29" a="1"/>
  <c r="E402" i="28" a="1"/>
  <c r="Y317" i="29" a="1"/>
  <c r="H47" i="31" a="1"/>
  <c r="H212" i="31" a="1"/>
  <c r="F184" i="29" a="1"/>
  <c r="G43" i="31" a="1"/>
  <c r="H196" i="31" a="1"/>
  <c r="G22" i="31" a="1"/>
  <c r="C53" i="27" a="1"/>
  <c r="E283" i="28" a="1"/>
  <c r="E450" i="28" a="1"/>
  <c r="Y49" i="29" a="1"/>
  <c r="S283" i="28" a="1"/>
  <c r="S134" i="28" a="1"/>
  <c r="D5" i="30" a="1"/>
  <c r="H249" i="31" a="1"/>
  <c r="E428" i="28" a="1"/>
  <c r="S417" i="28" a="1"/>
  <c r="H211" i="31" a="1"/>
  <c r="W15" i="30" a="1"/>
  <c r="E154" i="28" a="1"/>
  <c r="H191" i="31" a="1"/>
  <c r="D40" i="30" a="1"/>
  <c r="Y265" i="29" a="1"/>
  <c r="W139" i="30" a="1"/>
  <c r="C19" i="27" a="1"/>
  <c r="F387" i="29" a="1"/>
  <c r="S434" i="28" a="1"/>
  <c r="M38" i="27" a="1"/>
  <c r="C38" i="27" a="1"/>
  <c r="W43" i="30" a="1"/>
  <c r="F385" i="29" a="1"/>
  <c r="C9" i="27" a="1"/>
  <c r="G82" i="31" a="1"/>
  <c r="H166" i="31" a="1"/>
  <c r="S278" i="28" a="1"/>
  <c r="G130" i="31" a="1"/>
  <c r="Y216" i="29" a="1"/>
  <c r="W52" i="30" a="1"/>
  <c r="F220" i="29" a="1"/>
  <c r="Y327" i="29" a="1"/>
  <c r="H114" i="31" a="1"/>
  <c r="S450" i="28" a="1"/>
  <c r="S46" i="28" a="1"/>
  <c r="E27" i="28" a="1"/>
  <c r="D16" i="30" a="1"/>
  <c r="S127" i="28" a="1"/>
  <c r="E157" i="28" a="1"/>
  <c r="H197" i="31" a="1"/>
  <c r="E390" i="28" a="1"/>
  <c r="D124" i="30" a="1"/>
  <c r="F52" i="29" a="1"/>
  <c r="E214" i="28" a="1"/>
  <c r="S210" i="28" a="1"/>
  <c r="G254" i="31" a="1"/>
  <c r="E226" i="28" a="1"/>
  <c r="F454" i="29" a="1"/>
  <c r="E329" i="28" a="1"/>
  <c r="Y330" i="29" a="1"/>
  <c r="H207" i="31" a="1"/>
  <c r="E451" i="28" a="1"/>
  <c r="E18" i="28" a="1"/>
  <c r="E232" i="28" a="1"/>
  <c r="D82" i="30" a="1"/>
  <c r="S106" i="28" a="1"/>
  <c r="D129" i="30" a="1"/>
  <c r="H134" i="31" a="1"/>
  <c r="G201" i="31" a="1"/>
  <c r="E53" i="28" a="1"/>
  <c r="H111" i="31" a="1"/>
  <c r="H124" i="31" a="1"/>
  <c r="G75" i="31" a="1"/>
  <c r="Y465" i="29" a="1"/>
  <c r="S339" i="28" a="1"/>
  <c r="D57" i="30" a="1"/>
  <c r="S290" i="28" a="1"/>
  <c r="G44" i="31" a="1"/>
  <c r="S436" i="28" a="1"/>
  <c r="F214" i="29" a="1"/>
  <c r="Y370" i="29" a="1"/>
  <c r="H107" i="31" a="1"/>
  <c r="S433" i="28" a="1"/>
  <c r="S135" i="28" a="1"/>
  <c r="S445" i="28" a="1"/>
  <c r="F104" i="29" a="1"/>
  <c r="E224" i="28" a="1"/>
  <c r="F329" i="29" a="1"/>
  <c r="E123" i="28" a="1"/>
  <c r="C73" i="27" a="1"/>
  <c r="G248" i="31" a="1"/>
  <c r="H250" i="31" a="1"/>
  <c r="H92" i="31" a="1"/>
  <c r="D4" i="30" a="1"/>
  <c r="M9" i="27" a="1"/>
  <c r="S50" i="28" a="1"/>
  <c r="H104" i="31" a="1"/>
  <c r="H20" i="31" a="1"/>
  <c r="F390" i="29" a="1"/>
  <c r="E310" i="28" a="1"/>
  <c r="S43" i="28" a="1"/>
  <c r="G31" i="31" a="1"/>
  <c r="F212" i="29" a="1"/>
  <c r="E25" i="28" a="1"/>
  <c r="S310" i="28" a="1"/>
  <c r="Y95" i="29" a="1"/>
  <c r="E200" i="28" a="1"/>
  <c r="E427" i="28" a="1"/>
  <c r="F44" i="29" a="1"/>
  <c r="F469" i="29" a="1"/>
  <c r="Y387" i="29" a="1"/>
  <c r="F437" i="29" a="1"/>
  <c r="D118" i="30" a="1"/>
  <c r="S19" i="28" a="1"/>
  <c r="S47" i="28" a="1"/>
  <c r="S181" i="28" a="1"/>
  <c r="E143" i="28" a="1"/>
  <c r="W62" i="30" a="1"/>
  <c r="Y246" i="29" a="1"/>
  <c r="Y104" i="29" a="1"/>
  <c r="S199" i="28" a="1"/>
  <c r="S73" i="28" a="1"/>
  <c r="E12" i="28" a="1"/>
  <c r="Y393" i="29" a="1"/>
  <c r="E507" i="28" a="1"/>
  <c r="F152" i="29" a="1"/>
  <c r="G127" i="31" a="1"/>
  <c r="D113" i="30" a="1"/>
  <c r="Y303" i="29" a="1"/>
  <c r="H158" i="31" a="1"/>
  <c r="W106" i="30" a="1"/>
  <c r="E178" i="28" a="1"/>
  <c r="H131" i="31" a="1"/>
  <c r="E195" i="28" a="1"/>
  <c r="E212" i="28" a="1"/>
  <c r="M89" i="27" a="1"/>
  <c r="Y396" i="29" a="1"/>
  <c r="D21" i="30" a="1"/>
  <c r="E7" i="28" a="1"/>
  <c r="G135" i="31" a="1"/>
  <c r="M32" i="27" a="1"/>
  <c r="E210" i="28" a="1"/>
  <c r="F181" i="29" a="1"/>
  <c r="D90" i="30" a="1"/>
  <c r="E172" i="28" a="1"/>
  <c r="G28" i="31" a="1"/>
  <c r="W23" i="30" a="1"/>
  <c r="G154" i="31" a="1"/>
  <c r="G228" i="31" a="1"/>
  <c r="D52" i="30" a="1"/>
  <c r="W81" i="30" a="1"/>
  <c r="S24" i="28" a="1"/>
  <c r="F42" i="29" a="1"/>
  <c r="F151" i="29" a="1"/>
  <c r="E261" i="28" a="1"/>
  <c r="D96" i="30" a="1"/>
  <c r="D15" i="30" a="1"/>
  <c r="E111" i="28" a="1"/>
  <c r="H218" i="31" a="1"/>
  <c r="D18" i="30" a="1"/>
  <c r="G257" i="31" a="1"/>
  <c r="F173" i="29" a="1"/>
  <c r="G249" i="31" a="1"/>
  <c r="S494" i="28" a="1"/>
  <c r="S88" i="28" a="1"/>
  <c r="Y56" i="29" a="1"/>
  <c r="E199" i="28" a="1"/>
  <c r="F95" i="29" a="1"/>
  <c r="F122" i="29" a="1"/>
  <c r="G27" i="31" a="1"/>
  <c r="S375" i="28" a="1"/>
  <c r="Y404" i="29" a="1"/>
  <c r="Y316" i="29" a="1"/>
  <c r="H59" i="31" a="1"/>
  <c r="S71" i="28" a="1"/>
  <c r="S27" i="28" a="1"/>
  <c r="S200" i="28" a="1"/>
  <c r="E414" i="28" a="1"/>
  <c r="F308" i="29" a="1"/>
  <c r="Y219" i="29" a="1"/>
  <c r="F291" i="29" a="1"/>
  <c r="D107" i="30" a="1"/>
  <c r="M141" i="27" a="1"/>
  <c r="H128" i="31" a="1"/>
  <c r="W70" i="30" a="1"/>
  <c r="M119" i="27" a="1"/>
  <c r="D134" i="30" a="1"/>
  <c r="D120" i="30" a="1"/>
  <c r="H24" i="31" a="1"/>
  <c r="E497" i="28" a="1"/>
  <c r="E449" i="28" a="1"/>
  <c r="D100" i="30" a="1"/>
  <c r="D53" i="30" a="1"/>
  <c r="D20" i="30" a="1"/>
  <c r="F302" i="29" a="1"/>
  <c r="F99" i="29" a="1"/>
  <c r="G235" i="31" a="1"/>
  <c r="F312" i="29" a="1"/>
  <c r="W45" i="30" a="1"/>
  <c r="F402" i="29" a="1"/>
  <c r="W4" i="30" a="1"/>
  <c r="E137" i="28" a="1"/>
  <c r="S376" i="28" a="1"/>
  <c r="F290" i="29" a="1"/>
  <c r="E494" i="28" a="1"/>
  <c r="F300" i="29" a="1"/>
  <c r="F311" i="29" a="1"/>
  <c r="D54" i="30" a="1"/>
  <c r="G26" i="31" a="1"/>
  <c r="E345" i="28" a="1"/>
  <c r="F102" i="29" a="1"/>
  <c r="F453" i="29" a="1"/>
  <c r="E180" i="28" a="1"/>
  <c r="E252" i="28" a="1"/>
  <c r="F4" i="29" a="1"/>
  <c r="G253" i="31" a="1"/>
  <c r="S45" i="28" a="1"/>
  <c r="G185" i="31" a="1"/>
  <c r="D123" i="30" a="1"/>
  <c r="F464" i="29" a="1"/>
  <c r="Y468" i="29" a="1"/>
  <c r="D55" i="30" a="1"/>
  <c r="D81" i="30" a="1"/>
  <c r="H126" i="31" a="1"/>
  <c r="F215" i="29" a="1"/>
  <c r="H82" i="31" a="1"/>
  <c r="S137" i="28" a="1"/>
  <c r="E67" i="28" a="1"/>
  <c r="E153" i="28" a="1"/>
  <c r="E115" i="28" a="1"/>
  <c r="G247" i="31" a="1"/>
  <c r="H44" i="31" a="1"/>
  <c r="H180" i="31" a="1"/>
  <c r="F217" i="29" a="1"/>
  <c r="S400" i="28" a="1"/>
  <c r="C70" i="27" a="1"/>
  <c r="H11" i="31" a="1"/>
  <c r="Y281" i="29" a="1"/>
  <c r="S150" i="28" a="1"/>
  <c r="D137" i="30" a="1"/>
  <c r="E370" i="28" a="1"/>
  <c r="H229" i="31" a="1"/>
  <c r="W65" i="30" a="1"/>
  <c r="E496" i="28" a="1"/>
  <c r="W114" i="30" a="1"/>
  <c r="S196" i="28" a="1"/>
  <c r="C50" i="27" a="1"/>
  <c r="M10" i="27" a="1"/>
  <c r="S117" i="28" a="1"/>
  <c r="E134" i="28" a="1"/>
  <c r="S455" i="28" a="1"/>
  <c r="D110" i="30" a="1"/>
  <c r="H264" i="31" a="1"/>
  <c r="E342" i="28" a="1"/>
  <c r="S448" i="28" a="1"/>
  <c r="S184" i="28" a="1"/>
  <c r="W109" i="30" a="1"/>
  <c r="E42" i="28" a="1"/>
  <c r="Y99" i="29" a="1"/>
  <c r="F395" i="29" a="1"/>
  <c r="W69" i="30" a="1"/>
  <c r="E5" i="28" a="1"/>
  <c r="D112" i="30" a="1"/>
  <c r="Y466" i="29" a="1"/>
  <c r="S42" i="28" a="1"/>
  <c r="F45" i="29" a="1"/>
  <c r="S407" i="28" a="1"/>
  <c r="W80" i="30" a="1"/>
  <c r="E51" i="28" a="1"/>
  <c r="E323" i="28" a="1"/>
  <c r="W90" i="30" a="1"/>
  <c r="Y300" i="29" a="1"/>
  <c r="G234" i="31" a="1"/>
  <c r="H52" i="31" a="1"/>
  <c r="H255" i="31" a="1"/>
  <c r="S229" i="28" a="1"/>
  <c r="E281" i="28" a="1"/>
  <c r="D131" i="30" a="1"/>
  <c r="S190" i="28" a="1"/>
  <c r="F136" i="29" a="1"/>
  <c r="W100" i="30" a="1"/>
  <c r="H6" i="31" a="1"/>
  <c r="D25" i="30" a="1"/>
  <c r="D92" i="30" a="1"/>
  <c r="H89" i="31" a="1"/>
  <c r="D97" i="30" a="1"/>
  <c r="G61" i="31" a="1"/>
  <c r="D84" i="30" a="1"/>
  <c r="F452" i="29" a="1"/>
  <c r="H186" i="31" a="1"/>
  <c r="D122" i="30" a="1"/>
  <c r="D76" i="30" a="1"/>
  <c r="H224" i="31" a="1"/>
  <c r="S298" i="28" a="1"/>
  <c r="S69" i="28" a="1"/>
  <c r="E406" i="28" a="1"/>
  <c r="S51" i="28" a="1"/>
  <c r="F306" i="29" a="1"/>
  <c r="S344" i="28" a="1"/>
  <c r="S429" i="28" a="1"/>
  <c r="C64" i="27" a="1"/>
  <c r="H57" i="31" a="1"/>
  <c r="M168" i="27" a="1"/>
  <c r="W107" i="30" a="1"/>
  <c r="H168" i="31" a="1"/>
  <c r="E391" i="28" a="1"/>
  <c r="F233" i="29" a="1"/>
  <c r="D73" i="30" a="1"/>
  <c r="F336" i="29" a="1"/>
  <c r="S179" i="28" a="1"/>
  <c r="G93" i="31" a="1"/>
  <c r="E182" i="28" a="1"/>
  <c r="G29" i="31" a="1"/>
  <c r="F116" i="29" a="1"/>
  <c r="E374" i="28" a="1"/>
  <c r="F335" i="29" a="1"/>
  <c r="S98" i="28" a="1"/>
  <c r="G111" i="31" a="1"/>
  <c r="E457" i="28" a="1"/>
  <c r="Y4" i="29" a="1"/>
  <c r="G8" i="31" a="1"/>
  <c r="D125" i="30" a="1"/>
  <c r="G237" i="31" a="1"/>
  <c r="G6" i="31" a="1"/>
  <c r="S75" i="28" a="1"/>
  <c r="W95" i="30" a="1"/>
  <c r="S460" i="28" a="1"/>
  <c r="G24" i="31" a="1"/>
  <c r="H27" i="31" a="1"/>
  <c r="Y334" i="29" a="1"/>
  <c r="S456" i="28" a="1"/>
  <c r="E147" i="28" a="1"/>
  <c r="S289" i="28" a="1"/>
  <c r="E452" i="28" a="1"/>
  <c r="G52" i="31" a="1"/>
  <c r="E400" i="28" a="1"/>
  <c r="W133" i="30" a="1"/>
  <c r="S367" i="28" a="1"/>
  <c r="F170" i="29" a="1"/>
  <c r="E2" i="28" a="1"/>
  <c r="D139" i="30" a="1"/>
  <c r="F472" i="29" a="1"/>
  <c r="E230" i="28" a="1"/>
  <c r="H204" i="31" a="1"/>
  <c r="S130" i="28" a="1"/>
  <c r="G223" i="31" a="1"/>
  <c r="H28" i="31" a="1"/>
  <c r="H129" i="31" a="1"/>
  <c r="H246" i="31" a="1"/>
  <c r="Y39" i="29" a="1"/>
  <c r="F249" i="29" a="1"/>
  <c r="F92" i="29" a="1"/>
  <c r="S244" i="28" a="1"/>
  <c r="G112" i="31" a="1"/>
  <c r="F475" i="29" a="1"/>
  <c r="W137" i="30" a="1"/>
  <c r="E286" i="28" a="1"/>
  <c r="Y218" i="29" a="1"/>
  <c r="E246" i="28" a="1"/>
  <c r="H263" i="31" a="1"/>
  <c r="D32" i="30" a="1"/>
  <c r="S408" i="28" a="1"/>
  <c r="S381" i="28" a="1"/>
  <c r="W77" i="30" a="1"/>
  <c r="E268" i="28" a="1"/>
  <c r="E439" i="28" a="1"/>
  <c r="C119" i="27" a="1"/>
  <c r="F305" i="29" a="1"/>
  <c r="S143" i="28" a="1"/>
  <c r="H22" i="31" a="1"/>
  <c r="H25" i="31" a="1"/>
  <c r="E394" i="28" a="1"/>
  <c r="W135" i="30" a="1"/>
  <c r="C181" i="27" a="1"/>
  <c r="G224" i="31" a="1"/>
  <c r="Y339" i="29" a="1"/>
  <c r="S329" i="28" a="1"/>
  <c r="S430" i="28" a="1"/>
  <c r="E3" i="28" a="1"/>
  <c r="E312" i="28" a="1"/>
  <c r="F467" i="29" a="1"/>
  <c r="Y213" i="29" a="1"/>
  <c r="E305" i="28" a="1"/>
  <c r="E482" i="28" a="1"/>
  <c r="H45" i="31" a="1"/>
  <c r="S225" i="28" a="1"/>
  <c r="G60" i="31" a="1"/>
  <c r="W113" i="30" a="1"/>
  <c r="D72" i="30" a="1"/>
  <c r="S172" i="28" a="1"/>
  <c r="Y467" i="29" a="1"/>
  <c r="E72" i="28" a="1"/>
  <c r="D30" i="30" a="1"/>
  <c r="S342" i="28" a="1"/>
  <c r="S20" i="28" a="1"/>
  <c r="Y315" i="29" a="1"/>
  <c r="F61" i="29" a="1"/>
  <c r="F85" i="29" a="1"/>
  <c r="E415" i="28" a="1"/>
  <c r="S453" i="28" a="1"/>
  <c r="H93" i="31" a="1"/>
  <c r="S102" i="28" a="1"/>
  <c r="F318" i="29" a="1"/>
  <c r="W55" i="30" a="1"/>
  <c r="M53" i="27" a="1"/>
  <c r="F400" i="29" a="1"/>
  <c r="E407" i="28" a="1"/>
  <c r="Y170" i="29" a="1"/>
  <c r="E173" i="28" a="1"/>
  <c r="W108" i="30" a="1"/>
  <c r="H73" i="31" a="1"/>
  <c r="G255" i="31" a="1"/>
  <c r="H109" i="31" a="1"/>
  <c r="F88" i="29" a="1"/>
  <c r="E344" i="28" a="1"/>
  <c r="D71" i="30" a="1"/>
  <c r="S193" i="28" a="1"/>
  <c r="H160" i="31" a="1"/>
  <c r="S312" i="28" a="1"/>
  <c r="G229" i="31" a="1"/>
  <c r="S25" i="28" a="1"/>
  <c r="D78" i="30" a="1"/>
  <c r="M19" i="27" a="1"/>
  <c r="W96" i="30" a="1"/>
  <c r="E248" i="28" a="1"/>
  <c r="G174" i="31" a="1"/>
  <c r="F211" i="29" a="1"/>
  <c r="D47" i="30" a="1"/>
  <c r="E433" i="28" a="1"/>
  <c r="W122" i="30" a="1"/>
  <c r="F465" i="29" a="1"/>
  <c r="G40" i="31" a="1"/>
  <c r="D43" i="30" a="1"/>
  <c r="Y90" i="29" a="1"/>
  <c r="S97" i="28" a="1"/>
  <c r="Y313" i="29" a="1"/>
  <c r="S11" i="28" a="1"/>
  <c r="S188" i="28" a="1"/>
  <c r="E28" i="28" a="1"/>
  <c r="S63" i="28" a="1"/>
  <c r="E364" i="28" a="1"/>
  <c r="S322" i="28" a="1"/>
  <c r="F56" i="29" a="1"/>
  <c r="Y217" i="29" a="1"/>
  <c r="F176" i="29" a="1"/>
  <c r="E443" i="28" a="1"/>
  <c r="H252" i="31" a="1"/>
  <c r="G69" i="31" a="1"/>
  <c r="D127" i="30" a="1"/>
  <c r="F330" i="29" a="1"/>
  <c r="G168" i="31" a="1"/>
  <c r="S391" i="28" a="1"/>
  <c r="S74" i="28" a="1"/>
  <c r="G191" i="31" a="1"/>
  <c r="E95" i="28" a="1"/>
  <c r="Y190" i="29" a="1"/>
  <c r="H165" i="31" a="1"/>
  <c r="E322" i="28" a="1"/>
  <c r="G132" i="31" a="1"/>
  <c r="F64" i="29" a="1"/>
  <c r="E409" i="28" a="1"/>
  <c r="S228" i="28" a="1"/>
  <c r="F179" i="29" a="1"/>
  <c r="S443" i="28" a="1"/>
  <c r="S444" i="28" a="1"/>
  <c r="G35" i="31" a="1"/>
  <c r="H60" i="31" a="1"/>
  <c r="S208" i="28" a="1"/>
  <c r="C82" i="27" a="1"/>
  <c r="E313" i="28" a="1"/>
  <c r="E272" i="28" a="1"/>
  <c r="H210" i="31" a="1"/>
  <c r="E126" i="28" a="1"/>
  <c r="H190" i="31" a="1"/>
  <c r="E389" i="28" a="1"/>
  <c r="S296" i="28" a="1"/>
  <c r="E476" i="28" a="1"/>
  <c r="E97" i="28" a="1"/>
  <c r="W105" i="30" a="1"/>
  <c r="S115" i="28" a="1"/>
  <c r="S305" i="28" a="1"/>
  <c r="G107" i="31" a="1"/>
  <c r="Y335" i="29" a="1"/>
  <c r="D105" i="30" a="1"/>
  <c r="D132" i="30" a="1"/>
  <c r="C76" i="27" a="1"/>
  <c r="W102" i="30" a="1"/>
  <c r="E209" i="28" a="1"/>
  <c r="S493" i="28" a="1"/>
  <c r="W99" i="30" a="1"/>
  <c r="W51" i="30" a="1"/>
  <c r="H35" i="31" a="1"/>
  <c r="D46" i="30" a="1"/>
  <c r="H115" i="31" a="1"/>
  <c r="G262" i="31" a="1"/>
  <c r="S457" i="28" a="1"/>
  <c r="G99" i="31" a="1"/>
  <c r="F49" i="29" a="1"/>
  <c r="S250" i="28" a="1"/>
  <c r="E431" i="28" a="1"/>
  <c r="E48" i="28" a="1"/>
  <c r="F248" i="29" a="1"/>
  <c r="E505" i="28" a="1"/>
  <c r="F313" i="29" a="1"/>
  <c r="S452" i="28" a="1"/>
  <c r="G57" i="31" a="1"/>
  <c r="F394" i="29" a="1"/>
  <c r="H267" i="31" a="1"/>
  <c r="S186" i="28" a="1"/>
  <c r="E194" i="28" a="1"/>
  <c r="H215" i="31" a="1"/>
  <c r="H69" i="31" a="1"/>
  <c r="Y139" i="29" a="1"/>
  <c r="F35" i="29" a="1"/>
  <c r="S345" i="28" a="1"/>
  <c r="H201" i="31" a="1"/>
  <c r="Y61" i="29" a="1"/>
  <c r="W79" i="30" a="1"/>
  <c r="G165" i="31" a="1"/>
  <c r="S321" i="28" a="1"/>
  <c r="Y322" i="29" a="1"/>
  <c r="M47" i="27" a="1"/>
  <c r="H235" i="31" a="1"/>
  <c r="W112" i="30" a="1"/>
  <c r="G94" i="31" a="1"/>
  <c r="H222" i="31" a="1"/>
  <c r="C17" i="27" a="1"/>
  <c r="G77" i="31" a="1"/>
  <c r="H209" i="31" a="1"/>
  <c r="E52" i="28" a="1"/>
  <c r="S222" i="28" a="1"/>
  <c r="E36" i="28" a="1"/>
  <c r="W143" i="30" a="1"/>
  <c r="S18" i="28" a="1"/>
  <c r="H94" i="31" a="1"/>
  <c r="Y173" i="29" a="1"/>
  <c r="F307" i="29" a="1"/>
  <c r="Y85" i="29" a="1"/>
  <c r="W142" i="30" a="1"/>
  <c r="Y181" i="29" a="1"/>
  <c r="E151" i="28" a="1"/>
  <c r="D45" i="30" a="1"/>
  <c r="Y35" i="29" a="1"/>
  <c r="G209" i="31" a="1"/>
  <c r="G161" i="31" a="1"/>
  <c r="G138" i="31" a="1"/>
  <c r="D68" i="30" a="1"/>
  <c r="Y88" i="29" a="1"/>
  <c r="E447" i="28" a="1"/>
  <c r="Y392" i="29" a="1"/>
  <c r="F474" i="29" a="1"/>
  <c r="H228" i="31" a="1"/>
  <c r="D101" i="30" a="1"/>
  <c r="Y395" i="29" a="1"/>
  <c r="G213" i="31" a="1"/>
  <c r="G98" i="31" a="1"/>
  <c r="E73" i="28" a="1"/>
  <c r="Y33" i="29" a="1"/>
  <c r="D65" i="30" a="1"/>
  <c r="S273" i="28" a="1"/>
  <c r="D115" i="30" a="1"/>
  <c r="Y450" i="29" a="1"/>
  <c r="H265" i="31" a="1"/>
  <c r="G256" i="31" a="1"/>
  <c r="F226" i="29" a="1"/>
  <c r="W37" i="30" a="1"/>
  <c r="S125" i="28" a="1"/>
  <c r="D99" i="30" a="1"/>
  <c r="E465" i="28" a="1"/>
  <c r="G104" i="31" a="1"/>
  <c r="M48" i="27" a="1"/>
  <c r="G66" i="31" a="1"/>
  <c r="S432" i="28" a="1"/>
  <c r="G32" i="31" a="1"/>
  <c r="S280" i="28" a="1"/>
  <c r="H135" i="31" a="1"/>
  <c r="G129" i="31" a="1"/>
  <c r="E11" i="28" a="1"/>
  <c r="Y123" i="29" a="1"/>
  <c r="S180" i="28" a="1"/>
  <c r="Y332" i="29" a="1"/>
  <c r="W64" i="30" a="1"/>
  <c r="Y171" i="29" a="1"/>
  <c r="H175" i="31" a="1"/>
  <c r="S111" i="28" a="1"/>
  <c r="E278" i="28" a="1"/>
  <c r="E40" i="28" a="1"/>
  <c r="F284" i="29" a="1"/>
  <c r="W32" i="30" a="1"/>
  <c r="G214" i="31" a="1"/>
  <c r="D33" i="30" a="1"/>
  <c r="S151" i="28" a="1"/>
  <c r="E444" i="28" a="1"/>
  <c r="F339" i="29" a="1"/>
  <c r="E324" i="28" a="1"/>
  <c r="G155" i="31" a="1"/>
  <c r="W68" i="30" a="1"/>
  <c r="Y180" i="29" a="1"/>
  <c r="Y220" i="29" a="1"/>
  <c r="Y121" i="29" a="1"/>
  <c r="F259" i="29" a="1"/>
  <c r="G131" i="31" a="1"/>
  <c r="D128" i="30" a="1"/>
  <c r="E20" i="28" a="1"/>
  <c r="F463" i="29" a="1"/>
  <c r="Y54" i="29" a="1"/>
  <c r="Y97" i="29" a="1"/>
  <c r="W72" i="30" a="1"/>
  <c r="C141" i="27" a="1"/>
  <c r="W117" i="30" a="1"/>
  <c r="S53" i="28" a="1"/>
  <c r="D142" i="30" a="1"/>
  <c r="E44" i="28" a="1"/>
  <c r="S40" i="28" a="1"/>
  <c r="E339" i="28" a="1"/>
  <c r="D109" i="30" a="1"/>
  <c r="D133" i="30" a="1"/>
  <c r="F386" i="29" a="1"/>
  <c r="H61" i="31" a="1"/>
  <c r="F123" i="29" a="1"/>
  <c r="H106" i="31" a="1"/>
  <c r="H155" i="31" a="1"/>
  <c r="S173" i="28" a="1"/>
  <c r="H127" i="31" a="1"/>
  <c r="S449" i="28" a="1"/>
  <c r="E273" i="28" a="1"/>
  <c r="F301" i="29" a="1"/>
  <c r="W89" i="30" a="1"/>
  <c r="Y151" i="29" a="1"/>
  <c r="Y464" i="29" a="1"/>
  <c r="E43" i="28" a="1"/>
  <c r="S258" i="28" a="1"/>
  <c r="D22" i="30" a="1"/>
  <c r="G217" i="31" a="1"/>
  <c r="G202" i="31" a="1"/>
  <c r="E375" i="28" a="1"/>
  <c r="W58" i="30" a="1"/>
  <c r="F62" i="29" a="1"/>
  <c r="H26" i="31" a="1"/>
  <c r="W46" i="30" a="1"/>
  <c r="F338" i="29" a="1"/>
  <c r="Y463" i="29" a="1"/>
  <c r="G89" i="31" a="1"/>
  <c r="E216" i="28" a="1"/>
  <c r="S198" i="28" a="1"/>
  <c r="F333" i="29" a="1"/>
  <c r="H234" i="31" a="1"/>
  <c r="H151" i="31" a="1"/>
  <c r="Y42" i="29" a="1"/>
  <c r="H237" i="31" a="1"/>
  <c r="Y222" i="29" a="1"/>
  <c r="S191" i="28" a="1"/>
  <c r="H130" i="31" a="1"/>
  <c r="E422" i="28" a="1"/>
  <c r="E296" i="28" a="1"/>
  <c r="H113" i="31" a="1"/>
  <c r="Y472" i="29" a="1"/>
  <c r="H70" i="31" a="1"/>
  <c r="D87" i="30" a="1"/>
  <c r="Y314" i="29" a="1"/>
  <c r="D31" i="30" a="1"/>
  <c r="W128" i="30" a="1"/>
  <c r="M82" i="27" a="1"/>
  <c r="Y247" i="29" a="1"/>
  <c r="Y122" i="29" a="1"/>
  <c r="E177" i="28" a="1"/>
  <c r="S369" i="28" a="1"/>
  <c r="S319" i="28" a="1"/>
  <c r="W87" i="30" a="1"/>
  <c r="S64" i="28" a="1"/>
  <c r="E112" i="28" a="1"/>
  <c r="G175" i="31" a="1"/>
  <c r="Y385" i="29" a="1"/>
  <c r="E47" i="28" a="1"/>
  <c r="D50" i="30" a="1"/>
  <c r="E26" i="28" a="1"/>
  <c r="E321" i="28" a="1"/>
  <c r="G34" i="31" a="1"/>
  <c r="W119" i="30" a="1"/>
  <c r="Y326" i="29" a="1"/>
  <c r="H96" i="31" a="1"/>
  <c r="E316" i="28" a="1"/>
  <c r="S144" i="28" a="1"/>
  <c r="D108" i="30" a="1"/>
  <c r="E187" i="28" a="1"/>
  <c r="D67" i="30" a="1"/>
  <c r="E90" i="28" a="1"/>
  <c r="Y305" i="29" a="1"/>
  <c r="E78" i="28" a="1"/>
  <c r="E298" i="28" a="1"/>
  <c r="G20" i="31" a="1"/>
  <c r="W101" i="30" a="1"/>
  <c r="G139" i="31" a="1"/>
  <c r="H31" i="31" a="1"/>
  <c r="E393" i="28" a="1"/>
  <c r="E68" i="28" a="1"/>
  <c r="E185" i="28" a="1"/>
  <c r="Y306" i="29" a="1"/>
  <c r="D83" i="30" a="1"/>
  <c r="G197" i="31" a="1"/>
  <c r="S245" i="28" a="1"/>
  <c r="Y55" i="29" a="1"/>
  <c r="G212" i="31" a="1"/>
  <c r="W111" i="30" a="1"/>
  <c r="Y176" i="29" a="1"/>
  <c r="S16" i="28" a="1"/>
  <c r="G109" i="31" a="1"/>
  <c r="S224" i="28" a="1"/>
  <c r="G232" i="31" a="1"/>
  <c r="E418" i="28" a="1"/>
  <c r="M64" i="27" a="1"/>
  <c r="E19" i="28" a="1"/>
  <c r="F239" i="29" a="1"/>
  <c r="H174" i="31" a="1"/>
  <c r="H8" i="31" a="1"/>
  <c r="D41" i="30" a="1"/>
  <c r="H248" i="31" a="1"/>
  <c r="W17" i="30" a="1"/>
  <c r="D140" i="30" a="1"/>
  <c r="D63" i="30" a="1"/>
  <c r="G46" i="31" a="1"/>
  <c r="Y390" i="29" a="1"/>
  <c r="S451" i="28" a="1"/>
  <c r="D17" i="30" a="1"/>
  <c r="Y116" i="29" a="1"/>
  <c r="H251" i="31" a="1"/>
  <c r="D102" i="30" a="1"/>
  <c r="E442" i="28" a="1"/>
  <c r="H108" i="31" a="1"/>
  <c r="E301" i="28" a="1"/>
  <c r="S303" i="28" a="1"/>
  <c r="W54" i="30" a="1"/>
  <c r="F100" i="29" a="1"/>
  <c r="D60" i="30" a="1"/>
  <c r="D116" i="30" a="1"/>
  <c r="F471" i="29" a="1"/>
  <c r="G204" i="31" a="1"/>
  <c r="S105" i="28" a="1"/>
  <c r="Y394" i="29" a="1"/>
  <c r="C137" i="27" a="1"/>
  <c r="E458" i="28" a="1"/>
  <c r="G92" i="31" a="1"/>
  <c r="G81" i="31" a="1"/>
  <c r="D80" i="30" a="1"/>
  <c r="H266" i="31" a="1"/>
  <c r="S216" i="28" a="1"/>
  <c r="S313" i="28" a="1"/>
  <c r="D77" i="30" a="1"/>
  <c r="F50" i="29" a="1"/>
  <c r="E193" i="28" a="1"/>
  <c r="C6" i="27" a="1"/>
  <c r="E150" i="28" a="1"/>
  <c r="S126" i="28" a="1"/>
  <c r="G39" i="31" a="1"/>
  <c r="E79" i="28" a="1"/>
  <c r="S44" i="28" a="1"/>
  <c r="S247" i="28" a="1"/>
  <c r="H260" i="31" a="1"/>
  <c r="H105" i="31" a="1"/>
  <c r="S52" i="28" a="1"/>
  <c r="Y236" i="29" a="1"/>
  <c r="E432" i="28" a="1"/>
  <c r="S122" i="28" a="1"/>
  <c r="F58" i="29" a="1"/>
  <c r="F190" i="29" a="1"/>
  <c r="F247" i="29" a="1"/>
  <c r="F182" i="29" a="1"/>
  <c r="W123" i="30" a="1"/>
  <c r="H34" i="31" a="1"/>
  <c r="E70" i="28" a="1"/>
  <c r="D85" i="30" a="1"/>
  <c r="S10" i="28" a="1"/>
  <c r="E98" i="28" a="1"/>
  <c r="W111" i="30" l="1"/>
  <c r="W77" i="30"/>
  <c r="S179" i="28"/>
  <c r="F316" i="29"/>
  <c r="H316" i="29" s="1"/>
  <c r="F310" i="29"/>
  <c r="H310" i="29" s="1"/>
  <c r="Y308" i="29"/>
  <c r="W125" i="30"/>
  <c r="E429" i="28"/>
  <c r="F429" i="28" s="1"/>
  <c r="H429" i="28" s="1"/>
  <c r="S430" i="28"/>
  <c r="D21" i="30"/>
  <c r="G202" i="31"/>
  <c r="L2" i="92" s="1"/>
  <c r="G27" i="31"/>
  <c r="L2" i="81" s="1"/>
  <c r="S137" i="28"/>
  <c r="E455" i="28"/>
  <c r="F455" i="28" s="1"/>
  <c r="H455" i="28" s="1"/>
  <c r="G52" i="31"/>
  <c r="L2" i="52" s="1"/>
  <c r="F173" i="29"/>
  <c r="H173" i="29" s="1"/>
  <c r="D132" i="30"/>
  <c r="Y245" i="29"/>
  <c r="F246" i="29"/>
  <c r="H246" i="29" s="1"/>
  <c r="G57" i="31"/>
  <c r="L2" i="115" s="1"/>
  <c r="E19" i="28"/>
  <c r="F19" i="28" s="1"/>
  <c r="H19" i="28" s="1"/>
  <c r="S414" i="28"/>
  <c r="E323" i="28"/>
  <c r="F323" i="28" s="1"/>
  <c r="H323" i="28" s="1"/>
  <c r="E431" i="28"/>
  <c r="F431" i="28" s="1"/>
  <c r="H431" i="28" s="1"/>
  <c r="H215" i="31"/>
  <c r="H69" i="31"/>
  <c r="F465" i="29"/>
  <c r="H465" i="29" s="1"/>
  <c r="W87" i="30"/>
  <c r="Y396" i="29"/>
  <c r="S432" i="28"/>
  <c r="S184" i="28"/>
  <c r="H115" i="31"/>
  <c r="S433" i="28"/>
  <c r="G247" i="31"/>
  <c r="L2" i="215" s="1"/>
  <c r="E225" i="28"/>
  <c r="F225" i="28" s="1"/>
  <c r="H225" i="28" s="1"/>
  <c r="F385" i="29"/>
  <c r="H385" i="29" s="1"/>
  <c r="H27" i="31"/>
  <c r="S406" i="28"/>
  <c r="F121" i="29"/>
  <c r="H121" i="29" s="1"/>
  <c r="C43" i="27"/>
  <c r="G96" i="31"/>
  <c r="L2" i="280" s="1"/>
  <c r="E106" i="28"/>
  <c r="F106" i="28" s="1"/>
  <c r="H106" i="28" s="1"/>
  <c r="S88" i="28"/>
  <c r="H125" i="31"/>
  <c r="G206" i="31"/>
  <c r="L2" i="93" s="1"/>
  <c r="E457" i="28"/>
  <c r="F457" i="28" s="1"/>
  <c r="H457" i="28" s="1"/>
  <c r="W89" i="30"/>
  <c r="W90" i="30"/>
  <c r="D15" i="30"/>
  <c r="M48" i="27"/>
  <c r="W16" i="30"/>
  <c r="E321" i="28"/>
  <c r="F321" i="28" s="1"/>
  <c r="H321" i="28" s="1"/>
  <c r="H126" i="31"/>
  <c r="F473" i="29"/>
  <c r="H473" i="29" s="1"/>
  <c r="F265" i="29"/>
  <c r="H265" i="29" s="1"/>
  <c r="S418" i="28"/>
  <c r="E53" i="28"/>
  <c r="F53" i="28" s="1"/>
  <c r="H53" i="28" s="1"/>
  <c r="D54" i="30"/>
  <c r="H213" i="31"/>
  <c r="G154" i="31"/>
  <c r="L2" i="202" s="1"/>
  <c r="E453" i="28"/>
  <c r="F453" i="28" s="1"/>
  <c r="H453" i="28" s="1"/>
  <c r="W96" i="30"/>
  <c r="S189" i="28"/>
  <c r="E4" i="28"/>
  <c r="F4" i="28" s="1"/>
  <c r="H4" i="28" s="1"/>
  <c r="W120" i="30"/>
  <c r="G255" i="31"/>
  <c r="L2" i="250" s="1"/>
  <c r="F333" i="29"/>
  <c r="H333" i="29" s="1"/>
  <c r="E342" i="28"/>
  <c r="F342" i="28" s="1"/>
  <c r="H342" i="28" s="1"/>
  <c r="F136" i="29"/>
  <c r="H136" i="29" s="1"/>
  <c r="H139" i="31"/>
  <c r="S219" i="28"/>
  <c r="D100" i="30"/>
  <c r="G32" i="31"/>
  <c r="L2" i="58" s="1"/>
  <c r="H174" i="31"/>
  <c r="H154" i="31"/>
  <c r="E403" i="28"/>
  <c r="F403" i="28" s="1"/>
  <c r="H403" i="28" s="1"/>
  <c r="S79" i="28"/>
  <c r="S344" i="28"/>
  <c r="H138" i="31"/>
  <c r="Y243" i="29"/>
  <c r="G253" i="31"/>
  <c r="L2" i="248" s="1"/>
  <c r="E394" i="28"/>
  <c r="F394" i="28" s="1"/>
  <c r="H394" i="28" s="1"/>
  <c r="S381" i="28"/>
  <c r="H36" i="31"/>
  <c r="W57" i="30"/>
  <c r="Y337" i="29"/>
  <c r="S173" i="28"/>
  <c r="D48" i="30"/>
  <c r="Y57" i="29"/>
  <c r="Y179" i="29"/>
  <c r="E209" i="28"/>
  <c r="F209" i="28" s="1"/>
  <c r="H209" i="28" s="1"/>
  <c r="D131" i="30"/>
  <c r="H258" i="31"/>
  <c r="G99" i="31"/>
  <c r="L2" i="307" s="1"/>
  <c r="G191" i="31"/>
  <c r="L2" i="300" s="1"/>
  <c r="E137" i="28"/>
  <c r="F137" i="28" s="1"/>
  <c r="H137" i="28" s="1"/>
  <c r="D47" i="30"/>
  <c r="G47" i="31"/>
  <c r="L2" i="119" s="1"/>
  <c r="H196" i="31"/>
  <c r="S505" i="28"/>
  <c r="M50" i="27"/>
  <c r="Y314" i="29"/>
  <c r="D66" i="30"/>
  <c r="W126" i="30"/>
  <c r="G161" i="31"/>
  <c r="L2" i="230" s="1"/>
  <c r="Y393" i="29"/>
  <c r="S97" i="28"/>
  <c r="Y62" i="29"/>
  <c r="S42" i="28"/>
  <c r="E104" i="28"/>
  <c r="F104" i="28" s="1"/>
  <c r="H104" i="28" s="1"/>
  <c r="F226" i="29"/>
  <c r="H226" i="29" s="1"/>
  <c r="Y181" i="29"/>
  <c r="E446" i="28"/>
  <c r="F446" i="28" s="1"/>
  <c r="H446" i="28" s="1"/>
  <c r="E452" i="28"/>
  <c r="F452" i="28" s="1"/>
  <c r="H452" i="28" s="1"/>
  <c r="D75" i="30"/>
  <c r="G46" i="31"/>
  <c r="L2" i="72" s="1"/>
  <c r="G223" i="31"/>
  <c r="L2" i="105" s="1"/>
  <c r="W122" i="30"/>
  <c r="G133" i="31"/>
  <c r="L2" i="309" s="1"/>
  <c r="S312" i="28"/>
  <c r="D108" i="30"/>
  <c r="Y452" i="29"/>
  <c r="E310" i="28"/>
  <c r="F310" i="28" s="1"/>
  <c r="H310" i="28" s="1"/>
  <c r="D139" i="30"/>
  <c r="S111" i="28"/>
  <c r="W68" i="30"/>
  <c r="Y467" i="29"/>
  <c r="S442" i="28"/>
  <c r="E220" i="28"/>
  <c r="F220" i="28" s="1"/>
  <c r="H220" i="28" s="1"/>
  <c r="Y473" i="29"/>
  <c r="G141" i="31"/>
  <c r="L2" i="190" s="1"/>
  <c r="Y122" i="29"/>
  <c r="F52" i="29"/>
  <c r="H52" i="29" s="1"/>
  <c r="W110" i="30"/>
  <c r="H262" i="31"/>
  <c r="E444" i="28"/>
  <c r="F444" i="28" s="1"/>
  <c r="H444" i="28" s="1"/>
  <c r="F233" i="29"/>
  <c r="H233" i="29" s="1"/>
  <c r="F245" i="29"/>
  <c r="H245" i="29" s="1"/>
  <c r="S155" i="28"/>
  <c r="F315" i="29"/>
  <c r="H315" i="29" s="1"/>
  <c r="H222" i="31"/>
  <c r="F469" i="29"/>
  <c r="H469" i="29" s="1"/>
  <c r="S26" i="28"/>
  <c r="G201" i="31"/>
  <c r="L2" i="91" s="1"/>
  <c r="G94" i="31"/>
  <c r="L2" i="258" s="1"/>
  <c r="W69" i="30"/>
  <c r="S496" i="28"/>
  <c r="M135" i="27"/>
  <c r="G26" i="31"/>
  <c r="L2" i="79" s="1"/>
  <c r="G24" i="31"/>
  <c r="L2" i="77" s="1"/>
  <c r="E57" i="28"/>
  <c r="F57" i="28" s="1"/>
  <c r="H57" i="28" s="1"/>
  <c r="E279" i="28"/>
  <c r="F279" i="28" s="1"/>
  <c r="H279" i="28" s="1"/>
  <c r="S216" i="28"/>
  <c r="S375" i="28"/>
  <c r="H92" i="31"/>
  <c r="Y38" i="29"/>
  <c r="E406" i="28"/>
  <c r="F406" i="28" s="1"/>
  <c r="H406" i="28" s="1"/>
  <c r="F35" i="29"/>
  <c r="H35" i="29" s="1"/>
  <c r="Y395" i="29"/>
  <c r="D83" i="30"/>
  <c r="S36" i="28"/>
  <c r="D126" i="30"/>
  <c r="G128" i="31"/>
  <c r="L2" i="284" s="1"/>
  <c r="G157" i="31"/>
  <c r="L2" i="204" s="1"/>
  <c r="W98" i="30"/>
  <c r="S19" i="28"/>
  <c r="E215" i="28"/>
  <c r="F215" i="28" s="1"/>
  <c r="H215" i="28" s="1"/>
  <c r="E399" i="28"/>
  <c r="F399" i="28" s="1"/>
  <c r="H399" i="28" s="1"/>
  <c r="E208" i="28"/>
  <c r="F208" i="28" s="1"/>
  <c r="H208" i="28" s="1"/>
  <c r="C141" i="27"/>
  <c r="E8" i="28"/>
  <c r="F8" i="28" s="1"/>
  <c r="H8" i="28" s="1"/>
  <c r="S434" i="28"/>
  <c r="W49" i="30"/>
  <c r="S319" i="28"/>
  <c r="D118" i="30"/>
  <c r="D133" i="30"/>
  <c r="Y95" i="29"/>
  <c r="H249" i="31"/>
  <c r="F338" i="29"/>
  <c r="H338" i="29" s="1"/>
  <c r="W66" i="30"/>
  <c r="E157" i="28"/>
  <c r="F157" i="28" s="1"/>
  <c r="H157" i="28" s="1"/>
  <c r="G231" i="31"/>
  <c r="L2" i="138" s="1"/>
  <c r="D117" i="30"/>
  <c r="E48" i="28"/>
  <c r="F48" i="28" s="1"/>
  <c r="H48" i="28" s="1"/>
  <c r="W93" i="30"/>
  <c r="E196" i="28"/>
  <c r="F196" i="28" s="1"/>
  <c r="H196" i="28" s="1"/>
  <c r="E273" i="28"/>
  <c r="F273" i="28" s="1"/>
  <c r="H273" i="28" s="1"/>
  <c r="S316" i="28"/>
  <c r="Y217" i="29"/>
  <c r="Y477" i="29"/>
  <c r="G107" i="31"/>
  <c r="L2" i="185" s="1"/>
  <c r="S460" i="28"/>
  <c r="H57" i="31"/>
  <c r="Y81" i="29"/>
  <c r="F274" i="29"/>
  <c r="H274" i="29" s="1"/>
  <c r="H97" i="31"/>
  <c r="S25" i="28"/>
  <c r="E477" i="28"/>
  <c r="F477" i="28" s="1"/>
  <c r="H477" i="28" s="1"/>
  <c r="E278" i="28"/>
  <c r="F278" i="28" s="1"/>
  <c r="H278" i="28" s="1"/>
  <c r="E212" i="28"/>
  <c r="F212" i="28" s="1"/>
  <c r="H212" i="28" s="1"/>
  <c r="S289" i="28"/>
  <c r="H208" i="31"/>
  <c r="H61" i="31"/>
  <c r="H134" i="31"/>
  <c r="S459" i="28"/>
  <c r="G42" i="31"/>
  <c r="L2" i="67" s="1"/>
  <c r="S246" i="28"/>
  <c r="F181" i="29"/>
  <c r="H181" i="29" s="1"/>
  <c r="E322" i="28"/>
  <c r="F322" i="28" s="1"/>
  <c r="H322" i="28" s="1"/>
  <c r="W94" i="30"/>
  <c r="S407" i="28"/>
  <c r="D82" i="30"/>
  <c r="D40" i="30"/>
  <c r="S172" i="28"/>
  <c r="H254" i="31"/>
  <c r="H218" i="31"/>
  <c r="H256" i="31"/>
  <c r="G113" i="31"/>
  <c r="L2" i="273" s="1"/>
  <c r="W100" i="30"/>
  <c r="S443" i="28"/>
  <c r="G175" i="31"/>
  <c r="L2" i="146" s="1"/>
  <c r="C6" i="27"/>
  <c r="H124" i="31"/>
  <c r="G134" i="31"/>
  <c r="L2" i="310" s="1"/>
  <c r="S47" i="28"/>
  <c r="S28" i="28"/>
  <c r="F477" i="29"/>
  <c r="H477" i="29" s="1"/>
  <c r="S290" i="28"/>
  <c r="G110" i="31"/>
  <c r="L2" i="269" s="1"/>
  <c r="E46" i="28"/>
  <c r="F46" i="28" s="1"/>
  <c r="H46" i="28" s="1"/>
  <c r="W46" i="30"/>
  <c r="F146" i="29"/>
  <c r="H146" i="29" s="1"/>
  <c r="S431" i="28"/>
  <c r="F248" i="29"/>
  <c r="H248" i="29" s="1"/>
  <c r="M53" i="27"/>
  <c r="H93" i="31"/>
  <c r="S46" i="28"/>
  <c r="D87" i="30"/>
  <c r="H82" i="31"/>
  <c r="H47" i="31"/>
  <c r="S476" i="28"/>
  <c r="S18" i="28"/>
  <c r="Y390" i="29"/>
  <c r="S454" i="28"/>
  <c r="E16" i="28"/>
  <c r="F16" i="28" s="1"/>
  <c r="H16" i="28" s="1"/>
  <c r="D102" i="30"/>
  <c r="D112" i="30"/>
  <c r="H73" i="31"/>
  <c r="Y332" i="29"/>
  <c r="F87" i="29"/>
  <c r="H87" i="29" s="1"/>
  <c r="D115" i="30"/>
  <c r="W95" i="30"/>
  <c r="S105" i="28"/>
  <c r="C89" i="27"/>
  <c r="F330" i="29"/>
  <c r="H330" i="29" s="1"/>
  <c r="E417" i="28"/>
  <c r="F417" i="28" s="1"/>
  <c r="H417" i="28" s="1"/>
  <c r="S248" i="28"/>
  <c r="G104" i="31"/>
  <c r="L2" i="182" s="1"/>
  <c r="H110" i="31"/>
  <c r="E150" i="28"/>
  <c r="F150" i="28" s="1"/>
  <c r="H150" i="28" s="1"/>
  <c r="F308" i="29"/>
  <c r="H308" i="29" s="1"/>
  <c r="G166" i="31"/>
  <c r="L2" i="197" s="1"/>
  <c r="H232" i="31"/>
  <c r="D63" i="30"/>
  <c r="W53" i="30"/>
  <c r="F394" i="29"/>
  <c r="H394" i="29" s="1"/>
  <c r="E226" i="28"/>
  <c r="F226" i="28" s="1"/>
  <c r="H226" i="28" s="1"/>
  <c r="H141" i="31"/>
  <c r="F236" i="29"/>
  <c r="H236" i="29" s="1"/>
  <c r="Y173" i="29"/>
  <c r="H155" i="31"/>
  <c r="S17" i="28"/>
  <c r="Y123" i="29"/>
  <c r="E72" i="28"/>
  <c r="F72" i="28" s="1"/>
  <c r="H72" i="28" s="1"/>
  <c r="H204" i="31"/>
  <c r="W72" i="30"/>
  <c r="G237" i="31"/>
  <c r="L2" i="124" s="1"/>
  <c r="W137" i="30"/>
  <c r="D134" i="30"/>
  <c r="G77" i="31"/>
  <c r="L2" i="118" s="1"/>
  <c r="D58" i="30"/>
  <c r="G151" i="31"/>
  <c r="L2" i="198" s="1"/>
  <c r="W33" i="30"/>
  <c r="F475" i="29"/>
  <c r="H475" i="29" s="1"/>
  <c r="G230" i="31"/>
  <c r="L2" i="137" s="1"/>
  <c r="H128" i="31"/>
  <c r="H108" i="31"/>
  <c r="F92" i="29"/>
  <c r="H92" i="29" s="1"/>
  <c r="W88" i="30"/>
  <c r="H200" i="31"/>
  <c r="F85" i="29"/>
  <c r="H85" i="29" s="1"/>
  <c r="S393" i="28"/>
  <c r="E199" i="28"/>
  <c r="F199" i="28" s="1"/>
  <c r="H199" i="28" s="1"/>
  <c r="S147" i="28"/>
  <c r="E200" i="28"/>
  <c r="F200" i="28" s="1"/>
  <c r="H200" i="28" s="1"/>
  <c r="W141" i="30"/>
  <c r="D120" i="30"/>
  <c r="S409" i="28"/>
  <c r="H191" i="31"/>
  <c r="S401" i="28"/>
  <c r="G135" i="31"/>
  <c r="M119" i="27"/>
  <c r="S422" i="28"/>
  <c r="Y339" i="29"/>
  <c r="E97" i="28"/>
  <c r="F97" i="28" s="1"/>
  <c r="H97" i="28" s="1"/>
  <c r="H30" i="31"/>
  <c r="H207" i="31"/>
  <c r="M94" i="27"/>
  <c r="F243" i="29"/>
  <c r="H243" i="29" s="1"/>
  <c r="G124" i="31"/>
  <c r="L2" i="187" s="1"/>
  <c r="M141" i="27"/>
  <c r="E375" i="28"/>
  <c r="F375" i="28" s="1"/>
  <c r="H375" i="28" s="1"/>
  <c r="H202" i="31"/>
  <c r="D86" i="30"/>
  <c r="Y213" i="29"/>
  <c r="W71" i="30"/>
  <c r="Y463" i="29"/>
  <c r="M43" i="27"/>
  <c r="Y322" i="29"/>
  <c r="Y469" i="29"/>
  <c r="W91" i="30"/>
  <c r="Y170" i="29"/>
  <c r="D124" i="30"/>
  <c r="E144" i="28"/>
  <c r="F144" i="28" s="1"/>
  <c r="H144" i="28" s="1"/>
  <c r="G263" i="31"/>
  <c r="L2" i="221" s="1"/>
  <c r="Y437" i="29"/>
  <c r="Y471" i="29"/>
  <c r="D65" i="30"/>
  <c r="H231" i="31"/>
  <c r="H25" i="31"/>
  <c r="S117" i="28"/>
  <c r="H131" i="31"/>
  <c r="S177" i="28"/>
  <c r="E6" i="28"/>
  <c r="F6" i="28" s="1"/>
  <c r="H6" i="28" s="1"/>
  <c r="W132" i="30"/>
  <c r="F474" i="29"/>
  <c r="H474" i="29" s="1"/>
  <c r="D78" i="30"/>
  <c r="E42" i="28"/>
  <c r="F42" i="28" s="1"/>
  <c r="H42" i="28" s="1"/>
  <c r="E129" i="28"/>
  <c r="F129" i="28" s="1"/>
  <c r="H129" i="28" s="1"/>
  <c r="E64" i="28"/>
  <c r="F64" i="28" s="1"/>
  <c r="H64" i="28" s="1"/>
  <c r="D110" i="30"/>
  <c r="E398" i="28"/>
  <c r="F398" i="28" s="1"/>
  <c r="H398" i="28" s="1"/>
  <c r="H186" i="31"/>
  <c r="E189" i="28"/>
  <c r="F189" i="28" s="1"/>
  <c r="H189" i="28" s="1"/>
  <c r="M181" i="27"/>
  <c r="D69" i="30"/>
  <c r="Y259" i="29"/>
  <c r="E22" i="28"/>
  <c r="F22" i="28" s="1"/>
  <c r="H22" i="28" s="1"/>
  <c r="Y50" i="29"/>
  <c r="Y462" i="29"/>
  <c r="E13" i="28"/>
  <c r="F13" i="28" s="1"/>
  <c r="H13" i="28" s="1"/>
  <c r="H133" i="31"/>
  <c r="F336" i="29"/>
  <c r="H336" i="29" s="1"/>
  <c r="W20" i="30"/>
  <c r="W32" i="30"/>
  <c r="E50" i="28"/>
  <c r="F50" i="28" s="1"/>
  <c r="H50" i="28" s="1"/>
  <c r="D64" i="30"/>
  <c r="D30" i="30"/>
  <c r="S48" i="28"/>
  <c r="G197" i="31"/>
  <c r="L2" i="304" s="1"/>
  <c r="Y152" i="29"/>
  <c r="Y470" i="29"/>
  <c r="H33" i="31"/>
  <c r="E445" i="28"/>
  <c r="F445" i="28" s="1"/>
  <c r="H445" i="28" s="1"/>
  <c r="F305" i="29"/>
  <c r="H305" i="29" s="1"/>
  <c r="E125" i="28"/>
  <c r="F125" i="28" s="1"/>
  <c r="H125" i="28" s="1"/>
  <c r="E147" i="28"/>
  <c r="F147" i="28" s="1"/>
  <c r="H147" i="28" s="1"/>
  <c r="H77" i="31"/>
  <c r="E182" i="28"/>
  <c r="F182" i="28" s="1"/>
  <c r="H182" i="28" s="1"/>
  <c r="M76" i="27"/>
  <c r="G98" i="31"/>
  <c r="E185" i="28"/>
  <c r="F185" i="28" s="1"/>
  <c r="H185" i="28" s="1"/>
  <c r="E177" i="28"/>
  <c r="F177" i="28" s="1"/>
  <c r="H177" i="28" s="1"/>
  <c r="D111" i="30"/>
  <c r="S258" i="28"/>
  <c r="G38" i="31"/>
  <c r="L2" i="64" s="1"/>
  <c r="G69" i="31"/>
  <c r="L2" i="276" s="1"/>
  <c r="E88" i="28"/>
  <c r="F88" i="28" s="1"/>
  <c r="H88" i="28" s="1"/>
  <c r="S126" i="28"/>
  <c r="S482" i="28"/>
  <c r="G155" i="31"/>
  <c r="L2" i="203" s="1"/>
  <c r="M9" i="27"/>
  <c r="F404" i="29"/>
  <c r="H404" i="29" s="1"/>
  <c r="E493" i="28"/>
  <c r="F493" i="28" s="1"/>
  <c r="H493" i="28" s="1"/>
  <c r="F306" i="29"/>
  <c r="H306" i="29" s="1"/>
  <c r="F184" i="29"/>
  <c r="H184" i="29" s="1"/>
  <c r="F326" i="29"/>
  <c r="H326" i="29" s="1"/>
  <c r="S232" i="28"/>
  <c r="W85" i="30"/>
  <c r="S200" i="28"/>
  <c r="G213" i="31"/>
  <c r="L2" i="99" s="1"/>
  <c r="F301" i="29"/>
  <c r="H301" i="29" s="1"/>
  <c r="Y121" i="29"/>
  <c r="D125" i="30"/>
  <c r="G35" i="31"/>
  <c r="L2" i="61" s="1"/>
  <c r="G204" i="31"/>
  <c r="L2" i="141" s="1"/>
  <c r="G20" i="31"/>
  <c r="L2" i="54" s="1"/>
  <c r="E286" i="28"/>
  <c r="F286" i="28" s="1"/>
  <c r="H286" i="28" s="1"/>
  <c r="Y392" i="29"/>
  <c r="S180" i="28"/>
  <c r="S222" i="28"/>
  <c r="S376" i="28"/>
  <c r="E449" i="28"/>
  <c r="F449" i="28" s="1"/>
  <c r="H449" i="28" s="1"/>
  <c r="S127" i="28"/>
  <c r="Y246" i="29"/>
  <c r="G200" i="31"/>
  <c r="L2" i="84" s="1"/>
  <c r="S124" i="28"/>
  <c r="F450" i="29"/>
  <c r="H450" i="29" s="1"/>
  <c r="W75" i="30"/>
  <c r="F42" i="29"/>
  <c r="H42" i="29" s="1"/>
  <c r="H105" i="31"/>
  <c r="Y52" i="29"/>
  <c r="G108" i="31"/>
  <c r="L2" i="186" s="1"/>
  <c r="S477" i="28"/>
  <c r="S69" i="28"/>
  <c r="C168" i="27"/>
  <c r="E63" i="28"/>
  <c r="F63" i="28" s="1"/>
  <c r="H63" i="28" s="1"/>
  <c r="E79" i="28"/>
  <c r="F79" i="28" s="1"/>
  <c r="H79" i="28" s="1"/>
  <c r="Y176" i="29"/>
  <c r="E252" i="28"/>
  <c r="F252" i="28" s="1"/>
  <c r="H252" i="28" s="1"/>
  <c r="E434" i="28"/>
  <c r="F434" i="28" s="1"/>
  <c r="H434" i="28" s="1"/>
  <c r="S66" i="28"/>
  <c r="H113" i="31"/>
  <c r="C181" i="27"/>
  <c r="Y183" i="29"/>
  <c r="S367" i="28"/>
  <c r="Y300" i="29"/>
  <c r="H211" i="31"/>
  <c r="E430" i="28"/>
  <c r="F430" i="28" s="1"/>
  <c r="H430" i="28" s="1"/>
  <c r="H34" i="31"/>
  <c r="Y214" i="29"/>
  <c r="Y219" i="29"/>
  <c r="F90" i="29"/>
  <c r="H90" i="29" s="1"/>
  <c r="E246" i="28"/>
  <c r="F246" i="28" s="1"/>
  <c r="H246" i="28" s="1"/>
  <c r="H224" i="31"/>
  <c r="H248" i="31"/>
  <c r="D98" i="30"/>
  <c r="S27" i="28"/>
  <c r="S72" i="28"/>
  <c r="F211" i="29"/>
  <c r="H211" i="29" s="1"/>
  <c r="F309" i="29"/>
  <c r="H309" i="29" s="1"/>
  <c r="D138" i="30"/>
  <c r="Y306" i="29"/>
  <c r="F468" i="29"/>
  <c r="H468" i="29" s="1"/>
  <c r="H44" i="31"/>
  <c r="S450" i="28"/>
  <c r="Y220" i="29"/>
  <c r="Y475" i="29"/>
  <c r="H247" i="31"/>
  <c r="S181" i="28"/>
  <c r="D91" i="30"/>
  <c r="F323" i="29"/>
  <c r="H323" i="29" s="1"/>
  <c r="C47" i="27"/>
  <c r="Y249" i="29"/>
  <c r="S303" i="28"/>
  <c r="H11" i="31"/>
  <c r="F453" i="29"/>
  <c r="H453" i="29" s="1"/>
  <c r="H106" i="31"/>
  <c r="S417" i="28"/>
  <c r="F213" i="29"/>
  <c r="H213" i="29" s="1"/>
  <c r="E454" i="28"/>
  <c r="F454" i="28" s="1"/>
  <c r="H454" i="28" s="1"/>
  <c r="E224" i="28"/>
  <c r="F224" i="28" s="1"/>
  <c r="H224" i="28" s="1"/>
  <c r="C68" i="27"/>
  <c r="E112" i="28"/>
  <c r="F112" i="28" s="1"/>
  <c r="H112" i="28" s="1"/>
  <c r="F122" i="29"/>
  <c r="H122" i="29" s="1"/>
  <c r="W37" i="30"/>
  <c r="Y35" i="29"/>
  <c r="H22" i="31"/>
  <c r="E441" i="28"/>
  <c r="F441" i="28" s="1"/>
  <c r="H441" i="28" s="1"/>
  <c r="F396" i="29"/>
  <c r="H396" i="29" s="1"/>
  <c r="C32" i="27"/>
  <c r="S151" i="28"/>
  <c r="D16" i="30"/>
  <c r="S296" i="28"/>
  <c r="S193" i="28"/>
  <c r="G215" i="31"/>
  <c r="L2" i="134" s="1"/>
  <c r="G106" i="31"/>
  <c r="L2" i="184" s="1"/>
  <c r="D95" i="30"/>
  <c r="G180" i="31"/>
  <c r="L2" i="150" s="1"/>
  <c r="Y474" i="29"/>
  <c r="E98" i="28"/>
  <c r="F98" i="28" s="1"/>
  <c r="H98" i="28" s="1"/>
  <c r="E451" i="28"/>
  <c r="F451" i="28" s="1"/>
  <c r="H451" i="28" s="1"/>
  <c r="F470" i="29"/>
  <c r="H470" i="29" s="1"/>
  <c r="E70" i="28"/>
  <c r="F70" i="28" s="1"/>
  <c r="H70" i="28" s="1"/>
  <c r="E247" i="28"/>
  <c r="F247" i="28" s="1"/>
  <c r="H247" i="28" s="1"/>
  <c r="E272" i="28"/>
  <c r="F272" i="28" s="1"/>
  <c r="H272" i="28" s="1"/>
  <c r="F249" i="29"/>
  <c r="H249" i="29" s="1"/>
  <c r="Y61" i="29"/>
  <c r="Y466" i="29"/>
  <c r="D142" i="30"/>
  <c r="S156" i="28"/>
  <c r="D107" i="30"/>
  <c r="H59" i="31"/>
  <c r="S157" i="28"/>
  <c r="Y310" i="29"/>
  <c r="H235" i="31"/>
  <c r="E367" i="28"/>
  <c r="F367" i="28" s="1"/>
  <c r="H367" i="28" s="1"/>
  <c r="F41" i="29"/>
  <c r="H41" i="29" s="1"/>
  <c r="Y55" i="29"/>
  <c r="M32" i="27"/>
  <c r="E402" i="28"/>
  <c r="F402" i="28" s="1"/>
  <c r="H402" i="28" s="1"/>
  <c r="Y333" i="29"/>
  <c r="Y92" i="29"/>
  <c r="W44" i="30"/>
  <c r="F45" i="29"/>
  <c r="H45" i="29" s="1"/>
  <c r="E11" i="28"/>
  <c r="F11" i="28" s="1"/>
  <c r="H11" i="28" s="1"/>
  <c r="G165" i="31"/>
  <c r="L2" i="196" s="1"/>
  <c r="S399" i="28"/>
  <c r="E248" i="28"/>
  <c r="F248" i="28" s="1"/>
  <c r="H248" i="28" s="1"/>
  <c r="D130" i="30"/>
  <c r="G234" i="31"/>
  <c r="L2" i="142" s="1"/>
  <c r="H228" i="31"/>
  <c r="H261" i="31"/>
  <c r="C10" i="27"/>
  <c r="W102" i="30"/>
  <c r="Y178" i="29"/>
  <c r="Y402" i="29"/>
  <c r="S12" i="28"/>
  <c r="E7" i="28"/>
  <c r="F7" i="28" s="1"/>
  <c r="H7" i="28" s="1"/>
  <c r="G218" i="31"/>
  <c r="L2" i="102" s="1"/>
  <c r="Y216" i="29"/>
  <c r="G147" i="31"/>
  <c r="L2" i="227" s="1"/>
  <c r="Y218" i="29"/>
  <c r="F212" i="29"/>
  <c r="H212" i="29" s="1"/>
  <c r="F466" i="29"/>
  <c r="H466" i="29" s="1"/>
  <c r="G60" i="31"/>
  <c r="L2" i="251" s="1"/>
  <c r="F214" i="29"/>
  <c r="H214" i="29" s="1"/>
  <c r="E507" i="28"/>
  <c r="F507" i="28" s="1"/>
  <c r="C123" i="27"/>
  <c r="E3" i="28"/>
  <c r="F3" i="28" s="1"/>
  <c r="H3" i="28" s="1"/>
  <c r="F221" i="29"/>
  <c r="H221" i="29" s="1"/>
  <c r="S185" i="28"/>
  <c r="E36" i="28"/>
  <c r="F36" i="28" s="1"/>
  <c r="H36" i="28" s="1"/>
  <c r="F303" i="29"/>
  <c r="H303" i="29" s="1"/>
  <c r="S465" i="28"/>
  <c r="S52" i="28"/>
  <c r="H246" i="31"/>
  <c r="D4" i="30"/>
  <c r="W82" i="30"/>
  <c r="S390" i="28"/>
  <c r="H127" i="31"/>
  <c r="G30" i="31"/>
  <c r="L2" i="56" s="1"/>
  <c r="D23" i="30"/>
  <c r="Y274" i="29"/>
  <c r="E216" i="28"/>
  <c r="F216" i="28" s="1"/>
  <c r="H216" i="28" s="1"/>
  <c r="C137" i="27"/>
  <c r="Y335" i="29"/>
  <c r="Y171" i="29"/>
  <c r="E51" i="28"/>
  <c r="F51" i="28" s="1"/>
  <c r="H51" i="28" s="1"/>
  <c r="D140" i="30"/>
  <c r="W52" i="30"/>
  <c r="F239" i="29"/>
  <c r="H239" i="29" s="1"/>
  <c r="E298" i="28"/>
  <c r="F298" i="28" s="1"/>
  <c r="H298" i="28" s="1"/>
  <c r="S452" i="28"/>
  <c r="G139" i="31"/>
  <c r="L2" i="189" s="1"/>
  <c r="H229" i="31"/>
  <c r="H237" i="31"/>
  <c r="G248" i="31"/>
  <c r="L2" i="216" s="1"/>
  <c r="G174" i="31"/>
  <c r="L2" i="145" s="1"/>
  <c r="S226" i="28"/>
  <c r="F454" i="29"/>
  <c r="H454" i="29" s="1"/>
  <c r="H46" i="31"/>
  <c r="H158" i="31"/>
  <c r="S382" i="28"/>
  <c r="D104" i="30"/>
  <c r="Y190" i="29"/>
  <c r="F472" i="29"/>
  <c r="H472" i="29" s="1"/>
  <c r="E78" i="28"/>
  <c r="F78" i="28" s="1"/>
  <c r="H78" i="28" s="1"/>
  <c r="S73" i="28"/>
  <c r="S244" i="28"/>
  <c r="E17" i="28"/>
  <c r="F17" i="28" s="1"/>
  <c r="H17" i="28" s="1"/>
  <c r="Y334" i="29"/>
  <c r="S71" i="28"/>
  <c r="Y301" i="29"/>
  <c r="E494" i="28"/>
  <c r="F494" i="28" s="1"/>
  <c r="H494" i="28" s="1"/>
  <c r="H38" i="31"/>
  <c r="E95" i="28"/>
  <c r="F95" i="28" s="1"/>
  <c r="H95" i="28" s="1"/>
  <c r="F57" i="29"/>
  <c r="H57" i="29" s="1"/>
  <c r="F56" i="29"/>
  <c r="H56" i="29" s="1"/>
  <c r="G115" i="31"/>
  <c r="L2" i="295" s="1"/>
  <c r="E210" i="28"/>
  <c r="F210" i="28" s="1"/>
  <c r="H210" i="28" s="1"/>
  <c r="E281" i="28"/>
  <c r="F281" i="28" s="1"/>
  <c r="H281" i="28" s="1"/>
  <c r="W55" i="30"/>
  <c r="H132" i="31"/>
  <c r="Y226" i="29"/>
  <c r="Y387" i="29"/>
  <c r="E250" i="28"/>
  <c r="F250" i="28" s="1"/>
  <c r="H250" i="28" s="1"/>
  <c r="G254" i="31"/>
  <c r="L2" i="249" s="1"/>
  <c r="E280" i="28"/>
  <c r="F280" i="28" s="1"/>
  <c r="H280" i="28" s="1"/>
  <c r="H257" i="31"/>
  <c r="M82" i="27"/>
  <c r="H190" i="31"/>
  <c r="W107" i="30"/>
  <c r="W106" i="30"/>
  <c r="E401" i="28"/>
  <c r="F401" i="28" s="1"/>
  <c r="H401" i="28" s="1"/>
  <c r="G228" i="31"/>
  <c r="L2" i="135" s="1"/>
  <c r="D90" i="30"/>
  <c r="G89" i="31"/>
  <c r="L2" i="253" s="1"/>
  <c r="H21" i="31"/>
  <c r="E261" i="28"/>
  <c r="F261" i="28" s="1"/>
  <c r="H261" i="28" s="1"/>
  <c r="S497" i="28"/>
  <c r="S493" i="28"/>
  <c r="D119" i="30"/>
  <c r="D34" i="30"/>
  <c r="F250" i="29"/>
  <c r="H250" i="29" s="1"/>
  <c r="E188" i="28"/>
  <c r="F188" i="28" s="1"/>
  <c r="H188" i="28" s="1"/>
  <c r="S182" i="28"/>
  <c r="S291" i="28"/>
  <c r="G105" i="31"/>
  <c r="L2" i="183" s="1"/>
  <c r="E90" i="28"/>
  <c r="F90" i="28" s="1"/>
  <c r="H90" i="28" s="1"/>
  <c r="G29" i="31"/>
  <c r="L2" i="55" s="1"/>
  <c r="H99" i="31"/>
  <c r="G211" i="31"/>
  <c r="L2" i="97" s="1"/>
  <c r="G269" i="31"/>
  <c r="L2" i="226" s="1"/>
  <c r="F104" i="29"/>
  <c r="H104" i="29" s="1"/>
  <c r="S20" i="28"/>
  <c r="E432" i="28"/>
  <c r="F432" i="28" s="1"/>
  <c r="H432" i="28" s="1"/>
  <c r="Y385" i="29"/>
  <c r="S106" i="28"/>
  <c r="S187" i="28"/>
  <c r="E422" i="28"/>
  <c r="F422" i="28" s="1"/>
  <c r="H422" i="28" s="1"/>
  <c r="E122" i="28"/>
  <c r="F122" i="28" s="1"/>
  <c r="H122" i="28" s="1"/>
  <c r="G59" i="31"/>
  <c r="L2" i="207" s="1"/>
  <c r="D76" i="30"/>
  <c r="F38" i="29"/>
  <c r="H38" i="29" s="1"/>
  <c r="D137" i="30"/>
  <c r="D49" i="30"/>
  <c r="G28" i="31"/>
  <c r="L2" i="293" s="1"/>
  <c r="W47" i="30"/>
  <c r="F171" i="29"/>
  <c r="H171" i="29" s="1"/>
  <c r="D51" i="30"/>
  <c r="E218" i="28"/>
  <c r="F218" i="28" s="1"/>
  <c r="H218" i="28" s="1"/>
  <c r="H111" i="31"/>
  <c r="H251" i="31"/>
  <c r="S51" i="28"/>
  <c r="W54" i="30"/>
  <c r="E44" i="28"/>
  <c r="F44" i="28" s="1"/>
  <c r="H44" i="28" s="1"/>
  <c r="S243" i="28"/>
  <c r="S445" i="28"/>
  <c r="F327" i="29"/>
  <c r="H327" i="29" s="1"/>
  <c r="Y58" i="29"/>
  <c r="Y450" i="29"/>
  <c r="F179" i="29"/>
  <c r="H179" i="29" s="1"/>
  <c r="Y46" i="29"/>
  <c r="E369" i="28"/>
  <c r="F369" i="28" s="1"/>
  <c r="H369" i="28" s="1"/>
  <c r="E152" i="28"/>
  <c r="F152" i="28" s="1"/>
  <c r="H152" i="28" s="1"/>
  <c r="M168" i="27"/>
  <c r="D57" i="30"/>
  <c r="Y184" i="29"/>
  <c r="E344" i="28"/>
  <c r="F344" i="28" s="1"/>
  <c r="H344" i="28" s="1"/>
  <c r="W119" i="30"/>
  <c r="D22" i="30"/>
  <c r="Y315" i="29"/>
  <c r="M167" i="27"/>
  <c r="H81" i="31"/>
  <c r="D41" i="30"/>
  <c r="S455" i="28"/>
  <c r="G264" i="31"/>
  <c r="L2" i="222" s="1"/>
  <c r="E153" i="28"/>
  <c r="F153" i="28" s="1"/>
  <c r="H153" i="28" s="1"/>
  <c r="D89" i="30"/>
  <c r="W41" i="30"/>
  <c r="E172" i="28"/>
  <c r="F172" i="28" s="1"/>
  <c r="H172" i="28" s="1"/>
  <c r="G82" i="31"/>
  <c r="L2" i="169" s="1"/>
  <c r="W134" i="30"/>
  <c r="D25" i="30"/>
  <c r="Y85" i="29"/>
  <c r="S324" i="28"/>
  <c r="E381" i="28"/>
  <c r="F381" i="28" s="1"/>
  <c r="H381" i="28" s="1"/>
  <c r="G39" i="31"/>
  <c r="L2" i="65" s="1"/>
  <c r="E440" i="28"/>
  <c r="F440" i="28" s="1"/>
  <c r="H440" i="28" s="1"/>
  <c r="D122" i="30"/>
  <c r="Y45" i="29"/>
  <c r="E10" i="28"/>
  <c r="F10" i="28" s="1"/>
  <c r="H10" i="28" s="1"/>
  <c r="E290" i="28"/>
  <c r="F290" i="28" s="1"/>
  <c r="H290" i="28" s="1"/>
  <c r="E69" i="28"/>
  <c r="F69" i="28" s="1"/>
  <c r="H69" i="28" s="1"/>
  <c r="G109" i="31"/>
  <c r="L2" i="268" s="1"/>
  <c r="G249" i="31"/>
  <c r="L2" i="217" s="1"/>
  <c r="F335" i="29"/>
  <c r="H335" i="29" s="1"/>
  <c r="E460" i="28"/>
  <c r="F460" i="28" s="1"/>
  <c r="H460" i="28" s="1"/>
  <c r="F33" i="29"/>
  <c r="H33" i="29" s="1"/>
  <c r="E433" i="28"/>
  <c r="F433" i="28" s="1"/>
  <c r="H433" i="28" s="1"/>
  <c r="Y370" i="29"/>
  <c r="C73" i="27"/>
  <c r="W19" i="30"/>
  <c r="W92" i="30"/>
  <c r="W79" i="30"/>
  <c r="S130" i="28"/>
  <c r="S364" i="28"/>
  <c r="H70" i="31"/>
  <c r="H75" i="31"/>
  <c r="E28" i="28"/>
  <c r="F28" i="28" s="1"/>
  <c r="H28" i="28" s="1"/>
  <c r="E418" i="28"/>
  <c r="F418" i="28" s="1"/>
  <c r="H418" i="28" s="1"/>
  <c r="S436" i="28"/>
  <c r="W101" i="30"/>
  <c r="E154" i="28"/>
  <c r="F154" i="28" s="1"/>
  <c r="H154" i="28" s="1"/>
  <c r="F390" i="29"/>
  <c r="H390" i="29" s="1"/>
  <c r="G6" i="31"/>
  <c r="L2" i="160" s="1"/>
  <c r="O5" i="160" s="1"/>
  <c r="F151" i="29"/>
  <c r="H151" i="29" s="1"/>
  <c r="C119" i="27"/>
  <c r="S125" i="28"/>
  <c r="E198" i="28"/>
  <c r="F198" i="28" s="1"/>
  <c r="H198" i="28" s="1"/>
  <c r="D18" i="30"/>
  <c r="W97" i="30"/>
  <c r="S229" i="28"/>
  <c r="D72" i="30"/>
  <c r="S223" i="28"/>
  <c r="H203" i="31"/>
  <c r="D59" i="30"/>
  <c r="S10" i="28"/>
  <c r="C42" i="27"/>
  <c r="S194" i="28"/>
  <c r="F123" i="29"/>
  <c r="H123" i="29" s="1"/>
  <c r="E180" i="28"/>
  <c r="F180" i="28" s="1"/>
  <c r="H180" i="28" s="1"/>
  <c r="H60" i="31"/>
  <c r="W127" i="30"/>
  <c r="W45" i="30"/>
  <c r="F61" i="29"/>
  <c r="H61" i="29" s="1"/>
  <c r="W109" i="30"/>
  <c r="G262" i="31"/>
  <c r="L2" i="220" s="1"/>
  <c r="W78" i="30"/>
  <c r="F58" i="29"/>
  <c r="H58" i="29" s="1"/>
  <c r="Y239" i="29"/>
  <c r="Y39" i="29"/>
  <c r="G138" i="31"/>
  <c r="L2" i="188" s="1"/>
  <c r="Y323" i="29"/>
  <c r="E127" i="28"/>
  <c r="F127" i="28" s="1"/>
  <c r="H127" i="28" s="1"/>
  <c r="D135" i="30"/>
  <c r="G93" i="31"/>
  <c r="L2" i="257" s="1"/>
  <c r="S186" i="28"/>
  <c r="E213" i="28"/>
  <c r="F213" i="28" s="1"/>
  <c r="H213" i="28" s="1"/>
  <c r="C167" i="27"/>
  <c r="W84" i="30"/>
  <c r="F400" i="29"/>
  <c r="H400" i="29" s="1"/>
  <c r="E18" i="28"/>
  <c r="F18" i="28" s="1"/>
  <c r="H18" i="28" s="1"/>
  <c r="S74" i="28"/>
  <c r="S209" i="28"/>
  <c r="S280" i="28"/>
  <c r="F170" i="29"/>
  <c r="H170" i="29" s="1"/>
  <c r="S196" i="28"/>
  <c r="G33" i="31"/>
  <c r="L2" i="59" s="1"/>
  <c r="E66" i="28"/>
  <c r="F66" i="28" s="1"/>
  <c r="H66" i="28" s="1"/>
  <c r="W76" i="30"/>
  <c r="G92" i="31"/>
  <c r="L2" i="255" s="1"/>
  <c r="Y49" i="29"/>
  <c r="G112" i="31"/>
  <c r="L2" i="272" s="1"/>
  <c r="W105" i="30"/>
  <c r="H201" i="31"/>
  <c r="H100" i="31"/>
  <c r="S310" i="28"/>
  <c r="D50" i="30"/>
  <c r="S68" i="28"/>
  <c r="D29" i="30"/>
  <c r="E505" i="28"/>
  <c r="F505" i="28" s="1"/>
  <c r="H505" i="28" s="1"/>
  <c r="W83" i="30"/>
  <c r="D73" i="30"/>
  <c r="H265" i="31"/>
  <c r="S494" i="28"/>
  <c r="S39" i="28"/>
  <c r="S286" i="28"/>
  <c r="D101" i="30"/>
  <c r="D121" i="30"/>
  <c r="D80" i="30"/>
  <c r="H165" i="31"/>
  <c r="D45" i="30"/>
  <c r="E25" i="28"/>
  <c r="F25" i="28" s="1"/>
  <c r="H25" i="28" s="1"/>
  <c r="H76" i="31"/>
  <c r="E438" i="28"/>
  <c r="F438" i="28" s="1"/>
  <c r="H438" i="28" s="1"/>
  <c r="H24" i="31"/>
  <c r="G126" i="31"/>
  <c r="L2" i="291" s="1"/>
  <c r="H260" i="31"/>
  <c r="E71" i="28"/>
  <c r="F71" i="28" s="1"/>
  <c r="H71" i="28" s="1"/>
  <c r="Y139" i="29"/>
  <c r="E324" i="28"/>
  <c r="F324" i="28" s="1"/>
  <c r="H324" i="28" s="1"/>
  <c r="D17" i="30"/>
  <c r="F55" i="29"/>
  <c r="H55" i="29" s="1"/>
  <c r="D56" i="30"/>
  <c r="W118" i="30"/>
  <c r="F300" i="29"/>
  <c r="H300" i="29" s="1"/>
  <c r="E173" i="28"/>
  <c r="F173" i="28" s="1"/>
  <c r="H173" i="28" s="1"/>
  <c r="F237" i="29"/>
  <c r="H237" i="29" s="1"/>
  <c r="S313" i="28"/>
  <c r="F334" i="29"/>
  <c r="H334" i="29" s="1"/>
  <c r="D128" i="30"/>
  <c r="E415" i="28"/>
  <c r="F415" i="28" s="1"/>
  <c r="H415" i="28" s="1"/>
  <c r="H20" i="31"/>
  <c r="C64" i="27"/>
  <c r="G132" i="31"/>
  <c r="E439" i="28"/>
  <c r="F439" i="28" s="1"/>
  <c r="H439" i="28" s="1"/>
  <c r="W104" i="30"/>
  <c r="S188" i="28"/>
  <c r="G186" i="31"/>
  <c r="L2" i="163" s="1"/>
  <c r="G95" i="31"/>
  <c r="L2" i="279" s="1"/>
  <c r="E291" i="28"/>
  <c r="F291" i="28" s="1"/>
  <c r="H291" i="28" s="1"/>
  <c r="F467" i="29"/>
  <c r="H467" i="29" s="1"/>
  <c r="H152" i="31"/>
  <c r="F99" i="29"/>
  <c r="H99" i="29" s="1"/>
  <c r="E229" i="28"/>
  <c r="F229" i="28" s="1"/>
  <c r="H229" i="28" s="1"/>
  <c r="S40" i="28"/>
  <c r="E2" i="28"/>
  <c r="F2" i="28" s="1"/>
  <c r="H2" i="28" s="1"/>
  <c r="S298" i="28"/>
  <c r="D127" i="30"/>
  <c r="E123" i="28"/>
  <c r="F123" i="28" s="1"/>
  <c r="H123" i="28" s="1"/>
  <c r="Y41" i="29"/>
  <c r="S231" i="28"/>
  <c r="E407" i="28"/>
  <c r="F407" i="28" s="1"/>
  <c r="H407" i="28" s="1"/>
  <c r="G208" i="31"/>
  <c r="L2" i="94" s="1"/>
  <c r="Y319" i="29"/>
  <c r="F152" i="29"/>
  <c r="H152" i="29" s="1"/>
  <c r="E186" i="28"/>
  <c r="F186" i="28" s="1"/>
  <c r="H186" i="28" s="1"/>
  <c r="F289" i="29"/>
  <c r="H289" i="29" s="1"/>
  <c r="Y464" i="29"/>
  <c r="W15" i="30"/>
  <c r="G58" i="31"/>
  <c r="L2" i="206" s="1"/>
  <c r="E75" i="28"/>
  <c r="F75" i="28" s="1"/>
  <c r="H75" i="28" s="1"/>
  <c r="W17" i="30"/>
  <c r="E217" i="28"/>
  <c r="F217" i="28" s="1"/>
  <c r="H217" i="28" s="1"/>
  <c r="G256" i="31"/>
  <c r="L2" i="259" s="1"/>
  <c r="Y330" i="29"/>
  <c r="S16" i="28"/>
  <c r="H210" i="31"/>
  <c r="G114" i="31"/>
  <c r="L2" i="274" s="1"/>
  <c r="E409" i="28"/>
  <c r="F409" i="28" s="1"/>
  <c r="H409" i="28" s="1"/>
  <c r="Y305" i="29"/>
  <c r="F328" i="29"/>
  <c r="H328" i="29" s="1"/>
  <c r="E47" i="28"/>
  <c r="F47" i="28" s="1"/>
  <c r="H47" i="28" s="1"/>
  <c r="S78" i="28"/>
  <c r="H6" i="31"/>
  <c r="D113" i="30"/>
  <c r="Y316" i="29"/>
  <c r="Y290" i="29"/>
  <c r="F81" i="29"/>
  <c r="H81" i="29" s="1"/>
  <c r="E126" i="28"/>
  <c r="F126" i="28" s="1"/>
  <c r="H126" i="28" s="1"/>
  <c r="G72" i="31"/>
  <c r="L2" i="305" s="1"/>
  <c r="W138" i="30"/>
  <c r="F259" i="29"/>
  <c r="H259" i="29" s="1"/>
  <c r="Y281" i="29"/>
  <c r="G111" i="31"/>
  <c r="L2" i="270" s="1"/>
  <c r="G76" i="31"/>
  <c r="L2" i="117" s="1"/>
  <c r="H98" i="31"/>
  <c r="F222" i="29"/>
  <c r="H222" i="29" s="1"/>
  <c r="M89" i="27"/>
  <c r="H72" i="31"/>
  <c r="Y99" i="29"/>
  <c r="S447" i="28"/>
  <c r="D62" i="30"/>
  <c r="E190" i="28"/>
  <c r="F190" i="28" s="1"/>
  <c r="H190" i="28" s="1"/>
  <c r="G43" i="31"/>
  <c r="L2" i="68" s="1"/>
  <c r="H112" i="31"/>
  <c r="F183" i="29"/>
  <c r="H183" i="29" s="1"/>
  <c r="S150" i="28"/>
  <c r="W21" i="30"/>
  <c r="S449" i="28"/>
  <c r="E135" i="28"/>
  <c r="F135" i="28" s="1"/>
  <c r="H135" i="28" s="1"/>
  <c r="S210" i="28"/>
  <c r="C19" i="27"/>
  <c r="G210" i="31"/>
  <c r="L2" i="96" s="1"/>
  <c r="E68" i="28"/>
  <c r="F68" i="28" s="1"/>
  <c r="H68" i="28" s="1"/>
  <c r="Y302" i="29"/>
  <c r="G257" i="31"/>
  <c r="F290" i="29"/>
  <c r="H290" i="29" s="1"/>
  <c r="E187" i="28"/>
  <c r="F187" i="28" s="1"/>
  <c r="H187" i="28" s="1"/>
  <c r="F62" i="29"/>
  <c r="H62" i="29" s="1"/>
  <c r="E420" i="28"/>
  <c r="F420" i="28" s="1"/>
  <c r="H420" i="28" s="1"/>
  <c r="F190" i="29"/>
  <c r="H190" i="29" s="1"/>
  <c r="E231" i="28"/>
  <c r="F231" i="28" s="1"/>
  <c r="H231" i="28" s="1"/>
  <c r="S374" i="28"/>
  <c r="S195" i="28"/>
  <c r="E390" i="28"/>
  <c r="F390" i="28" s="1"/>
  <c r="H390" i="28" s="1"/>
  <c r="D19" i="30"/>
  <c r="Y4" i="29"/>
  <c r="W142" i="30"/>
  <c r="S41" i="28"/>
  <c r="E124" i="28"/>
  <c r="F124" i="28" s="1"/>
  <c r="H124" i="28" s="1"/>
  <c r="D141" i="30"/>
  <c r="W56" i="30"/>
  <c r="F284" i="29"/>
  <c r="H284" i="29" s="1"/>
  <c r="E194" i="28"/>
  <c r="F194" i="28" s="1"/>
  <c r="H194" i="28" s="1"/>
  <c r="G66" i="31"/>
  <c r="L2" i="275" s="1"/>
  <c r="W65" i="30"/>
  <c r="F313" i="29"/>
  <c r="H313" i="29" s="1"/>
  <c r="F216" i="29"/>
  <c r="H216" i="29" s="1"/>
  <c r="G36" i="31"/>
  <c r="L2" i="62" s="1"/>
  <c r="W70" i="30"/>
  <c r="E102" i="28"/>
  <c r="F102" i="28" s="1"/>
  <c r="H102" i="28" s="1"/>
  <c r="F373" i="29"/>
  <c r="H373" i="29" s="1"/>
  <c r="E43" i="28"/>
  <c r="F43" i="28" s="1"/>
  <c r="H43" i="28" s="1"/>
  <c r="E179" i="28"/>
  <c r="F179" i="28" s="1"/>
  <c r="H179" i="28" s="1"/>
  <c r="S444" i="28"/>
  <c r="G246" i="31"/>
  <c r="L2" i="212" s="1"/>
  <c r="Y284" i="29"/>
  <c r="G258" i="31"/>
  <c r="Y313" i="29"/>
  <c r="S245" i="28"/>
  <c r="S191" i="28"/>
  <c r="G129" i="31"/>
  <c r="L2" i="285" s="1"/>
  <c r="S323" i="28"/>
  <c r="E222" i="28"/>
  <c r="F222" i="28" s="1"/>
  <c r="H222" i="28" s="1"/>
  <c r="D84" i="30"/>
  <c r="S220" i="28"/>
  <c r="G40" i="31"/>
  <c r="L2" i="66" s="1"/>
  <c r="E456" i="28"/>
  <c r="F456" i="28" s="1"/>
  <c r="H456" i="28" s="1"/>
  <c r="H267" i="31"/>
  <c r="S225" i="28"/>
  <c r="H94" i="31"/>
  <c r="G44" i="31"/>
  <c r="L2" i="70" s="1"/>
  <c r="O5" i="70" s="1"/>
  <c r="H31" i="31"/>
  <c r="Y307" i="29"/>
  <c r="F312" i="29"/>
  <c r="H312" i="29" s="1"/>
  <c r="S134" i="28"/>
  <c r="E450" i="28"/>
  <c r="F450" i="28" s="1"/>
  <c r="H450" i="28" s="1"/>
  <c r="H45" i="31"/>
  <c r="Y373" i="29"/>
  <c r="H104" i="31"/>
  <c r="Y327" i="29"/>
  <c r="E244" i="28"/>
  <c r="F244" i="28" s="1"/>
  <c r="H244" i="28" s="1"/>
  <c r="D70" i="30"/>
  <c r="W86" i="30"/>
  <c r="W135" i="30"/>
  <c r="M64" i="27"/>
  <c r="H26" i="31"/>
  <c r="Y221" i="29"/>
  <c r="Y236" i="29"/>
  <c r="G217" i="31"/>
  <c r="L2" i="101" s="1"/>
  <c r="H166" i="31"/>
  <c r="S11" i="28"/>
  <c r="F4" i="29"/>
  <c r="H4" i="29" s="1"/>
  <c r="S104" i="28"/>
  <c r="H264" i="31"/>
  <c r="E45" i="28"/>
  <c r="F45" i="28" s="1"/>
  <c r="H45" i="28" s="1"/>
  <c r="E219" i="28"/>
  <c r="F219" i="28" s="1"/>
  <c r="H219" i="28" s="1"/>
  <c r="S50" i="28"/>
  <c r="Y317" i="29"/>
  <c r="M19" i="27"/>
  <c r="D31" i="30"/>
  <c r="S252" i="28"/>
  <c r="G250" i="31"/>
  <c r="L2" i="245" s="1"/>
  <c r="S224" i="28"/>
  <c r="S22" i="28"/>
  <c r="C17" i="27"/>
  <c r="S394" i="28"/>
  <c r="D71" i="30"/>
  <c r="H39" i="31"/>
  <c r="Y404" i="29"/>
  <c r="E296" i="28"/>
  <c r="F296" i="28" s="1"/>
  <c r="H296" i="28" s="1"/>
  <c r="E283" i="28"/>
  <c r="F283" i="28" s="1"/>
  <c r="H283" i="28" s="1"/>
  <c r="E143" i="28"/>
  <c r="F143" i="28" s="1"/>
  <c r="H143" i="28" s="1"/>
  <c r="E5" i="28"/>
  <c r="F5" i="28" s="1"/>
  <c r="H5" i="28" s="1"/>
  <c r="D103" i="30"/>
  <c r="E195" i="28"/>
  <c r="F195" i="28" s="1"/>
  <c r="H195" i="28" s="1"/>
  <c r="G75" i="31"/>
  <c r="L2" i="116" s="1"/>
  <c r="F332" i="29"/>
  <c r="H332" i="29" s="1"/>
  <c r="E329" i="28"/>
  <c r="F329" i="28" s="1"/>
  <c r="H329" i="28" s="1"/>
  <c r="G31" i="31"/>
  <c r="L2" i="57" s="1"/>
  <c r="G203" i="31"/>
  <c r="L2" i="140" s="1"/>
  <c r="G34" i="31"/>
  <c r="L2" i="60" s="1"/>
  <c r="F82" i="29"/>
  <c r="H82" i="29" s="1"/>
  <c r="G185" i="31"/>
  <c r="L2" i="162" s="1"/>
  <c r="G207" i="31"/>
  <c r="L2" i="263" s="1"/>
  <c r="S400" i="28"/>
  <c r="S90" i="28"/>
  <c r="D129" i="30"/>
  <c r="H266" i="31"/>
  <c r="E191" i="28"/>
  <c r="F191" i="28" s="1"/>
  <c r="H191" i="28" s="1"/>
  <c r="F321" i="29"/>
  <c r="H321" i="29" s="1"/>
  <c r="E258" i="28"/>
  <c r="F258" i="28" s="1"/>
  <c r="H258" i="28" s="1"/>
  <c r="Y42" i="29"/>
  <c r="F281" i="29"/>
  <c r="H281" i="29" s="1"/>
  <c r="S57" i="28"/>
  <c r="F54" i="29"/>
  <c r="H54" i="29" s="1"/>
  <c r="W112" i="30"/>
  <c r="S43" i="28"/>
  <c r="E313" i="28"/>
  <c r="F313" i="28" s="1"/>
  <c r="H313" i="28" s="1"/>
  <c r="S13" i="28"/>
  <c r="S339" i="28"/>
  <c r="C82" i="27"/>
  <c r="D53" i="30"/>
  <c r="H151" i="31"/>
  <c r="S154" i="28"/>
  <c r="S247" i="28"/>
  <c r="F182" i="29"/>
  <c r="H182" i="29" s="1"/>
  <c r="Y465" i="29"/>
  <c r="S305" i="28"/>
  <c r="F311" i="29"/>
  <c r="H311" i="29" s="1"/>
  <c r="M137" i="27"/>
  <c r="W129" i="30"/>
  <c r="Y136" i="29"/>
  <c r="S199" i="28"/>
  <c r="E458" i="28"/>
  <c r="F458" i="28" s="1"/>
  <c r="H458" i="28" s="1"/>
  <c r="G25" i="31"/>
  <c r="L2" i="78" s="1"/>
  <c r="G130" i="31"/>
  <c r="L2" i="286" s="1"/>
  <c r="S451" i="28"/>
  <c r="Y116" i="29"/>
  <c r="Y309" i="29"/>
  <c r="S369" i="28"/>
  <c r="S458" i="28"/>
  <c r="W131" i="30"/>
  <c r="F463" i="29"/>
  <c r="H463" i="29" s="1"/>
  <c r="E111" i="28"/>
  <c r="F111" i="28" s="1"/>
  <c r="H111" i="28" s="1"/>
  <c r="H135" i="31"/>
  <c r="D44" i="30"/>
  <c r="W121" i="30"/>
  <c r="M10" i="27"/>
  <c r="G152" i="31"/>
  <c r="L2" i="199" s="1"/>
  <c r="E214" i="28"/>
  <c r="F214" i="28" s="1"/>
  <c r="H214" i="28" s="1"/>
  <c r="Y338" i="29"/>
  <c r="G97" i="31"/>
  <c r="L2" i="281" s="1"/>
  <c r="S403" i="28"/>
  <c r="H40" i="31"/>
  <c r="F219" i="29"/>
  <c r="H219" i="29" s="1"/>
  <c r="G261" i="31"/>
  <c r="L2" i="219" s="1"/>
  <c r="F49" i="29"/>
  <c r="H49" i="29" s="1"/>
  <c r="W123" i="30"/>
  <c r="S144" i="28"/>
  <c r="F329" i="29"/>
  <c r="H329" i="29" s="1"/>
  <c r="D61" i="30"/>
  <c r="F314" i="29"/>
  <c r="H314" i="29" s="1"/>
  <c r="Y54" i="29"/>
  <c r="S279" i="28"/>
  <c r="E193" i="28"/>
  <c r="F193" i="28" s="1"/>
  <c r="H193" i="28" s="1"/>
  <c r="S446" i="28"/>
  <c r="Y90" i="29"/>
  <c r="S398" i="28"/>
  <c r="S230" i="28"/>
  <c r="D93" i="30"/>
  <c r="W81" i="30"/>
  <c r="D106" i="30"/>
  <c r="F322" i="29"/>
  <c r="H322" i="29" s="1"/>
  <c r="W62" i="30"/>
  <c r="G127" i="31"/>
  <c r="L2" i="283" s="1"/>
  <c r="Y321" i="29"/>
  <c r="H223" i="31"/>
  <c r="G160" i="31"/>
  <c r="L2" i="229" s="1"/>
  <c r="F46" i="29"/>
  <c r="H46" i="29" s="1"/>
  <c r="F471" i="29"/>
  <c r="H471" i="29" s="1"/>
  <c r="E345" i="28"/>
  <c r="F345" i="28" s="1"/>
  <c r="H345" i="28" s="1"/>
  <c r="D52" i="30"/>
  <c r="C94" i="27"/>
  <c r="H32" i="31"/>
  <c r="E134" i="28"/>
  <c r="F134" i="28" s="1"/>
  <c r="H134" i="28" s="1"/>
  <c r="E393" i="28"/>
  <c r="F393" i="28" s="1"/>
  <c r="H393" i="28" s="1"/>
  <c r="H209" i="31"/>
  <c r="C135" i="27"/>
  <c r="G214" i="31"/>
  <c r="L2" i="100" s="1"/>
  <c r="F319" i="29"/>
  <c r="H319" i="29" s="1"/>
  <c r="W64" i="30"/>
  <c r="D67" i="30"/>
  <c r="E466" i="28"/>
  <c r="F466" i="28" s="1"/>
  <c r="H466" i="28" s="1"/>
  <c r="F386" i="29"/>
  <c r="H386" i="29" s="1"/>
  <c r="W5" i="30"/>
  <c r="E243" i="28"/>
  <c r="F243" i="28" s="1"/>
  <c r="H243" i="28" s="1"/>
  <c r="H107" i="31"/>
  <c r="F462" i="29"/>
  <c r="H462" i="29" s="1"/>
  <c r="C50" i="27"/>
  <c r="W18" i="30"/>
  <c r="F393" i="29"/>
  <c r="H393" i="29" s="1"/>
  <c r="E391" i="28"/>
  <c r="F391" i="28" s="1"/>
  <c r="H391" i="28" s="1"/>
  <c r="H168" i="31"/>
  <c r="F220" i="29"/>
  <c r="H220" i="29" s="1"/>
  <c r="Y64" i="29"/>
  <c r="W59" i="30"/>
  <c r="E73" i="28"/>
  <c r="F73" i="28" s="1"/>
  <c r="H73" i="28" s="1"/>
  <c r="W133" i="30"/>
  <c r="D60" i="30"/>
  <c r="Y291" i="29"/>
  <c r="H89" i="31"/>
  <c r="W128" i="30"/>
  <c r="E370" i="28"/>
  <c r="F370" i="28" s="1"/>
  <c r="H370" i="28" s="1"/>
  <c r="S342" i="28"/>
  <c r="Y265" i="29"/>
  <c r="F392" i="29"/>
  <c r="H392" i="29" s="1"/>
  <c r="H263" i="31"/>
  <c r="H180" i="31"/>
  <c r="F395" i="29"/>
  <c r="H395" i="29" s="1"/>
  <c r="Y303" i="29"/>
  <c r="S102" i="28"/>
  <c r="S208" i="28"/>
  <c r="H66" i="31"/>
  <c r="F464" i="29"/>
  <c r="H464" i="29" s="1"/>
  <c r="S143" i="28"/>
  <c r="E268" i="28"/>
  <c r="F268" i="28" s="1"/>
  <c r="H268" i="28" s="1"/>
  <c r="M42" i="27"/>
  <c r="S427" i="28"/>
  <c r="H71" i="31"/>
  <c r="E74" i="28"/>
  <c r="F74" i="28" s="1"/>
  <c r="H74" i="28" s="1"/>
  <c r="S415" i="28"/>
  <c r="E26" i="28"/>
  <c r="F26" i="28" s="1"/>
  <c r="H26" i="28" s="1"/>
  <c r="D33" i="30"/>
  <c r="E117" i="28"/>
  <c r="F117" i="28" s="1"/>
  <c r="H117" i="28" s="1"/>
  <c r="F103" i="29"/>
  <c r="H103" i="29" s="1"/>
  <c r="D46" i="30"/>
  <c r="H250" i="31"/>
  <c r="W116" i="30"/>
  <c r="W130" i="30"/>
  <c r="D42" i="30"/>
  <c r="Y326" i="29"/>
  <c r="Y180" i="29"/>
  <c r="H206" i="31"/>
  <c r="E319" i="28"/>
  <c r="F319" i="28" s="1"/>
  <c r="H319" i="28" s="1"/>
  <c r="S466" i="28"/>
  <c r="D85" i="30"/>
  <c r="S178" i="28"/>
  <c r="G125" i="31"/>
  <c r="L2" i="290" s="1"/>
  <c r="D116" i="30"/>
  <c r="F178" i="29"/>
  <c r="H178" i="29" s="1"/>
  <c r="E12" i="28"/>
  <c r="F12" i="28" s="1"/>
  <c r="H12" i="28" s="1"/>
  <c r="E27" i="28"/>
  <c r="F27" i="28" s="1"/>
  <c r="H27" i="28" s="1"/>
  <c r="E52" i="28"/>
  <c r="F52" i="28" s="1"/>
  <c r="H52" i="28" s="1"/>
  <c r="C70" i="27"/>
  <c r="Y394" i="29"/>
  <c r="S45" i="28"/>
  <c r="E232" i="28"/>
  <c r="F232" i="28" s="1"/>
  <c r="H232" i="28" s="1"/>
  <c r="S53" i="28"/>
  <c r="D97" i="30"/>
  <c r="E376" i="28"/>
  <c r="F376" i="28" s="1"/>
  <c r="H376" i="28" s="1"/>
  <c r="E424" i="28"/>
  <c r="F424" i="28" s="1"/>
  <c r="H424" i="28" s="1"/>
  <c r="H29" i="31"/>
  <c r="C9" i="27"/>
  <c r="H52" i="31"/>
  <c r="W108" i="30"/>
  <c r="S44" i="28"/>
  <c r="Y250" i="29"/>
  <c r="S122" i="28"/>
  <c r="S370" i="28"/>
  <c r="S281" i="28"/>
  <c r="H185" i="31"/>
  <c r="Y468" i="29"/>
  <c r="S115" i="28"/>
  <c r="H255" i="31"/>
  <c r="F317" i="29"/>
  <c r="H317" i="29" s="1"/>
  <c r="H252" i="31"/>
  <c r="F88" i="29"/>
  <c r="H88" i="29" s="1"/>
  <c r="C48" i="27"/>
  <c r="E151" i="28"/>
  <c r="F151" i="28" s="1"/>
  <c r="H151" i="28" s="1"/>
  <c r="W117" i="30"/>
  <c r="G235" i="31"/>
  <c r="L2" i="143" s="1"/>
  <c r="Y247" i="29"/>
  <c r="G22" i="31"/>
  <c r="L2" i="74" s="1"/>
  <c r="C76" i="27"/>
  <c r="S75" i="28"/>
  <c r="M47" i="27"/>
  <c r="D37" i="30"/>
  <c r="Y386" i="29"/>
  <c r="H269" i="31"/>
  <c r="W22" i="30"/>
  <c r="D5" i="30"/>
  <c r="G222" i="31"/>
  <c r="L2" i="103" s="1"/>
  <c r="S321" i="28"/>
  <c r="F217" i="29"/>
  <c r="H217" i="29" s="1"/>
  <c r="S123" i="28"/>
  <c r="E408" i="28"/>
  <c r="F408" i="28" s="1"/>
  <c r="H408" i="28" s="1"/>
  <c r="M68" i="27"/>
  <c r="D32" i="30"/>
  <c r="H129" i="31"/>
  <c r="D43" i="30"/>
  <c r="W43" i="30"/>
  <c r="G229" i="31"/>
  <c r="L2" i="144" s="1"/>
  <c r="E482" i="28"/>
  <c r="F482" i="28" s="1"/>
  <c r="H482" i="28" s="1"/>
  <c r="E115" i="28"/>
  <c r="F115" i="28" s="1"/>
  <c r="H115" i="28" s="1"/>
  <c r="D81" i="30"/>
  <c r="F370" i="29"/>
  <c r="H370" i="29" s="1"/>
  <c r="Y212" i="29"/>
  <c r="S329" i="28"/>
  <c r="E312" i="28"/>
  <c r="F312" i="28" s="1"/>
  <c r="H312" i="28" s="1"/>
  <c r="W50" i="30"/>
  <c r="G252" i="31"/>
  <c r="L2" i="247" s="1"/>
  <c r="D123" i="30"/>
  <c r="S63" i="28"/>
  <c r="W139" i="30"/>
  <c r="Y215" i="29"/>
  <c r="F100" i="29"/>
  <c r="H100" i="29" s="1"/>
  <c r="W51" i="30"/>
  <c r="S67" i="28"/>
  <c r="F337" i="29"/>
  <c r="H337" i="29" s="1"/>
  <c r="W124" i="30"/>
  <c r="S448" i="28"/>
  <c r="G190" i="31"/>
  <c r="L2" i="299" s="1"/>
  <c r="H42" i="31"/>
  <c r="F180" i="29"/>
  <c r="H180" i="29" s="1"/>
  <c r="S64" i="28"/>
  <c r="E382" i="28"/>
  <c r="F382" i="28" s="1"/>
  <c r="H382" i="28" s="1"/>
  <c r="D114" i="30"/>
  <c r="E459" i="28"/>
  <c r="F459" i="28" s="1"/>
  <c r="H459" i="28" s="1"/>
  <c r="G267" i="31"/>
  <c r="L2" i="225" s="1"/>
  <c r="F232" i="29"/>
  <c r="H232" i="29" s="1"/>
  <c r="H147" i="31"/>
  <c r="Y400" i="29"/>
  <c r="Y312" i="29"/>
  <c r="S129" i="28"/>
  <c r="G196" i="31"/>
  <c r="L2" i="301" s="1"/>
  <c r="E436" i="28"/>
  <c r="F436" i="28" s="1"/>
  <c r="H436" i="28" s="1"/>
  <c r="Y151" i="29"/>
  <c r="E228" i="28"/>
  <c r="F228" i="28" s="1"/>
  <c r="H228" i="28" s="1"/>
  <c r="E178" i="28"/>
  <c r="F178" i="28" s="1"/>
  <c r="H178" i="28" s="1"/>
  <c r="D94" i="30"/>
  <c r="E67" i="28"/>
  <c r="F67" i="28" s="1"/>
  <c r="H67" i="28" s="1"/>
  <c r="M38" i="27"/>
  <c r="E427" i="28"/>
  <c r="F427" i="28" s="1"/>
  <c r="H427" i="28" s="1"/>
  <c r="F437" i="29"/>
  <c r="H437" i="29" s="1"/>
  <c r="H217" i="31"/>
  <c r="C144" i="27"/>
  <c r="E24" i="28"/>
  <c r="F24" i="28" s="1"/>
  <c r="H24" i="28" s="1"/>
  <c r="E156" i="28"/>
  <c r="F156" i="28" s="1"/>
  <c r="H156" i="28" s="1"/>
  <c r="W140" i="30"/>
  <c r="E181" i="28"/>
  <c r="F181" i="28" s="1"/>
  <c r="H181" i="28" s="1"/>
  <c r="S135" i="28"/>
  <c r="E184" i="28"/>
  <c r="F184" i="28" s="1"/>
  <c r="H184" i="28" s="1"/>
  <c r="G158" i="31"/>
  <c r="L2" i="228" s="1"/>
  <c r="E465" i="28"/>
  <c r="F465" i="28" s="1"/>
  <c r="H465" i="28" s="1"/>
  <c r="Y289" i="29"/>
  <c r="E230" i="28"/>
  <c r="F230" i="28" s="1"/>
  <c r="H230" i="28" s="1"/>
  <c r="H214" i="31"/>
  <c r="F402" i="29"/>
  <c r="H402" i="29" s="1"/>
  <c r="G131" i="31"/>
  <c r="L2" i="287" s="1"/>
  <c r="F339" i="29"/>
  <c r="H339" i="29" s="1"/>
  <c r="G73" i="31"/>
  <c r="E389" i="28"/>
  <c r="F389" i="28" s="1"/>
  <c r="H389" i="28" s="1"/>
  <c r="S95" i="28"/>
  <c r="Y44" i="29"/>
  <c r="D99" i="30"/>
  <c r="Y88" i="29"/>
  <c r="G8" i="31"/>
  <c r="L2" i="242" s="1"/>
  <c r="O5" i="242" s="1"/>
  <c r="H95" i="31"/>
  <c r="F44" i="29"/>
  <c r="H44" i="29" s="1"/>
  <c r="W4" i="30"/>
  <c r="F307" i="29"/>
  <c r="H307" i="29" s="1"/>
  <c r="G265" i="31"/>
  <c r="L2" i="223" s="1"/>
  <c r="S453" i="28"/>
  <c r="Y248" i="29"/>
  <c r="E443" i="28"/>
  <c r="F443" i="28" s="1"/>
  <c r="H443" i="28" s="1"/>
  <c r="W99" i="30"/>
  <c r="G168" i="31"/>
  <c r="L2" i="159" s="1"/>
  <c r="F97" i="29"/>
  <c r="H97" i="29" s="1"/>
  <c r="W58" i="30"/>
  <c r="S70" i="28"/>
  <c r="H96" i="31"/>
  <c r="H114" i="31"/>
  <c r="M6" i="27"/>
  <c r="W113" i="30"/>
  <c r="E223" i="28"/>
  <c r="F223" i="28" s="1"/>
  <c r="H223" i="28" s="1"/>
  <c r="D55" i="30"/>
  <c r="S408" i="28"/>
  <c r="E497" i="28"/>
  <c r="F497" i="28" s="1"/>
  <c r="H497" i="28" s="1"/>
  <c r="H197" i="31"/>
  <c r="E414" i="28"/>
  <c r="F414" i="28" s="1"/>
  <c r="H414" i="28" s="1"/>
  <c r="S283" i="28"/>
  <c r="D79" i="30"/>
  <c r="E339" i="28"/>
  <c r="F339" i="28" s="1"/>
  <c r="H339" i="28" s="1"/>
  <c r="D96" i="30"/>
  <c r="G11" i="31"/>
  <c r="L2" i="237" s="1"/>
  <c r="O5" i="237" s="1"/>
  <c r="E303" i="28"/>
  <c r="F303" i="28" s="1"/>
  <c r="H303" i="28" s="1"/>
  <c r="D109" i="30"/>
  <c r="F39" i="29"/>
  <c r="H39" i="29" s="1"/>
  <c r="G61" i="31"/>
  <c r="L2" i="252" s="1"/>
  <c r="E20" i="28"/>
  <c r="F20" i="28" s="1"/>
  <c r="H20" i="28" s="1"/>
  <c r="G260" i="31"/>
  <c r="L2" i="218" s="1"/>
  <c r="D20" i="30"/>
  <c r="D24" i="30"/>
  <c r="Y222" i="29"/>
  <c r="Y336" i="29"/>
  <c r="F218" i="29"/>
  <c r="H218" i="29" s="1"/>
  <c r="S457" i="28"/>
  <c r="E289" i="28"/>
  <c r="F289" i="28" s="1"/>
  <c r="H289" i="28" s="1"/>
  <c r="M123" i="27"/>
  <c r="G21" i="31"/>
  <c r="L2" i="63" s="1"/>
  <c r="E305" i="28"/>
  <c r="F305" i="28" s="1"/>
  <c r="H305" i="28" s="1"/>
  <c r="Y453" i="29"/>
  <c r="Y311" i="29"/>
  <c r="M144" i="27"/>
  <c r="F116" i="29"/>
  <c r="H116" i="29" s="1"/>
  <c r="H43" i="31"/>
  <c r="Y182" i="29"/>
  <c r="H157" i="31"/>
  <c r="S402" i="28"/>
  <c r="E316" i="28"/>
  <c r="F316" i="28" s="1"/>
  <c r="H316" i="28" s="1"/>
  <c r="E448" i="28"/>
  <c r="F448" i="28" s="1"/>
  <c r="H448" i="28" s="1"/>
  <c r="H160" i="31"/>
  <c r="W80" i="30"/>
  <c r="E301" i="28"/>
  <c r="F301" i="28" s="1"/>
  <c r="H301" i="28" s="1"/>
  <c r="Y476" i="29"/>
  <c r="G70" i="31"/>
  <c r="L2" i="277" s="1"/>
  <c r="S389" i="28"/>
  <c r="S98" i="28"/>
  <c r="D88" i="30"/>
  <c r="G224" i="31"/>
  <c r="L2" i="104" s="1"/>
  <c r="Y97" i="29"/>
  <c r="W143" i="30"/>
  <c r="E40" i="28"/>
  <c r="F40" i="28" s="1"/>
  <c r="H40" i="28" s="1"/>
  <c r="F247" i="29"/>
  <c r="H247" i="29" s="1"/>
  <c r="S190" i="28"/>
  <c r="M73" i="27"/>
  <c r="G71" i="31"/>
  <c r="E155" i="28"/>
  <c r="F155" i="28" s="1"/>
  <c r="H155" i="28" s="1"/>
  <c r="G81" i="31"/>
  <c r="L2" i="168" s="1"/>
  <c r="G212" i="31"/>
  <c r="L2" i="98" s="1"/>
  <c r="H175" i="31"/>
  <c r="H109" i="31"/>
  <c r="C53" i="27"/>
  <c r="H35" i="31"/>
  <c r="G45" i="31"/>
  <c r="L2" i="71" s="1"/>
  <c r="S428" i="28"/>
  <c r="G251" i="31"/>
  <c r="L2" i="246" s="1"/>
  <c r="W114" i="30"/>
  <c r="S391" i="28"/>
  <c r="F95" i="29"/>
  <c r="H95" i="29" s="1"/>
  <c r="W24" i="30"/>
  <c r="F387" i="29"/>
  <c r="H387" i="29" s="1"/>
  <c r="W115" i="30"/>
  <c r="S345" i="28"/>
  <c r="S24" i="28"/>
  <c r="H253" i="31"/>
  <c r="E130" i="28"/>
  <c r="F130" i="28" s="1"/>
  <c r="H130" i="28" s="1"/>
  <c r="W40" i="30"/>
  <c r="H130" i="31"/>
  <c r="F176" i="29"/>
  <c r="H176" i="29" s="1"/>
  <c r="W67" i="30"/>
  <c r="S250" i="28"/>
  <c r="Y102" i="29"/>
  <c r="Y329" i="29"/>
  <c r="Y146" i="29"/>
  <c r="S112" i="28"/>
  <c r="H234" i="31"/>
  <c r="E476" i="28"/>
  <c r="F476" i="28" s="1"/>
  <c r="H476" i="28" s="1"/>
  <c r="M70" i="27"/>
  <c r="D68" i="30"/>
  <c r="S456" i="28"/>
  <c r="D77" i="30"/>
  <c r="Y56" i="29"/>
  <c r="G209" i="31"/>
  <c r="L2" i="95" s="1"/>
  <c r="W23" i="30"/>
  <c r="Y318" i="29"/>
  <c r="F102" i="29"/>
  <c r="H102" i="29" s="1"/>
  <c r="S429" i="28"/>
  <c r="H58" i="31"/>
  <c r="S152" i="28"/>
  <c r="S198" i="28"/>
  <c r="E41" i="28"/>
  <c r="F41" i="28" s="1"/>
  <c r="H41" i="28" s="1"/>
  <c r="C38" i="27"/>
  <c r="E496" i="28"/>
  <c r="F496" i="28" s="1"/>
  <c r="H496" i="28" s="1"/>
  <c r="G100" i="31"/>
  <c r="W61" i="30"/>
  <c r="D92" i="30"/>
  <c r="E364" i="28"/>
  <c r="F364" i="28" s="1"/>
  <c r="H364" i="28" s="1"/>
  <c r="Y472" i="29"/>
  <c r="H8" i="31"/>
  <c r="G232" i="31"/>
  <c r="L2" i="139" s="1"/>
  <c r="D74" i="30"/>
  <c r="F476" i="29"/>
  <c r="H476" i="29" s="1"/>
  <c r="Y328" i="29"/>
  <c r="D105" i="30"/>
  <c r="D143" i="30"/>
  <c r="E49" i="28"/>
  <c r="F49" i="28" s="1"/>
  <c r="H49" i="28" s="1"/>
  <c r="F50" i="29"/>
  <c r="H50" i="29" s="1"/>
  <c r="F291" i="29"/>
  <c r="H291" i="29" s="1"/>
  <c r="H161" i="31"/>
  <c r="F452" i="29"/>
  <c r="H452" i="29" s="1"/>
  <c r="H28" i="31"/>
  <c r="F318" i="29"/>
  <c r="H318" i="29" s="1"/>
  <c r="H212" i="31"/>
  <c r="E400" i="28"/>
  <c r="F400" i="28" s="1"/>
  <c r="H400" i="28" s="1"/>
  <c r="E374" i="28"/>
  <c r="F374" i="28" s="1"/>
  <c r="H374" i="28" s="1"/>
  <c r="G266" i="31"/>
  <c r="L2" i="224" s="1"/>
  <c r="Y33" i="29"/>
  <c r="Y211" i="29"/>
  <c r="S228" i="28"/>
  <c r="E428" i="28"/>
  <c r="F428" i="28" s="1"/>
  <c r="H428" i="28" s="1"/>
  <c r="F302" i="29"/>
  <c r="H302" i="29" s="1"/>
  <c r="Y104" i="29"/>
  <c r="E105" i="28"/>
  <c r="F105" i="28" s="1"/>
  <c r="H105" i="28" s="1"/>
  <c r="E442" i="28"/>
  <c r="F442" i="28" s="1"/>
  <c r="H442" i="28" s="1"/>
  <c r="S322" i="28"/>
  <c r="S273" i="28"/>
  <c r="S278" i="28"/>
  <c r="W103" i="30"/>
  <c r="E447" i="28"/>
  <c r="F447" i="28" s="1"/>
  <c r="H447" i="28" s="1"/>
  <c r="F215" i="29"/>
  <c r="H215" i="29" s="1"/>
  <c r="F64" i="29"/>
  <c r="H64" i="29" s="1"/>
  <c r="E245" i="28"/>
  <c r="F245" i="28" s="1"/>
  <c r="H245" i="28" s="1"/>
  <c r="H230" i="31"/>
  <c r="E9" i="28"/>
  <c r="F9" i="28" s="1"/>
  <c r="H9" i="28" s="1"/>
  <c r="O5" i="315"/>
  <c r="O7" i="315"/>
  <c r="O5" i="316"/>
  <c r="O7" i="316"/>
  <c r="O7" i="317"/>
  <c r="O5" i="317"/>
  <c r="F148" i="29" a="1"/>
  <c r="F149" i="29" a="1"/>
  <c r="Y150" i="29" a="1"/>
  <c r="E87" i="28" a="1"/>
  <c r="E86" i="28" a="1"/>
  <c r="E62" i="28" a="1"/>
  <c r="S86" i="28" a="1"/>
  <c r="F51" i="29" a="1"/>
  <c r="Y148" i="29" a="1"/>
  <c r="F150" i="29" a="1"/>
  <c r="Y51" i="29" a="1"/>
  <c r="S87" i="28" a="1"/>
  <c r="S62" i="28" a="1"/>
  <c r="Y149" i="29" a="1"/>
  <c r="S62" i="28" l="1"/>
  <c r="E62" i="28"/>
  <c r="F62" i="28" s="1"/>
  <c r="H62" i="28" s="1"/>
  <c r="E87" i="28"/>
  <c r="F87" i="28" s="1"/>
  <c r="H87" i="28" s="1"/>
  <c r="S87" i="28"/>
  <c r="S86" i="28"/>
  <c r="E86" i="28"/>
  <c r="F86" i="28" s="1"/>
  <c r="H86" i="28" s="1"/>
  <c r="F51" i="29"/>
  <c r="H51" i="29" s="1"/>
  <c r="Y51" i="29"/>
  <c r="O13" i="98"/>
  <c r="O12" i="98"/>
  <c r="O7" i="98"/>
  <c r="O8" i="98"/>
  <c r="O5" i="98"/>
  <c r="O6" i="98"/>
  <c r="O10" i="98"/>
  <c r="X79" i="30"/>
  <c r="Z79" i="30" s="1"/>
  <c r="F79" i="30"/>
  <c r="F37" i="211" s="1"/>
  <c r="O8" i="301"/>
  <c r="O10" i="301"/>
  <c r="O5" i="301"/>
  <c r="O6" i="301"/>
  <c r="O5" i="247"/>
  <c r="O7" i="247"/>
  <c r="X37" i="30"/>
  <c r="Z37" i="30" s="1"/>
  <c r="F37" i="30"/>
  <c r="F45" i="298" s="1"/>
  <c r="X42" i="30"/>
  <c r="Z42" i="30" s="1"/>
  <c r="F42" i="30"/>
  <c r="F41" i="298" s="1"/>
  <c r="X52" i="30"/>
  <c r="Z52" i="30" s="1"/>
  <c r="F52" i="30"/>
  <c r="X93" i="30"/>
  <c r="Z93" i="30" s="1"/>
  <c r="F93" i="30"/>
  <c r="F25" i="166" s="1"/>
  <c r="F44" i="30"/>
  <c r="F62" i="114" s="1"/>
  <c r="X44" i="30"/>
  <c r="Z44" i="30" s="1"/>
  <c r="O7" i="57"/>
  <c r="O5" i="57"/>
  <c r="O11" i="57"/>
  <c r="O12" i="57"/>
  <c r="O9" i="57"/>
  <c r="O8" i="57"/>
  <c r="F71" i="30"/>
  <c r="F22" i="192" s="1"/>
  <c r="X71" i="30"/>
  <c r="Z71" i="30" s="1"/>
  <c r="O5" i="62"/>
  <c r="O8" i="62"/>
  <c r="O6" i="62"/>
  <c r="X17" i="30"/>
  <c r="Z17" i="30" s="1"/>
  <c r="F17" i="30"/>
  <c r="F20" i="51" s="1"/>
  <c r="X80" i="30"/>
  <c r="Z80" i="30" s="1"/>
  <c r="F80" i="30"/>
  <c r="X50" i="30"/>
  <c r="Z50" i="30" s="1"/>
  <c r="F50" i="30"/>
  <c r="F26" i="211" s="1"/>
  <c r="O5" i="257"/>
  <c r="O8" i="257"/>
  <c r="O6" i="257"/>
  <c r="O7" i="65"/>
  <c r="O9" i="65"/>
  <c r="O6" i="65"/>
  <c r="O11" i="65"/>
  <c r="O15" i="65"/>
  <c r="O14" i="65"/>
  <c r="O8" i="65"/>
  <c r="O5" i="65"/>
  <c r="O13" i="65"/>
  <c r="O8" i="183"/>
  <c r="O7" i="183"/>
  <c r="O5" i="183"/>
  <c r="O10" i="183"/>
  <c r="X90" i="30"/>
  <c r="Z90" i="30" s="1"/>
  <c r="F90" i="30"/>
  <c r="F27" i="178" s="1"/>
  <c r="F140" i="30"/>
  <c r="F24" i="231" s="1"/>
  <c r="X140" i="30"/>
  <c r="Z140" i="30" s="1"/>
  <c r="X4" i="30"/>
  <c r="Z4" i="30" s="1"/>
  <c r="F4" i="30"/>
  <c r="F31" i="179" s="1"/>
  <c r="O12" i="251"/>
  <c r="O10" i="251"/>
  <c r="O13" i="251"/>
  <c r="O9" i="251"/>
  <c r="O7" i="251"/>
  <c r="O8" i="251"/>
  <c r="O5" i="251"/>
  <c r="X142" i="30"/>
  <c r="Z142" i="30" s="1"/>
  <c r="F142" i="30"/>
  <c r="F34" i="232" s="1"/>
  <c r="X95" i="30"/>
  <c r="Z95" i="30" s="1"/>
  <c r="F95" i="30"/>
  <c r="F36" i="232" s="1"/>
  <c r="O16" i="61"/>
  <c r="O9" i="61"/>
  <c r="O26" i="61"/>
  <c r="O30" i="61"/>
  <c r="O8" i="61"/>
  <c r="O15" i="61"/>
  <c r="O18" i="61"/>
  <c r="O31" i="61"/>
  <c r="O29" i="61"/>
  <c r="O24" i="61"/>
  <c r="O25" i="61"/>
  <c r="O20" i="61"/>
  <c r="O7" i="61"/>
  <c r="O6" i="61"/>
  <c r="O5" i="61"/>
  <c r="O11" i="61"/>
  <c r="O22" i="61"/>
  <c r="O12" i="61"/>
  <c r="O21" i="61"/>
  <c r="O19" i="61"/>
  <c r="O17" i="61"/>
  <c r="O10" i="61"/>
  <c r="O27" i="61"/>
  <c r="O13" i="61"/>
  <c r="O23" i="61"/>
  <c r="L2" i="308"/>
  <c r="L2" i="282"/>
  <c r="O11" i="218"/>
  <c r="O12" i="218"/>
  <c r="O9" i="218"/>
  <c r="O6" i="218"/>
  <c r="O13" i="218"/>
  <c r="O10" i="218"/>
  <c r="O15" i="218"/>
  <c r="O5" i="218"/>
  <c r="O7" i="218"/>
  <c r="O15" i="159"/>
  <c r="O29" i="159"/>
  <c r="O11" i="159"/>
  <c r="O31" i="159"/>
  <c r="O23" i="159"/>
  <c r="O7" i="159"/>
  <c r="O6" i="159"/>
  <c r="O18" i="159"/>
  <c r="O22" i="159"/>
  <c r="O28" i="159"/>
  <c r="O8" i="159"/>
  <c r="O9" i="159"/>
  <c r="O17" i="159"/>
  <c r="O19" i="159"/>
  <c r="O12" i="159"/>
  <c r="O16" i="159"/>
  <c r="O5" i="159"/>
  <c r="O27" i="159"/>
  <c r="O26" i="159"/>
  <c r="O25" i="159"/>
  <c r="O21" i="159"/>
  <c r="O30" i="159"/>
  <c r="O20" i="159"/>
  <c r="O14" i="159"/>
  <c r="X99" i="30"/>
  <c r="Z99" i="30" s="1"/>
  <c r="F99" i="30"/>
  <c r="F21" i="231" s="1"/>
  <c r="O7" i="228"/>
  <c r="O11" i="228"/>
  <c r="O6" i="228"/>
  <c r="O10" i="228"/>
  <c r="O17" i="228"/>
  <c r="O12" i="228"/>
  <c r="O20" i="228"/>
  <c r="O16" i="228"/>
  <c r="O8" i="228"/>
  <c r="O14" i="228"/>
  <c r="O5" i="228"/>
  <c r="O19" i="228"/>
  <c r="O15" i="228"/>
  <c r="O13" i="228"/>
  <c r="X143" i="30"/>
  <c r="Z143" i="30" s="1"/>
  <c r="F143" i="30"/>
  <c r="F35" i="211" s="1"/>
  <c r="X77" i="30"/>
  <c r="Z77" i="30" s="1"/>
  <c r="F77" i="30"/>
  <c r="F44" i="177" s="1"/>
  <c r="O9" i="74"/>
  <c r="O7" i="74"/>
  <c r="O5" i="74"/>
  <c r="O5" i="290"/>
  <c r="O7" i="290"/>
  <c r="X46" i="30"/>
  <c r="Z46" i="30" s="1"/>
  <c r="F46" i="30"/>
  <c r="F37" i="232" s="1"/>
  <c r="O5" i="100"/>
  <c r="O8" i="100"/>
  <c r="O7" i="100"/>
  <c r="O19" i="229"/>
  <c r="O15" i="229"/>
  <c r="O11" i="229"/>
  <c r="O25" i="229"/>
  <c r="O13" i="229"/>
  <c r="O7" i="229"/>
  <c r="O18" i="229"/>
  <c r="O6" i="229"/>
  <c r="O17" i="229"/>
  <c r="O16" i="229"/>
  <c r="O23" i="229"/>
  <c r="O10" i="229"/>
  <c r="O14" i="229"/>
  <c r="O5" i="229"/>
  <c r="O22" i="229"/>
  <c r="O9" i="229"/>
  <c r="O26" i="229"/>
  <c r="O8" i="229"/>
  <c r="O27" i="229"/>
  <c r="O24" i="229"/>
  <c r="O20" i="229"/>
  <c r="F129" i="30"/>
  <c r="X129" i="30"/>
  <c r="Z129" i="30" s="1"/>
  <c r="O11" i="275"/>
  <c r="O17" i="275"/>
  <c r="O21" i="275"/>
  <c r="O6" i="275"/>
  <c r="O14" i="275"/>
  <c r="O8" i="275"/>
  <c r="O10" i="275"/>
  <c r="O7" i="275"/>
  <c r="O13" i="275"/>
  <c r="O15" i="275"/>
  <c r="O20" i="275"/>
  <c r="O5" i="275"/>
  <c r="O19" i="275"/>
  <c r="O11" i="94"/>
  <c r="O23" i="94"/>
  <c r="O12" i="94"/>
  <c r="O22" i="94"/>
  <c r="O20" i="94"/>
  <c r="O15" i="94"/>
  <c r="O9" i="94"/>
  <c r="O6" i="94"/>
  <c r="O19" i="94"/>
  <c r="O16" i="94"/>
  <c r="O7" i="94"/>
  <c r="O5" i="94"/>
  <c r="O14" i="94"/>
  <c r="O21" i="94"/>
  <c r="O8" i="94"/>
  <c r="O24" i="94"/>
  <c r="O18" i="94"/>
  <c r="O13" i="94"/>
  <c r="O5" i="188"/>
  <c r="O13" i="188"/>
  <c r="O19" i="188"/>
  <c r="O15" i="188"/>
  <c r="O11" i="188"/>
  <c r="O9" i="188"/>
  <c r="O6" i="188"/>
  <c r="O10" i="188"/>
  <c r="O7" i="188"/>
  <c r="O12" i="188"/>
  <c r="O17" i="188"/>
  <c r="O18" i="188"/>
  <c r="O14" i="188"/>
  <c r="O5" i="217"/>
  <c r="O7" i="217"/>
  <c r="X25" i="30"/>
  <c r="Z25" i="30" s="1"/>
  <c r="F25" i="30"/>
  <c r="F47" i="298" s="1"/>
  <c r="O7" i="216"/>
  <c r="O5" i="216"/>
  <c r="X68" i="30"/>
  <c r="Z68" i="30" s="1"/>
  <c r="F68" i="30"/>
  <c r="F33" i="171" s="1"/>
  <c r="O7" i="63"/>
  <c r="O5" i="63"/>
  <c r="O10" i="63"/>
  <c r="O8" i="63"/>
  <c r="O12" i="63"/>
  <c r="O9" i="63"/>
  <c r="F55" i="30"/>
  <c r="F30" i="178" s="1"/>
  <c r="X55" i="30"/>
  <c r="Z55" i="30" s="1"/>
  <c r="X94" i="30"/>
  <c r="Z94" i="30" s="1"/>
  <c r="F94" i="30"/>
  <c r="F27" i="211" s="1"/>
  <c r="O11" i="225"/>
  <c r="O9" i="225"/>
  <c r="O8" i="225"/>
  <c r="O5" i="225"/>
  <c r="O10" i="225"/>
  <c r="O12" i="225"/>
  <c r="O14" i="225"/>
  <c r="O7" i="225"/>
  <c r="F81" i="30"/>
  <c r="F47" i="83" s="1"/>
  <c r="X81" i="30"/>
  <c r="Z81" i="30" s="1"/>
  <c r="O9" i="143"/>
  <c r="O20" i="143"/>
  <c r="O15" i="143"/>
  <c r="O18" i="143"/>
  <c r="O12" i="143"/>
  <c r="O21" i="143"/>
  <c r="O5" i="143"/>
  <c r="O7" i="143"/>
  <c r="O14" i="143"/>
  <c r="O22" i="143"/>
  <c r="O19" i="143"/>
  <c r="O16" i="143"/>
  <c r="O10" i="143"/>
  <c r="O6" i="143"/>
  <c r="O23" i="143"/>
  <c r="O8" i="143"/>
  <c r="O13" i="143"/>
  <c r="F85" i="30"/>
  <c r="F28" i="211" s="1"/>
  <c r="X85" i="30"/>
  <c r="Z85" i="30" s="1"/>
  <c r="O12" i="71"/>
  <c r="O10" i="71"/>
  <c r="O5" i="71"/>
  <c r="O11" i="71"/>
  <c r="O13" i="71"/>
  <c r="O7" i="71"/>
  <c r="O8" i="71"/>
  <c r="X109" i="30"/>
  <c r="Z109" i="30" s="1"/>
  <c r="F109" i="30"/>
  <c r="F45" i="83" s="1"/>
  <c r="L2" i="278"/>
  <c r="L2" i="306"/>
  <c r="O9" i="103"/>
  <c r="O15" i="103"/>
  <c r="O20" i="103"/>
  <c r="O16" i="103"/>
  <c r="O19" i="103"/>
  <c r="O10" i="103"/>
  <c r="O13" i="103"/>
  <c r="O7" i="103"/>
  <c r="O6" i="103"/>
  <c r="O5" i="103"/>
  <c r="O8" i="103"/>
  <c r="O12" i="103"/>
  <c r="O14" i="103"/>
  <c r="O23" i="103"/>
  <c r="O18" i="103"/>
  <c r="O21" i="103"/>
  <c r="O22" i="103"/>
  <c r="X33" i="30"/>
  <c r="Z33" i="30" s="1"/>
  <c r="F33" i="30"/>
  <c r="F43" i="298" s="1"/>
  <c r="F60" i="30"/>
  <c r="F22" i="313" s="1"/>
  <c r="X60" i="30"/>
  <c r="Z60" i="30" s="1"/>
  <c r="O15" i="283"/>
  <c r="O13" i="283"/>
  <c r="O12" i="283"/>
  <c r="O7" i="283"/>
  <c r="O17" i="283"/>
  <c r="O9" i="283"/>
  <c r="O11" i="283"/>
  <c r="O18" i="283"/>
  <c r="O6" i="283"/>
  <c r="O5" i="283"/>
  <c r="O8" i="263"/>
  <c r="O5" i="263"/>
  <c r="O10" i="263"/>
  <c r="O6" i="263"/>
  <c r="O14" i="101"/>
  <c r="O12" i="101"/>
  <c r="O18" i="101"/>
  <c r="O22" i="101"/>
  <c r="O7" i="101"/>
  <c r="O11" i="101"/>
  <c r="O20" i="101"/>
  <c r="O13" i="101"/>
  <c r="O8" i="101"/>
  <c r="O15" i="101"/>
  <c r="O6" i="101"/>
  <c r="O24" i="101"/>
  <c r="O21" i="101"/>
  <c r="O9" i="101"/>
  <c r="O5" i="101"/>
  <c r="O19" i="101"/>
  <c r="O23" i="101"/>
  <c r="O16" i="101"/>
  <c r="O39" i="163"/>
  <c r="O20" i="163"/>
  <c r="O14" i="163"/>
  <c r="O42" i="163"/>
  <c r="O9" i="163"/>
  <c r="O6" i="163"/>
  <c r="O13" i="163"/>
  <c r="O19" i="163"/>
  <c r="O10" i="163"/>
  <c r="O30" i="163"/>
  <c r="O41" i="163"/>
  <c r="O7" i="163"/>
  <c r="O12" i="163"/>
  <c r="O35" i="163"/>
  <c r="O11" i="163"/>
  <c r="O28" i="163"/>
  <c r="O29" i="163"/>
  <c r="O31" i="163"/>
  <c r="O25" i="163"/>
  <c r="O38" i="163"/>
  <c r="O15" i="163"/>
  <c r="O26" i="163"/>
  <c r="O23" i="163"/>
  <c r="O5" i="163"/>
  <c r="O40" i="163"/>
  <c r="O43" i="163"/>
  <c r="O36" i="163"/>
  <c r="O34" i="163"/>
  <c r="O33" i="163"/>
  <c r="O37" i="163"/>
  <c r="O18" i="163"/>
  <c r="O27" i="163"/>
  <c r="O16" i="163"/>
  <c r="O24" i="163"/>
  <c r="O21" i="163"/>
  <c r="O17" i="163"/>
  <c r="X73" i="30"/>
  <c r="Z73" i="30" s="1"/>
  <c r="F73" i="30"/>
  <c r="F49" i="298" s="1"/>
  <c r="O8" i="255"/>
  <c r="O6" i="255"/>
  <c r="O5" i="255"/>
  <c r="F137" i="30"/>
  <c r="F33" i="232" s="1"/>
  <c r="X137" i="30"/>
  <c r="Z137" i="30" s="1"/>
  <c r="O11" i="226"/>
  <c r="O12" i="226"/>
  <c r="O7" i="226"/>
  <c r="O5" i="226"/>
  <c r="O8" i="226"/>
  <c r="O10" i="226"/>
  <c r="O6" i="189"/>
  <c r="O16" i="189"/>
  <c r="O19" i="189"/>
  <c r="O7" i="189"/>
  <c r="O13" i="189"/>
  <c r="O24" i="189"/>
  <c r="O18" i="189"/>
  <c r="O25" i="189"/>
  <c r="O22" i="189"/>
  <c r="O20" i="189"/>
  <c r="O8" i="189"/>
  <c r="O9" i="189"/>
  <c r="O17" i="189"/>
  <c r="O5" i="189"/>
  <c r="O15" i="189"/>
  <c r="O23" i="189"/>
  <c r="O12" i="189"/>
  <c r="O14" i="189"/>
  <c r="O11" i="189"/>
  <c r="F23" i="30"/>
  <c r="F24" i="211" s="1"/>
  <c r="X23" i="30"/>
  <c r="Z23" i="30" s="1"/>
  <c r="O5" i="196"/>
  <c r="O10" i="196"/>
  <c r="O7" i="196"/>
  <c r="O8" i="196"/>
  <c r="O12" i="196"/>
  <c r="O9" i="196"/>
  <c r="O5" i="64"/>
  <c r="O9" i="64"/>
  <c r="O14" i="64"/>
  <c r="O15" i="64"/>
  <c r="O11" i="64"/>
  <c r="O7" i="64"/>
  <c r="O13" i="64"/>
  <c r="O6" i="64"/>
  <c r="O8" i="64"/>
  <c r="F110" i="30"/>
  <c r="X110" i="30"/>
  <c r="Z110" i="30" s="1"/>
  <c r="F58" i="30"/>
  <c r="F97" i="128" s="1"/>
  <c r="X58" i="30"/>
  <c r="Z58" i="30" s="1"/>
  <c r="X126" i="30"/>
  <c r="Z126" i="30" s="1"/>
  <c r="F126" i="30"/>
  <c r="F43" i="83" s="1"/>
  <c r="O7" i="77"/>
  <c r="O5" i="77"/>
  <c r="F75" i="30"/>
  <c r="F56" i="236" s="1"/>
  <c r="X75" i="30"/>
  <c r="Z75" i="30" s="1"/>
  <c r="X66" i="30"/>
  <c r="Z66" i="30" s="1"/>
  <c r="F66" i="30"/>
  <c r="F46" i="123" s="1"/>
  <c r="F54" i="30"/>
  <c r="F33" i="47" s="1"/>
  <c r="X54" i="30"/>
  <c r="Z54" i="30" s="1"/>
  <c r="O11" i="81"/>
  <c r="O12" i="81"/>
  <c r="O13" i="81"/>
  <c r="O9" i="81"/>
  <c r="O7" i="81"/>
  <c r="O5" i="81"/>
  <c r="O8" i="81"/>
  <c r="F74" i="30"/>
  <c r="F21" i="313" s="1"/>
  <c r="X74" i="30"/>
  <c r="Z74" i="30" s="1"/>
  <c r="O6" i="223"/>
  <c r="O8" i="223"/>
  <c r="O5" i="223"/>
  <c r="X114" i="30"/>
  <c r="Z114" i="30" s="1"/>
  <c r="F114" i="30"/>
  <c r="F41" i="177" s="1"/>
  <c r="X5" i="30"/>
  <c r="Z5" i="30" s="1"/>
  <c r="F5" i="30"/>
  <c r="F42" i="47" s="1"/>
  <c r="O5" i="162"/>
  <c r="O22" i="162"/>
  <c r="O24" i="162"/>
  <c r="O8" i="162"/>
  <c r="O6" i="162"/>
  <c r="O21" i="162"/>
  <c r="O28" i="162"/>
  <c r="O17" i="162"/>
  <c r="O19" i="162"/>
  <c r="O18" i="162"/>
  <c r="O12" i="162"/>
  <c r="O15" i="162"/>
  <c r="O30" i="162"/>
  <c r="O31" i="162"/>
  <c r="O20" i="162"/>
  <c r="O27" i="162"/>
  <c r="O29" i="162"/>
  <c r="O7" i="162"/>
  <c r="O26" i="162"/>
  <c r="O25" i="162"/>
  <c r="O11" i="162"/>
  <c r="O14" i="162"/>
  <c r="O9" i="162"/>
  <c r="O13" i="162"/>
  <c r="O16" i="162"/>
  <c r="F31" i="30"/>
  <c r="F40" i="298" s="1"/>
  <c r="X31" i="30"/>
  <c r="Z31" i="30" s="1"/>
  <c r="F84" i="30"/>
  <c r="F25" i="231" s="1"/>
  <c r="X84" i="30"/>
  <c r="Z84" i="30" s="1"/>
  <c r="X141" i="30"/>
  <c r="Z141" i="30" s="1"/>
  <c r="F141" i="30"/>
  <c r="F36" i="211" s="1"/>
  <c r="O6" i="117"/>
  <c r="O11" i="117"/>
  <c r="O5" i="117"/>
  <c r="O9" i="117"/>
  <c r="O8" i="117"/>
  <c r="F59" i="30"/>
  <c r="F31" i="47" s="1"/>
  <c r="X59" i="30"/>
  <c r="Z59" i="30" s="1"/>
  <c r="O14" i="97"/>
  <c r="O8" i="97"/>
  <c r="O16" i="97"/>
  <c r="O6" i="97"/>
  <c r="O5" i="97"/>
  <c r="O7" i="97"/>
  <c r="O12" i="97"/>
  <c r="O10" i="97"/>
  <c r="O17" i="97"/>
  <c r="O18" i="97"/>
  <c r="O11" i="97"/>
  <c r="O13" i="97"/>
  <c r="O9" i="56"/>
  <c r="O7" i="56"/>
  <c r="O5" i="56"/>
  <c r="F65" i="30"/>
  <c r="F30" i="167" s="1"/>
  <c r="X65" i="30"/>
  <c r="Z65" i="30" s="1"/>
  <c r="O5" i="118"/>
  <c r="O10" i="118"/>
  <c r="O14" i="118"/>
  <c r="O6" i="118"/>
  <c r="O13" i="118"/>
  <c r="O11" i="118"/>
  <c r="O17" i="118"/>
  <c r="O15" i="118"/>
  <c r="O9" i="118"/>
  <c r="O16" i="118"/>
  <c r="O7" i="118"/>
  <c r="O23" i="146"/>
  <c r="O37" i="146"/>
  <c r="O5" i="146"/>
  <c r="O30" i="146"/>
  <c r="O24" i="146"/>
  <c r="O21" i="146"/>
  <c r="O42" i="146"/>
  <c r="O29" i="146"/>
  <c r="O6" i="146"/>
  <c r="O15" i="146"/>
  <c r="O26" i="146"/>
  <c r="O11" i="146"/>
  <c r="O12" i="146"/>
  <c r="O41" i="146"/>
  <c r="O10" i="146"/>
  <c r="O7" i="146"/>
  <c r="O34" i="146"/>
  <c r="O31" i="146"/>
  <c r="O35" i="146"/>
  <c r="O33" i="146"/>
  <c r="O17" i="146"/>
  <c r="O9" i="146"/>
  <c r="O16" i="146"/>
  <c r="O39" i="146"/>
  <c r="O25" i="146"/>
  <c r="O43" i="146"/>
  <c r="O28" i="146"/>
  <c r="O40" i="146"/>
  <c r="O36" i="146"/>
  <c r="O27" i="146"/>
  <c r="O14" i="146"/>
  <c r="O19" i="146"/>
  <c r="O18" i="146"/>
  <c r="O20" i="146"/>
  <c r="O13" i="146"/>
  <c r="O38" i="146"/>
  <c r="O7" i="79"/>
  <c r="O5" i="79"/>
  <c r="O15" i="92"/>
  <c r="O8" i="92"/>
  <c r="O12" i="92"/>
  <c r="O7" i="92"/>
  <c r="O14" i="92"/>
  <c r="O9" i="92"/>
  <c r="O13" i="92"/>
  <c r="O5" i="92"/>
  <c r="O10" i="92"/>
  <c r="O8" i="139"/>
  <c r="O13" i="139"/>
  <c r="O12" i="139"/>
  <c r="O6" i="139"/>
  <c r="O5" i="139"/>
  <c r="O14" i="139"/>
  <c r="O7" i="139"/>
  <c r="O10" i="139"/>
  <c r="O5" i="287"/>
  <c r="O12" i="287"/>
  <c r="O6" i="287"/>
  <c r="O7" i="287"/>
  <c r="O9" i="287"/>
  <c r="O11" i="287"/>
  <c r="O15" i="287"/>
  <c r="O13" i="287"/>
  <c r="O17" i="287"/>
  <c r="O18" i="287"/>
  <c r="O8" i="144"/>
  <c r="O9" i="144"/>
  <c r="O21" i="144"/>
  <c r="O13" i="144"/>
  <c r="O12" i="144"/>
  <c r="O19" i="144"/>
  <c r="O23" i="144"/>
  <c r="O5" i="144"/>
  <c r="O18" i="144"/>
  <c r="O20" i="144"/>
  <c r="O16" i="144"/>
  <c r="O11" i="144"/>
  <c r="O22" i="144"/>
  <c r="O6" i="144"/>
  <c r="O24" i="144"/>
  <c r="O7" i="144"/>
  <c r="O15" i="144"/>
  <c r="O14" i="144"/>
  <c r="F61" i="30"/>
  <c r="F26" i="112" s="1"/>
  <c r="X61" i="30"/>
  <c r="Z61" i="30" s="1"/>
  <c r="O10" i="199"/>
  <c r="O22" i="199"/>
  <c r="O25" i="199"/>
  <c r="O13" i="199"/>
  <c r="O7" i="199"/>
  <c r="O24" i="199"/>
  <c r="O9" i="199"/>
  <c r="O20" i="199"/>
  <c r="O8" i="199"/>
  <c r="O17" i="199"/>
  <c r="O19" i="199"/>
  <c r="O26" i="199"/>
  <c r="O21" i="199"/>
  <c r="O5" i="199"/>
  <c r="O11" i="199"/>
  <c r="O18" i="199"/>
  <c r="O6" i="199"/>
  <c r="O8" i="270"/>
  <c r="O5" i="270"/>
  <c r="O13" i="270"/>
  <c r="O16" i="270"/>
  <c r="O23" i="270"/>
  <c r="O10" i="270"/>
  <c r="O15" i="270"/>
  <c r="O17" i="270"/>
  <c r="O12" i="270"/>
  <c r="O11" i="270"/>
  <c r="O7" i="270"/>
  <c r="O20" i="270"/>
  <c r="O14" i="270"/>
  <c r="O21" i="270"/>
  <c r="O18" i="270"/>
  <c r="O6" i="270"/>
  <c r="O22" i="270"/>
  <c r="O10" i="206"/>
  <c r="O7" i="206"/>
  <c r="O5" i="206"/>
  <c r="O8" i="206"/>
  <c r="X127" i="30"/>
  <c r="Z127" i="30" s="1"/>
  <c r="F127" i="30"/>
  <c r="F30" i="211" s="1"/>
  <c r="O7" i="220"/>
  <c r="O15" i="220"/>
  <c r="O14" i="220"/>
  <c r="O11" i="220"/>
  <c r="O8" i="220"/>
  <c r="O10" i="220"/>
  <c r="O12" i="220"/>
  <c r="O5" i="220"/>
  <c r="O9" i="220"/>
  <c r="F89" i="30"/>
  <c r="F26" i="167" s="1"/>
  <c r="X89" i="30"/>
  <c r="Z89" i="30" s="1"/>
  <c r="F57" i="30"/>
  <c r="F28" i="166" s="1"/>
  <c r="X57" i="30"/>
  <c r="Z57" i="30" s="1"/>
  <c r="X76" i="30"/>
  <c r="Z76" i="30" s="1"/>
  <c r="F76" i="30"/>
  <c r="F20" i="192" s="1"/>
  <c r="X104" i="30"/>
  <c r="Z104" i="30" s="1"/>
  <c r="F104" i="30"/>
  <c r="F95" i="128" s="1"/>
  <c r="F111" i="30"/>
  <c r="F34" i="211" s="1"/>
  <c r="X111" i="30"/>
  <c r="Z111" i="30" s="1"/>
  <c r="X134" i="30"/>
  <c r="Z134" i="30" s="1"/>
  <c r="F134" i="30"/>
  <c r="F93" i="128" s="1"/>
  <c r="F83" i="30"/>
  <c r="F39" i="83" s="1"/>
  <c r="X83" i="30"/>
  <c r="Z83" i="30" s="1"/>
  <c r="F139" i="30"/>
  <c r="F22" i="233" s="1"/>
  <c r="X139" i="30"/>
  <c r="Z139" i="30" s="1"/>
  <c r="O5" i="215"/>
  <c r="O7" i="215"/>
  <c r="X21" i="30"/>
  <c r="Z21" i="30" s="1"/>
  <c r="F21" i="30"/>
  <c r="F40" i="47" s="1"/>
  <c r="O11" i="104"/>
  <c r="O15" i="104"/>
  <c r="O13" i="104"/>
  <c r="O6" i="104"/>
  <c r="O17" i="104"/>
  <c r="O7" i="104"/>
  <c r="O22" i="104"/>
  <c r="O12" i="104"/>
  <c r="O21" i="104"/>
  <c r="O18" i="104"/>
  <c r="O14" i="104"/>
  <c r="O19" i="104"/>
  <c r="O5" i="104"/>
  <c r="O20" i="104"/>
  <c r="O9" i="104"/>
  <c r="O8" i="104"/>
  <c r="F96" i="30"/>
  <c r="X96" i="30"/>
  <c r="Z96" i="30" s="1"/>
  <c r="X106" i="30"/>
  <c r="Z106" i="30" s="1"/>
  <c r="F106" i="30"/>
  <c r="O19" i="286"/>
  <c r="O8" i="286"/>
  <c r="O11" i="286"/>
  <c r="O10" i="286"/>
  <c r="O15" i="286"/>
  <c r="O7" i="286"/>
  <c r="O21" i="286"/>
  <c r="O13" i="286"/>
  <c r="O5" i="286"/>
  <c r="O6" i="286"/>
  <c r="O20" i="286"/>
  <c r="O17" i="286"/>
  <c r="O14" i="286"/>
  <c r="O11" i="60"/>
  <c r="O14" i="60"/>
  <c r="O9" i="60"/>
  <c r="O8" i="60"/>
  <c r="O12" i="60"/>
  <c r="O16" i="60"/>
  <c r="O7" i="60"/>
  <c r="O5" i="60"/>
  <c r="O6" i="60"/>
  <c r="O15" i="60"/>
  <c r="X56" i="30"/>
  <c r="Z56" i="30" s="1"/>
  <c r="F56" i="30"/>
  <c r="F25" i="211" s="1"/>
  <c r="F45" i="30"/>
  <c r="F35" i="177" s="1"/>
  <c r="X45" i="30"/>
  <c r="Z45" i="30" s="1"/>
  <c r="X29" i="30"/>
  <c r="Z29" i="30" s="1"/>
  <c r="F29" i="30"/>
  <c r="F39" i="298" s="1"/>
  <c r="X122" i="30"/>
  <c r="Z122" i="30" s="1"/>
  <c r="F122" i="30"/>
  <c r="F39" i="177" s="1"/>
  <c r="O8" i="207"/>
  <c r="O10" i="207"/>
  <c r="O7" i="207"/>
  <c r="O5" i="207"/>
  <c r="O7" i="55"/>
  <c r="O8" i="55"/>
  <c r="O11" i="55"/>
  <c r="O12" i="55"/>
  <c r="O9" i="55"/>
  <c r="O14" i="55"/>
  <c r="O5" i="55"/>
  <c r="O6" i="55"/>
  <c r="O10" i="249"/>
  <c r="O5" i="249"/>
  <c r="O16" i="249"/>
  <c r="O9" i="249"/>
  <c r="O19" i="249"/>
  <c r="O14" i="249"/>
  <c r="O11" i="249"/>
  <c r="O18" i="249"/>
  <c r="O7" i="249"/>
  <c r="O12" i="249"/>
  <c r="O17" i="249"/>
  <c r="O13" i="249"/>
  <c r="O8" i="249"/>
  <c r="F107" i="30"/>
  <c r="X107" i="30"/>
  <c r="Z107" i="30" s="1"/>
  <c r="O7" i="54"/>
  <c r="O11" i="54"/>
  <c r="O8" i="54"/>
  <c r="O9" i="54"/>
  <c r="O5" i="54"/>
  <c r="X86" i="30"/>
  <c r="Z86" i="30" s="1"/>
  <c r="F86" i="30"/>
  <c r="F27" i="166" s="1"/>
  <c r="F117" i="30"/>
  <c r="F91" i="128" s="1"/>
  <c r="X117" i="30"/>
  <c r="Z117" i="30" s="1"/>
  <c r="X48" i="30"/>
  <c r="Z48" i="30" s="1"/>
  <c r="F48" i="30"/>
  <c r="F51" i="298" s="1"/>
  <c r="O11" i="250"/>
  <c r="O9" i="250"/>
  <c r="O8" i="250"/>
  <c r="O7" i="250"/>
  <c r="O12" i="250"/>
  <c r="O5" i="250"/>
  <c r="O14" i="93"/>
  <c r="O16" i="93"/>
  <c r="O11" i="93"/>
  <c r="O7" i="93"/>
  <c r="O6" i="93"/>
  <c r="O13" i="93"/>
  <c r="O18" i="93"/>
  <c r="O5" i="93"/>
  <c r="O15" i="93"/>
  <c r="O8" i="93"/>
  <c r="O10" i="93"/>
  <c r="F88" i="30"/>
  <c r="F48" i="177" s="1"/>
  <c r="X88" i="30"/>
  <c r="Z88" i="30" s="1"/>
  <c r="F123" i="30"/>
  <c r="F43" i="177" s="1"/>
  <c r="X123" i="30"/>
  <c r="Z123" i="30" s="1"/>
  <c r="F43" i="30"/>
  <c r="F45" i="123" s="1"/>
  <c r="X43" i="30"/>
  <c r="Z43" i="30" s="1"/>
  <c r="O5" i="78"/>
  <c r="O7" i="78"/>
  <c r="O5" i="140"/>
  <c r="O9" i="140"/>
  <c r="O6" i="140"/>
  <c r="O7" i="140"/>
  <c r="O11" i="140"/>
  <c r="O17" i="285"/>
  <c r="O8" i="285"/>
  <c r="O7" i="285"/>
  <c r="O14" i="285"/>
  <c r="O15" i="285"/>
  <c r="O20" i="285"/>
  <c r="O10" i="285"/>
  <c r="O13" i="285"/>
  <c r="O19" i="285"/>
  <c r="O11" i="285"/>
  <c r="O21" i="285"/>
  <c r="O6" i="285"/>
  <c r="O5" i="285"/>
  <c r="O8" i="68"/>
  <c r="O10" i="68"/>
  <c r="O11" i="68"/>
  <c r="O15" i="68"/>
  <c r="O5" i="68"/>
  <c r="O13" i="68"/>
  <c r="O6" i="68"/>
  <c r="O9" i="68"/>
  <c r="O14" i="68"/>
  <c r="O12" i="59"/>
  <c r="O15" i="59"/>
  <c r="O14" i="59"/>
  <c r="O11" i="59"/>
  <c r="O5" i="59"/>
  <c r="O10" i="59"/>
  <c r="O6" i="59"/>
  <c r="O9" i="59"/>
  <c r="O7" i="59"/>
  <c r="O16" i="59"/>
  <c r="O18" i="59"/>
  <c r="O17" i="59"/>
  <c r="X72" i="30"/>
  <c r="Z72" i="30" s="1"/>
  <c r="F72" i="30"/>
  <c r="F21" i="192" s="1"/>
  <c r="O5" i="222"/>
  <c r="O6" i="222"/>
  <c r="O8" i="222"/>
  <c r="O8" i="253"/>
  <c r="O6" i="253"/>
  <c r="O5" i="253"/>
  <c r="O5" i="150"/>
  <c r="O16" i="150"/>
  <c r="O21" i="150"/>
  <c r="O29" i="150"/>
  <c r="O8" i="150"/>
  <c r="O25" i="150"/>
  <c r="O22" i="150"/>
  <c r="O7" i="150"/>
  <c r="O30" i="150"/>
  <c r="O19" i="150"/>
  <c r="O31" i="150"/>
  <c r="O23" i="150"/>
  <c r="O20" i="150"/>
  <c r="O26" i="150"/>
  <c r="O18" i="150"/>
  <c r="O15" i="150"/>
  <c r="O28" i="150"/>
  <c r="O27" i="150"/>
  <c r="O17" i="150"/>
  <c r="O14" i="150"/>
  <c r="O6" i="150"/>
  <c r="O11" i="150"/>
  <c r="O9" i="150"/>
  <c r="O12" i="150"/>
  <c r="O14" i="141"/>
  <c r="O11" i="141"/>
  <c r="O10" i="141"/>
  <c r="O8" i="141"/>
  <c r="O13" i="141"/>
  <c r="O5" i="141"/>
  <c r="O9" i="141"/>
  <c r="O7" i="141"/>
  <c r="X78" i="30"/>
  <c r="Z78" i="30" s="1"/>
  <c r="F78" i="30"/>
  <c r="F21" i="233" s="1"/>
  <c r="O10" i="221"/>
  <c r="O13" i="221"/>
  <c r="O5" i="221"/>
  <c r="O11" i="221"/>
  <c r="O9" i="221"/>
  <c r="O8" i="221"/>
  <c r="O7" i="221"/>
  <c r="L2" i="288"/>
  <c r="L2" i="311"/>
  <c r="O6" i="124"/>
  <c r="O10" i="124"/>
  <c r="O13" i="124"/>
  <c r="O20" i="124"/>
  <c r="O12" i="124"/>
  <c r="O5" i="124"/>
  <c r="O15" i="124"/>
  <c r="O21" i="124"/>
  <c r="O17" i="124"/>
  <c r="O7" i="124"/>
  <c r="O14" i="124"/>
  <c r="O16" i="124"/>
  <c r="O9" i="124"/>
  <c r="O8" i="124"/>
  <c r="O18" i="124"/>
  <c r="O22" i="124"/>
  <c r="O9" i="269"/>
  <c r="O6" i="269"/>
  <c r="O20" i="269"/>
  <c r="O21" i="269"/>
  <c r="O16" i="269"/>
  <c r="O17" i="269"/>
  <c r="O19" i="269"/>
  <c r="O13" i="269"/>
  <c r="O7" i="269"/>
  <c r="O5" i="269"/>
  <c r="O15" i="269"/>
  <c r="O11" i="269"/>
  <c r="O22" i="269"/>
  <c r="O12" i="269"/>
  <c r="O10" i="269"/>
  <c r="O14" i="269"/>
  <c r="O7" i="273"/>
  <c r="O5" i="273"/>
  <c r="O9" i="67"/>
  <c r="O7" i="67"/>
  <c r="O5" i="67"/>
  <c r="O10" i="67"/>
  <c r="O8" i="67"/>
  <c r="O9" i="138"/>
  <c r="O8" i="138"/>
  <c r="O10" i="138"/>
  <c r="O7" i="138"/>
  <c r="O14" i="138"/>
  <c r="O5" i="138"/>
  <c r="O13" i="138"/>
  <c r="O12" i="138"/>
  <c r="O7" i="115"/>
  <c r="O9" i="115"/>
  <c r="O5" i="115"/>
  <c r="O7" i="304"/>
  <c r="O5" i="304"/>
  <c r="O9" i="304"/>
  <c r="O10" i="304"/>
  <c r="O8" i="304"/>
  <c r="O11" i="304"/>
  <c r="O13" i="304"/>
  <c r="F63" i="30"/>
  <c r="F50" i="298" s="1"/>
  <c r="X63" i="30"/>
  <c r="Z63" i="30" s="1"/>
  <c r="O6" i="258"/>
  <c r="O8" i="258"/>
  <c r="O5" i="258"/>
  <c r="O10" i="119"/>
  <c r="O7" i="119"/>
  <c r="O11" i="119"/>
  <c r="O5" i="119"/>
  <c r="O8" i="119"/>
  <c r="F92" i="30"/>
  <c r="F91" i="193" s="1"/>
  <c r="X92" i="30"/>
  <c r="Z92" i="30" s="1"/>
  <c r="O10" i="168"/>
  <c r="O7" i="168"/>
  <c r="O8" i="168"/>
  <c r="O5" i="168"/>
  <c r="X24" i="30"/>
  <c r="Z24" i="30" s="1"/>
  <c r="F24" i="30"/>
  <c r="F46" i="298" s="1"/>
  <c r="O7" i="299"/>
  <c r="O10" i="299"/>
  <c r="O5" i="299"/>
  <c r="O9" i="299"/>
  <c r="X32" i="30"/>
  <c r="Z32" i="30" s="1"/>
  <c r="F32" i="30"/>
  <c r="F29" i="47" s="1"/>
  <c r="X67" i="30"/>
  <c r="Z67" i="30" s="1"/>
  <c r="F67" i="30"/>
  <c r="F50" i="165" s="1"/>
  <c r="X53" i="30"/>
  <c r="Z53" i="30" s="1"/>
  <c r="F53" i="30"/>
  <c r="F28" i="167" s="1"/>
  <c r="F19" i="30"/>
  <c r="F40" i="211" s="1"/>
  <c r="X19" i="30"/>
  <c r="Z19" i="30" s="1"/>
  <c r="F62" i="30"/>
  <c r="F29" i="167" s="1"/>
  <c r="X62" i="30"/>
  <c r="Z62" i="30" s="1"/>
  <c r="O5" i="305"/>
  <c r="O7" i="305"/>
  <c r="O7" i="274"/>
  <c r="O5" i="274"/>
  <c r="F121" i="30"/>
  <c r="F24" i="233" s="1"/>
  <c r="X121" i="30"/>
  <c r="Z121" i="30" s="1"/>
  <c r="F135" i="30"/>
  <c r="F32" i="211" s="1"/>
  <c r="X135" i="30"/>
  <c r="Z135" i="30" s="1"/>
  <c r="X41" i="30"/>
  <c r="Z41" i="30" s="1"/>
  <c r="F41" i="30"/>
  <c r="F42" i="298" s="1"/>
  <c r="O10" i="184"/>
  <c r="O7" i="184"/>
  <c r="O8" i="184"/>
  <c r="O5" i="184"/>
  <c r="F138" i="30"/>
  <c r="F29" i="179" s="1"/>
  <c r="X138" i="30"/>
  <c r="Z138" i="30" s="1"/>
  <c r="O6" i="84"/>
  <c r="O17" i="84"/>
  <c r="O11" i="84"/>
  <c r="O7" i="84"/>
  <c r="O10" i="84"/>
  <c r="O16" i="84"/>
  <c r="O5" i="84"/>
  <c r="O12" i="84"/>
  <c r="O9" i="84"/>
  <c r="O13" i="84"/>
  <c r="O14" i="84"/>
  <c r="F125" i="30"/>
  <c r="F22" i="231" s="1"/>
  <c r="X125" i="30"/>
  <c r="Z125" i="30" s="1"/>
  <c r="F124" i="30"/>
  <c r="F42" i="83" s="1"/>
  <c r="X124" i="30"/>
  <c r="Z124" i="30" s="1"/>
  <c r="X115" i="30"/>
  <c r="Z115" i="30" s="1"/>
  <c r="F115" i="30"/>
  <c r="F40" i="177" s="1"/>
  <c r="O12" i="91"/>
  <c r="O9" i="91"/>
  <c r="O11" i="91"/>
  <c r="O5" i="91"/>
  <c r="O8" i="91"/>
  <c r="O7" i="91"/>
  <c r="X108" i="30"/>
  <c r="Z108" i="30" s="1"/>
  <c r="F108" i="30"/>
  <c r="F33" i="211" s="1"/>
  <c r="F47" i="30"/>
  <c r="F46" i="83" s="1"/>
  <c r="X47" i="30"/>
  <c r="Z47" i="30" s="1"/>
  <c r="O5" i="95"/>
  <c r="O8" i="95"/>
  <c r="O20" i="95"/>
  <c r="O7" i="95"/>
  <c r="O15" i="95"/>
  <c r="O19" i="95"/>
  <c r="O22" i="95"/>
  <c r="O13" i="95"/>
  <c r="O17" i="95"/>
  <c r="O6" i="95"/>
  <c r="O21" i="95"/>
  <c r="O12" i="95"/>
  <c r="O18" i="95"/>
  <c r="O14" i="95"/>
  <c r="O11" i="95"/>
  <c r="O9" i="95"/>
  <c r="O17" i="277"/>
  <c r="O12" i="277"/>
  <c r="O7" i="277"/>
  <c r="O13" i="277"/>
  <c r="O9" i="277"/>
  <c r="O18" i="277"/>
  <c r="O5" i="277"/>
  <c r="O15" i="277"/>
  <c r="O6" i="277"/>
  <c r="O11" i="277"/>
  <c r="F20" i="30"/>
  <c r="F30" i="47" s="1"/>
  <c r="X20" i="30"/>
  <c r="Z20" i="30" s="1"/>
  <c r="O6" i="219"/>
  <c r="O5" i="219"/>
  <c r="O11" i="219"/>
  <c r="O9" i="219"/>
  <c r="O12" i="219"/>
  <c r="O15" i="219"/>
  <c r="O13" i="219"/>
  <c r="O8" i="219"/>
  <c r="O16" i="219"/>
  <c r="O10" i="219"/>
  <c r="F70" i="30"/>
  <c r="F40" i="83" s="1"/>
  <c r="X70" i="30"/>
  <c r="Z70" i="30" s="1"/>
  <c r="O11" i="96"/>
  <c r="O5" i="96"/>
  <c r="O13" i="96"/>
  <c r="O12" i="96"/>
  <c r="O9" i="96"/>
  <c r="O7" i="96"/>
  <c r="O8" i="96"/>
  <c r="F101" i="30"/>
  <c r="F38" i="211" s="1"/>
  <c r="X101" i="30"/>
  <c r="Z101" i="30" s="1"/>
  <c r="F18" i="30"/>
  <c r="F41" i="47" s="1"/>
  <c r="X18" i="30"/>
  <c r="Z18" i="30" s="1"/>
  <c r="F51" i="30"/>
  <c r="F32" i="47" s="1"/>
  <c r="X51" i="30"/>
  <c r="Z51" i="30" s="1"/>
  <c r="O19" i="135"/>
  <c r="O15" i="135"/>
  <c r="O16" i="135"/>
  <c r="O7" i="135"/>
  <c r="O14" i="135"/>
  <c r="O5" i="135"/>
  <c r="O8" i="135"/>
  <c r="O13" i="135"/>
  <c r="O11" i="135"/>
  <c r="O18" i="135"/>
  <c r="O6" i="135"/>
  <c r="O10" i="135"/>
  <c r="O7" i="134"/>
  <c r="O5" i="134"/>
  <c r="O9" i="134"/>
  <c r="O10" i="134"/>
  <c r="O15" i="203"/>
  <c r="O7" i="203"/>
  <c r="O5" i="203"/>
  <c r="O16" i="203"/>
  <c r="O11" i="203"/>
  <c r="O17" i="203"/>
  <c r="O9" i="203"/>
  <c r="O10" i="203"/>
  <c r="O13" i="203"/>
  <c r="O12" i="203"/>
  <c r="X30" i="30"/>
  <c r="Z30" i="30" s="1"/>
  <c r="F30" i="30"/>
  <c r="F48" i="298" s="1"/>
  <c r="X69" i="30"/>
  <c r="Z69" i="30" s="1"/>
  <c r="F69" i="30"/>
  <c r="O11" i="187"/>
  <c r="O10" i="187"/>
  <c r="O7" i="187"/>
  <c r="O8" i="187"/>
  <c r="O5" i="187"/>
  <c r="O13" i="187"/>
  <c r="O5" i="197"/>
  <c r="O9" i="197"/>
  <c r="O10" i="197"/>
  <c r="O12" i="197"/>
  <c r="O8" i="197"/>
  <c r="O7" i="197"/>
  <c r="X87" i="30"/>
  <c r="Z87" i="30" s="1"/>
  <c r="F87" i="30"/>
  <c r="O7" i="185"/>
  <c r="O8" i="185"/>
  <c r="O5" i="185"/>
  <c r="O10" i="185"/>
  <c r="O6" i="190"/>
  <c r="O28" i="190"/>
  <c r="O23" i="190"/>
  <c r="O22" i="190"/>
  <c r="O8" i="190"/>
  <c r="O12" i="190"/>
  <c r="O13" i="190"/>
  <c r="O24" i="190"/>
  <c r="O18" i="190"/>
  <c r="O14" i="190"/>
  <c r="O29" i="190"/>
  <c r="O19" i="190"/>
  <c r="O5" i="190"/>
  <c r="O16" i="190"/>
  <c r="O21" i="190"/>
  <c r="O26" i="190"/>
  <c r="O27" i="190"/>
  <c r="O11" i="190"/>
  <c r="O9" i="190"/>
  <c r="O17" i="190"/>
  <c r="O20" i="190"/>
  <c r="O7" i="190"/>
  <c r="O15" i="190"/>
  <c r="O15" i="58"/>
  <c r="O11" i="58"/>
  <c r="O14" i="58"/>
  <c r="O13" i="58"/>
  <c r="O6" i="58"/>
  <c r="O9" i="58"/>
  <c r="O8" i="58"/>
  <c r="O5" i="58"/>
  <c r="O10" i="58"/>
  <c r="O9" i="280"/>
  <c r="O11" i="280"/>
  <c r="O30" i="280"/>
  <c r="O29" i="280"/>
  <c r="O5" i="280"/>
  <c r="O12" i="280"/>
  <c r="O17" i="280"/>
  <c r="O14" i="280"/>
  <c r="O10" i="280"/>
  <c r="O19" i="280"/>
  <c r="O24" i="280"/>
  <c r="O25" i="280"/>
  <c r="O18" i="280"/>
  <c r="O6" i="280"/>
  <c r="O28" i="280"/>
  <c r="O22" i="280"/>
  <c r="O15" i="280"/>
  <c r="O7" i="280"/>
  <c r="O23" i="280"/>
  <c r="O26" i="280"/>
  <c r="O16" i="280"/>
  <c r="O20" i="280"/>
  <c r="F132" i="30"/>
  <c r="F44" i="83" s="1"/>
  <c r="X132" i="30"/>
  <c r="Z132" i="30" s="1"/>
  <c r="X116" i="30"/>
  <c r="Z116" i="30" s="1"/>
  <c r="F116" i="30"/>
  <c r="F29" i="211" s="1"/>
  <c r="O7" i="116"/>
  <c r="O5" i="116"/>
  <c r="L2" i="297"/>
  <c r="L2" i="312"/>
  <c r="X128" i="30"/>
  <c r="Z128" i="30" s="1"/>
  <c r="F128" i="30"/>
  <c r="F31" i="211" s="1"/>
  <c r="O20" i="145"/>
  <c r="O9" i="145"/>
  <c r="O25" i="145"/>
  <c r="O26" i="145"/>
  <c r="O8" i="145"/>
  <c r="O29" i="145"/>
  <c r="O22" i="145"/>
  <c r="O16" i="145"/>
  <c r="O24" i="145"/>
  <c r="O17" i="145"/>
  <c r="O27" i="145"/>
  <c r="O14" i="145"/>
  <c r="O21" i="145"/>
  <c r="O7" i="145"/>
  <c r="O18" i="145"/>
  <c r="O5" i="145"/>
  <c r="O15" i="145"/>
  <c r="O6" i="145"/>
  <c r="O11" i="145"/>
  <c r="O19" i="145"/>
  <c r="O31" i="145"/>
  <c r="O12" i="145"/>
  <c r="O28" i="145"/>
  <c r="O30" i="145"/>
  <c r="O13" i="145"/>
  <c r="O21" i="142"/>
  <c r="O11" i="142"/>
  <c r="O9" i="142"/>
  <c r="O13" i="142"/>
  <c r="O19" i="142"/>
  <c r="O20" i="142"/>
  <c r="O5" i="142"/>
  <c r="O7" i="142"/>
  <c r="O12" i="142"/>
  <c r="O23" i="142"/>
  <c r="O6" i="142"/>
  <c r="O22" i="142"/>
  <c r="O8" i="142"/>
  <c r="O14" i="142"/>
  <c r="O24" i="142"/>
  <c r="O15" i="142"/>
  <c r="O18" i="142"/>
  <c r="O16" i="142"/>
  <c r="X64" i="30"/>
  <c r="Z64" i="30" s="1"/>
  <c r="F64" i="30"/>
  <c r="X120" i="30"/>
  <c r="Z120" i="30" s="1"/>
  <c r="F120" i="30"/>
  <c r="F38" i="177" s="1"/>
  <c r="O13" i="137"/>
  <c r="O5" i="137"/>
  <c r="O9" i="137"/>
  <c r="O14" i="137"/>
  <c r="O22" i="137"/>
  <c r="O23" i="137"/>
  <c r="O6" i="137"/>
  <c r="O16" i="137"/>
  <c r="O19" i="137"/>
  <c r="O15" i="137"/>
  <c r="O18" i="137"/>
  <c r="O8" i="137"/>
  <c r="O10" i="137"/>
  <c r="O7" i="137"/>
  <c r="O20" i="137"/>
  <c r="O12" i="137"/>
  <c r="O21" i="137"/>
  <c r="O7" i="309"/>
  <c r="O5" i="309"/>
  <c r="O10" i="300"/>
  <c r="O14" i="300"/>
  <c r="O7" i="300"/>
  <c r="O11" i="300"/>
  <c r="O8" i="300"/>
  <c r="O17" i="300"/>
  <c r="O16" i="300"/>
  <c r="O12" i="300"/>
  <c r="O15" i="300"/>
  <c r="O9" i="300"/>
  <c r="O5" i="300"/>
  <c r="F100" i="30"/>
  <c r="F36" i="47" s="1"/>
  <c r="X100" i="30"/>
  <c r="Z100" i="30" s="1"/>
  <c r="O8" i="227"/>
  <c r="O10" i="227"/>
  <c r="O7" i="227"/>
  <c r="O5" i="227"/>
  <c r="F130" i="30"/>
  <c r="X130" i="30"/>
  <c r="Z130" i="30" s="1"/>
  <c r="F91" i="30"/>
  <c r="F42" i="177" s="1"/>
  <c r="X91" i="30"/>
  <c r="Z91" i="30" s="1"/>
  <c r="O5" i="99"/>
  <c r="O8" i="99"/>
  <c r="O7" i="99"/>
  <c r="F40" i="30"/>
  <c r="X40" i="30"/>
  <c r="Z40" i="30" s="1"/>
  <c r="O5" i="307"/>
  <c r="O7" i="307"/>
  <c r="O10" i="52"/>
  <c r="O16" i="52"/>
  <c r="O12" i="52"/>
  <c r="O8" i="52"/>
  <c r="O9" i="52"/>
  <c r="O14" i="52"/>
  <c r="O15" i="52"/>
  <c r="O7" i="52"/>
  <c r="O11" i="52"/>
  <c r="O5" i="52"/>
  <c r="O6" i="224"/>
  <c r="O8" i="224"/>
  <c r="O5" i="224"/>
  <c r="F105" i="30"/>
  <c r="F25" i="178" s="1"/>
  <c r="X105" i="30"/>
  <c r="Z105" i="30" s="1"/>
  <c r="O5" i="246"/>
  <c r="O7" i="246"/>
  <c r="O12" i="252"/>
  <c r="O10" i="252"/>
  <c r="O13" i="252"/>
  <c r="O9" i="252"/>
  <c r="O7" i="252"/>
  <c r="O5" i="252"/>
  <c r="O8" i="252"/>
  <c r="F97" i="30"/>
  <c r="X97" i="30"/>
  <c r="Z97" i="30" s="1"/>
  <c r="X103" i="30"/>
  <c r="Z103" i="30" s="1"/>
  <c r="F103" i="30"/>
  <c r="F90" i="193" s="1"/>
  <c r="O20" i="212"/>
  <c r="O6" i="212"/>
  <c r="O17" i="212"/>
  <c r="O15" i="212"/>
  <c r="O21" i="212"/>
  <c r="O19" i="212"/>
  <c r="O10" i="212"/>
  <c r="O7" i="212"/>
  <c r="O5" i="212"/>
  <c r="O11" i="212"/>
  <c r="O8" i="212"/>
  <c r="O14" i="212"/>
  <c r="O13" i="212"/>
  <c r="O5" i="259"/>
  <c r="O7" i="259"/>
  <c r="O7" i="291"/>
  <c r="O5" i="291"/>
  <c r="O7" i="272"/>
  <c r="O5" i="272"/>
  <c r="O12" i="268"/>
  <c r="O7" i="268"/>
  <c r="O5" i="268"/>
  <c r="O11" i="268"/>
  <c r="O8" i="268"/>
  <c r="O9" i="268"/>
  <c r="F22" i="30"/>
  <c r="F39" i="211" s="1"/>
  <c r="X22" i="30"/>
  <c r="Z22" i="30" s="1"/>
  <c r="O7" i="293"/>
  <c r="O8" i="293"/>
  <c r="O5" i="293"/>
  <c r="O11" i="293"/>
  <c r="O12" i="293"/>
  <c r="O9" i="293"/>
  <c r="F34" i="30"/>
  <c r="F44" i="298" s="1"/>
  <c r="X34" i="30"/>
  <c r="Z34" i="30" s="1"/>
  <c r="F16" i="30"/>
  <c r="F30" i="179" s="1"/>
  <c r="X16" i="30"/>
  <c r="Z16" i="30" s="1"/>
  <c r="X112" i="30"/>
  <c r="Z112" i="30" s="1"/>
  <c r="F112" i="30"/>
  <c r="O7" i="310"/>
  <c r="O5" i="310"/>
  <c r="F82" i="30"/>
  <c r="F37" i="47" s="1"/>
  <c r="X82" i="30"/>
  <c r="Z82" i="30" s="1"/>
  <c r="X133" i="30"/>
  <c r="Z133" i="30" s="1"/>
  <c r="F133" i="30"/>
  <c r="F23" i="233" s="1"/>
  <c r="O6" i="204"/>
  <c r="O12" i="204"/>
  <c r="O13" i="204"/>
  <c r="O9" i="204"/>
  <c r="O10" i="204"/>
  <c r="O5" i="204"/>
  <c r="O14" i="204"/>
  <c r="O8" i="204"/>
  <c r="O12" i="105"/>
  <c r="O8" i="105"/>
  <c r="O6" i="105"/>
  <c r="O7" i="105"/>
  <c r="O5" i="105"/>
  <c r="O10" i="105"/>
  <c r="O13" i="105"/>
  <c r="O12" i="230"/>
  <c r="O17" i="230"/>
  <c r="O15" i="230"/>
  <c r="O7" i="230"/>
  <c r="O16" i="230"/>
  <c r="O13" i="230"/>
  <c r="O8" i="230"/>
  <c r="O11" i="230"/>
  <c r="O5" i="230"/>
  <c r="O10" i="230"/>
  <c r="O5" i="248"/>
  <c r="O7" i="248"/>
  <c r="O28" i="202"/>
  <c r="O10" i="202"/>
  <c r="O23" i="202"/>
  <c r="O17" i="202"/>
  <c r="O18" i="202"/>
  <c r="O19" i="202"/>
  <c r="O25" i="202"/>
  <c r="O9" i="202"/>
  <c r="O21" i="202"/>
  <c r="O15" i="202"/>
  <c r="O11" i="202"/>
  <c r="O7" i="202"/>
  <c r="O16" i="202"/>
  <c r="O24" i="202"/>
  <c r="O29" i="202"/>
  <c r="O20" i="202"/>
  <c r="O14" i="202"/>
  <c r="O26" i="202"/>
  <c r="O8" i="202"/>
  <c r="O6" i="202"/>
  <c r="O27" i="202"/>
  <c r="O5" i="202"/>
  <c r="O12" i="202"/>
  <c r="O17" i="281"/>
  <c r="O11" i="281"/>
  <c r="O13" i="281"/>
  <c r="O20" i="281"/>
  <c r="O21" i="281"/>
  <c r="O6" i="281"/>
  <c r="O10" i="281"/>
  <c r="O8" i="281"/>
  <c r="O14" i="281"/>
  <c r="O19" i="281"/>
  <c r="O5" i="281"/>
  <c r="O15" i="281"/>
  <c r="O7" i="281"/>
  <c r="O11" i="245"/>
  <c r="O7" i="245"/>
  <c r="O5" i="245"/>
  <c r="O9" i="245"/>
  <c r="O8" i="245"/>
  <c r="O8" i="66"/>
  <c r="O12" i="66"/>
  <c r="O14" i="66"/>
  <c r="O9" i="66"/>
  <c r="O13" i="66"/>
  <c r="O11" i="66"/>
  <c r="O6" i="66"/>
  <c r="O5" i="66"/>
  <c r="F113" i="30"/>
  <c r="F90" i="128" s="1"/>
  <c r="X113" i="30"/>
  <c r="Z113" i="30" s="1"/>
  <c r="O5" i="279"/>
  <c r="O25" i="279"/>
  <c r="O30" i="279"/>
  <c r="O19" i="279"/>
  <c r="O9" i="279"/>
  <c r="O28" i="279"/>
  <c r="O23" i="279"/>
  <c r="O12" i="279"/>
  <c r="O14" i="279"/>
  <c r="O18" i="279"/>
  <c r="O7" i="279"/>
  <c r="O29" i="279"/>
  <c r="O15" i="279"/>
  <c r="O20" i="279"/>
  <c r="O22" i="279"/>
  <c r="O11" i="279"/>
  <c r="O26" i="279"/>
  <c r="O10" i="279"/>
  <c r="O17" i="279"/>
  <c r="O6" i="279"/>
  <c r="O16" i="279"/>
  <c r="O24" i="279"/>
  <c r="O7" i="169"/>
  <c r="O5" i="169"/>
  <c r="O10" i="169"/>
  <c r="O8" i="169"/>
  <c r="X49" i="30"/>
  <c r="Z49" i="30" s="1"/>
  <c r="F49" i="30"/>
  <c r="F119" i="30"/>
  <c r="F35" i="232" s="1"/>
  <c r="X119" i="30"/>
  <c r="Z119" i="30" s="1"/>
  <c r="O7" i="295"/>
  <c r="O5" i="295"/>
  <c r="O6" i="102"/>
  <c r="O14" i="102"/>
  <c r="O17" i="102"/>
  <c r="O13" i="102"/>
  <c r="O20" i="102"/>
  <c r="O18" i="102"/>
  <c r="O5" i="102"/>
  <c r="O7" i="102"/>
  <c r="O19" i="102"/>
  <c r="O12" i="102"/>
  <c r="O8" i="102"/>
  <c r="O22" i="102"/>
  <c r="O15" i="102"/>
  <c r="O21" i="102"/>
  <c r="O11" i="102"/>
  <c r="O9" i="102"/>
  <c r="F98" i="30"/>
  <c r="F25" i="233" s="1"/>
  <c r="X98" i="30"/>
  <c r="Z98" i="30" s="1"/>
  <c r="O8" i="186"/>
  <c r="O5" i="186"/>
  <c r="O7" i="186"/>
  <c r="O10" i="186"/>
  <c r="O19" i="276"/>
  <c r="O10" i="276"/>
  <c r="O21" i="276"/>
  <c r="O8" i="276"/>
  <c r="O11" i="276"/>
  <c r="O6" i="276"/>
  <c r="O7" i="276"/>
  <c r="O15" i="276"/>
  <c r="O20" i="276"/>
  <c r="O13" i="276"/>
  <c r="O17" i="276"/>
  <c r="O5" i="276"/>
  <c r="O14" i="276"/>
  <c r="O5" i="198"/>
  <c r="O21" i="198"/>
  <c r="O6" i="198"/>
  <c r="O13" i="198"/>
  <c r="O17" i="198"/>
  <c r="O26" i="198"/>
  <c r="O10" i="198"/>
  <c r="O18" i="198"/>
  <c r="O24" i="198"/>
  <c r="O25" i="198"/>
  <c r="O11" i="198"/>
  <c r="O22" i="198"/>
  <c r="O19" i="198"/>
  <c r="O7" i="198"/>
  <c r="O9" i="198"/>
  <c r="O8" i="198"/>
  <c r="O20" i="198"/>
  <c r="O8" i="182"/>
  <c r="O12" i="182"/>
  <c r="O11" i="182"/>
  <c r="O9" i="182"/>
  <c r="O7" i="182"/>
  <c r="O5" i="182"/>
  <c r="X102" i="30"/>
  <c r="Z102" i="30" s="1"/>
  <c r="F102" i="30"/>
  <c r="F94" i="128" s="1"/>
  <c r="F118" i="30"/>
  <c r="X118" i="30"/>
  <c r="Z118" i="30" s="1"/>
  <c r="O6" i="284"/>
  <c r="O11" i="284"/>
  <c r="O13" i="284"/>
  <c r="O9" i="284"/>
  <c r="O18" i="284"/>
  <c r="O12" i="284"/>
  <c r="O7" i="284"/>
  <c r="O17" i="284"/>
  <c r="O15" i="284"/>
  <c r="O5" i="284"/>
  <c r="O9" i="72"/>
  <c r="O8" i="72"/>
  <c r="O5" i="72"/>
  <c r="O6" i="72"/>
  <c r="F131" i="30"/>
  <c r="F24" i="166" s="1"/>
  <c r="X131" i="30"/>
  <c r="Z131" i="30" s="1"/>
  <c r="X15" i="30"/>
  <c r="Z15" i="30" s="1"/>
  <c r="F15" i="30"/>
  <c r="F20" i="50" s="1"/>
  <c r="F150" i="29"/>
  <c r="H150" i="29" s="1"/>
  <c r="Y150" i="29"/>
  <c r="F149" i="29"/>
  <c r="H149" i="29" s="1"/>
  <c r="Y149" i="29"/>
  <c r="F148" i="29"/>
  <c r="H148" i="29" s="1"/>
  <c r="Y148" i="29"/>
  <c r="S148" i="28" a="1"/>
  <c r="F438" i="29" a="1"/>
  <c r="S84" i="28" a="1"/>
  <c r="E487" i="28" a="1"/>
  <c r="F34" i="29" a="1"/>
  <c r="F96" i="29" a="1"/>
  <c r="S240" i="28" a="1"/>
  <c r="E335" i="28" a="1"/>
  <c r="S363" i="28" a="1"/>
  <c r="F366" i="29" a="1"/>
  <c r="F417" i="29" a="1"/>
  <c r="E463" i="28" a="1"/>
  <c r="C7" i="27" a="1"/>
  <c r="S285" i="28" a="1"/>
  <c r="Y96" i="29" a="1"/>
  <c r="C128" i="27" a="1"/>
  <c r="M183" i="27" a="1"/>
  <c r="Y8" i="29" a="1"/>
  <c r="F287" i="29" a="1"/>
  <c r="E373" i="28" a="1"/>
  <c r="C117" i="27" a="1"/>
  <c r="Y282" i="29" a="1"/>
  <c r="F425" i="29" a="1"/>
  <c r="G91" i="31" a="1"/>
  <c r="Y19" i="29" a="1"/>
  <c r="Y297" i="29" a="1"/>
  <c r="F295" i="29" a="1"/>
  <c r="F432" i="29" a="1"/>
  <c r="C80" i="27" a="1"/>
  <c r="S349" i="28" a="1"/>
  <c r="F374" i="29" a="1"/>
  <c r="F127" i="29" a="1"/>
  <c r="Y446" i="29" a="1"/>
  <c r="E65" i="28" a="1"/>
  <c r="Y377" i="29" a="1"/>
  <c r="E256" i="28" a="1"/>
  <c r="E306" i="28" a="1"/>
  <c r="H183" i="31" a="1"/>
  <c r="M162" i="27" a="1"/>
  <c r="Y71" i="29" a="1"/>
  <c r="F187" i="29" a="1"/>
  <c r="F408" i="29" a="1"/>
  <c r="Y128" i="29" a="1"/>
  <c r="Y130" i="29" a="1"/>
  <c r="Y72" i="29" a="1"/>
  <c r="F348" i="29" a="1"/>
  <c r="F11" i="29" a="1"/>
  <c r="Y366" i="29" a="1"/>
  <c r="S471" i="28" a="1"/>
  <c r="Y440" i="29" a="1"/>
  <c r="E83" i="28" a="1"/>
  <c r="Y367" i="29" a="1"/>
  <c r="E419" i="28" a="1"/>
  <c r="M23" i="27" a="1"/>
  <c r="S483" i="28" a="1"/>
  <c r="E131" i="28" a="1"/>
  <c r="Y6" i="29" a="1"/>
  <c r="F399" i="29" a="1"/>
  <c r="D35" i="30" a="1"/>
  <c r="Y9" i="29" a="1"/>
  <c r="S300" i="28" a="1"/>
  <c r="E292" i="28" a="1"/>
  <c r="F73" i="29" a="1"/>
  <c r="S485" i="28" a="1"/>
  <c r="S61" i="28" a="1"/>
  <c r="S118" i="28" a="1"/>
  <c r="M27" i="27" a="1"/>
  <c r="D6" i="30" a="1"/>
  <c r="D13" i="30" a="1"/>
  <c r="E275" i="28" a="1"/>
  <c r="Y375" i="29" a="1"/>
  <c r="Y29" i="29" a="1"/>
  <c r="Y269" i="29" a="1"/>
  <c r="E396" i="28" a="1"/>
  <c r="E412" i="28" a="1"/>
  <c r="F389" i="29" a="1"/>
  <c r="Y101" i="29" a="1"/>
  <c r="Y344" i="29" a="1"/>
  <c r="C49" i="27" a="1"/>
  <c r="F89" i="29" a="1"/>
  <c r="F406" i="29" a="1"/>
  <c r="C118" i="27" a="1"/>
  <c r="S164" i="28" a="1"/>
  <c r="F205" i="29" a="1"/>
  <c r="E162" i="28" a="1"/>
  <c r="S335" i="28" a="1"/>
  <c r="F115" i="29" a="1"/>
  <c r="Y133" i="29" a="1"/>
  <c r="F403" i="29" a="1"/>
  <c r="F18" i="29" a="1"/>
  <c r="D39" i="30" a="1"/>
  <c r="F231" i="29" a="1"/>
  <c r="Y365" i="29" a="1"/>
  <c r="C29" i="27" a="1"/>
  <c r="D36" i="30" a="1"/>
  <c r="S343" i="28" a="1"/>
  <c r="G170" i="31" a="1"/>
  <c r="F193" i="29" a="1"/>
  <c r="W145" i="30" a="1"/>
  <c r="Y257" i="29" a="1"/>
  <c r="E55" i="28" a="1"/>
  <c r="M39" i="27" a="1"/>
  <c r="W39" i="30" a="1"/>
  <c r="M108" i="27" a="1"/>
  <c r="Y66" i="29" a="1"/>
  <c r="E349" i="28" a="1"/>
  <c r="C174" i="27" a="1"/>
  <c r="Y63" i="29" a="1"/>
  <c r="Y208" i="29" a="1"/>
  <c r="D2" i="30" a="1"/>
  <c r="F17" i="29" a="1"/>
  <c r="F78" i="29" a="1"/>
  <c r="F411" i="29" a="1"/>
  <c r="F422" i="29" a="1"/>
  <c r="Y18" i="29" a="1"/>
  <c r="S405" i="28" a="1"/>
  <c r="E340" i="28" a="1"/>
  <c r="Y376" i="29" a="1"/>
  <c r="Y266" i="29" a="1"/>
  <c r="S83" i="28" a="1"/>
  <c r="C153" i="27" a="1"/>
  <c r="F86" i="29" a="1"/>
  <c r="Y299" i="29" a="1"/>
  <c r="E343" i="28" a="1"/>
  <c r="W36" i="30" a="1"/>
  <c r="C185" i="27" a="1"/>
  <c r="F293" i="29" a="1"/>
  <c r="M91" i="27" a="1"/>
  <c r="G156" i="31" a="1"/>
  <c r="Y194" i="29" a="1"/>
  <c r="F379" i="29" a="1"/>
  <c r="S54" i="28" a="1"/>
  <c r="E58" i="28" a="1"/>
  <c r="F416" i="29" a="1"/>
  <c r="Y224" i="29" a="1"/>
  <c r="F145" i="29" a="1"/>
  <c r="C157" i="27" a="1"/>
  <c r="F368" i="29" a="1"/>
  <c r="E351" i="28" a="1"/>
  <c r="D26" i="30" a="1"/>
  <c r="S136" i="28" a="1"/>
  <c r="S365" i="28" a="1"/>
  <c r="C39" i="27" a="1"/>
  <c r="E488" i="28" a="1"/>
  <c r="E54" i="28" a="1"/>
  <c r="E354" i="28" a="1"/>
  <c r="Y2" i="29" a="1"/>
  <c r="S284" i="28" a="1"/>
  <c r="C182" i="27" a="1"/>
  <c r="S96" i="28" a="1"/>
  <c r="F128" i="29" a="1"/>
  <c r="C134" i="27" a="1"/>
  <c r="H173" i="31" a="1"/>
  <c r="Y186" i="29" a="1"/>
  <c r="E478" i="28" a="1"/>
  <c r="Y127" i="29" a="1"/>
  <c r="F161" i="29" a="1"/>
  <c r="S346" i="28" a="1"/>
  <c r="C27" i="27" a="1"/>
  <c r="F224" i="29" a="1"/>
  <c r="F202" i="29" a="1"/>
  <c r="F75" i="29" a="1"/>
  <c r="S160" i="28" a="1"/>
  <c r="Y417" i="29" a="1"/>
  <c r="E211" i="28" a="1"/>
  <c r="S257" i="28" a="1"/>
  <c r="E365" i="28" a="1"/>
  <c r="Y229" i="29" a="1"/>
  <c r="E56" i="28" a="1"/>
  <c r="S262" i="28" a="1"/>
  <c r="Y86" i="29" a="1"/>
  <c r="S354" i="28" a="1"/>
  <c r="Y379" i="29" a="1"/>
  <c r="C55" i="27" a="1"/>
  <c r="M86" i="27" a="1"/>
  <c r="F206" i="29" a="1"/>
  <c r="S412" i="28" a="1"/>
  <c r="F436" i="29" a="1"/>
  <c r="H177" i="31" a="1"/>
  <c r="Y391" i="29" a="1"/>
  <c r="S395" i="28" a="1"/>
  <c r="Y389" i="29" a="1"/>
  <c r="F378" i="29" a="1"/>
  <c r="F189" i="29" a="1"/>
  <c r="E338" i="28" a="1"/>
  <c r="C169" i="27" a="1"/>
  <c r="Y283" i="29" a="1"/>
  <c r="F256" i="29" a="1"/>
  <c r="F153" i="29" a="1"/>
  <c r="S309" i="28" a="1"/>
  <c r="E169" i="28" a="1"/>
  <c r="M55" i="27" a="1"/>
  <c r="S357" i="28" a="1"/>
  <c r="Y201" i="29" a="1"/>
  <c r="Y378" i="29" a="1"/>
  <c r="S141" i="28" a="1"/>
  <c r="S340" i="28" a="1"/>
  <c r="F264" i="29" a="1"/>
  <c r="Y251" i="29" a="1"/>
  <c r="F360" i="29" a="1"/>
  <c r="S397" i="28" a="1"/>
  <c r="E341" i="28" a="1"/>
  <c r="E327" i="28" a="1"/>
  <c r="S479" i="28" a="1"/>
  <c r="Y419" i="29" a="1"/>
  <c r="S315" i="28" a="1"/>
  <c r="Y118" i="29" a="1"/>
  <c r="C21" i="27" a="1"/>
  <c r="S170" i="28" a="1"/>
  <c r="Y206" i="29" a="1"/>
  <c r="S76" i="28" a="1"/>
  <c r="C124" i="27" a="1"/>
  <c r="Y415" i="29" a="1"/>
  <c r="S470" i="28" a="1"/>
  <c r="M54" i="27" a="1"/>
  <c r="Y225" i="29" a="1"/>
  <c r="F261" i="29" a="1"/>
  <c r="F37" i="29" a="1"/>
  <c r="S462" i="28" a="1"/>
  <c r="S336" i="28" a="1"/>
  <c r="M66" i="27" a="1"/>
  <c r="S500" i="28" a="1"/>
  <c r="C28" i="27" a="1"/>
  <c r="Y187" i="29" a="1"/>
  <c r="W3" i="30" a="1"/>
  <c r="S89" i="28" a="1"/>
  <c r="W35" i="30" a="1"/>
  <c r="F458" i="29" a="1"/>
  <c r="F420" i="29" a="1"/>
  <c r="E484" i="28" a="1"/>
  <c r="Y380" i="29" a="1"/>
  <c r="C54" i="27" a="1"/>
  <c r="Y444" i="29" a="1"/>
  <c r="S325" i="28" a="1"/>
  <c r="F197" i="29" a="1"/>
  <c r="E82" i="28" a="1"/>
  <c r="M29" i="27" a="1"/>
  <c r="C56" i="27" a="1"/>
  <c r="Y73" i="29" a="1"/>
  <c r="Y258" i="29" a="1"/>
  <c r="F130" i="29" a="1"/>
  <c r="E23" i="28" a="1"/>
  <c r="S94" i="28" a="1"/>
  <c r="E21" i="28" a="1"/>
  <c r="F68" i="29" a="1"/>
  <c r="F266" i="29" a="1"/>
  <c r="E204" i="28" a="1"/>
  <c r="Y384" i="29" a="1"/>
  <c r="S435" i="28" a="1"/>
  <c r="Y20" i="29" a="1"/>
  <c r="F225" i="29" a="1"/>
  <c r="M3" i="27" a="1"/>
  <c r="F24" i="29" a="1"/>
  <c r="G182" i="31" a="1"/>
  <c r="Y24" i="29" a="1"/>
  <c r="F174" i="29" a="1"/>
  <c r="E423" i="28" a="1"/>
  <c r="E325" i="28" a="1"/>
  <c r="F79" i="29" a="1"/>
  <c r="W136" i="30" a="1"/>
  <c r="F169" i="29" a="1"/>
  <c r="M21" i="27" a="1"/>
  <c r="S35" i="28" a="1"/>
  <c r="Y119" i="29" a="1"/>
  <c r="E332" i="28" a="1"/>
  <c r="S362" i="28" a="1"/>
  <c r="S251" i="28" a="1"/>
  <c r="C3" i="27" a="1"/>
  <c r="F296" i="29" a="1"/>
  <c r="E495" i="28" a="1"/>
  <c r="F72" i="29" a="1"/>
  <c r="E337" i="28" a="1"/>
  <c r="M74" i="27" a="1"/>
  <c r="C172" i="27" a="1"/>
  <c r="M151" i="27" a="1"/>
  <c r="M2" i="27" a="1"/>
  <c r="Y434" i="29" a="1"/>
  <c r="E259" i="28" a="1"/>
  <c r="Y205" i="29" a="1"/>
  <c r="Y120" i="29" a="1"/>
  <c r="S478" i="28" a="1"/>
  <c r="F36" i="29" a="1"/>
  <c r="Y413" i="29" a="1"/>
  <c r="M11" i="27" a="1"/>
  <c r="F459" i="29" a="1"/>
  <c r="Y21" i="29" a="1"/>
  <c r="F177" i="29" a="1"/>
  <c r="Y228" i="29" a="1"/>
  <c r="S468" i="28" a="1"/>
  <c r="Y331" i="29" a="1"/>
  <c r="F140" i="29" a="1"/>
  <c r="Y287" i="29" a="1"/>
  <c r="Y166" i="29" a="1"/>
  <c r="S348" i="28" a="1"/>
  <c r="S171" i="28" a="1"/>
  <c r="M149" i="27" a="1"/>
  <c r="E413" i="28" a="1"/>
  <c r="Y98" i="29" a="1"/>
  <c r="Y197" i="29" a="1"/>
  <c r="F445" i="29" a="1"/>
  <c r="M56" i="27" a="1"/>
  <c r="C52" i="27" a="1"/>
  <c r="E148" i="28" a="1"/>
  <c r="S463" i="28" a="1"/>
  <c r="F209" i="29" a="1"/>
  <c r="S113" i="28" a="1"/>
  <c r="F441" i="29" a="1"/>
  <c r="M52" i="27" a="1"/>
  <c r="Y117" i="29" a="1"/>
  <c r="Y16" i="29" a="1"/>
  <c r="F53" i="29" a="1"/>
  <c r="M49" i="27" a="1"/>
  <c r="E260" i="28" a="1"/>
  <c r="S385" i="28" a="1"/>
  <c r="F362" i="29" a="1"/>
  <c r="Y227" i="29" a="1"/>
  <c r="Y270" i="29" a="1"/>
  <c r="W6" i="30" a="1"/>
  <c r="Y360" i="29" a="1"/>
  <c r="Y388" i="29" a="1"/>
  <c r="F405" i="29" a="1"/>
  <c r="E165" i="28" a="1"/>
  <c r="D3" i="30" a="1"/>
  <c r="S58" i="28" a="1"/>
  <c r="Y169" i="29" a="1"/>
  <c r="E346" i="28" a="1"/>
  <c r="Y268" i="29" a="1"/>
  <c r="S495" i="28" a="1"/>
  <c r="F30" i="29" a="1"/>
  <c r="S488" i="28" a="1"/>
  <c r="F157" i="29" a="1"/>
  <c r="S163" i="28" a="1"/>
  <c r="S65" i="28" a="1"/>
  <c r="Y53" i="29" a="1"/>
  <c r="Y83" i="29" a="1"/>
  <c r="G176" i="31" a="1"/>
  <c r="F8" i="29" a="1"/>
  <c r="Y68" i="29" a="1"/>
  <c r="S192" i="28" a="1"/>
  <c r="F15" i="29" a="1"/>
  <c r="E471" i="28" a="1"/>
  <c r="C60" i="27" a="1"/>
  <c r="F198" i="29" a="1"/>
  <c r="Y189" i="29" a="1"/>
  <c r="S276" i="28" a="1"/>
  <c r="S304" i="28" a="1"/>
  <c r="E242" i="28" a="1"/>
  <c r="F195" i="29" a="1"/>
  <c r="S176" i="28" a="1"/>
  <c r="Y445" i="29" a="1"/>
  <c r="E81" i="28" a="1"/>
  <c r="E32" i="28" a="1"/>
  <c r="F120" i="29" a="1"/>
  <c r="F23" i="29" a="1"/>
  <c r="G169" i="31" a="1"/>
  <c r="F361" i="29" a="1"/>
  <c r="S166" i="28" a="1"/>
  <c r="E395" i="28" a="1"/>
  <c r="F172" i="29" a="1"/>
  <c r="E357" i="28" a="1"/>
  <c r="M118" i="27" a="1"/>
  <c r="Y253" i="29" a="1"/>
  <c r="S378" i="28" a="1"/>
  <c r="S330" i="28" a="1"/>
  <c r="F3" i="29" a="1"/>
  <c r="E315" i="28" a="1"/>
  <c r="H169" i="31" a="1"/>
  <c r="E347" i="28" a="1"/>
  <c r="F427" i="29" a="1"/>
  <c r="H178" i="31" a="1"/>
  <c r="F32" i="29" a="1"/>
  <c r="M136" i="27" a="1"/>
  <c r="E469" i="28" a="1"/>
  <c r="D145" i="30" a="1"/>
  <c r="H156" i="31" a="1"/>
  <c r="S263" i="28" a="1"/>
  <c r="S358" i="28" a="1"/>
  <c r="M182" i="27" a="1"/>
  <c r="F117" i="29" a="1"/>
  <c r="S361" i="28" a="1"/>
  <c r="S239" i="28" a="1"/>
  <c r="E397" i="28" a="1"/>
  <c r="E358" i="28" a="1"/>
  <c r="F449" i="29" a="1"/>
  <c r="G172" i="31" a="1"/>
  <c r="F16" i="29" a="1"/>
  <c r="E317" i="28" a="1"/>
  <c r="S23" i="28" a="1"/>
  <c r="F22" i="29" a="1"/>
  <c r="Y405" i="29" a="1"/>
  <c r="Y158" i="29" a="1"/>
  <c r="F175" i="29" a="1"/>
  <c r="E113" i="28" a="1"/>
  <c r="F398" i="29" a="1"/>
  <c r="Y159" i="29" a="1"/>
  <c r="E93" i="28" a="1"/>
  <c r="F228" i="29" a="1"/>
  <c r="S205" i="28" a="1"/>
  <c r="S131" i="28" a="1"/>
  <c r="Y235" i="29" a="1"/>
  <c r="Y403" i="29" a="1"/>
  <c r="F267" i="29" a="1"/>
  <c r="F137" i="29" a="1"/>
  <c r="Y156" i="29" a="1"/>
  <c r="E101" i="28" a="1"/>
  <c r="E158" i="28" a="1"/>
  <c r="Y421" i="29" a="1"/>
  <c r="Y145" i="29" a="1"/>
  <c r="Y324" i="29" a="1"/>
  <c r="Y409" i="29" a="1"/>
  <c r="C40" i="27" a="1"/>
  <c r="S260" i="28" a="1"/>
  <c r="C159" i="27" a="1"/>
  <c r="F431" i="29" a="1"/>
  <c r="S234" i="28" a="1"/>
  <c r="F19" i="29" a="1"/>
  <c r="F31" i="29" a="1"/>
  <c r="F283" i="29" a="1"/>
  <c r="Y10" i="29" a="1"/>
  <c r="E100" i="28" a="1"/>
  <c r="F162" i="29" a="1"/>
  <c r="W8" i="30" a="1"/>
  <c r="G178" i="31" a="1"/>
  <c r="C115" i="27" a="1"/>
  <c r="Y31" i="29" a="1"/>
  <c r="Y67" i="29" a="1"/>
  <c r="E295" i="28" a="1"/>
  <c r="S356" i="28" a="1"/>
  <c r="E282" i="28" a="1"/>
  <c r="E96" i="28" a="1"/>
  <c r="Y459" i="29" a="1"/>
  <c r="E356" i="28" a="1"/>
  <c r="F159" i="29" a="1"/>
  <c r="C180" i="27" a="1"/>
  <c r="E331" i="28" a="1"/>
  <c r="S254" i="28" a="1"/>
  <c r="F299" i="29" a="1"/>
  <c r="F359" i="29" a="1"/>
  <c r="E59" i="28" a="1"/>
  <c r="Y424" i="29" a="1"/>
  <c r="E384" i="28" a="1"/>
  <c r="Y12" i="29" a="1"/>
  <c r="E385" i="28" a="1"/>
  <c r="H184" i="31" a="1"/>
  <c r="E118" i="28" a="1"/>
  <c r="C145" i="27" a="1"/>
  <c r="F325" i="29" a="1"/>
  <c r="F10" i="29" a="1"/>
  <c r="Y458" i="29" a="1"/>
  <c r="E462" i="28" a="1"/>
  <c r="Y7" i="29" a="1"/>
  <c r="W2" i="30" a="1"/>
  <c r="Y36" i="29" a="1"/>
  <c r="F74" i="29" a="1"/>
  <c r="Y401" i="29" a="1"/>
  <c r="S437" i="28" a="1"/>
  <c r="S108" i="28" a="1"/>
  <c r="F410" i="29" a="1"/>
  <c r="F439" i="29" a="1"/>
  <c r="Y430" i="29" a="1"/>
  <c r="H91" i="31" a="1"/>
  <c r="Y153" i="29" a="1"/>
  <c r="Y252" i="29" a="1"/>
  <c r="E300" i="28" a="1"/>
  <c r="F442" i="29" a="1"/>
  <c r="C108" i="27" a="1"/>
  <c r="E362" i="28" a="1"/>
  <c r="F29" i="29" a="1"/>
  <c r="E94" i="28" a="1"/>
  <c r="Y397" i="29" a="1"/>
  <c r="F270" i="29" a="1"/>
  <c r="F204" i="29" a="1"/>
  <c r="M131" i="27" a="1"/>
  <c r="E371" i="28" a="1"/>
  <c r="Y89" i="29" a="1"/>
  <c r="Y177" i="29" a="1"/>
  <c r="G90" i="31" a="1"/>
  <c r="E227" i="28" a="1"/>
  <c r="F260" i="29" a="1"/>
  <c r="G177" i="31" a="1"/>
  <c r="E500" i="28" a="1"/>
  <c r="E149" i="28" a="1"/>
  <c r="S15" i="28" a="1"/>
  <c r="Y267" i="29" a="1"/>
  <c r="F234" i="29" a="1"/>
  <c r="E284" i="28" a="1"/>
  <c r="Y448" i="29" a="1"/>
  <c r="F433" i="29" a="1"/>
  <c r="F141" i="29" a="1"/>
  <c r="E234" i="28" a="1"/>
  <c r="S317" i="28" a="1"/>
  <c r="F415" i="29" a="1"/>
  <c r="C151" i="27" a="1"/>
  <c r="E263" i="28" a="1"/>
  <c r="Y438" i="29" a="1"/>
  <c r="Y234" i="29" a="1"/>
  <c r="Y260" i="29" a="1"/>
  <c r="F401" i="29" a="1"/>
  <c r="E161" i="28" a="1"/>
  <c r="Y418" i="29" a="1"/>
  <c r="F207" i="29" a="1"/>
  <c r="F67" i="29" a="1"/>
  <c r="S392" i="28" a="1"/>
  <c r="F47" i="29" a="1"/>
  <c r="Y76" i="29" a="1"/>
  <c r="S93" i="28" a="1"/>
  <c r="F26" i="29" a="1"/>
  <c r="E468" i="28" a="1"/>
  <c r="F223" i="29" a="1"/>
  <c r="Y165" i="29" a="1"/>
  <c r="S295" i="28" a="1"/>
  <c r="D11" i="30" a="1"/>
  <c r="S227" i="28" a="1"/>
  <c r="M117" i="27" a="1"/>
  <c r="C2" i="27" a="1"/>
  <c r="S334" i="28" a="1"/>
  <c r="Y11" i="29" a="1"/>
  <c r="F63" i="29" a="1"/>
  <c r="E348" i="28" a="1"/>
  <c r="C149" i="27" a="1"/>
  <c r="E318" i="28" a="1"/>
  <c r="Y93" i="29" a="1"/>
  <c r="G171" i="31" a="1"/>
  <c r="M175" i="27" a="1"/>
  <c r="C173" i="27" a="1"/>
  <c r="Y294" i="29" a="1"/>
  <c r="M40" i="27" a="1"/>
  <c r="S486" i="28" a="1"/>
  <c r="Y77" i="29" a="1"/>
  <c r="C91" i="27" a="1"/>
  <c r="Y449" i="29" a="1"/>
  <c r="S311" i="28" a="1"/>
  <c r="Y78" i="29" a="1"/>
  <c r="Y28" i="29" a="1"/>
  <c r="F203" i="29" a="1"/>
  <c r="S82" i="28" a="1"/>
  <c r="Y362" i="29" a="1"/>
  <c r="E368" i="28" a="1"/>
  <c r="F254" i="29" a="1"/>
  <c r="Y414" i="29" a="1"/>
  <c r="F461" i="29" a="1"/>
  <c r="M7" i="27" a="1"/>
  <c r="E167" i="28" a="1"/>
  <c r="F101" i="29" a="1"/>
  <c r="C162" i="27" a="1"/>
  <c r="S347" i="28" a="1"/>
  <c r="E136" i="28" a="1"/>
  <c r="E76" i="28" a="1"/>
  <c r="F65" i="29" a="1"/>
  <c r="M169" i="27" a="1"/>
  <c r="F129" i="29" a="1"/>
  <c r="E254" i="28" a="1"/>
  <c r="S293" i="28" a="1"/>
  <c r="F272" i="29" a="1"/>
  <c r="S92" i="28" a="1"/>
  <c r="S56" i="28" a="1"/>
  <c r="E485" i="28" a="1"/>
  <c r="S202" i="28" a="1"/>
  <c r="S326" i="28" a="1"/>
  <c r="C25" i="27" a="1"/>
  <c r="S165" i="28" a="1"/>
  <c r="C127" i="27" a="1"/>
  <c r="Y157" i="29" a="1"/>
  <c r="S328" i="28" a="1"/>
  <c r="F367" i="29" a="1"/>
  <c r="S379" i="28" a="1"/>
  <c r="Y204" i="29" a="1"/>
  <c r="F20" i="29" a="1"/>
  <c r="Y298" i="29" a="1"/>
  <c r="S107" i="28" a="1"/>
  <c r="C175" i="27" a="1"/>
  <c r="Y426" i="29" a="1"/>
  <c r="S128" i="28" a="1"/>
  <c r="F2" i="29" a="1"/>
  <c r="Y47" i="29" a="1"/>
  <c r="E108" i="28" a="1"/>
  <c r="G54" i="31" a="1"/>
  <c r="Y3" i="29" a="1"/>
  <c r="S318" i="28" a="1"/>
  <c r="E15" i="28" a="1"/>
  <c r="F156" i="29" a="1"/>
  <c r="Y432" i="29" a="1"/>
  <c r="E483" i="28" a="1"/>
  <c r="Y75" i="29" a="1"/>
  <c r="S158" i="28" a="1"/>
  <c r="M145" i="27" a="1"/>
  <c r="M172" i="27" a="1"/>
  <c r="F165" i="29" a="1"/>
  <c r="F448" i="29" a="1"/>
  <c r="F263" i="29" a="1"/>
  <c r="S100" i="28" a="1"/>
  <c r="S388" i="28" a="1"/>
  <c r="H54" i="31" a="1"/>
  <c r="F269" i="29" a="1"/>
  <c r="S197" i="28" a="1"/>
  <c r="S292" i="28" a="1"/>
  <c r="Y272" i="29" a="1"/>
  <c r="W13" i="30" a="1"/>
  <c r="M28" i="27" a="1"/>
  <c r="F262" i="29" a="1"/>
  <c r="Y408" i="29" a="1"/>
  <c r="F94" i="29" a="1"/>
  <c r="S120" i="28" a="1"/>
  <c r="F435" i="29" a="1"/>
  <c r="Y441" i="29" a="1"/>
  <c r="E490" i="28" a="1"/>
  <c r="E192" i="28" a="1"/>
  <c r="E170" i="28" a="1"/>
  <c r="E89" i="28" a="1"/>
  <c r="F446" i="29" a="1"/>
  <c r="F344" i="29" a="1"/>
  <c r="Y198" i="29" a="1"/>
  <c r="Y209" i="29" a="1"/>
  <c r="F166" i="29" a="1"/>
  <c r="S410" i="28" a="1"/>
  <c r="D38" i="30" a="1"/>
  <c r="S116" i="28" a="1"/>
  <c r="E60" i="28" a="1"/>
  <c r="E426" i="28" a="1"/>
  <c r="F160" i="29" a="1"/>
  <c r="F444" i="29" a="1"/>
  <c r="S302" i="28" a="1"/>
  <c r="E239" i="28" a="1"/>
  <c r="S282" i="28" a="1"/>
  <c r="C126" i="27" a="1"/>
  <c r="F255" i="29" a="1"/>
  <c r="S464" i="28" a="1"/>
  <c r="H182" i="31" a="1"/>
  <c r="S159" i="28" a="1"/>
  <c r="E168" i="28" a="1"/>
  <c r="F460" i="29" a="1"/>
  <c r="E328" i="28" a="1"/>
  <c r="E416" i="28" a="1"/>
  <c r="S469" i="28" a="1"/>
  <c r="F43" i="29" a="1"/>
  <c r="Y48" i="29" a="1"/>
  <c r="F196" i="29" a="1"/>
  <c r="F424" i="29" a="1"/>
  <c r="Y80" i="29" a="1"/>
  <c r="S267" i="28" a="1"/>
  <c r="S371" i="28" a="1"/>
  <c r="E404" i="28" a="1"/>
  <c r="Y174" i="29" a="1"/>
  <c r="E388" i="28" a="1"/>
  <c r="Y196" i="29" a="1"/>
  <c r="M153" i="27" a="1"/>
  <c r="Y160" i="29" a="1"/>
  <c r="F388" i="29" a="1"/>
  <c r="Y425" i="29" a="1"/>
  <c r="Y164" i="29" a="1"/>
  <c r="F429" i="29" a="1"/>
  <c r="F365" i="29" a="1"/>
  <c r="S169" i="28" a="1"/>
  <c r="Y398" i="29" a="1"/>
  <c r="S175" i="28" a="1"/>
  <c r="Y262" i="29" a="1"/>
  <c r="F288" i="29" a="1"/>
  <c r="W38" i="30" a="1"/>
  <c r="Y271" i="29" a="1"/>
  <c r="Y23" i="29" a="1"/>
  <c r="F414" i="29" a="1"/>
  <c r="S426" i="28" a="1"/>
  <c r="Y286" i="29" a="1"/>
  <c r="M134" i="27" a="1"/>
  <c r="C24" i="27" a="1"/>
  <c r="M128" i="27" a="1"/>
  <c r="F164" i="29" a="1"/>
  <c r="M60" i="27" a="1"/>
  <c r="F380" i="29" a="1"/>
  <c r="M115" i="27" a="1"/>
  <c r="E274" i="28" a="1"/>
  <c r="F292" i="29" a="1"/>
  <c r="E386" i="28" a="1"/>
  <c r="Y435" i="29" a="1"/>
  <c r="E30" i="28" a="1"/>
  <c r="S85" i="28" a="1"/>
  <c r="E464" i="28" a="1"/>
  <c r="F285" i="29" a="1"/>
  <c r="F230" i="29" a="1"/>
  <c r="D8" i="30" a="1"/>
  <c r="F457" i="29" a="1"/>
  <c r="E14" i="28" a="1"/>
  <c r="G173" i="31" a="1"/>
  <c r="Y140" i="29" a="1"/>
  <c r="F426" i="29" a="1"/>
  <c r="Y296" i="29" a="1"/>
  <c r="C66" i="27" a="1"/>
  <c r="E84" i="28" a="1"/>
  <c r="F418" i="29" a="1"/>
  <c r="E353" i="28" a="1"/>
  <c r="S146" i="28" a="1"/>
  <c r="E249" i="28" a="1"/>
  <c r="G183" i="31" a="1"/>
  <c r="F66" i="29" a="1"/>
  <c r="F80" i="29" a="1"/>
  <c r="E171" i="28" a="1"/>
  <c r="Y141" i="29" a="1"/>
  <c r="E411" i="28" a="1"/>
  <c r="Y264" i="29" a="1"/>
  <c r="Y431" i="29" a="1"/>
  <c r="S249" i="28" a="1"/>
  <c r="W11" i="30" a="1"/>
  <c r="F280" i="29" a="1"/>
  <c r="F21" i="29" a="1"/>
  <c r="S351" i="28" a="1"/>
  <c r="S423" i="28" a="1"/>
  <c r="Y37" i="29" a="1"/>
  <c r="F235" i="29" a="1"/>
  <c r="S60" i="28" a="1"/>
  <c r="F83" i="29" a="1"/>
  <c r="S327" i="28" a="1"/>
  <c r="E175" i="28" a="1"/>
  <c r="F434" i="29" a="1"/>
  <c r="S314" i="28" a="1"/>
  <c r="S306" i="28" a="1"/>
  <c r="E360" i="28" a="1"/>
  <c r="M184" i="27" a="1"/>
  <c r="F397" i="29" a="1"/>
  <c r="E330" i="28" a="1"/>
  <c r="S30" i="28" a="1"/>
  <c r="Y427" i="29" a="1"/>
  <c r="F158" i="29" a="1"/>
  <c r="S416" i="28" a="1"/>
  <c r="M133" i="27" a="1"/>
  <c r="C8" i="27" a="1"/>
  <c r="Y138" i="29" a="1"/>
  <c r="S461" i="28" a="1"/>
  <c r="F163" i="29" a="1"/>
  <c r="Y26" i="29" a="1"/>
  <c r="Y70" i="29" a="1"/>
  <c r="S256" i="28" a="1"/>
  <c r="D136" i="30" a="1"/>
  <c r="F229" i="29" a="1"/>
  <c r="Y442" i="29" a="1"/>
  <c r="F186" i="29" a="1"/>
  <c r="M24" i="27" a="1"/>
  <c r="S38" i="28" a="1"/>
  <c r="S242" i="28" a="1"/>
  <c r="F48" i="29" a="1"/>
  <c r="S287" i="28" a="1"/>
  <c r="F201" i="29" a="1"/>
  <c r="F138" i="29" a="1"/>
  <c r="E197" i="28" a="1"/>
  <c r="S275" i="28" a="1"/>
  <c r="F297" i="29" a="1"/>
  <c r="E159" i="28" a="1"/>
  <c r="Y292" i="29" a="1"/>
  <c r="M142" i="27" a="1"/>
  <c r="Y374" i="29" a="1"/>
  <c r="E410" i="28" a="1"/>
  <c r="E166" i="28" a="1"/>
  <c r="E309" i="28" a="1"/>
  <c r="E314" i="28" a="1"/>
  <c r="Y320" i="29" a="1"/>
  <c r="Y192" i="29" a="1"/>
  <c r="Y30" i="29" a="1"/>
  <c r="D144" i="30" a="1"/>
  <c r="H172" i="31" a="1"/>
  <c r="F421" i="29" a="1"/>
  <c r="C11" i="27" a="1"/>
  <c r="S337" i="28" a="1"/>
  <c r="H181" i="31" a="1"/>
  <c r="Y457" i="29" a="1"/>
  <c r="S32" i="28" a="1"/>
  <c r="S331" i="28" a="1"/>
  <c r="Y420" i="29" a="1"/>
  <c r="M126" i="27" a="1"/>
  <c r="Y79" i="29" a="1"/>
  <c r="M127" i="27" a="1"/>
  <c r="E201" i="28" a="1"/>
  <c r="F27" i="29" a="1"/>
  <c r="Y147" i="29" a="1"/>
  <c r="E277" i="28" a="1"/>
  <c r="E470" i="28" a="1"/>
  <c r="S206" i="28" a="1"/>
  <c r="F133" i="29" a="1"/>
  <c r="F258" i="29" a="1"/>
  <c r="Y411" i="29" a="1"/>
  <c r="Y135" i="29" a="1"/>
  <c r="S235" i="28" a="1"/>
  <c r="S161" i="28" a="1"/>
  <c r="Y460" i="29" a="1"/>
  <c r="M80" i="27" a="1"/>
  <c r="Y193" i="29" a="1"/>
  <c r="E38" i="28" a="1"/>
  <c r="F447" i="29" a="1"/>
  <c r="F391" i="29" a="1"/>
  <c r="F430" i="29" a="1"/>
  <c r="M157" i="27" a="1"/>
  <c r="F257" i="29" a="1"/>
  <c r="E145" i="28" a="1"/>
  <c r="S277" i="28" a="1"/>
  <c r="E387" i="28" a="1"/>
  <c r="C85" i="27" a="1"/>
  <c r="E120" i="28" a="1"/>
  <c r="E206" i="28" a="1"/>
  <c r="Y43" i="29" a="1"/>
  <c r="E489" i="28" a="1"/>
  <c r="S353" i="28" a="1"/>
  <c r="Y5" i="29" a="1"/>
  <c r="F6" i="29" a="1"/>
  <c r="E311" i="28" a="1"/>
  <c r="F91" i="29" a="1"/>
  <c r="Y74" i="29" a="1"/>
  <c r="C15" i="27" a="1"/>
  <c r="Y207" i="29" a="1"/>
  <c r="F227" i="29" a="1"/>
  <c r="G181" i="31" a="1"/>
  <c r="Y254" i="29" a="1"/>
  <c r="Y230" i="29" a="1"/>
  <c r="F77" i="29" a="1"/>
  <c r="Y27" i="29" a="1"/>
  <c r="S360" i="28" a="1"/>
  <c r="Y172" i="29" a="1"/>
  <c r="S332" i="28" a="1"/>
  <c r="F377" i="29" a="1"/>
  <c r="Y416" i="29" a="1"/>
  <c r="Y255" i="29" a="1"/>
  <c r="M180" i="27" a="1"/>
  <c r="E405" i="28" a="1"/>
  <c r="E35" i="28" a="1"/>
  <c r="F131" i="29" a="1"/>
  <c r="Y363" i="29" a="1"/>
  <c r="F253" i="29" a="1"/>
  <c r="S238" i="28" a="1"/>
  <c r="E287" i="28" a="1"/>
  <c r="F440" i="29" a="1"/>
  <c r="Y65" i="29" a="1"/>
  <c r="Y94" i="29" a="1"/>
  <c r="Y273" i="29" a="1"/>
  <c r="S419" i="28" a="1"/>
  <c r="F413" i="29" a="1"/>
  <c r="Y131" i="29" a="1"/>
  <c r="Y185" i="29" a="1"/>
  <c r="E85" i="28" a="1"/>
  <c r="E378" i="28" a="1"/>
  <c r="F268" i="29" a="1"/>
  <c r="F93" i="29" a="1"/>
  <c r="E435" i="28" a="1"/>
  <c r="C133" i="27" a="1"/>
  <c r="S484" i="28" a="1"/>
  <c r="C163" i="27" a="1"/>
  <c r="F409" i="29" a="1"/>
  <c r="E379" i="28" a="1"/>
  <c r="Y399" i="29" a="1"/>
  <c r="E479" i="28" a="1"/>
  <c r="S396" i="28" a="1"/>
  <c r="F419" i="29" a="1"/>
  <c r="F251" i="29" a="1"/>
  <c r="C176" i="27" a="1"/>
  <c r="S201" i="28" a="1"/>
  <c r="E251" i="28" a="1"/>
  <c r="E163" i="28" a="1"/>
  <c r="E352" i="28" a="1"/>
  <c r="E164" i="28" a="1"/>
  <c r="Y412" i="29" a="1"/>
  <c r="M25" i="27" a="1"/>
  <c r="S21" i="28" a="1"/>
  <c r="S341" i="28" a="1"/>
  <c r="S386" i="28" a="1"/>
  <c r="F14" i="29" a="1"/>
  <c r="Y163" i="29" a="1"/>
  <c r="E128" i="28" a="1"/>
  <c r="Y84" i="29" a="1"/>
  <c r="Y25" i="29" a="1"/>
  <c r="Y361" i="29" a="1"/>
  <c r="Y162" i="29" a="1"/>
  <c r="M159" i="27" a="1"/>
  <c r="F286" i="29" a="1"/>
  <c r="S168" i="28" a="1"/>
  <c r="F324" i="29" a="1"/>
  <c r="S81" i="28" a="1"/>
  <c r="E116" i="28" a="1"/>
  <c r="E304" i="28" a="1"/>
  <c r="E276" i="28" a="1"/>
  <c r="C90" i="27" a="1"/>
  <c r="Y129" i="29" a="1"/>
  <c r="E392" i="28" a="1"/>
  <c r="Y406" i="29" a="1"/>
  <c r="C23" i="27" a="1"/>
  <c r="F9" i="29" a="1"/>
  <c r="Y456" i="29" a="1"/>
  <c r="E146" i="28" a="1"/>
  <c r="E238" i="28" a="1"/>
  <c r="Y368" i="29" a="1"/>
  <c r="S259" i="28" a="1"/>
  <c r="S59" i="28" a="1"/>
  <c r="M163" i="27" a="1"/>
  <c r="Y371" i="29" a="1"/>
  <c r="E176" i="28" a="1"/>
  <c r="E255" i="28" a="1"/>
  <c r="S487" i="28" a="1"/>
  <c r="F71" i="29" a="1"/>
  <c r="Y407" i="29" a="1"/>
  <c r="E294" i="28" a="1"/>
  <c r="F443" i="29" a="1"/>
  <c r="Y293" i="29" a="1"/>
  <c r="Y461" i="29" a="1"/>
  <c r="S14" i="28" a="1"/>
  <c r="Y280" i="29" a="1"/>
  <c r="H90" i="31" a="1"/>
  <c r="S55" i="28" a="1"/>
  <c r="Y447" i="29" a="1"/>
  <c r="F456" i="29" a="1"/>
  <c r="Y443" i="29" a="1"/>
  <c r="S380" i="28" a="1"/>
  <c r="E467" i="28" a="1"/>
  <c r="E334" i="28" a="1"/>
  <c r="F192" i="29" a="1"/>
  <c r="Y91" i="29" a="1"/>
  <c r="E380" i="28" a="1"/>
  <c r="E92" i="28" a="1"/>
  <c r="Y14" i="29" a="1"/>
  <c r="Y223" i="29" a="1"/>
  <c r="F76" i="29" a="1"/>
  <c r="Y285" i="29" a="1"/>
  <c r="F376" i="29" a="1"/>
  <c r="F320" i="29" a="1"/>
  <c r="Y325" i="29" a="1"/>
  <c r="F25" i="29" a="1"/>
  <c r="M166" i="27" a="1"/>
  <c r="S411" i="28" a="1"/>
  <c r="Y288" i="29" a="1"/>
  <c r="S101" i="28" a="1"/>
  <c r="F273" i="29" a="1"/>
  <c r="F28" i="29" a="1"/>
  <c r="E437" i="28" a="1"/>
  <c r="Y423" i="29" a="1"/>
  <c r="E262" i="28" a="1"/>
  <c r="M15" i="27" a="1"/>
  <c r="H176" i="31" a="1"/>
  <c r="F119" i="29" a="1"/>
  <c r="Y439" i="29" a="1"/>
  <c r="S338" i="28" a="1"/>
  <c r="Y231" i="29" a="1"/>
  <c r="F371" i="29" a="1"/>
  <c r="F191" i="29" a="1"/>
  <c r="E302" i="28" a="1"/>
  <c r="E461" i="28" a="1"/>
  <c r="F282" i="29" a="1"/>
  <c r="E240" i="28" a="1"/>
  <c r="Y348" i="29" a="1"/>
  <c r="E160" i="28" a="1"/>
  <c r="F7" i="29" a="1"/>
  <c r="C131" i="27" a="1"/>
  <c r="F407" i="29" a="1"/>
  <c r="F428" i="29" a="1"/>
  <c r="F294" i="29" a="1"/>
  <c r="F208" i="29" a="1"/>
  <c r="Y32" i="29" a="1"/>
  <c r="F98" i="29" a="1"/>
  <c r="Y263" i="29" a="1"/>
  <c r="S167" i="28" a="1"/>
  <c r="C184" i="27" a="1"/>
  <c r="Y161" i="29" a="1"/>
  <c r="E203" i="28" a="1"/>
  <c r="Y137" i="29" a="1"/>
  <c r="S467" i="28" a="1"/>
  <c r="F118" i="29" a="1"/>
  <c r="S162" i="28" a="1"/>
  <c r="C74" i="27" a="1"/>
  <c r="M124" i="27" a="1"/>
  <c r="S233" i="28" a="1"/>
  <c r="E257" i="28" a="1"/>
  <c r="Y261" i="29" a="1"/>
  <c r="S145" i="28" a="1"/>
  <c r="Y429" i="29" a="1"/>
  <c r="F363" i="29" a="1"/>
  <c r="E267" i="28" a="1"/>
  <c r="F412" i="29" a="1"/>
  <c r="D14" i="30" a="1"/>
  <c r="F252" i="29" a="1"/>
  <c r="S203" i="28" a="1"/>
  <c r="Y175" i="29" a="1"/>
  <c r="M174" i="27" a="1"/>
  <c r="Y295" i="29" a="1"/>
  <c r="W26" i="30" a="1"/>
  <c r="E233" i="28" a="1"/>
  <c r="S373" i="28" a="1"/>
  <c r="E363" i="28" a="1"/>
  <c r="S490" i="28" a="1"/>
  <c r="W14" i="30" a="1"/>
  <c r="E138" i="28" a="1"/>
  <c r="F147" i="29" a="1"/>
  <c r="E336" i="28" a="1"/>
  <c r="F188" i="29" a="1"/>
  <c r="Y22" i="29" a="1"/>
  <c r="Y203" i="29" a="1"/>
  <c r="F331" i="29" a="1"/>
  <c r="S352" i="28" a="1"/>
  <c r="E61" i="28" a="1"/>
  <c r="C86" i="27" a="1"/>
  <c r="Y15" i="29" a="1"/>
  <c r="G184" i="31" a="1"/>
  <c r="F70" i="29" a="1"/>
  <c r="Y433" i="29" a="1"/>
  <c r="E285" i="28" a="1"/>
  <c r="F185" i="29" a="1"/>
  <c r="S274" i="28" a="1"/>
  <c r="F384" i="29" a="1"/>
  <c r="S204" i="28" a="1"/>
  <c r="E141" i="28" a="1"/>
  <c r="Y191" i="29" a="1"/>
  <c r="Y115" i="29" a="1"/>
  <c r="H170" i="31" a="1"/>
  <c r="Y188" i="29" a="1"/>
  <c r="E202" i="28" a="1"/>
  <c r="F5" i="29" a="1"/>
  <c r="F12" i="29" a="1"/>
  <c r="M85" i="27" a="1"/>
  <c r="S255" i="28" a="1"/>
  <c r="C166" i="27" a="1"/>
  <c r="Y195" i="29" a="1"/>
  <c r="C142" i="27" a="1"/>
  <c r="Y13" i="29" a="1"/>
  <c r="F271" i="29" a="1"/>
  <c r="F375" i="29" a="1"/>
  <c r="Y436" i="29" a="1"/>
  <c r="F298" i="29" a="1"/>
  <c r="Y422" i="29" a="1"/>
  <c r="C136" i="27" a="1"/>
  <c r="S368" i="28" a="1"/>
  <c r="S138" i="28" a="1"/>
  <c r="E486" i="28" a="1"/>
  <c r="M176" i="27" a="1"/>
  <c r="F135" i="29" a="1"/>
  <c r="E205" i="28" a="1"/>
  <c r="H171" i="31" a="1"/>
  <c r="Y17" i="29" a="1"/>
  <c r="E326" i="28" a="1"/>
  <c r="F194" i="29" a="1"/>
  <c r="S384" i="28" a="1"/>
  <c r="M185" i="27" a="1"/>
  <c r="S489" i="28" a="1"/>
  <c r="M90" i="27" a="1"/>
  <c r="Y428" i="29" a="1"/>
  <c r="W144" i="30" a="1"/>
  <c r="M8" i="27" a="1"/>
  <c r="E107" i="28" a="1"/>
  <c r="F84" i="29" a="1"/>
  <c r="E293" i="28" a="1"/>
  <c r="S413" i="28" a="1"/>
  <c r="Y410" i="29" a="1"/>
  <c r="S294" i="28" a="1"/>
  <c r="F13" i="29" a="1"/>
  <c r="Y256" i="29" a="1"/>
  <c r="S387" i="28" a="1"/>
  <c r="S404" i="28" a="1"/>
  <c r="Y202" i="29" a="1"/>
  <c r="E235" i="28" a="1"/>
  <c r="F423" i="29" a="1"/>
  <c r="M173" i="27" a="1"/>
  <c r="Y359" i="29" a="1"/>
  <c r="Y34" i="29" a="1"/>
  <c r="C183" i="27" a="1"/>
  <c r="S361" i="28" l="1"/>
  <c r="F262" i="29"/>
  <c r="H262" i="29" s="1"/>
  <c r="Y262" i="29"/>
  <c r="Y253" i="29"/>
  <c r="F253" i="29"/>
  <c r="H253" i="29" s="1"/>
  <c r="S116" i="28"/>
  <c r="E116" i="28"/>
  <c r="F116" i="28" s="1"/>
  <c r="H116" i="28" s="1"/>
  <c r="Y131" i="29"/>
  <c r="F131" i="29"/>
  <c r="H131" i="29" s="1"/>
  <c r="G54" i="31"/>
  <c r="L2" i="73" s="1"/>
  <c r="H54" i="31"/>
  <c r="F147" i="29"/>
  <c r="H147" i="29" s="1"/>
  <c r="Y147" i="29"/>
  <c r="E360" i="28"/>
  <c r="F360" i="28" s="1"/>
  <c r="H360" i="28" s="1"/>
  <c r="S360" i="28"/>
  <c r="F251" i="29"/>
  <c r="H251" i="29" s="1"/>
  <c r="Y251" i="29"/>
  <c r="Y129" i="29"/>
  <c r="F129" i="29"/>
  <c r="H129" i="29" s="1"/>
  <c r="F162" i="29"/>
  <c r="H162" i="29" s="1"/>
  <c r="Y162" i="29"/>
  <c r="F273" i="29"/>
  <c r="H273" i="29" s="1"/>
  <c r="Y273" i="29"/>
  <c r="Y272" i="29"/>
  <c r="F272" i="29"/>
  <c r="H272" i="29" s="1"/>
  <c r="E464" i="28"/>
  <c r="F464" i="28" s="1"/>
  <c r="H464" i="28" s="1"/>
  <c r="S464" i="28"/>
  <c r="Y444" i="29"/>
  <c r="F444" i="29"/>
  <c r="H444" i="29" s="1"/>
  <c r="F442" i="29"/>
  <c r="H442" i="29" s="1"/>
  <c r="Y442" i="29"/>
  <c r="S354" i="28"/>
  <c r="E354" i="28"/>
  <c r="F354" i="28" s="1"/>
  <c r="H354" i="28" s="1"/>
  <c r="E76" i="28"/>
  <c r="F76" i="28" s="1"/>
  <c r="H76" i="28" s="1"/>
  <c r="S76" i="28"/>
  <c r="F164" i="29"/>
  <c r="H164" i="29" s="1"/>
  <c r="Y164" i="29"/>
  <c r="S338" i="28"/>
  <c r="E338" i="28"/>
  <c r="F338" i="28" s="1"/>
  <c r="H338" i="28" s="1"/>
  <c r="F320" i="29"/>
  <c r="H320" i="29" s="1"/>
  <c r="Y320" i="29"/>
  <c r="C85" i="27"/>
  <c r="M85" i="27"/>
  <c r="S23" i="28"/>
  <c r="E23" i="28"/>
  <c r="F23" i="28" s="1"/>
  <c r="H23" i="28" s="1"/>
  <c r="F419" i="29"/>
  <c r="H419" i="29" s="1"/>
  <c r="Y419" i="29"/>
  <c r="F398" i="29"/>
  <c r="H398" i="29" s="1"/>
  <c r="Y398" i="29"/>
  <c r="S488" i="28"/>
  <c r="E488" i="28"/>
  <c r="F488" i="28" s="1"/>
  <c r="H488" i="28" s="1"/>
  <c r="Y458" i="29"/>
  <c r="F458" i="29"/>
  <c r="H458" i="29" s="1"/>
  <c r="M28" i="27"/>
  <c r="C28" i="27"/>
  <c r="G184" i="31"/>
  <c r="L2" i="157" s="1"/>
  <c r="H184" i="31"/>
  <c r="E263" i="28"/>
  <c r="F263" i="28" s="1"/>
  <c r="H263" i="28" s="1"/>
  <c r="S263" i="28"/>
  <c r="S205" i="28"/>
  <c r="E205" i="28"/>
  <c r="F205" i="28" s="1"/>
  <c r="H205" i="28" s="1"/>
  <c r="S292" i="28"/>
  <c r="E292" i="28"/>
  <c r="F292" i="28" s="1"/>
  <c r="H292" i="28" s="1"/>
  <c r="F70" i="29"/>
  <c r="H70" i="29" s="1"/>
  <c r="Y70" i="29"/>
  <c r="E471" i="28"/>
  <c r="F471" i="28" s="1"/>
  <c r="H471" i="28" s="1"/>
  <c r="S471" i="28"/>
  <c r="Y367" i="29"/>
  <c r="F367" i="29"/>
  <c r="H367" i="29" s="1"/>
  <c r="E251" i="28"/>
  <c r="F251" i="28" s="1"/>
  <c r="H251" i="28" s="1"/>
  <c r="S251" i="28"/>
  <c r="E413" i="28"/>
  <c r="F413" i="28" s="1"/>
  <c r="H413" i="28" s="1"/>
  <c r="S413" i="28"/>
  <c r="F10" i="29"/>
  <c r="H10" i="29" s="1"/>
  <c r="Y10" i="29"/>
  <c r="D11" i="30"/>
  <c r="W11" i="30"/>
  <c r="E138" i="28"/>
  <c r="F138" i="28" s="1"/>
  <c r="H138" i="28" s="1"/>
  <c r="S138" i="28"/>
  <c r="S404" i="28"/>
  <c r="E404" i="28"/>
  <c r="F404" i="28" s="1"/>
  <c r="H404" i="28" s="1"/>
  <c r="Y223" i="29"/>
  <c r="F223" i="29"/>
  <c r="H223" i="29" s="1"/>
  <c r="F417" i="29"/>
  <c r="H417" i="29" s="1"/>
  <c r="Y417" i="29"/>
  <c r="Y201" i="29"/>
  <c r="F201" i="29"/>
  <c r="H201" i="29" s="1"/>
  <c r="Y285" i="29"/>
  <c r="F285" i="29"/>
  <c r="H285" i="29" s="1"/>
  <c r="E131" i="28"/>
  <c r="F131" i="28" s="1"/>
  <c r="H131" i="28" s="1"/>
  <c r="S131" i="28"/>
  <c r="S206" i="28"/>
  <c r="E206" i="28"/>
  <c r="F206" i="28" s="1"/>
  <c r="H206" i="28" s="1"/>
  <c r="E392" i="28"/>
  <c r="F392" i="28" s="1"/>
  <c r="H392" i="28" s="1"/>
  <c r="S392" i="28"/>
  <c r="Y27" i="29"/>
  <c r="F27" i="29"/>
  <c r="H27" i="29" s="1"/>
  <c r="M127" i="27"/>
  <c r="C127" i="27"/>
  <c r="F432" i="29"/>
  <c r="H432" i="29" s="1"/>
  <c r="Y432" i="29"/>
  <c r="Y172" i="29"/>
  <c r="F172" i="29"/>
  <c r="H172" i="29" s="1"/>
  <c r="Y258" i="29"/>
  <c r="F258" i="29"/>
  <c r="H258" i="29" s="1"/>
  <c r="F160" i="29"/>
  <c r="H160" i="29" s="1"/>
  <c r="Y160" i="29"/>
  <c r="D8" i="30"/>
  <c r="W8" i="30"/>
  <c r="S463" i="28"/>
  <c r="E463" i="28"/>
  <c r="F463" i="28" s="1"/>
  <c r="H463" i="28" s="1"/>
  <c r="E257" i="28"/>
  <c r="F257" i="28" s="1"/>
  <c r="H257" i="28" s="1"/>
  <c r="S257" i="28"/>
  <c r="Y445" i="29"/>
  <c r="F445" i="29"/>
  <c r="H445" i="29" s="1"/>
  <c r="M153" i="27"/>
  <c r="C153" i="27"/>
  <c r="S176" i="28"/>
  <c r="E176" i="28"/>
  <c r="F176" i="28" s="1"/>
  <c r="H176" i="28" s="1"/>
  <c r="C40" i="27"/>
  <c r="M40" i="27"/>
  <c r="E148" i="28"/>
  <c r="F148" i="28" s="1"/>
  <c r="H148" i="28" s="1"/>
  <c r="S148" i="28"/>
  <c r="S167" i="28"/>
  <c r="E167" i="28"/>
  <c r="F167" i="28" s="1"/>
  <c r="H167" i="28" s="1"/>
  <c r="F175" i="29"/>
  <c r="H175" i="29" s="1"/>
  <c r="Y175" i="29"/>
  <c r="M172" i="27"/>
  <c r="C172" i="27"/>
  <c r="E331" i="28"/>
  <c r="F331" i="28" s="1"/>
  <c r="H331" i="28" s="1"/>
  <c r="S331" i="28"/>
  <c r="C74" i="27"/>
  <c r="M74" i="27"/>
  <c r="C182" i="27"/>
  <c r="M182" i="27"/>
  <c r="E203" i="28"/>
  <c r="F203" i="28" s="1"/>
  <c r="H203" i="28" s="1"/>
  <c r="S203" i="28"/>
  <c r="D3" i="30"/>
  <c r="W3" i="30"/>
  <c r="M21" i="27"/>
  <c r="C21" i="27"/>
  <c r="S379" i="28"/>
  <c r="E379" i="28"/>
  <c r="F379" i="28" s="1"/>
  <c r="H379" i="28" s="1"/>
  <c r="M151" i="27"/>
  <c r="C151" i="27"/>
  <c r="C7" i="27"/>
  <c r="M7" i="27"/>
  <c r="Y13" i="29"/>
  <c r="F13" i="29"/>
  <c r="H13" i="29" s="1"/>
  <c r="S328" i="28"/>
  <c r="E328" i="28"/>
  <c r="F328" i="28" s="1"/>
  <c r="H328" i="28" s="1"/>
  <c r="F261" i="29"/>
  <c r="H261" i="29" s="1"/>
  <c r="Y261" i="29"/>
  <c r="Y263" i="29"/>
  <c r="F263" i="29"/>
  <c r="H263" i="29" s="1"/>
  <c r="S469" i="28"/>
  <c r="E469" i="28"/>
  <c r="F469" i="28" s="1"/>
  <c r="H469" i="28" s="1"/>
  <c r="S84" i="28"/>
  <c r="E84" i="28"/>
  <c r="F84" i="28" s="1"/>
  <c r="H84" i="28" s="1"/>
  <c r="F388" i="29"/>
  <c r="H388" i="29" s="1"/>
  <c r="Y388" i="29"/>
  <c r="S227" i="28"/>
  <c r="E227" i="28"/>
  <c r="F227" i="28" s="1"/>
  <c r="H227" i="28" s="1"/>
  <c r="S59" i="28"/>
  <c r="E59" i="28"/>
  <c r="F59" i="28" s="1"/>
  <c r="H59" i="28" s="1"/>
  <c r="E416" i="28"/>
  <c r="F416" i="28" s="1"/>
  <c r="H416" i="28" s="1"/>
  <c r="S416" i="28"/>
  <c r="F384" i="29"/>
  <c r="H384" i="29" s="1"/>
  <c r="Y384" i="29"/>
  <c r="E158" i="28"/>
  <c r="F158" i="28" s="1"/>
  <c r="H158" i="28" s="1"/>
  <c r="S158" i="28"/>
  <c r="F98" i="29"/>
  <c r="H98" i="29" s="1"/>
  <c r="Y98" i="29"/>
  <c r="F5" i="29"/>
  <c r="H5" i="29" s="1"/>
  <c r="Y5" i="29"/>
  <c r="M169" i="27"/>
  <c r="C169" i="27"/>
  <c r="Y288" i="29"/>
  <c r="F288" i="29"/>
  <c r="H288" i="29" s="1"/>
  <c r="E96" i="28"/>
  <c r="F96" i="28" s="1"/>
  <c r="H96" i="28" s="1"/>
  <c r="S96" i="28"/>
  <c r="H172" i="31"/>
  <c r="G172" i="31"/>
  <c r="L2" i="149" s="1"/>
  <c r="F78" i="29"/>
  <c r="H78" i="29" s="1"/>
  <c r="Y78" i="29"/>
  <c r="S94" i="28"/>
  <c r="E94" i="28"/>
  <c r="F94" i="28" s="1"/>
  <c r="H94" i="28" s="1"/>
  <c r="C90" i="27"/>
  <c r="M90" i="27"/>
  <c r="Y410" i="29"/>
  <c r="F410" i="29"/>
  <c r="H410" i="29" s="1"/>
  <c r="S423" i="28"/>
  <c r="E423" i="28"/>
  <c r="F423" i="28" s="1"/>
  <c r="H423" i="28" s="1"/>
  <c r="Y7" i="29"/>
  <c r="F7" i="29"/>
  <c r="H7" i="29" s="1"/>
  <c r="C162" i="27"/>
  <c r="M162" i="27"/>
  <c r="F422" i="29"/>
  <c r="H422" i="29" s="1"/>
  <c r="Y422" i="29"/>
  <c r="F449" i="29"/>
  <c r="H449" i="29" s="1"/>
  <c r="Y449" i="29"/>
  <c r="S293" i="28"/>
  <c r="E293" i="28"/>
  <c r="F293" i="28" s="1"/>
  <c r="H293" i="28" s="1"/>
  <c r="S368" i="28"/>
  <c r="E368" i="28"/>
  <c r="F368" i="28" s="1"/>
  <c r="H368" i="28" s="1"/>
  <c r="S161" i="28"/>
  <c r="E161" i="28"/>
  <c r="F161" i="28" s="1"/>
  <c r="H161" i="28" s="1"/>
  <c r="Y127" i="29"/>
  <c r="F127" i="29"/>
  <c r="H127" i="29" s="1"/>
  <c r="Y295" i="29"/>
  <c r="F295" i="29"/>
  <c r="H295" i="29" s="1"/>
  <c r="F294" i="29"/>
  <c r="H294" i="29" s="1"/>
  <c r="Y294" i="29"/>
  <c r="E395" i="28"/>
  <c r="F395" i="28" s="1"/>
  <c r="H395" i="28" s="1"/>
  <c r="S395" i="28"/>
  <c r="E343" i="28"/>
  <c r="F343" i="28" s="1"/>
  <c r="H343" i="28" s="1"/>
  <c r="S343" i="28"/>
  <c r="G173" i="31"/>
  <c r="L2" i="294" s="1"/>
  <c r="H173" i="31"/>
  <c r="Y80" i="29"/>
  <c r="F80" i="29"/>
  <c r="H80" i="29" s="1"/>
  <c r="S276" i="28"/>
  <c r="E276" i="28"/>
  <c r="F276" i="28" s="1"/>
  <c r="H276" i="28" s="1"/>
  <c r="Y17" i="29"/>
  <c r="F17" i="29"/>
  <c r="H17" i="29" s="1"/>
  <c r="Y431" i="29"/>
  <c r="F431" i="29"/>
  <c r="H431" i="29" s="1"/>
  <c r="C66" i="27"/>
  <c r="M66" i="27"/>
  <c r="Y159" i="29"/>
  <c r="F159" i="29"/>
  <c r="H159" i="29" s="1"/>
  <c r="F267" i="29"/>
  <c r="H267" i="29" s="1"/>
  <c r="Y267" i="29"/>
  <c r="F270" i="29"/>
  <c r="H270" i="29" s="1"/>
  <c r="Y270" i="29"/>
  <c r="M8" i="27"/>
  <c r="C8" i="27"/>
  <c r="F169" i="29"/>
  <c r="H169" i="29" s="1"/>
  <c r="Y169" i="29"/>
  <c r="S55" i="28"/>
  <c r="E55" i="28"/>
  <c r="F55" i="28" s="1"/>
  <c r="H55" i="28" s="1"/>
  <c r="M175" i="27"/>
  <c r="C175" i="27"/>
  <c r="S388" i="28"/>
  <c r="E388" i="28"/>
  <c r="F388" i="28" s="1"/>
  <c r="H388" i="28" s="1"/>
  <c r="S396" i="28"/>
  <c r="E396" i="28"/>
  <c r="F396" i="28" s="1"/>
  <c r="H396" i="28" s="1"/>
  <c r="F434" i="29"/>
  <c r="H434" i="29" s="1"/>
  <c r="Y434" i="29"/>
  <c r="M11" i="27"/>
  <c r="C11" i="27"/>
  <c r="Y186" i="29"/>
  <c r="F186" i="29"/>
  <c r="H186" i="29" s="1"/>
  <c r="F133" i="29"/>
  <c r="H133" i="29" s="1"/>
  <c r="Y133" i="29"/>
  <c r="S284" i="28"/>
  <c r="E284" i="28"/>
  <c r="F284" i="28" s="1"/>
  <c r="H284" i="28" s="1"/>
  <c r="S495" i="28"/>
  <c r="E495" i="28"/>
  <c r="F495" i="28" s="1"/>
  <c r="H495" i="28" s="1"/>
  <c r="E397" i="28"/>
  <c r="F397" i="28" s="1"/>
  <c r="H397" i="28" s="1"/>
  <c r="S397" i="28"/>
  <c r="F48" i="29"/>
  <c r="H48" i="29" s="1"/>
  <c r="Y48" i="29"/>
  <c r="Y405" i="29"/>
  <c r="F405" i="29"/>
  <c r="H405" i="29" s="1"/>
  <c r="Y407" i="29"/>
  <c r="F407" i="29"/>
  <c r="H407" i="29" s="1"/>
  <c r="S500" i="28"/>
  <c r="E500" i="28"/>
  <c r="F500" i="28" s="1"/>
  <c r="H500" i="28" s="1"/>
  <c r="S255" i="28"/>
  <c r="E255" i="28"/>
  <c r="F255" i="28" s="1"/>
  <c r="H255" i="28" s="1"/>
  <c r="F118" i="29"/>
  <c r="H118" i="29" s="1"/>
  <c r="Y118" i="29"/>
  <c r="M157" i="27"/>
  <c r="C157" i="27"/>
  <c r="Y194" i="29"/>
  <c r="F194" i="29"/>
  <c r="H194" i="29" s="1"/>
  <c r="F141" i="29"/>
  <c r="H141" i="29" s="1"/>
  <c r="Y141" i="29"/>
  <c r="C49" i="27"/>
  <c r="M49" i="27"/>
  <c r="E93" i="28"/>
  <c r="F93" i="28" s="1"/>
  <c r="H93" i="28" s="1"/>
  <c r="S93" i="28"/>
  <c r="C118" i="27"/>
  <c r="M118" i="27"/>
  <c r="S405" i="28"/>
  <c r="E405" i="28"/>
  <c r="F405" i="28" s="1"/>
  <c r="H405" i="28" s="1"/>
  <c r="Y412" i="29"/>
  <c r="F412" i="29"/>
  <c r="H412" i="29" s="1"/>
  <c r="E348" i="28"/>
  <c r="F348" i="28" s="1"/>
  <c r="H348" i="28" s="1"/>
  <c r="S348" i="28"/>
  <c r="C176" i="27"/>
  <c r="M176" i="27"/>
  <c r="Y296" i="29"/>
  <c r="F296" i="29"/>
  <c r="H296" i="29" s="1"/>
  <c r="F6" i="29"/>
  <c r="H6" i="29" s="1"/>
  <c r="Y6" i="29"/>
  <c r="E387" i="28"/>
  <c r="F387" i="28" s="1"/>
  <c r="H387" i="28" s="1"/>
  <c r="S387" i="28"/>
  <c r="C24" i="27"/>
  <c r="M24" i="27"/>
  <c r="Y30" i="29"/>
  <c r="F30" i="29"/>
  <c r="H30" i="29" s="1"/>
  <c r="S61" i="28"/>
  <c r="E61" i="28"/>
  <c r="F61" i="28" s="1"/>
  <c r="H61" i="28" s="1"/>
  <c r="Y325" i="29"/>
  <c r="F325" i="29"/>
  <c r="H325" i="29" s="1"/>
  <c r="F189" i="29"/>
  <c r="H189" i="29" s="1"/>
  <c r="Y189" i="29"/>
  <c r="S282" i="28"/>
  <c r="E282" i="28"/>
  <c r="F282" i="28" s="1"/>
  <c r="H282" i="28" s="1"/>
  <c r="F206" i="29"/>
  <c r="H206" i="29" s="1"/>
  <c r="Y206" i="29"/>
  <c r="S14" i="28"/>
  <c r="E14" i="28"/>
  <c r="F14" i="28" s="1"/>
  <c r="H14" i="28" s="1"/>
  <c r="F188" i="29"/>
  <c r="H188" i="29" s="1"/>
  <c r="Y188" i="29"/>
  <c r="F161" i="29"/>
  <c r="H161" i="29" s="1"/>
  <c r="Y161" i="29"/>
  <c r="F269" i="29"/>
  <c r="H269" i="29" s="1"/>
  <c r="Y269" i="29"/>
  <c r="F299" i="29"/>
  <c r="H299" i="29" s="1"/>
  <c r="Y299" i="29"/>
  <c r="M126" i="27"/>
  <c r="C126" i="27"/>
  <c r="Y65" i="29"/>
  <c r="F65" i="29"/>
  <c r="H65" i="29" s="1"/>
  <c r="Y120" i="29"/>
  <c r="F120" i="29"/>
  <c r="H120" i="29" s="1"/>
  <c r="S259" i="28"/>
  <c r="E259" i="28"/>
  <c r="F259" i="28" s="1"/>
  <c r="H259" i="28" s="1"/>
  <c r="E165" i="28"/>
  <c r="F165" i="28" s="1"/>
  <c r="H165" i="28" s="1"/>
  <c r="S165" i="28"/>
  <c r="M163" i="27"/>
  <c r="C163" i="27"/>
  <c r="S373" i="28"/>
  <c r="E373" i="28"/>
  <c r="F373" i="28" s="1"/>
  <c r="H373" i="28" s="1"/>
  <c r="Y234" i="29"/>
  <c r="F234" i="29"/>
  <c r="H234" i="29" s="1"/>
  <c r="F235" i="29"/>
  <c r="H235" i="29" s="1"/>
  <c r="Y235" i="29"/>
  <c r="D145" i="30"/>
  <c r="W145" i="30"/>
  <c r="Y424" i="29"/>
  <c r="F424" i="29"/>
  <c r="H424" i="29" s="1"/>
  <c r="F83" i="29"/>
  <c r="H83" i="29" s="1"/>
  <c r="Y83" i="29"/>
  <c r="Y401" i="29"/>
  <c r="F401" i="29"/>
  <c r="H401" i="29" s="1"/>
  <c r="F389" i="29"/>
  <c r="H389" i="29" s="1"/>
  <c r="Y389" i="29"/>
  <c r="F2" i="29"/>
  <c r="H2" i="29" s="1"/>
  <c r="Y2" i="29"/>
  <c r="S233" i="28"/>
  <c r="E233" i="28"/>
  <c r="F233" i="28" s="1"/>
  <c r="H233" i="28" s="1"/>
  <c r="Y192" i="29"/>
  <c r="F192" i="29"/>
  <c r="H192" i="29" s="1"/>
  <c r="Y456" i="29"/>
  <c r="F456" i="29"/>
  <c r="H456" i="29" s="1"/>
  <c r="Y89" i="29"/>
  <c r="F89" i="29"/>
  <c r="H89" i="29" s="1"/>
  <c r="G181" i="31"/>
  <c r="L2" i="154" s="1"/>
  <c r="H181" i="31"/>
  <c r="Y22" i="29"/>
  <c r="F22" i="29"/>
  <c r="H22" i="29" s="1"/>
  <c r="Y205" i="29"/>
  <c r="F205" i="29"/>
  <c r="H205" i="29" s="1"/>
  <c r="Y8" i="29"/>
  <c r="F8" i="29"/>
  <c r="H8" i="29" s="1"/>
  <c r="W136" i="30"/>
  <c r="D136" i="30"/>
  <c r="M54" i="27"/>
  <c r="C54" i="27"/>
  <c r="E358" i="28"/>
  <c r="F358" i="28" s="1"/>
  <c r="H358" i="28" s="1"/>
  <c r="S358" i="28"/>
  <c r="F24" i="29"/>
  <c r="H24" i="29" s="1"/>
  <c r="Y24" i="29"/>
  <c r="S164" i="28"/>
  <c r="E164" i="28"/>
  <c r="F164" i="28" s="1"/>
  <c r="H164" i="28" s="1"/>
  <c r="F448" i="29"/>
  <c r="H448" i="29" s="1"/>
  <c r="Y448" i="29"/>
  <c r="G178" i="31"/>
  <c r="L2" i="303" s="1"/>
  <c r="H178" i="31"/>
  <c r="M3" i="27"/>
  <c r="C3" i="27"/>
  <c r="E275" i="28"/>
  <c r="F275" i="28" s="1"/>
  <c r="H275" i="28" s="1"/>
  <c r="S275" i="28"/>
  <c r="Y137" i="29"/>
  <c r="F137" i="29"/>
  <c r="H137" i="29" s="1"/>
  <c r="C134" i="27"/>
  <c r="M134" i="27"/>
  <c r="Y32" i="29"/>
  <c r="F32" i="29"/>
  <c r="H32" i="29" s="1"/>
  <c r="Y229" i="29"/>
  <c r="F229" i="29"/>
  <c r="H229" i="29" s="1"/>
  <c r="F418" i="29"/>
  <c r="H418" i="29" s="1"/>
  <c r="Y418" i="29"/>
  <c r="F225" i="29"/>
  <c r="H225" i="29" s="1"/>
  <c r="Y225" i="29"/>
  <c r="F416" i="29"/>
  <c r="H416" i="29" s="1"/>
  <c r="Y416" i="29"/>
  <c r="E211" i="28"/>
  <c r="F211" i="28" s="1"/>
  <c r="H211" i="28" s="1"/>
  <c r="E435" i="28"/>
  <c r="F435" i="28" s="1"/>
  <c r="H435" i="28" s="1"/>
  <c r="S435" i="28"/>
  <c r="M128" i="27"/>
  <c r="C128" i="27"/>
  <c r="E85" i="28"/>
  <c r="F85" i="28" s="1"/>
  <c r="H85" i="28" s="1"/>
  <c r="S85" i="28"/>
  <c r="E65" i="28"/>
  <c r="F65" i="28" s="1"/>
  <c r="H65" i="28" s="1"/>
  <c r="S65" i="28"/>
  <c r="S340" i="28"/>
  <c r="E340" i="28"/>
  <c r="F340" i="28" s="1"/>
  <c r="H340" i="28" s="1"/>
  <c r="E277" i="28"/>
  <c r="F277" i="28" s="1"/>
  <c r="H277" i="28" s="1"/>
  <c r="S277" i="28"/>
  <c r="F324" i="29"/>
  <c r="H324" i="29" s="1"/>
  <c r="Y324" i="29"/>
  <c r="Y177" i="29"/>
  <c r="F177" i="29"/>
  <c r="H177" i="29" s="1"/>
  <c r="S300" i="28"/>
  <c r="E300" i="28"/>
  <c r="F300" i="28" s="1"/>
  <c r="H300" i="28" s="1"/>
  <c r="E168" i="28"/>
  <c r="F168" i="28" s="1"/>
  <c r="H168" i="28" s="1"/>
  <c r="S168" i="28"/>
  <c r="Y19" i="29"/>
  <c r="F19" i="29"/>
  <c r="H19" i="29" s="1"/>
  <c r="Y439" i="29"/>
  <c r="F439" i="29"/>
  <c r="H439" i="29" s="1"/>
  <c r="F447" i="29"/>
  <c r="H447" i="29" s="1"/>
  <c r="Y447" i="29"/>
  <c r="E56" i="28"/>
  <c r="F56" i="28" s="1"/>
  <c r="H56" i="28" s="1"/>
  <c r="S56" i="28"/>
  <c r="M80" i="27"/>
  <c r="C80" i="27"/>
  <c r="W36" i="30"/>
  <c r="D36" i="30"/>
  <c r="E256" i="28"/>
  <c r="F256" i="28" s="1"/>
  <c r="H256" i="28" s="1"/>
  <c r="S256" i="28"/>
  <c r="F165" i="29"/>
  <c r="H165" i="29" s="1"/>
  <c r="Y165" i="29"/>
  <c r="S81" i="28"/>
  <c r="E81" i="28"/>
  <c r="F81" i="28" s="1"/>
  <c r="H81" i="28" s="1"/>
  <c r="F67" i="29"/>
  <c r="H67" i="29" s="1"/>
  <c r="Y67" i="29"/>
  <c r="Y195" i="29"/>
  <c r="F195" i="29"/>
  <c r="H195" i="29" s="1"/>
  <c r="W39" i="30"/>
  <c r="D39" i="30"/>
  <c r="F63" i="29"/>
  <c r="H63" i="29" s="1"/>
  <c r="Y63" i="29"/>
  <c r="E82" i="28"/>
  <c r="F82" i="28" s="1"/>
  <c r="H82" i="28" s="1"/>
  <c r="S82" i="28"/>
  <c r="Y135" i="29"/>
  <c r="F135" i="29"/>
  <c r="H135" i="29" s="1"/>
  <c r="M27" i="27"/>
  <c r="C27" i="27"/>
  <c r="Y84" i="29"/>
  <c r="F84" i="29"/>
  <c r="H84" i="29" s="1"/>
  <c r="S171" i="28"/>
  <c r="E171" i="28"/>
  <c r="F171" i="28" s="1"/>
  <c r="H171" i="28" s="1"/>
  <c r="E332" i="28"/>
  <c r="F332" i="28" s="1"/>
  <c r="H332" i="28" s="1"/>
  <c r="S332" i="28"/>
  <c r="H90" i="31"/>
  <c r="G90" i="31"/>
  <c r="L2" i="254" s="1"/>
  <c r="S38" i="28"/>
  <c r="E38" i="28"/>
  <c r="F38" i="28" s="1"/>
  <c r="H38" i="28" s="1"/>
  <c r="Y47" i="29"/>
  <c r="F47" i="29"/>
  <c r="H47" i="29" s="1"/>
  <c r="W2" i="30"/>
  <c r="D2" i="30"/>
  <c r="Y77" i="29"/>
  <c r="F77" i="29"/>
  <c r="H77" i="29" s="1"/>
  <c r="F23" i="29"/>
  <c r="H23" i="29" s="1"/>
  <c r="Y23" i="29"/>
  <c r="Y260" i="29"/>
  <c r="F260" i="29"/>
  <c r="H260" i="29" s="1"/>
  <c r="M173" i="27"/>
  <c r="C173" i="27"/>
  <c r="Y371" i="29"/>
  <c r="F371" i="29"/>
  <c r="H371" i="29" s="1"/>
  <c r="H176" i="31"/>
  <c r="G176" i="31"/>
  <c r="L2" i="296" s="1"/>
  <c r="S192" i="28"/>
  <c r="E192" i="28"/>
  <c r="F192" i="28" s="1"/>
  <c r="H192" i="28" s="1"/>
  <c r="S412" i="28"/>
  <c r="E412" i="28"/>
  <c r="F412" i="28" s="1"/>
  <c r="H412" i="28" s="1"/>
  <c r="M183" i="27"/>
  <c r="C183" i="27"/>
  <c r="S285" i="28"/>
  <c r="E285" i="28"/>
  <c r="F285" i="28" s="1"/>
  <c r="H285" i="28" s="1"/>
  <c r="Y411" i="29"/>
  <c r="F411" i="29"/>
  <c r="H411" i="29" s="1"/>
  <c r="E315" i="28"/>
  <c r="F315" i="28" s="1"/>
  <c r="H315" i="28" s="1"/>
  <c r="S315" i="28"/>
  <c r="E239" i="28"/>
  <c r="F239" i="28" s="1"/>
  <c r="H239" i="28" s="1"/>
  <c r="S239" i="28"/>
  <c r="M23" i="27"/>
  <c r="C23" i="27"/>
  <c r="D26" i="30"/>
  <c r="W26" i="30"/>
  <c r="F292" i="29"/>
  <c r="H292" i="29" s="1"/>
  <c r="Y292" i="29"/>
  <c r="S347" i="28"/>
  <c r="E347" i="28"/>
  <c r="F347" i="28" s="1"/>
  <c r="H347" i="28" s="1"/>
  <c r="E357" i="28"/>
  <c r="F357" i="28" s="1"/>
  <c r="H357" i="28" s="1"/>
  <c r="S357" i="28"/>
  <c r="E337" i="28"/>
  <c r="F337" i="28" s="1"/>
  <c r="H337" i="28" s="1"/>
  <c r="S337" i="28"/>
  <c r="F119" i="29"/>
  <c r="H119" i="29" s="1"/>
  <c r="Y119" i="29"/>
  <c r="M108" i="27"/>
  <c r="C108" i="27"/>
  <c r="Y174" i="29"/>
  <c r="F174" i="29"/>
  <c r="H174" i="29" s="1"/>
  <c r="C149" i="27"/>
  <c r="M149" i="27"/>
  <c r="F377" i="29"/>
  <c r="H377" i="29" s="1"/>
  <c r="Y377" i="29"/>
  <c r="S201" i="28"/>
  <c r="E201" i="28"/>
  <c r="F201" i="28" s="1"/>
  <c r="H201" i="28" s="1"/>
  <c r="E371" i="28"/>
  <c r="F371" i="28" s="1"/>
  <c r="H371" i="28" s="1"/>
  <c r="S371" i="28"/>
  <c r="S32" i="28"/>
  <c r="E32" i="28"/>
  <c r="F32" i="28" s="1"/>
  <c r="H32" i="28" s="1"/>
  <c r="E384" i="28"/>
  <c r="F384" i="28" s="1"/>
  <c r="H384" i="28" s="1"/>
  <c r="S384" i="28"/>
  <c r="Y75" i="29"/>
  <c r="F75" i="29"/>
  <c r="H75" i="29" s="1"/>
  <c r="F204" i="29"/>
  <c r="H204" i="29" s="1"/>
  <c r="Y204" i="29"/>
  <c r="Y257" i="29"/>
  <c r="F257" i="29"/>
  <c r="H257" i="29" s="1"/>
  <c r="E267" i="28"/>
  <c r="F267" i="28" s="1"/>
  <c r="H267" i="28" s="1"/>
  <c r="S267" i="28"/>
  <c r="S380" i="28"/>
  <c r="E380" i="28"/>
  <c r="F380" i="28" s="1"/>
  <c r="H380" i="28" s="1"/>
  <c r="D35" i="30"/>
  <c r="W35" i="30"/>
  <c r="S462" i="28"/>
  <c r="E462" i="28"/>
  <c r="F462" i="28" s="1"/>
  <c r="H462" i="28" s="1"/>
  <c r="E351" i="28"/>
  <c r="F351" i="28" s="1"/>
  <c r="H351" i="28" s="1"/>
  <c r="S351" i="28"/>
  <c r="S100" i="28"/>
  <c r="E100" i="28"/>
  <c r="F100" i="28" s="1"/>
  <c r="H100" i="28" s="1"/>
  <c r="S92" i="28"/>
  <c r="E92" i="28"/>
  <c r="F92" i="28" s="1"/>
  <c r="H92" i="28" s="1"/>
  <c r="M142" i="27"/>
  <c r="C142" i="27"/>
  <c r="Y187" i="29"/>
  <c r="F187" i="29"/>
  <c r="H187" i="29" s="1"/>
  <c r="E120" i="28"/>
  <c r="F120" i="28" s="1"/>
  <c r="H120" i="28" s="1"/>
  <c r="S120" i="28"/>
  <c r="Y438" i="29"/>
  <c r="F438" i="29"/>
  <c r="H438" i="29" s="1"/>
  <c r="F423" i="29"/>
  <c r="H423" i="29" s="1"/>
  <c r="Y423" i="29"/>
  <c r="F420" i="29"/>
  <c r="H420" i="29" s="1"/>
  <c r="Y420" i="29"/>
  <c r="E21" i="28"/>
  <c r="F21" i="28" s="1"/>
  <c r="H21" i="28" s="1"/>
  <c r="S21" i="28"/>
  <c r="F397" i="29"/>
  <c r="H397" i="29" s="1"/>
  <c r="Y397" i="29"/>
  <c r="M145" i="27"/>
  <c r="C145" i="27"/>
  <c r="E490" i="28"/>
  <c r="F490" i="28" s="1"/>
  <c r="H490" i="28" s="1"/>
  <c r="S490" i="28"/>
  <c r="F331" i="29"/>
  <c r="H331" i="29" s="1"/>
  <c r="Y331" i="29"/>
  <c r="S234" i="28"/>
  <c r="E234" i="28"/>
  <c r="F234" i="28" s="1"/>
  <c r="H234" i="28" s="1"/>
  <c r="G91" i="31"/>
  <c r="L2" i="256" s="1"/>
  <c r="H91" i="31"/>
  <c r="F21" i="29"/>
  <c r="H21" i="29" s="1"/>
  <c r="Y21" i="29"/>
  <c r="M166" i="27"/>
  <c r="C166" i="27"/>
  <c r="F408" i="29"/>
  <c r="H408" i="29" s="1"/>
  <c r="Y408" i="29"/>
  <c r="E254" i="28"/>
  <c r="F254" i="28" s="1"/>
  <c r="H254" i="28" s="1"/>
  <c r="S254" i="28"/>
  <c r="E302" i="28"/>
  <c r="F302" i="28" s="1"/>
  <c r="H302" i="28" s="1"/>
  <c r="S302" i="28"/>
  <c r="F117" i="29"/>
  <c r="H117" i="29" s="1"/>
  <c r="Y117" i="29"/>
  <c r="C60" i="27"/>
  <c r="M60" i="27"/>
  <c r="Y140" i="29"/>
  <c r="F140" i="29"/>
  <c r="H140" i="29" s="1"/>
  <c r="Y427" i="29"/>
  <c r="F427" i="29"/>
  <c r="H427" i="29" s="1"/>
  <c r="F138" i="29"/>
  <c r="H138" i="29" s="1"/>
  <c r="Y138" i="29"/>
  <c r="Y93" i="29"/>
  <c r="F93" i="29"/>
  <c r="H93" i="29" s="1"/>
  <c r="C29" i="27"/>
  <c r="M29" i="27"/>
  <c r="Y227" i="29"/>
  <c r="F227" i="29"/>
  <c r="H227" i="29" s="1"/>
  <c r="S325" i="28"/>
  <c r="E325" i="28"/>
  <c r="F325" i="28" s="1"/>
  <c r="H325" i="28" s="1"/>
  <c r="F156" i="29"/>
  <c r="H156" i="29" s="1"/>
  <c r="Y156" i="29"/>
  <c r="S309" i="28"/>
  <c r="E309" i="28"/>
  <c r="F309" i="28" s="1"/>
  <c r="H309" i="28" s="1"/>
  <c r="S107" i="28"/>
  <c r="E107" i="28"/>
  <c r="F107" i="28" s="1"/>
  <c r="H107" i="28" s="1"/>
  <c r="Y224" i="29"/>
  <c r="F224" i="29"/>
  <c r="H224" i="29" s="1"/>
  <c r="E159" i="28"/>
  <c r="F159" i="28" s="1"/>
  <c r="H159" i="28" s="1"/>
  <c r="S159" i="28"/>
  <c r="E89" i="28"/>
  <c r="F89" i="28" s="1"/>
  <c r="H89" i="28" s="1"/>
  <c r="S89" i="28"/>
  <c r="H170" i="31"/>
  <c r="G170" i="31"/>
  <c r="L2" i="147" s="1"/>
  <c r="Y79" i="29"/>
  <c r="F79" i="29"/>
  <c r="H79" i="29" s="1"/>
  <c r="S335" i="28"/>
  <c r="E335" i="28"/>
  <c r="F335" i="28" s="1"/>
  <c r="H335" i="28" s="1"/>
  <c r="E334" i="28"/>
  <c r="F334" i="28" s="1"/>
  <c r="H334" i="28" s="1"/>
  <c r="S334" i="28"/>
  <c r="E349" i="28"/>
  <c r="F349" i="28" s="1"/>
  <c r="H349" i="28" s="1"/>
  <c r="S349" i="28"/>
  <c r="E314" i="28"/>
  <c r="F314" i="28" s="1"/>
  <c r="H314" i="28" s="1"/>
  <c r="S314" i="28"/>
  <c r="F266" i="29"/>
  <c r="H266" i="29" s="1"/>
  <c r="Y266" i="29"/>
  <c r="M25" i="27"/>
  <c r="C25" i="27"/>
  <c r="S478" i="28"/>
  <c r="E478" i="28"/>
  <c r="F478" i="28" s="1"/>
  <c r="H478" i="28" s="1"/>
  <c r="C52" i="27"/>
  <c r="M52" i="27"/>
  <c r="F298" i="29"/>
  <c r="H298" i="29" s="1"/>
  <c r="Y298" i="29"/>
  <c r="F198" i="29"/>
  <c r="H198" i="29" s="1"/>
  <c r="Y198" i="29"/>
  <c r="F202" i="29"/>
  <c r="H202" i="29" s="1"/>
  <c r="Y202" i="29"/>
  <c r="Y443" i="29"/>
  <c r="F443" i="29"/>
  <c r="H443" i="29" s="1"/>
  <c r="F360" i="29"/>
  <c r="H360" i="29" s="1"/>
  <c r="Y360" i="29"/>
  <c r="S385" i="28"/>
  <c r="E385" i="28"/>
  <c r="F385" i="28" s="1"/>
  <c r="H385" i="28" s="1"/>
  <c r="M117" i="27"/>
  <c r="C117" i="27"/>
  <c r="D144" i="30"/>
  <c r="W144" i="30"/>
  <c r="S356" i="28"/>
  <c r="E356" i="28"/>
  <c r="F356" i="28" s="1"/>
  <c r="H356" i="28" s="1"/>
  <c r="S484" i="28"/>
  <c r="E484" i="28"/>
  <c r="F484" i="28" s="1"/>
  <c r="H484" i="28" s="1"/>
  <c r="S318" i="28"/>
  <c r="E318" i="28"/>
  <c r="F318" i="28" s="1"/>
  <c r="H318" i="28" s="1"/>
  <c r="S411" i="28"/>
  <c r="E411" i="28"/>
  <c r="F411" i="28" s="1"/>
  <c r="H411" i="28" s="1"/>
  <c r="E240" i="28"/>
  <c r="F240" i="28" s="1"/>
  <c r="H240" i="28" s="1"/>
  <c r="S240" i="28"/>
  <c r="Y153" i="29"/>
  <c r="F153" i="29"/>
  <c r="H153" i="29" s="1"/>
  <c r="E489" i="28"/>
  <c r="F489" i="28" s="1"/>
  <c r="H489" i="28" s="1"/>
  <c r="S489" i="28"/>
  <c r="E160" i="28"/>
  <c r="F160" i="28" s="1"/>
  <c r="H160" i="28" s="1"/>
  <c r="S160" i="28"/>
  <c r="Y409" i="29"/>
  <c r="F409" i="29"/>
  <c r="H409" i="29" s="1"/>
  <c r="Y12" i="29"/>
  <c r="F12" i="29"/>
  <c r="H12" i="29" s="1"/>
  <c r="Y86" i="29"/>
  <c r="F86" i="29"/>
  <c r="H86" i="29" s="1"/>
  <c r="S341" i="28"/>
  <c r="E341" i="28"/>
  <c r="F341" i="28" s="1"/>
  <c r="H341" i="28" s="1"/>
  <c r="F441" i="29"/>
  <c r="H441" i="29" s="1"/>
  <c r="Y441" i="29"/>
  <c r="F9" i="29"/>
  <c r="H9" i="29" s="1"/>
  <c r="Y9" i="29"/>
  <c r="E113" i="28"/>
  <c r="F113" i="28" s="1"/>
  <c r="H113" i="28" s="1"/>
  <c r="S113" i="28"/>
  <c r="F375" i="29"/>
  <c r="H375" i="29" s="1"/>
  <c r="Y375" i="29"/>
  <c r="Y425" i="29"/>
  <c r="F425" i="29"/>
  <c r="H425" i="29" s="1"/>
  <c r="S287" i="28"/>
  <c r="E287" i="28"/>
  <c r="F287" i="28" s="1"/>
  <c r="H287" i="28" s="1"/>
  <c r="Y228" i="29"/>
  <c r="F228" i="29"/>
  <c r="H228" i="29" s="1"/>
  <c r="E108" i="28"/>
  <c r="F108" i="28" s="1"/>
  <c r="H108" i="28" s="1"/>
  <c r="S108" i="28"/>
  <c r="F71" i="29"/>
  <c r="H71" i="29" s="1"/>
  <c r="Y71" i="29"/>
  <c r="S238" i="28"/>
  <c r="E238" i="28"/>
  <c r="F238" i="28" s="1"/>
  <c r="H238" i="28" s="1"/>
  <c r="F413" i="29"/>
  <c r="H413" i="29" s="1"/>
  <c r="Y413" i="29"/>
  <c r="W14" i="30"/>
  <c r="D14" i="30"/>
  <c r="Y128" i="29"/>
  <c r="F128" i="29"/>
  <c r="H128" i="29" s="1"/>
  <c r="Y297" i="29"/>
  <c r="F297" i="29"/>
  <c r="H297" i="29" s="1"/>
  <c r="S363" i="28"/>
  <c r="E363" i="28"/>
  <c r="F363" i="28" s="1"/>
  <c r="H363" i="28" s="1"/>
  <c r="H171" i="31"/>
  <c r="G171" i="31"/>
  <c r="L2" i="148" s="1"/>
  <c r="Y185" i="29"/>
  <c r="F185" i="29"/>
  <c r="H185" i="29" s="1"/>
  <c r="F68" i="29"/>
  <c r="H68" i="29" s="1"/>
  <c r="Y68" i="29"/>
  <c r="C159" i="27"/>
  <c r="M159" i="27"/>
  <c r="F391" i="29"/>
  <c r="H391" i="29" s="1"/>
  <c r="Y391" i="29"/>
  <c r="F197" i="29"/>
  <c r="H197" i="29" s="1"/>
  <c r="Y197" i="29"/>
  <c r="Y362" i="29"/>
  <c r="F362" i="29"/>
  <c r="H362" i="29" s="1"/>
  <c r="F163" i="29"/>
  <c r="H163" i="29" s="1"/>
  <c r="Y163" i="29"/>
  <c r="E175" i="28"/>
  <c r="F175" i="28" s="1"/>
  <c r="H175" i="28" s="1"/>
  <c r="S175" i="28"/>
  <c r="Y196" i="29"/>
  <c r="F196" i="29"/>
  <c r="H196" i="29" s="1"/>
  <c r="E83" i="28"/>
  <c r="F83" i="28" s="1"/>
  <c r="H83" i="28" s="1"/>
  <c r="S83" i="28"/>
  <c r="E304" i="28"/>
  <c r="F304" i="28" s="1"/>
  <c r="H304" i="28" s="1"/>
  <c r="S304" i="28"/>
  <c r="S169" i="28"/>
  <c r="E169" i="28"/>
  <c r="F169" i="28" s="1"/>
  <c r="H169" i="28" s="1"/>
  <c r="Y421" i="29"/>
  <c r="F421" i="29"/>
  <c r="H421" i="29" s="1"/>
  <c r="F115" i="29"/>
  <c r="H115" i="29" s="1"/>
  <c r="Y115" i="29"/>
  <c r="S202" i="28"/>
  <c r="E202" i="28"/>
  <c r="F202" i="28" s="1"/>
  <c r="H202" i="28" s="1"/>
  <c r="F191" i="29"/>
  <c r="H191" i="29" s="1"/>
  <c r="Y191" i="29"/>
  <c r="Y459" i="29"/>
  <c r="F459" i="29"/>
  <c r="H459" i="29" s="1"/>
  <c r="Y461" i="29"/>
  <c r="F461" i="29"/>
  <c r="H461" i="29" s="1"/>
  <c r="G182" i="31"/>
  <c r="L2" i="155" s="1"/>
  <c r="H182" i="31"/>
  <c r="S362" i="28"/>
  <c r="E362" i="28"/>
  <c r="F362" i="28" s="1"/>
  <c r="H362" i="28" s="1"/>
  <c r="F20" i="29"/>
  <c r="H20" i="29" s="1"/>
  <c r="Y20" i="29"/>
  <c r="E336" i="28"/>
  <c r="F336" i="28" s="1"/>
  <c r="H336" i="28" s="1"/>
  <c r="S336" i="28"/>
  <c r="E468" i="28"/>
  <c r="F468" i="28" s="1"/>
  <c r="H468" i="28" s="1"/>
  <c r="S468" i="28"/>
  <c r="M56" i="27"/>
  <c r="C56" i="27"/>
  <c r="F11" i="29"/>
  <c r="H11" i="29" s="1"/>
  <c r="Y11" i="29"/>
  <c r="M136" i="27"/>
  <c r="C136" i="27"/>
  <c r="F209" i="29"/>
  <c r="H209" i="29" s="1"/>
  <c r="Y209" i="29"/>
  <c r="Y374" i="29"/>
  <c r="F374" i="29"/>
  <c r="H374" i="29" s="1"/>
  <c r="Y426" i="29"/>
  <c r="F426" i="29"/>
  <c r="H426" i="29" s="1"/>
  <c r="F94" i="29"/>
  <c r="H94" i="29" s="1"/>
  <c r="Y94" i="29"/>
  <c r="S487" i="28"/>
  <c r="E487" i="28"/>
  <c r="F487" i="28" s="1"/>
  <c r="H487" i="28" s="1"/>
  <c r="Y231" i="29"/>
  <c r="F231" i="29"/>
  <c r="H231" i="29" s="1"/>
  <c r="E235" i="28"/>
  <c r="F235" i="28" s="1"/>
  <c r="H235" i="28" s="1"/>
  <c r="S235" i="28"/>
  <c r="Y415" i="29"/>
  <c r="F415" i="29"/>
  <c r="H415" i="29" s="1"/>
  <c r="Y286" i="29"/>
  <c r="F286" i="29"/>
  <c r="H286" i="29" s="1"/>
  <c r="H169" i="31"/>
  <c r="G169" i="31"/>
  <c r="L2" i="133" s="1"/>
  <c r="S353" i="28"/>
  <c r="E353" i="28"/>
  <c r="F353" i="28" s="1"/>
  <c r="H353" i="28" s="1"/>
  <c r="Y28" i="29"/>
  <c r="F28" i="29"/>
  <c r="H28" i="29" s="1"/>
  <c r="Y157" i="29"/>
  <c r="F157" i="29"/>
  <c r="H157" i="29" s="1"/>
  <c r="E311" i="28"/>
  <c r="F311" i="28" s="1"/>
  <c r="H311" i="28" s="1"/>
  <c r="S311" i="28"/>
  <c r="W6" i="30"/>
  <c r="D6" i="30"/>
  <c r="Y73" i="29"/>
  <c r="F73" i="29"/>
  <c r="H73" i="29" s="1"/>
  <c r="Y282" i="29"/>
  <c r="F282" i="29"/>
  <c r="H282" i="29" s="1"/>
  <c r="E136" i="28"/>
  <c r="F136" i="28" s="1"/>
  <c r="H136" i="28" s="1"/>
  <c r="S136" i="28"/>
  <c r="F255" i="29"/>
  <c r="H255" i="29" s="1"/>
  <c r="Y255" i="29"/>
  <c r="E295" i="28"/>
  <c r="F295" i="28" s="1"/>
  <c r="H295" i="28" s="1"/>
  <c r="S295" i="28"/>
  <c r="F130" i="29"/>
  <c r="H130" i="29" s="1"/>
  <c r="Y130" i="29"/>
  <c r="C55" i="27"/>
  <c r="M55" i="27"/>
  <c r="F271" i="29"/>
  <c r="H271" i="29" s="1"/>
  <c r="Y271" i="29"/>
  <c r="C174" i="27"/>
  <c r="M174" i="27"/>
  <c r="E249" i="28"/>
  <c r="F249" i="28" s="1"/>
  <c r="H249" i="28" s="1"/>
  <c r="S249" i="28"/>
  <c r="S262" i="28"/>
  <c r="E262" i="28"/>
  <c r="F262" i="28" s="1"/>
  <c r="H262" i="28" s="1"/>
  <c r="Y359" i="29"/>
  <c r="F359" i="29"/>
  <c r="H359" i="29" s="1"/>
  <c r="S242" i="28"/>
  <c r="E242" i="28"/>
  <c r="F242" i="28" s="1"/>
  <c r="H242" i="28" s="1"/>
  <c r="E483" i="28"/>
  <c r="F483" i="28" s="1"/>
  <c r="H483" i="28" s="1"/>
  <c r="S483" i="28"/>
  <c r="M124" i="27"/>
  <c r="C124" i="27"/>
  <c r="F435" i="29"/>
  <c r="H435" i="29" s="1"/>
  <c r="Y435" i="29"/>
  <c r="F145" i="29"/>
  <c r="H145" i="29" s="1"/>
  <c r="Y145" i="29"/>
  <c r="Y158" i="29"/>
  <c r="F158" i="29"/>
  <c r="H158" i="29" s="1"/>
  <c r="F43" i="29"/>
  <c r="H43" i="29" s="1"/>
  <c r="Y43" i="29"/>
  <c r="Y460" i="29"/>
  <c r="F460" i="29"/>
  <c r="H460" i="29" s="1"/>
  <c r="Y457" i="29"/>
  <c r="F457" i="29"/>
  <c r="H457" i="29" s="1"/>
  <c r="H183" i="31"/>
  <c r="G183" i="31"/>
  <c r="L2" i="156" s="1"/>
  <c r="F96" i="29"/>
  <c r="H96" i="29" s="1"/>
  <c r="Y96" i="29"/>
  <c r="E260" i="28"/>
  <c r="F260" i="28" s="1"/>
  <c r="H260" i="28" s="1"/>
  <c r="S260" i="28"/>
  <c r="M39" i="27"/>
  <c r="C39" i="27"/>
  <c r="Y436" i="29"/>
  <c r="F436" i="29"/>
  <c r="H436" i="29" s="1"/>
  <c r="E149" i="28"/>
  <c r="F149" i="28" s="1"/>
  <c r="H149" i="28" s="1"/>
  <c r="E145" i="28"/>
  <c r="F145" i="28" s="1"/>
  <c r="H145" i="28" s="1"/>
  <c r="S145" i="28"/>
  <c r="E470" i="28"/>
  <c r="F470" i="28" s="1"/>
  <c r="H470" i="28" s="1"/>
  <c r="S470" i="28"/>
  <c r="Y376" i="29"/>
  <c r="F376" i="29"/>
  <c r="H376" i="29" s="1"/>
  <c r="Y379" i="29"/>
  <c r="F379" i="29"/>
  <c r="H379" i="29" s="1"/>
  <c r="M185" i="27"/>
  <c r="C185" i="27"/>
  <c r="Y16" i="29"/>
  <c r="F16" i="29"/>
  <c r="H16" i="29" s="1"/>
  <c r="S419" i="28"/>
  <c r="E419" i="28"/>
  <c r="F419" i="28" s="1"/>
  <c r="H419" i="28" s="1"/>
  <c r="Y230" i="29"/>
  <c r="F230" i="29"/>
  <c r="H230" i="29" s="1"/>
  <c r="M91" i="27"/>
  <c r="C91" i="27"/>
  <c r="E162" i="28"/>
  <c r="F162" i="28" s="1"/>
  <c r="H162" i="28" s="1"/>
  <c r="S162" i="28"/>
  <c r="D13" i="30"/>
  <c r="W13" i="30"/>
  <c r="Y433" i="29"/>
  <c r="F433" i="29"/>
  <c r="H433" i="29" s="1"/>
  <c r="E274" i="28"/>
  <c r="F274" i="28" s="1"/>
  <c r="H274" i="28" s="1"/>
  <c r="S274" i="28"/>
  <c r="S378" i="28"/>
  <c r="E378" i="28"/>
  <c r="F378" i="28" s="1"/>
  <c r="H378" i="28" s="1"/>
  <c r="F31" i="29"/>
  <c r="H31" i="29" s="1"/>
  <c r="Y31" i="29"/>
  <c r="E60" i="28"/>
  <c r="F60" i="28" s="1"/>
  <c r="H60" i="28" s="1"/>
  <c r="S60" i="28"/>
  <c r="S197" i="28"/>
  <c r="E197" i="28"/>
  <c r="F197" i="28" s="1"/>
  <c r="H197" i="28" s="1"/>
  <c r="F14" i="29"/>
  <c r="H14" i="29" s="1"/>
  <c r="Y14" i="29"/>
  <c r="E101" i="28"/>
  <c r="F101" i="28" s="1"/>
  <c r="H101" i="28" s="1"/>
  <c r="S101" i="28"/>
  <c r="S294" i="28"/>
  <c r="E294" i="28"/>
  <c r="F294" i="28" s="1"/>
  <c r="H294" i="28" s="1"/>
  <c r="C180" i="27"/>
  <c r="M180" i="27"/>
  <c r="Y256" i="29"/>
  <c r="F256" i="29"/>
  <c r="H256" i="29" s="1"/>
  <c r="Y252" i="29"/>
  <c r="F252" i="29"/>
  <c r="H252" i="29" s="1"/>
  <c r="Y36" i="29"/>
  <c r="F36" i="29"/>
  <c r="H36" i="29" s="1"/>
  <c r="M115" i="27"/>
  <c r="C115" i="27"/>
  <c r="F166" i="29"/>
  <c r="H166" i="29" s="1"/>
  <c r="Y166" i="29"/>
  <c r="E15" i="28"/>
  <c r="F15" i="28" s="1"/>
  <c r="H15" i="28" s="1"/>
  <c r="S15" i="28"/>
  <c r="W38" i="30"/>
  <c r="D38" i="30"/>
  <c r="F74" i="29"/>
  <c r="H74" i="29" s="1"/>
  <c r="Y74" i="29"/>
  <c r="S461" i="28"/>
  <c r="E461" i="28"/>
  <c r="F461" i="28" s="1"/>
  <c r="H461" i="28" s="1"/>
  <c r="E166" i="28"/>
  <c r="F166" i="28" s="1"/>
  <c r="H166" i="28" s="1"/>
  <c r="S166" i="28"/>
  <c r="S146" i="28"/>
  <c r="E146" i="28"/>
  <c r="F146" i="28" s="1"/>
  <c r="H146" i="28" s="1"/>
  <c r="Y18" i="29"/>
  <c r="F18" i="29"/>
  <c r="H18" i="29" s="1"/>
  <c r="F399" i="29"/>
  <c r="H399" i="29" s="1"/>
  <c r="Y399" i="29"/>
  <c r="H156" i="31"/>
  <c r="G156" i="31"/>
  <c r="L2" i="205" s="1"/>
  <c r="F440" i="29"/>
  <c r="H440" i="29" s="1"/>
  <c r="Y440" i="29"/>
  <c r="S170" i="28"/>
  <c r="E170" i="28"/>
  <c r="F170" i="28" s="1"/>
  <c r="H170" i="28" s="1"/>
  <c r="S204" i="28"/>
  <c r="E204" i="28"/>
  <c r="F204" i="28" s="1"/>
  <c r="H204" i="28" s="1"/>
  <c r="E317" i="28"/>
  <c r="F317" i="28" s="1"/>
  <c r="H317" i="28" s="1"/>
  <c r="S317" i="28"/>
  <c r="E326" i="28"/>
  <c r="F326" i="28" s="1"/>
  <c r="H326" i="28" s="1"/>
  <c r="S326" i="28"/>
  <c r="Y91" i="29"/>
  <c r="F91" i="29"/>
  <c r="H91" i="29" s="1"/>
  <c r="E479" i="28"/>
  <c r="F479" i="28" s="1"/>
  <c r="H479" i="28" s="1"/>
  <c r="S479" i="28"/>
  <c r="Y15" i="29"/>
  <c r="F15" i="29"/>
  <c r="H15" i="29" s="1"/>
  <c r="F207" i="29"/>
  <c r="H207" i="29" s="1"/>
  <c r="Y207" i="29"/>
  <c r="S330" i="28"/>
  <c r="E330" i="28"/>
  <c r="F330" i="28" s="1"/>
  <c r="H330" i="28" s="1"/>
  <c r="F193" i="29"/>
  <c r="H193" i="29" s="1"/>
  <c r="Y193" i="29"/>
  <c r="F264" i="29"/>
  <c r="H264" i="29" s="1"/>
  <c r="Y264" i="29"/>
  <c r="E163" i="28"/>
  <c r="F163" i="28" s="1"/>
  <c r="H163" i="28" s="1"/>
  <c r="S163" i="28"/>
  <c r="F403" i="29"/>
  <c r="H403" i="29" s="1"/>
  <c r="Y403" i="29"/>
  <c r="Y368" i="29"/>
  <c r="F368" i="29"/>
  <c r="H368" i="29" s="1"/>
  <c r="F365" i="29"/>
  <c r="H365" i="29" s="1"/>
  <c r="Y365" i="29"/>
  <c r="Y378" i="29"/>
  <c r="F378" i="29"/>
  <c r="H378" i="29" s="1"/>
  <c r="E426" i="28"/>
  <c r="F426" i="28" s="1"/>
  <c r="H426" i="28" s="1"/>
  <c r="S426" i="28"/>
  <c r="E30" i="28"/>
  <c r="F30" i="28" s="1"/>
  <c r="H30" i="28" s="1"/>
  <c r="S30" i="28"/>
  <c r="Y428" i="29"/>
  <c r="F428" i="29"/>
  <c r="H428" i="29" s="1"/>
  <c r="F406" i="29"/>
  <c r="H406" i="29" s="1"/>
  <c r="Y406" i="29"/>
  <c r="F101" i="29"/>
  <c r="H101" i="29" s="1"/>
  <c r="Y101" i="29"/>
  <c r="Y53" i="29"/>
  <c r="F53" i="29"/>
  <c r="H53" i="29" s="1"/>
  <c r="E486" i="28"/>
  <c r="F486" i="28" s="1"/>
  <c r="H486" i="28" s="1"/>
  <c r="S486" i="28"/>
  <c r="E128" i="28"/>
  <c r="F128" i="28" s="1"/>
  <c r="H128" i="28" s="1"/>
  <c r="S128" i="28"/>
  <c r="Y72" i="29"/>
  <c r="F72" i="29"/>
  <c r="H72" i="29" s="1"/>
  <c r="E386" i="28"/>
  <c r="F386" i="28" s="1"/>
  <c r="H386" i="28" s="1"/>
  <c r="S386" i="28"/>
  <c r="F287" i="29"/>
  <c r="H287" i="29" s="1"/>
  <c r="Y287" i="29"/>
  <c r="F348" i="29"/>
  <c r="H348" i="29" s="1"/>
  <c r="Y348" i="29"/>
  <c r="F344" i="29"/>
  <c r="H344" i="29" s="1"/>
  <c r="Y344" i="29"/>
  <c r="Y25" i="29"/>
  <c r="F25" i="29"/>
  <c r="H25" i="29" s="1"/>
  <c r="E118" i="28"/>
  <c r="F118" i="28" s="1"/>
  <c r="H118" i="28" s="1"/>
  <c r="S118" i="28"/>
  <c r="E365" i="28"/>
  <c r="F365" i="28" s="1"/>
  <c r="H365" i="28" s="1"/>
  <c r="S365" i="28"/>
  <c r="F430" i="29"/>
  <c r="H430" i="29" s="1"/>
  <c r="Y430" i="29"/>
  <c r="M86" i="27"/>
  <c r="C86" i="27"/>
  <c r="F283" i="29"/>
  <c r="H283" i="29" s="1"/>
  <c r="Y283" i="29"/>
  <c r="F66" i="29"/>
  <c r="H66" i="29" s="1"/>
  <c r="Y66" i="29"/>
  <c r="Y254" i="29"/>
  <c r="F254" i="29"/>
  <c r="H254" i="29" s="1"/>
  <c r="E306" i="28"/>
  <c r="F306" i="28" s="1"/>
  <c r="H306" i="28" s="1"/>
  <c r="S306" i="28"/>
  <c r="Y37" i="29"/>
  <c r="F37" i="29"/>
  <c r="H37" i="29" s="1"/>
  <c r="Y268" i="29"/>
  <c r="F268" i="29"/>
  <c r="H268" i="29" s="1"/>
  <c r="F76" i="29"/>
  <c r="H76" i="29" s="1"/>
  <c r="Y76" i="29"/>
  <c r="E467" i="28"/>
  <c r="F467" i="28" s="1"/>
  <c r="H467" i="28" s="1"/>
  <c r="S467" i="28"/>
  <c r="F446" i="29"/>
  <c r="H446" i="29" s="1"/>
  <c r="Y446" i="29"/>
  <c r="F361" i="29"/>
  <c r="H361" i="29" s="1"/>
  <c r="Y361" i="29"/>
  <c r="Y363" i="29"/>
  <c r="F363" i="29"/>
  <c r="H363" i="29" s="1"/>
  <c r="S35" i="28"/>
  <c r="E35" i="28"/>
  <c r="F35" i="28" s="1"/>
  <c r="H35" i="28" s="1"/>
  <c r="E346" i="28"/>
  <c r="F346" i="28" s="1"/>
  <c r="H346" i="28" s="1"/>
  <c r="S346" i="28"/>
  <c r="Y280" i="29"/>
  <c r="F280" i="29"/>
  <c r="H280" i="29" s="1"/>
  <c r="E141" i="28"/>
  <c r="F141" i="28" s="1"/>
  <c r="H141" i="28" s="1"/>
  <c r="S141" i="28"/>
  <c r="M131" i="27"/>
  <c r="C131" i="27"/>
  <c r="E485" i="28"/>
  <c r="F485" i="28" s="1"/>
  <c r="H485" i="28" s="1"/>
  <c r="S485" i="28"/>
  <c r="E327" i="28"/>
  <c r="F327" i="28" s="1"/>
  <c r="H327" i="28" s="1"/>
  <c r="S327" i="28"/>
  <c r="F3" i="29"/>
  <c r="H3" i="29" s="1"/>
  <c r="Y3" i="29"/>
  <c r="E437" i="28"/>
  <c r="F437" i="28" s="1"/>
  <c r="H437" i="28" s="1"/>
  <c r="S437" i="28"/>
  <c r="C184" i="27"/>
  <c r="M184" i="27"/>
  <c r="Y208" i="29"/>
  <c r="F208" i="29"/>
  <c r="H208" i="29" s="1"/>
  <c r="C2" i="27"/>
  <c r="M2" i="27"/>
  <c r="F366" i="29"/>
  <c r="H366" i="29" s="1"/>
  <c r="Y366" i="29"/>
  <c r="F380" i="29"/>
  <c r="H380" i="29" s="1"/>
  <c r="Y380" i="29"/>
  <c r="H177" i="31"/>
  <c r="G177" i="31"/>
  <c r="L2" i="302" s="1"/>
  <c r="C15" i="27"/>
  <c r="M15" i="27"/>
  <c r="E410" i="28"/>
  <c r="F410" i="28" s="1"/>
  <c r="H410" i="28" s="1"/>
  <c r="S410" i="28"/>
  <c r="E58" i="28"/>
  <c r="F58" i="28" s="1"/>
  <c r="H58" i="28" s="1"/>
  <c r="S58" i="28"/>
  <c r="S54" i="28"/>
  <c r="E54" i="28"/>
  <c r="F54" i="28" s="1"/>
  <c r="H54" i="28" s="1"/>
  <c r="F203" i="29"/>
  <c r="H203" i="29" s="1"/>
  <c r="Y203" i="29"/>
  <c r="S352" i="28"/>
  <c r="E352" i="28"/>
  <c r="F352" i="28" s="1"/>
  <c r="H352" i="28" s="1"/>
  <c r="Y414" i="29"/>
  <c r="F414" i="29"/>
  <c r="H414" i="29" s="1"/>
  <c r="F293" i="29"/>
  <c r="H293" i="29" s="1"/>
  <c r="Y293" i="29"/>
  <c r="F26" i="29"/>
  <c r="H26" i="29" s="1"/>
  <c r="Y26" i="29"/>
  <c r="Y29" i="29"/>
  <c r="F29" i="29"/>
  <c r="H29" i="29" s="1"/>
  <c r="F34" i="29"/>
  <c r="H34" i="29" s="1"/>
  <c r="Y34" i="29"/>
  <c r="M133" i="27"/>
  <c r="C133" i="27"/>
  <c r="Y429" i="29"/>
  <c r="F429" i="29"/>
  <c r="H429" i="29" s="1"/>
  <c r="F89" i="128"/>
  <c r="F87" i="193"/>
  <c r="F24" i="178"/>
  <c r="F24" i="167"/>
  <c r="F16" i="113"/>
  <c r="O7" i="306"/>
  <c r="O5" i="306"/>
  <c r="O7" i="312"/>
  <c r="O5" i="312"/>
  <c r="O15" i="278"/>
  <c r="O11" i="278"/>
  <c r="O17" i="278"/>
  <c r="O12" i="278"/>
  <c r="O13" i="278"/>
  <c r="O9" i="278"/>
  <c r="O6" i="278"/>
  <c r="O18" i="278"/>
  <c r="O7" i="278"/>
  <c r="O5" i="278"/>
  <c r="F92" i="193"/>
  <c r="F98" i="128"/>
  <c r="F28" i="178"/>
  <c r="F36" i="177"/>
  <c r="O10" i="297"/>
  <c r="O5" i="297"/>
  <c r="O8" i="297"/>
  <c r="O7" i="297"/>
  <c r="F96" i="128"/>
  <c r="F88" i="193"/>
  <c r="F49" i="177"/>
  <c r="F29" i="166"/>
  <c r="F27" i="112"/>
  <c r="F34" i="47"/>
  <c r="F19" i="51"/>
  <c r="F19" i="50"/>
  <c r="F24" i="112"/>
  <c r="F23" i="166"/>
  <c r="F25" i="167"/>
  <c r="F37" i="177"/>
  <c r="F26" i="178"/>
  <c r="F38" i="47"/>
  <c r="F17" i="113"/>
  <c r="F28" i="112"/>
  <c r="F19" i="113"/>
  <c r="F18" i="113"/>
  <c r="F23" i="112"/>
  <c r="F25" i="112"/>
  <c r="F26" i="166"/>
  <c r="F46" i="177"/>
  <c r="F39" i="47"/>
  <c r="F47" i="177"/>
  <c r="O7" i="311"/>
  <c r="O5" i="311"/>
  <c r="O8" i="311"/>
  <c r="O11" i="282"/>
  <c r="O10" i="282"/>
  <c r="O21" i="282"/>
  <c r="O13" i="282"/>
  <c r="O17" i="282"/>
  <c r="O5" i="282"/>
  <c r="O15" i="282"/>
  <c r="O7" i="282"/>
  <c r="O20" i="282"/>
  <c r="O6" i="282"/>
  <c r="O19" i="282"/>
  <c r="O14" i="282"/>
  <c r="O8" i="282"/>
  <c r="F89" i="193"/>
  <c r="F35" i="47"/>
  <c r="F92" i="128"/>
  <c r="F23" i="231"/>
  <c r="F45" i="177"/>
  <c r="F41" i="83"/>
  <c r="F29" i="178"/>
  <c r="F20" i="113"/>
  <c r="F27" i="167"/>
  <c r="O17" i="288"/>
  <c r="O13" i="288"/>
  <c r="O6" i="288"/>
  <c r="O9" i="288"/>
  <c r="O11" i="288"/>
  <c r="O18" i="288"/>
  <c r="O15" i="288"/>
  <c r="O7" i="288"/>
  <c r="O5" i="288"/>
  <c r="O12" i="288"/>
  <c r="O8" i="308"/>
  <c r="O5" i="308"/>
  <c r="O7" i="308"/>
  <c r="E333" i="28" a="1"/>
  <c r="F167" i="29" a="1"/>
  <c r="S34" i="28" a="1"/>
  <c r="W27" i="30" a="1"/>
  <c r="H49" i="31" a="1"/>
  <c r="F155" i="29" a="1"/>
  <c r="E33" i="28" a="1"/>
  <c r="G49" i="31" a="1"/>
  <c r="F242" i="29" a="1"/>
  <c r="E34" i="28" a="1"/>
  <c r="W12" i="30" a="1"/>
  <c r="W7" i="30" a="1"/>
  <c r="H68" i="31" a="1"/>
  <c r="Y210" i="29" a="1"/>
  <c r="H50" i="31" a="1"/>
  <c r="W10" i="30" a="1"/>
  <c r="G23" i="31" a="1"/>
  <c r="D9" i="30" a="1"/>
  <c r="D10" i="30" a="1"/>
  <c r="C36" i="27" a="1"/>
  <c r="F199" i="29" a="1"/>
  <c r="Y155" i="29" a="1"/>
  <c r="F154" i="29" a="1"/>
  <c r="W28" i="30" a="1"/>
  <c r="H67" i="31" a="1"/>
  <c r="G50" i="31" a="1"/>
  <c r="Y154" i="29" a="1"/>
  <c r="D28" i="30" a="1"/>
  <c r="Y69" i="29" a="1"/>
  <c r="S33" i="28" a="1"/>
  <c r="F168" i="29" a="1"/>
  <c r="F134" i="29" a="1"/>
  <c r="Y132" i="29" a="1"/>
  <c r="F132" i="29" a="1"/>
  <c r="S506" i="28" a="1"/>
  <c r="M132" i="27" a="1"/>
  <c r="E506" i="28" a="1"/>
  <c r="D27" i="30" a="1"/>
  <c r="G67" i="31" a="1"/>
  <c r="W9" i="30" a="1"/>
  <c r="C132" i="27" a="1"/>
  <c r="Y167" i="29" a="1"/>
  <c r="E421" i="28" a="1"/>
  <c r="H23" i="31" a="1"/>
  <c r="Y168" i="29" a="1"/>
  <c r="M36" i="27" a="1"/>
  <c r="D12" i="30" a="1"/>
  <c r="F69" i="29" a="1"/>
  <c r="G68" i="31" a="1"/>
  <c r="Y200" i="29" a="1"/>
  <c r="Y134" i="29" a="1"/>
  <c r="Y242" i="29" a="1"/>
  <c r="S421" i="28" a="1"/>
  <c r="D7" i="30" a="1"/>
  <c r="F210" i="29" a="1"/>
  <c r="F200" i="29" a="1"/>
  <c r="S333" i="28" a="1"/>
  <c r="Y199" i="29" a="1"/>
  <c r="Y200" i="29" l="1"/>
  <c r="F200" i="29"/>
  <c r="H200" i="29" s="1"/>
  <c r="H67" i="31"/>
  <c r="G67" i="31"/>
  <c r="L2" i="289" s="1"/>
  <c r="F134" i="29"/>
  <c r="H134" i="29" s="1"/>
  <c r="Y134" i="29"/>
  <c r="D12" i="30"/>
  <c r="W12" i="30"/>
  <c r="D28" i="30"/>
  <c r="W28" i="30"/>
  <c r="Y199" i="29"/>
  <c r="F199" i="29"/>
  <c r="H199" i="29" s="1"/>
  <c r="H50" i="31"/>
  <c r="G50" i="31"/>
  <c r="L2" i="260" s="1"/>
  <c r="Y155" i="29"/>
  <c r="F155" i="29"/>
  <c r="H155" i="29" s="1"/>
  <c r="W7" i="30"/>
  <c r="D7" i="30"/>
  <c r="S421" i="28"/>
  <c r="E421" i="28"/>
  <c r="F132" i="29"/>
  <c r="H132" i="29" s="1"/>
  <c r="Y132" i="29"/>
  <c r="D9" i="30"/>
  <c r="W9" i="30"/>
  <c r="H68" i="31"/>
  <c r="G68" i="31"/>
  <c r="L2" i="262" s="1"/>
  <c r="S333" i="28"/>
  <c r="E333" i="28"/>
  <c r="F333" i="28" s="1"/>
  <c r="H333" i="28" s="1"/>
  <c r="S34" i="28"/>
  <c r="E34" i="28"/>
  <c r="F34" i="28" s="1"/>
  <c r="H34" i="28" s="1"/>
  <c r="Y242" i="29"/>
  <c r="F242" i="29"/>
  <c r="H242" i="29" s="1"/>
  <c r="S33" i="28"/>
  <c r="E33" i="28"/>
  <c r="F33" i="28" s="1"/>
  <c r="H33" i="28" s="1"/>
  <c r="C36" i="27"/>
  <c r="M36" i="27"/>
  <c r="D10" i="30"/>
  <c r="W10" i="30"/>
  <c r="S506" i="28"/>
  <c r="E506" i="28"/>
  <c r="F506" i="28" s="1"/>
  <c r="H506" i="28" s="1"/>
  <c r="M132" i="27"/>
  <c r="C132" i="27"/>
  <c r="Y154" i="29"/>
  <c r="F154" i="29"/>
  <c r="H154" i="29" s="1"/>
  <c r="W27" i="30"/>
  <c r="D27" i="30"/>
  <c r="F210" i="29"/>
  <c r="H210" i="29" s="1"/>
  <c r="Y210" i="29"/>
  <c r="Y167" i="29"/>
  <c r="F167" i="29"/>
  <c r="H167" i="29" s="1"/>
  <c r="Y69" i="29"/>
  <c r="F69" i="29"/>
  <c r="H69" i="29" s="1"/>
  <c r="F168" i="29"/>
  <c r="H168" i="29" s="1"/>
  <c r="Y168" i="29"/>
  <c r="G49" i="31"/>
  <c r="L2" i="80" s="1"/>
  <c r="H49" i="31"/>
  <c r="G23" i="31"/>
  <c r="L2" i="76" s="1"/>
  <c r="H23" i="31"/>
  <c r="X38" i="30"/>
  <c r="Z38" i="30" s="1"/>
  <c r="F38" i="30"/>
  <c r="F20" i="212" s="1"/>
  <c r="O5" i="256"/>
  <c r="O6" i="256"/>
  <c r="O9" i="256"/>
  <c r="O7" i="256"/>
  <c r="X26" i="30"/>
  <c r="Z26" i="30" s="1"/>
  <c r="F26" i="30"/>
  <c r="F11" i="30"/>
  <c r="X11" i="30"/>
  <c r="Z11" i="30" s="1"/>
  <c r="O21" i="149"/>
  <c r="O26" i="149"/>
  <c r="O7" i="149"/>
  <c r="O12" i="149"/>
  <c r="O16" i="149"/>
  <c r="O11" i="149"/>
  <c r="O20" i="149"/>
  <c r="O14" i="149"/>
  <c r="O15" i="149"/>
  <c r="O28" i="149"/>
  <c r="O19" i="149"/>
  <c r="O24" i="149"/>
  <c r="O8" i="149"/>
  <c r="O18" i="149"/>
  <c r="O23" i="149"/>
  <c r="O13" i="149"/>
  <c r="O17" i="149"/>
  <c r="O27" i="149"/>
  <c r="O25" i="149"/>
  <c r="O10" i="149"/>
  <c r="O5" i="149"/>
  <c r="O6" i="149"/>
  <c r="X39" i="30"/>
  <c r="Z39" i="30" s="1"/>
  <c r="F39" i="30"/>
  <c r="F19" i="212" s="1"/>
  <c r="F36" i="30"/>
  <c r="X36" i="30"/>
  <c r="Z36" i="30" s="1"/>
  <c r="O18" i="154"/>
  <c r="O7" i="154"/>
  <c r="O6" i="154"/>
  <c r="O17" i="154"/>
  <c r="O19" i="154"/>
  <c r="O16" i="154"/>
  <c r="O20" i="154"/>
  <c r="O11" i="154"/>
  <c r="O8" i="154"/>
  <c r="O14" i="154"/>
  <c r="O12" i="154"/>
  <c r="O10" i="154"/>
  <c r="O5" i="154"/>
  <c r="O13" i="154"/>
  <c r="O10" i="294"/>
  <c r="O8" i="294"/>
  <c r="O5" i="294"/>
  <c r="O11" i="294"/>
  <c r="O9" i="294"/>
  <c r="O7" i="294"/>
  <c r="O13" i="294"/>
  <c r="X6" i="30"/>
  <c r="Z6" i="30" s="1"/>
  <c r="F6" i="30"/>
  <c r="O10" i="156"/>
  <c r="O12" i="156"/>
  <c r="O16" i="156"/>
  <c r="O22" i="156"/>
  <c r="O14" i="156"/>
  <c r="O7" i="156"/>
  <c r="O21" i="156"/>
  <c r="O11" i="156"/>
  <c r="O23" i="156"/>
  <c r="O8" i="156"/>
  <c r="O15" i="156"/>
  <c r="O17" i="156"/>
  <c r="O18" i="156"/>
  <c r="O6" i="156"/>
  <c r="O5" i="156"/>
  <c r="O20" i="156"/>
  <c r="O13" i="156"/>
  <c r="O8" i="147"/>
  <c r="O17" i="147"/>
  <c r="O9" i="147"/>
  <c r="O14" i="147"/>
  <c r="O13" i="147"/>
  <c r="O10" i="147"/>
  <c r="O5" i="147"/>
  <c r="O16" i="147"/>
  <c r="O6" i="147"/>
  <c r="O15" i="147"/>
  <c r="O11" i="147"/>
  <c r="O11" i="296"/>
  <c r="O10" i="296"/>
  <c r="O8" i="296"/>
  <c r="O5" i="296"/>
  <c r="O7" i="296"/>
  <c r="O13" i="296"/>
  <c r="O9" i="296"/>
  <c r="F2" i="30"/>
  <c r="X2" i="30"/>
  <c r="Z2" i="30" s="1"/>
  <c r="F8" i="30"/>
  <c r="X8" i="30"/>
  <c r="Z8" i="30" s="1"/>
  <c r="F136" i="30"/>
  <c r="F18" i="93" s="1"/>
  <c r="X136" i="30"/>
  <c r="Z136" i="30" s="1"/>
  <c r="F14" i="30"/>
  <c r="X14" i="30"/>
  <c r="Z14" i="30" s="1"/>
  <c r="O7" i="303"/>
  <c r="O8" i="303"/>
  <c r="O5" i="303"/>
  <c r="O5" i="73"/>
  <c r="O8" i="73"/>
  <c r="O6" i="73"/>
  <c r="O5" i="302"/>
  <c r="O8" i="302"/>
  <c r="O7" i="302"/>
  <c r="X144" i="30"/>
  <c r="Z144" i="30" s="1"/>
  <c r="F144" i="30"/>
  <c r="F18" i="135" s="1"/>
  <c r="O6" i="157"/>
  <c r="O28" i="157"/>
  <c r="O7" i="157"/>
  <c r="O12" i="157"/>
  <c r="O19" i="157"/>
  <c r="O21" i="157"/>
  <c r="O27" i="157"/>
  <c r="O8" i="157"/>
  <c r="O11" i="157"/>
  <c r="O17" i="157"/>
  <c r="O5" i="157"/>
  <c r="O16" i="157"/>
  <c r="O15" i="157"/>
  <c r="O26" i="157"/>
  <c r="O10" i="157"/>
  <c r="O25" i="157"/>
  <c r="O23" i="157"/>
  <c r="O14" i="157"/>
  <c r="O13" i="157"/>
  <c r="O18" i="157"/>
  <c r="O20" i="157"/>
  <c r="O24" i="157"/>
  <c r="O8" i="205"/>
  <c r="O9" i="205"/>
  <c r="O25" i="205"/>
  <c r="O17" i="205"/>
  <c r="O21" i="205"/>
  <c r="O23" i="205"/>
  <c r="O7" i="205"/>
  <c r="O22" i="205"/>
  <c r="O15" i="205"/>
  <c r="O13" i="205"/>
  <c r="O20" i="205"/>
  <c r="O16" i="205"/>
  <c r="O24" i="205"/>
  <c r="O11" i="205"/>
  <c r="O5" i="205"/>
  <c r="O6" i="205"/>
  <c r="O12" i="205"/>
  <c r="O14" i="205"/>
  <c r="O19" i="205"/>
  <c r="O15" i="155"/>
  <c r="O16" i="155"/>
  <c r="O17" i="155"/>
  <c r="O6" i="155"/>
  <c r="O13" i="155"/>
  <c r="O11" i="155"/>
  <c r="O5" i="155"/>
  <c r="O14" i="155"/>
  <c r="O8" i="155"/>
  <c r="O9" i="155"/>
  <c r="O10" i="155"/>
  <c r="F35" i="30"/>
  <c r="F21" i="212" s="1"/>
  <c r="X35" i="30"/>
  <c r="Z35" i="30" s="1"/>
  <c r="X13" i="30"/>
  <c r="Z13" i="30" s="1"/>
  <c r="F13" i="30"/>
  <c r="O8" i="133"/>
  <c r="O20" i="133"/>
  <c r="O5" i="133"/>
  <c r="O6" i="133"/>
  <c r="O14" i="133"/>
  <c r="O16" i="133"/>
  <c r="O10" i="133"/>
  <c r="O18" i="133"/>
  <c r="O11" i="133"/>
  <c r="O17" i="133"/>
  <c r="O7" i="133"/>
  <c r="O12" i="133"/>
  <c r="O19" i="133"/>
  <c r="O13" i="133"/>
  <c r="O11" i="148"/>
  <c r="O17" i="148"/>
  <c r="O21" i="148"/>
  <c r="O10" i="148"/>
  <c r="O6" i="148"/>
  <c r="O5" i="148"/>
  <c r="O15" i="148"/>
  <c r="O18" i="148"/>
  <c r="O14" i="148"/>
  <c r="O23" i="148"/>
  <c r="O16" i="148"/>
  <c r="O20" i="148"/>
  <c r="O12" i="148"/>
  <c r="O22" i="148"/>
  <c r="O8" i="148"/>
  <c r="O13" i="148"/>
  <c r="O7" i="148"/>
  <c r="O5" i="254"/>
  <c r="O7" i="254"/>
  <c r="X145" i="30"/>
  <c r="Z145" i="30" s="1"/>
  <c r="F145" i="30"/>
  <c r="F19" i="135" s="1"/>
  <c r="X3" i="30"/>
  <c r="Z3" i="30" s="1"/>
  <c r="F3" i="30"/>
  <c r="F342" i="29" a="1"/>
  <c r="E308" i="28" a="1"/>
  <c r="S91" i="28" a="1"/>
  <c r="S132" i="28" a="1"/>
  <c r="S474" i="28" a="1"/>
  <c r="M13" i="27" a="1"/>
  <c r="E499" i="28" a="1"/>
  <c r="E501" i="28" a="1"/>
  <c r="Y277" i="29" a="1"/>
  <c r="C139" i="27" a="1"/>
  <c r="F372" i="29" a="1"/>
  <c r="F278" i="29" a="1"/>
  <c r="M95" i="27" a="1"/>
  <c r="E472" i="28" a="1"/>
  <c r="E237" i="28" a="1"/>
  <c r="S499" i="28" a="1"/>
  <c r="S372" i="28" a="1"/>
  <c r="E174" i="28" a="1"/>
  <c r="S77" i="28" a="1"/>
  <c r="S142" i="28" a="1"/>
  <c r="F346" i="29" a="1"/>
  <c r="E299" i="28" a="1"/>
  <c r="M99" i="27" a="1"/>
  <c r="Y350" i="29" a="1"/>
  <c r="Y342" i="29" a="1"/>
  <c r="E207" i="28" a="1"/>
  <c r="Y340" i="29" a="1"/>
  <c r="E475" i="28" a="1"/>
  <c r="C110" i="27" a="1"/>
  <c r="E132" i="28" a="1"/>
  <c r="S265" i="28" a="1"/>
  <c r="S109" i="28" a="1"/>
  <c r="S307" i="28" a="1"/>
  <c r="Y358" i="29" a="1"/>
  <c r="S133" i="28" a="1"/>
  <c r="S140" i="28" a="1"/>
  <c r="E350" i="28" a="1"/>
  <c r="E473" i="28" a="1"/>
  <c r="E37" i="28" a="1"/>
  <c r="C61" i="27" a="1"/>
  <c r="C12" i="27" a="1"/>
  <c r="E320" i="28" a="1"/>
  <c r="S475" i="28" a="1"/>
  <c r="E269" i="28" a="1"/>
  <c r="Y341" i="29" a="1"/>
  <c r="S359" i="28" a="1"/>
  <c r="F383" i="29" a="1"/>
  <c r="M88" i="27" a="1"/>
  <c r="S320" i="28" a="1"/>
  <c r="F352" i="29" a="1"/>
  <c r="S297" i="28" a="1"/>
  <c r="E383" i="28" a="1"/>
  <c r="S472" i="28" a="1"/>
  <c r="E77" i="28" a="1"/>
  <c r="S498" i="28" a="1"/>
  <c r="E142" i="28" a="1"/>
  <c r="E91" i="28" a="1"/>
  <c r="C51" i="27" a="1"/>
  <c r="S237" i="28" a="1"/>
  <c r="F340" i="29" a="1"/>
  <c r="F277" i="29" a="1"/>
  <c r="S207" i="28" a="1"/>
  <c r="C178" i="27" a="1"/>
  <c r="E307" i="28" a="1"/>
  <c r="S502" i="28" a="1"/>
  <c r="S355" i="28" a="1"/>
  <c r="M129" i="27" a="1"/>
  <c r="E80" i="28" a="1"/>
  <c r="E109" i="28" a="1"/>
  <c r="C5" i="27" a="1"/>
  <c r="S350" i="28" a="1"/>
  <c r="Y383" i="29" a="1"/>
  <c r="S174" i="28" a="1"/>
  <c r="F351" i="29" a="1"/>
  <c r="S266" i="28" a="1"/>
  <c r="S110" i="28" a="1"/>
  <c r="M177" i="27" a="1"/>
  <c r="S383" i="28" a="1"/>
  <c r="F349" i="29" a="1"/>
  <c r="M69" i="27" a="1"/>
  <c r="E366" i="28" a="1"/>
  <c r="M110" i="27" a="1"/>
  <c r="S264" i="28" a="1"/>
  <c r="E133" i="28" a="1"/>
  <c r="M178" i="27" a="1"/>
  <c r="E355" i="28" a="1"/>
  <c r="C177" i="27" a="1"/>
  <c r="M139" i="27" a="1"/>
  <c r="S139" i="28" a="1"/>
  <c r="Y364" i="29" a="1"/>
  <c r="E119" i="28" a="1"/>
  <c r="S473" i="28" a="1"/>
  <c r="S236" i="28" a="1"/>
  <c r="E264" i="28" a="1"/>
  <c r="Y352" i="29" a="1"/>
  <c r="M58" i="27" a="1"/>
  <c r="Y347" i="29" a="1"/>
  <c r="F364" i="29" a="1"/>
  <c r="Y354" i="29" a="1"/>
  <c r="S269" i="28" a="1"/>
  <c r="Y278" i="29" a="1"/>
  <c r="C112" i="27" a="1"/>
  <c r="E121" i="28" a="1"/>
  <c r="M71" i="27" a="1"/>
  <c r="E114" i="28" a="1"/>
  <c r="Y381" i="29" a="1"/>
  <c r="F345" i="29" a="1"/>
  <c r="M112" i="27" a="1"/>
  <c r="Y357" i="29" a="1"/>
  <c r="Y279" i="29" a="1"/>
  <c r="E265" i="28" a="1"/>
  <c r="E503" i="28" a="1"/>
  <c r="S288" i="28" a="1"/>
  <c r="E359" i="28" a="1"/>
  <c r="Y343" i="29" a="1"/>
  <c r="C114" i="27" a="1"/>
  <c r="E288" i="28" a="1"/>
  <c r="C81" i="27" a="1"/>
  <c r="E372" i="28" a="1"/>
  <c r="E474" i="28" a="1"/>
  <c r="E103" i="28" a="1"/>
  <c r="F356" i="29" a="1"/>
  <c r="F382" i="29" a="1"/>
  <c r="M57" i="27" a="1"/>
  <c r="S99" i="28" a="1"/>
  <c r="Y349" i="29" a="1"/>
  <c r="F381" i="29" a="1"/>
  <c r="C57" i="27" a="1"/>
  <c r="E297" i="28" a="1"/>
  <c r="S503" i="28" a="1"/>
  <c r="E266" i="28" a="1"/>
  <c r="Y345" i="29" a="1"/>
  <c r="S119" i="28" a="1"/>
  <c r="M113" i="27" a="1"/>
  <c r="S366" i="28" a="1"/>
  <c r="E481" i="28" a="1"/>
  <c r="F357" i="29" a="1"/>
  <c r="Y355" i="29" a="1"/>
  <c r="Y351" i="29" a="1"/>
  <c r="F343" i="29" a="1"/>
  <c r="M114" i="27" a="1"/>
  <c r="C129" i="27" a="1"/>
  <c r="S299" i="28" a="1"/>
  <c r="S80" i="28" a="1"/>
  <c r="Y275" i="29" a="1"/>
  <c r="C78" i="27" a="1"/>
  <c r="S121" i="28" a="1"/>
  <c r="F275" i="29" a="1"/>
  <c r="M5" i="27" a="1"/>
  <c r="Y369" i="29" a="1"/>
  <c r="M102" i="27" a="1"/>
  <c r="M51" i="27" a="1"/>
  <c r="Y356" i="29" a="1"/>
  <c r="S481" i="28" a="1"/>
  <c r="F276" i="29" a="1"/>
  <c r="S501" i="28" a="1"/>
  <c r="F353" i="29" a="1"/>
  <c r="E110" i="28" a="1"/>
  <c r="C95" i="27" a="1"/>
  <c r="Y276" i="29" a="1"/>
  <c r="S37" i="28" a="1"/>
  <c r="S103" i="28" a="1"/>
  <c r="S114" i="28" a="1"/>
  <c r="C71" i="27" a="1"/>
  <c r="F279" i="29" a="1"/>
  <c r="M78" i="27" a="1"/>
  <c r="E498" i="28" a="1"/>
  <c r="Y353" i="29" a="1"/>
  <c r="M12" i="27" a="1"/>
  <c r="C58" i="27" a="1"/>
  <c r="F369" i="29" a="1"/>
  <c r="E99" i="28" a="1"/>
  <c r="M61" i="27" a="1"/>
  <c r="E140" i="28" a="1"/>
  <c r="C69" i="27" a="1"/>
  <c r="F354" i="29" a="1"/>
  <c r="F355" i="29" a="1"/>
  <c r="C99" i="27" a="1"/>
  <c r="E502" i="28" a="1"/>
  <c r="Y372" i="29" a="1"/>
  <c r="F358" i="29" a="1"/>
  <c r="E236" i="28" a="1"/>
  <c r="F350" i="29" a="1"/>
  <c r="C88" i="27" a="1"/>
  <c r="F347" i="29" a="1"/>
  <c r="F341" i="29" a="1"/>
  <c r="E139" i="28" a="1"/>
  <c r="C102" i="27" a="1"/>
  <c r="C113" i="27" a="1"/>
  <c r="M81" i="27" a="1"/>
  <c r="Y382" i="29" a="1"/>
  <c r="Y346" i="29" a="1"/>
  <c r="C13" i="27" a="1"/>
  <c r="S308" i="28" a="1"/>
  <c r="Y356" i="29" l="1"/>
  <c r="F356" i="29"/>
  <c r="H356" i="29" s="1"/>
  <c r="Y381" i="29"/>
  <c r="F381" i="29"/>
  <c r="H381" i="29" s="1"/>
  <c r="Y345" i="29"/>
  <c r="F345" i="29"/>
  <c r="H345" i="29" s="1"/>
  <c r="E119" i="28"/>
  <c r="F119" i="28" s="1"/>
  <c r="H119" i="28" s="1"/>
  <c r="S119" i="28"/>
  <c r="F347" i="29"/>
  <c r="H347" i="29" s="1"/>
  <c r="Y347" i="29"/>
  <c r="M99" i="27"/>
  <c r="C99" i="27"/>
  <c r="F355" i="29"/>
  <c r="H355" i="29" s="1"/>
  <c r="Y355" i="29"/>
  <c r="F382" i="29"/>
  <c r="H382" i="29" s="1"/>
  <c r="Y382" i="29"/>
  <c r="E77" i="28"/>
  <c r="F77" i="28" s="1"/>
  <c r="H77" i="28" s="1"/>
  <c r="S77" i="28"/>
  <c r="F342" i="29"/>
  <c r="H342" i="29" s="1"/>
  <c r="Y342" i="29"/>
  <c r="S132" i="28"/>
  <c r="E132" i="28"/>
  <c r="F132" i="28" s="1"/>
  <c r="H132" i="28" s="1"/>
  <c r="E502" i="28"/>
  <c r="F502" i="28" s="1"/>
  <c r="H502" i="28" s="1"/>
  <c r="S502" i="28"/>
  <c r="C81" i="27"/>
  <c r="M81" i="27"/>
  <c r="F343" i="29"/>
  <c r="H343" i="29" s="1"/>
  <c r="Y343" i="29"/>
  <c r="S366" i="28"/>
  <c r="E366" i="28"/>
  <c r="F366" i="28" s="1"/>
  <c r="H366" i="28" s="1"/>
  <c r="Y346" i="29"/>
  <c r="F346" i="29"/>
  <c r="H346" i="29" s="1"/>
  <c r="F357" i="29"/>
  <c r="H357" i="29" s="1"/>
  <c r="Y357" i="29"/>
  <c r="E372" i="28"/>
  <c r="F372" i="28" s="1"/>
  <c r="H372" i="28" s="1"/>
  <c r="S372" i="28"/>
  <c r="E109" i="28"/>
  <c r="F109" i="28" s="1"/>
  <c r="H109" i="28" s="1"/>
  <c r="S109" i="28"/>
  <c r="C61" i="27"/>
  <c r="M61" i="27"/>
  <c r="F277" i="29"/>
  <c r="H277" i="29" s="1"/>
  <c r="Y277" i="29"/>
  <c r="S37" i="28"/>
  <c r="E37" i="28"/>
  <c r="F37" i="28" s="1"/>
  <c r="H37" i="28" s="1"/>
  <c r="S133" i="28"/>
  <c r="E133" i="28"/>
  <c r="F133" i="28" s="1"/>
  <c r="H133" i="28" s="1"/>
  <c r="F349" i="29"/>
  <c r="H349" i="29" s="1"/>
  <c r="Y349" i="29"/>
  <c r="E140" i="28"/>
  <c r="F140" i="28" s="1"/>
  <c r="H140" i="28" s="1"/>
  <c r="S140" i="28"/>
  <c r="M69" i="27"/>
  <c r="C69" i="27"/>
  <c r="F372" i="29"/>
  <c r="H372" i="29" s="1"/>
  <c r="Y372" i="29"/>
  <c r="E481" i="28"/>
  <c r="F481" i="28" s="1"/>
  <c r="H481" i="28" s="1"/>
  <c r="S481" i="28"/>
  <c r="S91" i="28"/>
  <c r="E91" i="28"/>
  <c r="F91" i="28" s="1"/>
  <c r="H91" i="28" s="1"/>
  <c r="E299" i="28"/>
  <c r="F299" i="28" s="1"/>
  <c r="H299" i="28" s="1"/>
  <c r="S299" i="28"/>
  <c r="M51" i="27"/>
  <c r="C51" i="27"/>
  <c r="S236" i="28"/>
  <c r="E236" i="28"/>
  <c r="F236" i="28" s="1"/>
  <c r="H236" i="28" s="1"/>
  <c r="F369" i="29"/>
  <c r="H369" i="29" s="1"/>
  <c r="Y369" i="29"/>
  <c r="C58" i="27"/>
  <c r="M58" i="27"/>
  <c r="F351" i="29"/>
  <c r="H351" i="29" s="1"/>
  <c r="Y351" i="29"/>
  <c r="F350" i="29"/>
  <c r="H350" i="29" s="1"/>
  <c r="Y350" i="29"/>
  <c r="E383" i="28"/>
  <c r="F383" i="28" s="1"/>
  <c r="H383" i="28" s="1"/>
  <c r="S383" i="28"/>
  <c r="E473" i="28"/>
  <c r="F473" i="28" s="1"/>
  <c r="H473" i="28" s="1"/>
  <c r="S473" i="28"/>
  <c r="C57" i="27"/>
  <c r="M57" i="27"/>
  <c r="S264" i="28"/>
  <c r="E264" i="28"/>
  <c r="F264" i="28" s="1"/>
  <c r="H264" i="28" s="1"/>
  <c r="Y354" i="29"/>
  <c r="F354" i="29"/>
  <c r="H354" i="29" s="1"/>
  <c r="C13" i="27"/>
  <c r="M13" i="27"/>
  <c r="Y383" i="29"/>
  <c r="F383" i="29"/>
  <c r="H383" i="29" s="1"/>
  <c r="E474" i="28"/>
  <c r="F474" i="28" s="1"/>
  <c r="H474" i="28" s="1"/>
  <c r="S474" i="28"/>
  <c r="E355" i="28"/>
  <c r="F355" i="28" s="1"/>
  <c r="H355" i="28" s="1"/>
  <c r="S355" i="28"/>
  <c r="M95" i="27"/>
  <c r="C95" i="27"/>
  <c r="M114" i="27"/>
  <c r="C114" i="27"/>
  <c r="S80" i="28"/>
  <c r="E80" i="28"/>
  <c r="F80" i="28" s="1"/>
  <c r="H80" i="28" s="1"/>
  <c r="S121" i="28"/>
  <c r="E121" i="28"/>
  <c r="F121" i="28" s="1"/>
  <c r="H121" i="28" s="1"/>
  <c r="S288" i="28"/>
  <c r="E288" i="28"/>
  <c r="F288" i="28" s="1"/>
  <c r="H288" i="28" s="1"/>
  <c r="M177" i="27"/>
  <c r="C177" i="27"/>
  <c r="Y276" i="29"/>
  <c r="F276" i="29"/>
  <c r="H276" i="29" s="1"/>
  <c r="E498" i="28"/>
  <c r="F498" i="28" s="1"/>
  <c r="H498" i="28" s="1"/>
  <c r="S498" i="28"/>
  <c r="F364" i="29"/>
  <c r="H364" i="29" s="1"/>
  <c r="Y364" i="29"/>
  <c r="S110" i="28"/>
  <c r="E110" i="28"/>
  <c r="F110" i="28" s="1"/>
  <c r="H110" i="28" s="1"/>
  <c r="E265" i="28"/>
  <c r="F265" i="28" s="1"/>
  <c r="H265" i="28" s="1"/>
  <c r="S265" i="28"/>
  <c r="F353" i="29"/>
  <c r="H353" i="29" s="1"/>
  <c r="Y353" i="29"/>
  <c r="S472" i="28"/>
  <c r="E472" i="28"/>
  <c r="F472" i="28" s="1"/>
  <c r="H472" i="28" s="1"/>
  <c r="M88" i="27"/>
  <c r="C88" i="27"/>
  <c r="Y341" i="29"/>
  <c r="F341" i="29"/>
  <c r="H341" i="29" s="1"/>
  <c r="F279" i="29"/>
  <c r="H279" i="29" s="1"/>
  <c r="Y279" i="29"/>
  <c r="C113" i="27"/>
  <c r="M113" i="27"/>
  <c r="E114" i="28"/>
  <c r="F114" i="28" s="1"/>
  <c r="H114" i="28" s="1"/>
  <c r="S114" i="28"/>
  <c r="C5" i="27"/>
  <c r="M5" i="27"/>
  <c r="C112" i="27"/>
  <c r="M112" i="27"/>
  <c r="Y352" i="29"/>
  <c r="F352" i="29"/>
  <c r="H352" i="29" s="1"/>
  <c r="M78" i="27"/>
  <c r="C78" i="27"/>
  <c r="S174" i="28"/>
  <c r="E174" i="28"/>
  <c r="F174" i="28" s="1"/>
  <c r="H174" i="28" s="1"/>
  <c r="Y275" i="29"/>
  <c r="F275" i="29"/>
  <c r="H275" i="29" s="1"/>
  <c r="C12" i="27"/>
  <c r="M12" i="27"/>
  <c r="C102" i="27"/>
  <c r="M102" i="27"/>
  <c r="E501" i="28"/>
  <c r="F501" i="28" s="1"/>
  <c r="H501" i="28" s="1"/>
  <c r="S501" i="28"/>
  <c r="E297" i="28"/>
  <c r="F297" i="28" s="1"/>
  <c r="H297" i="28" s="1"/>
  <c r="S297" i="28"/>
  <c r="E475" i="28"/>
  <c r="F475" i="28" s="1"/>
  <c r="H475" i="28" s="1"/>
  <c r="S475" i="28"/>
  <c r="E350" i="28"/>
  <c r="F350" i="28" s="1"/>
  <c r="H350" i="28" s="1"/>
  <c r="S350" i="28"/>
  <c r="S142" i="28"/>
  <c r="E142" i="28"/>
  <c r="F142" i="28" s="1"/>
  <c r="H142" i="28" s="1"/>
  <c r="E359" i="28"/>
  <c r="F359" i="28" s="1"/>
  <c r="H359" i="28" s="1"/>
  <c r="S359" i="28"/>
  <c r="Y340" i="29"/>
  <c r="F340" i="29"/>
  <c r="H340" i="29" s="1"/>
  <c r="M71" i="27"/>
  <c r="C71" i="27"/>
  <c r="Y278" i="29"/>
  <c r="F278" i="29"/>
  <c r="H278" i="29" s="1"/>
  <c r="S269" i="28"/>
  <c r="E269" i="28"/>
  <c r="F269" i="28" s="1"/>
  <c r="H269" i="28" s="1"/>
  <c r="M178" i="27"/>
  <c r="C178" i="27"/>
  <c r="S307" i="28"/>
  <c r="E307" i="28"/>
  <c r="F307" i="28" s="1"/>
  <c r="H307" i="28" s="1"/>
  <c r="S99" i="28"/>
  <c r="E99" i="28"/>
  <c r="F99" i="28" s="1"/>
  <c r="H99" i="28" s="1"/>
  <c r="Y358" i="29"/>
  <c r="F358" i="29"/>
  <c r="H358" i="29" s="1"/>
  <c r="M139" i="27"/>
  <c r="C139" i="27"/>
  <c r="S207" i="28"/>
  <c r="E207" i="28"/>
  <c r="F207" i="28" s="1"/>
  <c r="H207" i="28" s="1"/>
  <c r="C110" i="27"/>
  <c r="M110" i="27"/>
  <c r="E320" i="28"/>
  <c r="F320" i="28" s="1"/>
  <c r="H320" i="28" s="1"/>
  <c r="S320" i="28"/>
  <c r="C129" i="27"/>
  <c r="M129" i="27"/>
  <c r="S103" i="28"/>
  <c r="E103" i="28"/>
  <c r="F103" i="28" s="1"/>
  <c r="H103" i="28" s="1"/>
  <c r="S237" i="28"/>
  <c r="E237" i="28"/>
  <c r="F237" i="28" s="1"/>
  <c r="H237" i="28" s="1"/>
  <c r="E139" i="28"/>
  <c r="F139" i="28" s="1"/>
  <c r="H139" i="28" s="1"/>
  <c r="S139" i="28"/>
  <c r="S266" i="28"/>
  <c r="E266" i="28"/>
  <c r="F266" i="28" s="1"/>
  <c r="H266" i="28" s="1"/>
  <c r="S503" i="28"/>
  <c r="E503" i="28"/>
  <c r="F503" i="28" s="1"/>
  <c r="H503" i="28" s="1"/>
  <c r="S499" i="28"/>
  <c r="E499" i="28"/>
  <c r="F499" i="28" s="1"/>
  <c r="H499" i="28" s="1"/>
  <c r="S308" i="28"/>
  <c r="E308" i="28"/>
  <c r="F308" i="28" s="1"/>
  <c r="H308" i="28" s="1"/>
  <c r="X9" i="30"/>
  <c r="Z9" i="30" s="1"/>
  <c r="F9" i="30"/>
  <c r="F27" i="30"/>
  <c r="X27" i="30"/>
  <c r="Z27" i="30" s="1"/>
  <c r="F20" i="276"/>
  <c r="F20" i="275"/>
  <c r="F20" i="285"/>
  <c r="F20" i="286"/>
  <c r="F29" i="279"/>
  <c r="F29" i="280"/>
  <c r="F30" i="280"/>
  <c r="F30" i="279"/>
  <c r="O5" i="76"/>
  <c r="O6" i="76"/>
  <c r="O8" i="76"/>
  <c r="X28" i="30"/>
  <c r="Z28" i="30" s="1"/>
  <c r="F28" i="30"/>
  <c r="F28" i="280"/>
  <c r="F28" i="279"/>
  <c r="F17" i="284"/>
  <c r="F17" i="283"/>
  <c r="O12" i="80"/>
  <c r="O10" i="80"/>
  <c r="O8" i="80"/>
  <c r="O14" i="80"/>
  <c r="O7" i="80"/>
  <c r="O9" i="80"/>
  <c r="O13" i="80"/>
  <c r="O5" i="80"/>
  <c r="O15" i="80"/>
  <c r="F12" i="30"/>
  <c r="X12" i="30"/>
  <c r="Z12" i="30" s="1"/>
  <c r="F19" i="285"/>
  <c r="F19" i="286"/>
  <c r="F21" i="285"/>
  <c r="F21" i="275"/>
  <c r="F18" i="283"/>
  <c r="F18" i="287"/>
  <c r="F7" i="30"/>
  <c r="X7" i="30"/>
  <c r="Z7" i="30" s="1"/>
  <c r="O7" i="289"/>
  <c r="O5" i="289"/>
  <c r="O9" i="289"/>
  <c r="O7" i="262"/>
  <c r="O9" i="262"/>
  <c r="O10" i="262"/>
  <c r="O6" i="262"/>
  <c r="O12" i="262"/>
  <c r="O5" i="262"/>
  <c r="O6" i="260"/>
  <c r="O8" i="260"/>
  <c r="O5" i="260"/>
  <c r="F19" i="276"/>
  <c r="F19" i="275"/>
  <c r="F10" i="30"/>
  <c r="X10" i="30"/>
  <c r="Z10" i="30" s="1"/>
  <c r="S29" i="28" a="1"/>
  <c r="C160" i="27" a="1"/>
  <c r="M111" i="27" a="1"/>
  <c r="E480" i="28" a="1"/>
  <c r="C107" i="27" a="1"/>
  <c r="M160" i="27" a="1"/>
  <c r="Y59" i="29" a="1"/>
  <c r="C111" i="27" a="1"/>
  <c r="S491" i="28" a="1"/>
  <c r="C155" i="27" a="1"/>
  <c r="M77" i="27" a="1"/>
  <c r="F59" i="29" a="1"/>
  <c r="S270" i="28" a="1"/>
  <c r="M109" i="27" a="1"/>
  <c r="E31" i="28" a="1"/>
  <c r="S480" i="28" a="1"/>
  <c r="C179" i="27" a="1"/>
  <c r="E271" i="28" a="1"/>
  <c r="F126" i="29" a="1"/>
  <c r="E241" i="28" a="1"/>
  <c r="F124" i="29" a="1"/>
  <c r="M107" i="27" a="1"/>
  <c r="F125" i="29" a="1"/>
  <c r="E29" i="28" a="1"/>
  <c r="E491" i="28" a="1"/>
  <c r="S492" i="28" a="1"/>
  <c r="M155" i="27" a="1"/>
  <c r="S31" i="28" a="1"/>
  <c r="C75" i="27" a="1"/>
  <c r="E492" i="28" a="1"/>
  <c r="S241" i="28" a="1"/>
  <c r="M75" i="27" a="1"/>
  <c r="C77" i="27" a="1"/>
  <c r="C109" i="27" a="1"/>
  <c r="Y124" i="29" a="1"/>
  <c r="S271" i="28" a="1"/>
  <c r="M179" i="27" a="1"/>
  <c r="Y125" i="29" a="1"/>
  <c r="Y126" i="29" a="1"/>
  <c r="F60" i="29" a="1"/>
  <c r="Y60" i="29" a="1"/>
  <c r="E270" i="28" a="1"/>
  <c r="M75" i="27" l="1"/>
  <c r="C75" i="27"/>
  <c r="S270" i="28"/>
  <c r="E270" i="28"/>
  <c r="F270" i="28" s="1"/>
  <c r="H270" i="28" s="1"/>
  <c r="M107" i="27"/>
  <c r="C107" i="27"/>
  <c r="E480" i="28"/>
  <c r="F480" i="28" s="1"/>
  <c r="H480" i="28" s="1"/>
  <c r="S480" i="28"/>
  <c r="M160" i="27"/>
  <c r="C160" i="27"/>
  <c r="E241" i="28"/>
  <c r="F241" i="28" s="1"/>
  <c r="H241" i="28" s="1"/>
  <c r="S241" i="28"/>
  <c r="E491" i="28"/>
  <c r="F491" i="28" s="1"/>
  <c r="H491" i="28" s="1"/>
  <c r="S491" i="28"/>
  <c r="S29" i="28"/>
  <c r="E29" i="28"/>
  <c r="F29" i="28" s="1"/>
  <c r="H29" i="28" s="1"/>
  <c r="Y125" i="29"/>
  <c r="F125" i="29"/>
  <c r="H125" i="29" s="1"/>
  <c r="E271" i="28"/>
  <c r="F271" i="28" s="1"/>
  <c r="H271" i="28" s="1"/>
  <c r="S271" i="28"/>
  <c r="Y124" i="29"/>
  <c r="F124" i="29"/>
  <c r="H124" i="29" s="1"/>
  <c r="C109" i="27"/>
  <c r="M109" i="27"/>
  <c r="E492" i="28"/>
  <c r="F492" i="28" s="1"/>
  <c r="H492" i="28" s="1"/>
  <c r="S492" i="28"/>
  <c r="C179" i="27"/>
  <c r="M179" i="27"/>
  <c r="M111" i="27"/>
  <c r="C111" i="27"/>
  <c r="Y126" i="29"/>
  <c r="F126" i="29"/>
  <c r="H126" i="29" s="1"/>
  <c r="E31" i="28"/>
  <c r="F31" i="28" s="1"/>
  <c r="H31" i="28" s="1"/>
  <c r="S31" i="28"/>
  <c r="C77" i="27"/>
  <c r="M77" i="27"/>
  <c r="F60" i="29"/>
  <c r="H60" i="29" s="1"/>
  <c r="Y60" i="29"/>
  <c r="M155" i="27"/>
  <c r="C155" i="27"/>
  <c r="Y59" i="29"/>
  <c r="F59" i="29"/>
  <c r="H59" i="29" s="1"/>
  <c r="F20" i="282"/>
  <c r="F20" i="281"/>
  <c r="F19" i="282"/>
  <c r="F19" i="281"/>
  <c r="F21" i="281"/>
  <c r="F21" i="282"/>
  <c r="F17" i="278"/>
  <c r="F17" i="277"/>
  <c r="F17" i="287"/>
  <c r="F17" i="288"/>
  <c r="F21" i="286"/>
  <c r="F18" i="278"/>
  <c r="F18" i="284"/>
  <c r="F18" i="277"/>
  <c r="F21" i="276"/>
  <c r="F18" i="288"/>
  <c r="E183" i="28" a="1"/>
  <c r="E183" i="28" l="1"/>
  <c r="F183" i="28" s="1"/>
  <c r="H183" i="28" s="1"/>
  <c r="H361" i="28"/>
  <c r="E361" i="28" a="1"/>
  <c r="E425" i="28" a="1"/>
  <c r="E425" i="28" l="1"/>
  <c r="F425" i="28" s="1"/>
  <c r="H425" i="28" s="1"/>
  <c r="E361" i="28"/>
  <c r="E39" i="28" a="1"/>
  <c r="E39" i="28"/>
  <c r="F39" i="28" s="1"/>
  <c r="H39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<sst xmlns="http://schemas.openxmlformats.org/spreadsheetml/2006/main" count="18873" uniqueCount="3899">
  <si>
    <t>NuLine Manufacturing Inc.</t>
  </si>
  <si>
    <t>BILL OF MATERIALS</t>
  </si>
  <si>
    <t>Assy DWG No.</t>
  </si>
  <si>
    <t>Job Number</t>
  </si>
  <si>
    <t>Drawn By:</t>
  </si>
  <si>
    <t>INITIALS</t>
  </si>
  <si>
    <t>Date:</t>
  </si>
  <si>
    <t>Date</t>
  </si>
  <si>
    <t>DWG Title</t>
  </si>
  <si>
    <t>2-Up Pouch Machine</t>
  </si>
  <si>
    <t>Job Name</t>
  </si>
  <si>
    <t>JOB NAME</t>
  </si>
  <si>
    <t>Checked By:</t>
  </si>
  <si>
    <t>Item</t>
  </si>
  <si>
    <t>Qty</t>
  </si>
  <si>
    <t>Part Number/Rev</t>
  </si>
  <si>
    <t>Description</t>
  </si>
  <si>
    <t>Mfg/Matl</t>
  </si>
  <si>
    <t>Vendor</t>
  </si>
  <si>
    <t>Notes</t>
  </si>
  <si>
    <t>Out for Quote</t>
  </si>
  <si>
    <t>Order Date</t>
  </si>
  <si>
    <t>Req Date</t>
  </si>
  <si>
    <t>PO No.</t>
  </si>
  <si>
    <t>Material Cost</t>
  </si>
  <si>
    <t>Machining Cost</t>
  </si>
  <si>
    <t>Coating Cost</t>
  </si>
  <si>
    <t>Price Ea</t>
  </si>
  <si>
    <t>Price Total</t>
  </si>
  <si>
    <t>Overhead</t>
  </si>
  <si>
    <t>NuLine Shop Assembly Labor</t>
  </si>
  <si>
    <t>NuLine Machining Labor</t>
  </si>
  <si>
    <t>NuLine Engineering Labor</t>
  </si>
  <si>
    <t>Contract Electrical Engineering Labor (CRAVE)</t>
  </si>
  <si>
    <t>Contract Safety Audit Labor (CRAVE)</t>
  </si>
  <si>
    <t>Contract User Manual Writing Labor (CRAVE)</t>
  </si>
  <si>
    <t>Contract Local Programming Labor (CRAVE)</t>
  </si>
  <si>
    <t>Contract Local Programming Labor (AAP)</t>
  </si>
  <si>
    <t>Contract Field Programming Labor (Crave)</t>
  </si>
  <si>
    <t>Contract Field Programming Labor (AAP)</t>
  </si>
  <si>
    <t>CE Certification</t>
  </si>
  <si>
    <t>Freight, 2.2% of total parts received</t>
  </si>
  <si>
    <t>Misc</t>
  </si>
  <si>
    <t>Total Cost</t>
  </si>
  <si>
    <t>Cost</t>
  </si>
  <si>
    <t>Margin</t>
  </si>
  <si>
    <t>Sale Price</t>
  </si>
  <si>
    <t>Profit</t>
  </si>
  <si>
    <t>Assy DWG No</t>
  </si>
  <si>
    <t xml:space="preserve">Quantity to Build: </t>
  </si>
  <si>
    <t>Assembly</t>
  </si>
  <si>
    <t>Out to Quote</t>
  </si>
  <si>
    <t>Conf Date</t>
  </si>
  <si>
    <t>Total Qty</t>
  </si>
  <si>
    <t>A</t>
  </si>
  <si>
    <t>PG10.1.0.A</t>
  </si>
  <si>
    <t>B</t>
  </si>
  <si>
    <t>PG10.2.0.A</t>
  </si>
  <si>
    <t>C</t>
  </si>
  <si>
    <t>PG10.3.0.A</t>
  </si>
  <si>
    <t>D</t>
  </si>
  <si>
    <t>PG10.4.0.A</t>
  </si>
  <si>
    <t>E</t>
  </si>
  <si>
    <t>PG10.5.0.A</t>
  </si>
  <si>
    <t>F</t>
  </si>
  <si>
    <t>PG10.6.0.A</t>
  </si>
  <si>
    <t>G</t>
  </si>
  <si>
    <t>PG10.7.0.A</t>
  </si>
  <si>
    <t>H</t>
  </si>
  <si>
    <t>PG10.8.0.A</t>
  </si>
  <si>
    <t>I</t>
  </si>
  <si>
    <t>PG10.9.0.A</t>
  </si>
  <si>
    <t>J</t>
  </si>
  <si>
    <t>PG10.10.0.A</t>
  </si>
  <si>
    <t>K</t>
  </si>
  <si>
    <t>PG10.11.0.A</t>
  </si>
  <si>
    <t>L</t>
  </si>
  <si>
    <t>PG10.0.1.0.A</t>
  </si>
  <si>
    <t>M</t>
  </si>
  <si>
    <t>PG10.12.0.A</t>
  </si>
  <si>
    <t>SCE-N68XM7824</t>
  </si>
  <si>
    <t>SCE-N68P78GALV</t>
  </si>
  <si>
    <t>SCE-N12FA10HF-230</t>
  </si>
  <si>
    <t>SCE-N12FGA1010</t>
  </si>
  <si>
    <t>SCE-LF24NO</t>
  </si>
  <si>
    <t>SCE-16HMI2006LP</t>
  </si>
  <si>
    <t>SCE-16P14GALV</t>
  </si>
  <si>
    <t>SCE-AUHK</t>
  </si>
  <si>
    <t>EX715U5P1</t>
  </si>
  <si>
    <t>64080000</t>
  </si>
  <si>
    <t>64110000</t>
  </si>
  <si>
    <t>64130000</t>
  </si>
  <si>
    <t>64120000</t>
  </si>
  <si>
    <t>64580075</t>
  </si>
  <si>
    <t>97584085</t>
  </si>
  <si>
    <t xml:space="preserve">M5 X 0.8 X 16 HEX SHCS, </t>
  </si>
  <si>
    <t>PG10.0.3.1.0.A</t>
  </si>
  <si>
    <t xml:space="preserve">NUL1-12EL6010LP </t>
  </si>
  <si>
    <t>NUL1-60P12GALV</t>
  </si>
  <si>
    <t>6963T14</t>
  </si>
  <si>
    <t>8087K16</t>
  </si>
  <si>
    <t>ITV2050-312N4</t>
  </si>
  <si>
    <t>KQ2H08-U02A</t>
  </si>
  <si>
    <t>KQ2L08-U02A</t>
  </si>
  <si>
    <t>3842530287</t>
  </si>
  <si>
    <t>LV-N11MN</t>
  </si>
  <si>
    <t>7000-12221-6140500</t>
  </si>
  <si>
    <t xml:space="preserve">M5 X 0.8 X 12 HEX SHCS, </t>
  </si>
  <si>
    <t xml:space="preserve">PLAIN WASHER, 8 mm, NARROW, </t>
  </si>
  <si>
    <t xml:space="preserve">M8 X 1.25 X 16 HEX SHCS, </t>
  </si>
  <si>
    <t>AAP3441</t>
  </si>
  <si>
    <t>PG10.0.4.1.0.A</t>
  </si>
  <si>
    <t>AAP3444</t>
  </si>
  <si>
    <t>SCE-24EL2412LPPL</t>
  </si>
  <si>
    <t>SCE-24P24GALV</t>
  </si>
  <si>
    <t>PG10.0.6.1.0.A</t>
  </si>
  <si>
    <t>AAP3445</t>
  </si>
  <si>
    <t>SCE-244212WFLP</t>
  </si>
  <si>
    <t>SCE-42P24GALV</t>
  </si>
  <si>
    <t>22mm-SS-RESET</t>
  </si>
  <si>
    <t>PG10.1.1.0.A</t>
  </si>
  <si>
    <t>PG10.1.2.0.A</t>
  </si>
  <si>
    <t>PG10.1.3.0.A</t>
  </si>
  <si>
    <t>PG10.1.4.0.A</t>
  </si>
  <si>
    <t>PG10.1.5.0.A</t>
  </si>
  <si>
    <t>PG10.1.6.0.A</t>
  </si>
  <si>
    <t>PG10.1.7.0.A</t>
  </si>
  <si>
    <t>PG10.0.2.0.A</t>
  </si>
  <si>
    <t>PG10.0.3.0.A</t>
  </si>
  <si>
    <t>PG10.1.1.1.0.A</t>
  </si>
  <si>
    <t>PG10.1.1.2.0.A</t>
  </si>
  <si>
    <t>PG10.1.1.3.0.A</t>
  </si>
  <si>
    <t>PG10.1.1.4.0.A</t>
  </si>
  <si>
    <t>PG10.1.1.5.0.A</t>
  </si>
  <si>
    <t>PG10.1.1.6.0.A</t>
  </si>
  <si>
    <t>PG10.1.1.7.0.A</t>
  </si>
  <si>
    <t>PG10.1.1.8.0.A</t>
  </si>
  <si>
    <t>PG10.1.1.9.0.A</t>
  </si>
  <si>
    <t>PG10.1.1.10.0.A</t>
  </si>
  <si>
    <t>PG10.1.1.11.0.A</t>
  </si>
  <si>
    <t>PG10.1.1.13.0.A</t>
  </si>
  <si>
    <t>PG10.1.1.14.0.A</t>
  </si>
  <si>
    <t>N</t>
  </si>
  <si>
    <t>PG10.1.1.15.0.A</t>
  </si>
  <si>
    <t>O</t>
  </si>
  <si>
    <t>PG10.1.1.16.0.A</t>
  </si>
  <si>
    <t>P</t>
  </si>
  <si>
    <t>PG10.1.1.17.0.A</t>
  </si>
  <si>
    <t>PG10.1.1.1.A</t>
  </si>
  <si>
    <t>3842535458</t>
  </si>
  <si>
    <t>3842548752</t>
  </si>
  <si>
    <t>45X45 D17|D17, 385MM</t>
  </si>
  <si>
    <t>45x45 D17 I D17,1679.0MM</t>
  </si>
  <si>
    <t>45X90 D17|D17, 370MM</t>
  </si>
  <si>
    <t>45X90 D17|D17, 1680MM</t>
  </si>
  <si>
    <t>45X90 D17|D17, 2119MM</t>
  </si>
  <si>
    <t>90X90, D17|-, 197.5MM</t>
  </si>
  <si>
    <t>90X90, D17|D17, 750MM</t>
  </si>
  <si>
    <t>90X90, D17|-, 900MM</t>
  </si>
  <si>
    <t>90X90, -|-, 1610MM</t>
  </si>
  <si>
    <t>90X90, D17|D17, 1680MM</t>
  </si>
  <si>
    <t>90X90, D17|D17, 2119MM</t>
  </si>
  <si>
    <t>45x45 D17 I D17,970MM</t>
  </si>
  <si>
    <t>45X45 D17 | D17, 90MM</t>
  </si>
  <si>
    <t>45X45 -|-, 1770MM</t>
  </si>
  <si>
    <t>PG10.1.1.1.1.A</t>
  </si>
  <si>
    <t>90591A220</t>
  </si>
  <si>
    <t>PG10.1.1.2.1.A</t>
  </si>
  <si>
    <t>PG10.1.1.2.2.A</t>
  </si>
  <si>
    <t>PG10.1.1.2.3.A</t>
  </si>
  <si>
    <t>PG10.1.1.2.4.A</t>
  </si>
  <si>
    <t>PG10.1.1.2.5.A</t>
  </si>
  <si>
    <t>3842530285</t>
  </si>
  <si>
    <t>7612DLG</t>
  </si>
  <si>
    <t xml:space="preserve">M6 X 1.0 X 16 HEX SHCS, </t>
  </si>
  <si>
    <t>PG10.1.1.3.1.A</t>
  </si>
  <si>
    <t xml:space="preserve">HEX NUT, STYLE 1,  M8 X 1.25, </t>
  </si>
  <si>
    <t>PG10.1.1.4.1.A</t>
  </si>
  <si>
    <t>91595A640</t>
  </si>
  <si>
    <t xml:space="preserve">M6 X 1.0 X 12 SBHCS, </t>
  </si>
  <si>
    <t xml:space="preserve">M6 X 1.0 X 20 HEX SHCS, </t>
  </si>
  <si>
    <t>PG10.1.1.5.1.A</t>
  </si>
  <si>
    <t>PG10.1.1.5.2.A</t>
  </si>
  <si>
    <t>92981A415</t>
  </si>
  <si>
    <t>HD24B160-0100LXX2MMSD</t>
  </si>
  <si>
    <t>94669A177</t>
  </si>
  <si>
    <t xml:space="preserve">M8 X 1.25 X 20 HEX SHCS, </t>
  </si>
  <si>
    <t xml:space="preserve">PLAIN WASHER, 10 mm, REGULAR, </t>
  </si>
  <si>
    <t xml:space="preserve">M10 X 1.5 X 45 HEX SHCS, </t>
  </si>
  <si>
    <t>PG10.1.1.6.1.B</t>
  </si>
  <si>
    <t>PG10.1.1.6.2.B</t>
  </si>
  <si>
    <t>PG10.1.1.6.3.A</t>
  </si>
  <si>
    <t>3842528738</t>
  </si>
  <si>
    <t>GN.15211</t>
  </si>
  <si>
    <t>LV-NH64</t>
  </si>
  <si>
    <t>R-9</t>
  </si>
  <si>
    <t xml:space="preserve">M3 X 0.5 X 10 HEX SHCS, </t>
  </si>
  <si>
    <t>M3 X 0.5 X 6 Hex SHCS</t>
  </si>
  <si>
    <t xml:space="preserve">M4 X 0.7 X 12 HEX SHCS, </t>
  </si>
  <si>
    <t xml:space="preserve">PLAIN WASHER, 6 mm, NARROW, </t>
  </si>
  <si>
    <t>Need Elesa and Keyence (EL 7/30)</t>
  </si>
  <si>
    <t>PG10.1.1.7.1.A</t>
  </si>
  <si>
    <t>PG10.1.1.7.2.A</t>
  </si>
  <si>
    <t>M8 X 1.25 X 25 Hex SHCS</t>
  </si>
  <si>
    <t>Waiting on Alexandria Shaft mat'l (EL 7/30)</t>
  </si>
  <si>
    <t>PG10.1.1.8.1.A</t>
  </si>
  <si>
    <t>PG10.1.1.8.2.A</t>
  </si>
  <si>
    <t>PG10.1.1.8.3.A</t>
  </si>
  <si>
    <t>PG10.1.1.8.4.A</t>
  </si>
  <si>
    <t>PG10.1.1.8.5.A</t>
  </si>
  <si>
    <t>PG10.1.1.8.6.A</t>
  </si>
  <si>
    <t>PG10.1.1.8.7.A</t>
  </si>
  <si>
    <t>97713A105</t>
  </si>
  <si>
    <t>2458K514</t>
  </si>
  <si>
    <t>91273A454</t>
  </si>
  <si>
    <t>92661A751</t>
  </si>
  <si>
    <t>6384K373</t>
  </si>
  <si>
    <t>NCLA10-16-33</t>
  </si>
  <si>
    <t>CDM2C32TF-250Z</t>
  </si>
  <si>
    <t>KQ2L04-U01A</t>
  </si>
  <si>
    <t>7000-08061-6110750</t>
  </si>
  <si>
    <t>waiting on alexandria shafts (EL 7/30)</t>
  </si>
  <si>
    <t>311 - out to 8/23/24 (EL 7/30)</t>
  </si>
  <si>
    <t>haven't ordered Murr cables yet (EL 7/30)</t>
  </si>
  <si>
    <t>9540K753</t>
  </si>
  <si>
    <t xml:space="preserve">M5 X 0.8 X 16 SBHCS, </t>
  </si>
  <si>
    <t>PG10.1.1.10.2.A</t>
  </si>
  <si>
    <t>KQ2L08-00A</t>
  </si>
  <si>
    <t>KQ2T06-08A</t>
  </si>
  <si>
    <t>92095A187</t>
  </si>
  <si>
    <t>PG10.1.1.11.1.0.A</t>
  </si>
  <si>
    <t>PG10.1.1.11.1.A</t>
  </si>
  <si>
    <t>polycarb not ordered (EL 7/30)</t>
  </si>
  <si>
    <t>94708A213</t>
  </si>
  <si>
    <t xml:space="preserve">M5 X 0.8 X 20 SBHCS, </t>
  </si>
  <si>
    <t>PG10.1.1.13.1.A</t>
  </si>
  <si>
    <t>PG10.1.1.14.1.A</t>
  </si>
  <si>
    <t>PG10.1.1.15.1.A</t>
  </si>
  <si>
    <t>PG10.1.1.16.1.A</t>
  </si>
  <si>
    <t>THCSNSNSNELEBP1P3EMW4</t>
  </si>
  <si>
    <t>TKS</t>
  </si>
  <si>
    <t xml:space="preserve">PLAIN WASHER, 6 mm, REGULAR, </t>
  </si>
  <si>
    <t xml:space="preserve">M6 X 1.0 X 20 SBHCS, </t>
  </si>
  <si>
    <t xml:space="preserve">M5 X 0.8 X 40 HEX SHCS, </t>
  </si>
  <si>
    <t>PG10.10.1.10.1.A</t>
  </si>
  <si>
    <t>A924IPS-1000-02</t>
  </si>
  <si>
    <t xml:space="preserve">M6 X 1.0 X 12 HEX SHCS, </t>
  </si>
  <si>
    <t>HEX NUT, FLANGE NUT, M4 X 0.7</t>
  </si>
  <si>
    <t>PG10.1.2.1.0.A</t>
  </si>
  <si>
    <t>PG10.1.2.2.0.A</t>
  </si>
  <si>
    <t>PG10.1.2.3.0.A</t>
  </si>
  <si>
    <t>PG10.1.2.1.A</t>
  </si>
  <si>
    <t>PG10.1.2.2.A</t>
  </si>
  <si>
    <t>PG10.1.2.3.A</t>
  </si>
  <si>
    <t>PG10.1.2.4.A</t>
  </si>
  <si>
    <t>PG10.1.2.5.C</t>
  </si>
  <si>
    <t>R165129420</t>
  </si>
  <si>
    <t>999-806-A388</t>
  </si>
  <si>
    <t>999-806-C329</t>
  </si>
  <si>
    <t>SRL-2500</t>
  </si>
  <si>
    <t>MV0000212325</t>
  </si>
  <si>
    <t>WFB5-114</t>
  </si>
  <si>
    <t>MV0000212199</t>
  </si>
  <si>
    <t>MV0000212198</t>
  </si>
  <si>
    <t xml:space="preserve">M8 X 1.25 X 30 HEX SHCS, </t>
  </si>
  <si>
    <t xml:space="preserve">M10 X 1.5 X 30 HEX SHCS, </t>
  </si>
  <si>
    <t>M10 X 1.5 X 100 HEX SHCS,</t>
  </si>
  <si>
    <t xml:space="preserve">M12 X 1.75 X 35 HEX SHCS, </t>
  </si>
  <si>
    <t>PG10.1.2.1.1.A</t>
  </si>
  <si>
    <t xml:space="preserve">M8 X 1.25 X 35 HEX SHCS, </t>
  </si>
  <si>
    <t>PG10.1.2.2.1.A</t>
  </si>
  <si>
    <t>PG10.1.2.3.1.A</t>
  </si>
  <si>
    <t>PG10.1.2.3.2.A</t>
  </si>
  <si>
    <t>LR-TB5000C</t>
  </si>
  <si>
    <t xml:space="preserve">PLAIN WASHER, 4 mm, NARROW, </t>
  </si>
  <si>
    <t xml:space="preserve">M4 X 0.7 X 10 HEX SHCS, </t>
  </si>
  <si>
    <t xml:space="preserve">M4 X 0.7 X 40 HEX SHCS, </t>
  </si>
  <si>
    <t xml:space="preserve">M6 X 1.0 X 16 SOCKET FCHS, </t>
  </si>
  <si>
    <t>PG10.1.3.1.0.A</t>
  </si>
  <si>
    <t>PG10.1.3.2.0.A</t>
  </si>
  <si>
    <t>PG10.1.3.4.0.A</t>
  </si>
  <si>
    <t>PG10.1.3.5.0.A</t>
  </si>
  <si>
    <t>PG10.1.3.6.0.A</t>
  </si>
  <si>
    <t>PG10.1.3.7.0.A</t>
  </si>
  <si>
    <t>PG10.1.3.1.A</t>
  </si>
  <si>
    <t>PG10.1.3.2.A</t>
  </si>
  <si>
    <t>PG10.1.3.3.A</t>
  </si>
  <si>
    <t>PG10.1.3.4.A</t>
  </si>
  <si>
    <t>PG10.1.3.5.A</t>
  </si>
  <si>
    <t>PG10.1.3.6.A</t>
  </si>
  <si>
    <t>PG10.1.3.7.A</t>
  </si>
  <si>
    <t>PG10.1.3.8.A</t>
  </si>
  <si>
    <t>PG10.1.3.9.A</t>
  </si>
  <si>
    <t>PG10.1.3.10.A</t>
  </si>
  <si>
    <t>PG10.1.3.11.A</t>
  </si>
  <si>
    <t>R164520341 L-140 T-10</t>
  </si>
  <si>
    <t>ER24</t>
  </si>
  <si>
    <t>1095K23</t>
  </si>
  <si>
    <t>93245A440</t>
  </si>
  <si>
    <t>96505A118</t>
  </si>
  <si>
    <t>91595A649</t>
  </si>
  <si>
    <t>92981A405</t>
  </si>
  <si>
    <t>KQ2L08-U03A</t>
  </si>
  <si>
    <t>CDQ2B80-25DMZ</t>
  </si>
  <si>
    <t>KQ2T08-00A</t>
  </si>
  <si>
    <t>D-M9PSAPC</t>
  </si>
  <si>
    <t>7000-08041-6101000</t>
  </si>
  <si>
    <t>MV0000025668</t>
  </si>
  <si>
    <t>MV0000025669</t>
  </si>
  <si>
    <t xml:space="preserve">M4 X 0.7 X 30 HEX SHCS, </t>
  </si>
  <si>
    <t xml:space="preserve">M6 X 1.0 X 35 HEX SHCS, </t>
  </si>
  <si>
    <t xml:space="preserve">M6 X 1.0 X 40 HEX SHCS, </t>
  </si>
  <si>
    <t xml:space="preserve">M10 X 1.5 X 55 HEX SHCS, </t>
  </si>
  <si>
    <t xml:space="preserve">M10 X 1.5 X 80 HEX SHCS, </t>
  </si>
  <si>
    <t>PG10.1.3.1.1.A</t>
  </si>
  <si>
    <t>1610 1.1/2</t>
  </si>
  <si>
    <t>640-8MGT-30</t>
  </si>
  <si>
    <t>P35-8MGT-30</t>
  </si>
  <si>
    <t>TL28L075</t>
  </si>
  <si>
    <t>PG10.1.3.2.1.A</t>
  </si>
  <si>
    <t>PG10.1.3.2.2.A</t>
  </si>
  <si>
    <t>1610 32MM</t>
  </si>
  <si>
    <t>91116A380</t>
  </si>
  <si>
    <t>MV0000211840</t>
  </si>
  <si>
    <t xml:space="preserve">M8 X 1.25 X 50 HEX SHCS, </t>
  </si>
  <si>
    <t>PG10.1.3.4.1.A</t>
  </si>
  <si>
    <t>PG10.1.3.5.1.A</t>
  </si>
  <si>
    <t>AS-25L</t>
  </si>
  <si>
    <t>AS2052F-08A</t>
  </si>
  <si>
    <t xml:space="preserve">HEX NUT, STYLE 1,  M4 X 0.7, </t>
  </si>
  <si>
    <t xml:space="preserve">M4 X 0.7 X 6 HEX SHCS, </t>
  </si>
  <si>
    <t>AR20-02BE-B</t>
  </si>
  <si>
    <t xml:space="preserve">PLAIN WASHER, 5 mm, NARROW, </t>
  </si>
  <si>
    <t>M5 X 0.8 X 10 HEX SHCS,</t>
  </si>
  <si>
    <t xml:space="preserve"> </t>
  </si>
  <si>
    <t>Component Spacer.A</t>
  </si>
  <si>
    <t>I-BFH-17-0</t>
  </si>
  <si>
    <t>PG10.1.4.1.0.A</t>
  </si>
  <si>
    <t>PG10.1.4.2.0.A</t>
  </si>
  <si>
    <t>PG10.1.4.1.A</t>
  </si>
  <si>
    <t>PG10.1.4.2.A</t>
  </si>
  <si>
    <t>3842544531</t>
  </si>
  <si>
    <t xml:space="preserve">M4 X 0.7 X 12 SOCKET FCHS, </t>
  </si>
  <si>
    <t>45x45 -I- ,960MM</t>
  </si>
  <si>
    <t>45X45 D17 | D17, 1853MM</t>
  </si>
  <si>
    <t>PG10.1.4.1.1.A</t>
  </si>
  <si>
    <t>GS-M51P</t>
  </si>
  <si>
    <t>GS-MA5U</t>
  </si>
  <si>
    <t xml:space="preserve">PLAIN WASHER, 4 mm, REGULAR, </t>
  </si>
  <si>
    <t xml:space="preserve">M4 X 0.7 X 16 HEX SHCS, </t>
  </si>
  <si>
    <t>M4 X 0.7 X 20 SOCKET FCHS</t>
  </si>
  <si>
    <t xml:space="preserve">M8 X 1.25 X 20 SOCKET FCHS, </t>
  </si>
  <si>
    <t>260411-C1</t>
  </si>
  <si>
    <t>PG10.1.5.1.A</t>
  </si>
  <si>
    <t>45X45 D17 | D17, 2018MM</t>
  </si>
  <si>
    <t>PG10.1.6.1.A</t>
  </si>
  <si>
    <t>SCE-SA20TC</t>
  </si>
  <si>
    <t>SCE-SA30TC</t>
  </si>
  <si>
    <t>SCE-SA360C</t>
  </si>
  <si>
    <t>SCE-SA310TMJ</t>
  </si>
  <si>
    <t>SCE-SA90A</t>
  </si>
  <si>
    <t xml:space="preserve">PLAIN WASHER, 10 mm, NARROW, </t>
  </si>
  <si>
    <t xml:space="preserve">M8 X 1.25 X 25 SOCKET FCHS, </t>
  </si>
  <si>
    <t>PG10.1.7.1.0.A</t>
  </si>
  <si>
    <t>PG10.1.7.1.A</t>
  </si>
  <si>
    <t xml:space="preserve">M5 X 0.8 X 25 SBHCS, </t>
  </si>
  <si>
    <t>PG10.2.1.0.A</t>
  </si>
  <si>
    <t>PG10.2.2.0.A</t>
  </si>
  <si>
    <t>PG10.2.3.0.A</t>
  </si>
  <si>
    <t>PG10.2.1.1.0.A</t>
  </si>
  <si>
    <t>PG10.2.1.2.0.A</t>
  </si>
  <si>
    <t>PG10.2.1.3.0.A</t>
  </si>
  <si>
    <t>M8 Leveling Foot Assy</t>
  </si>
  <si>
    <t>PG10.2.1.4.0.A</t>
  </si>
  <si>
    <t>PG10.2.1.5.0.A</t>
  </si>
  <si>
    <t>PG10.2.1.1.A</t>
  </si>
  <si>
    <t>90X90, -|-, 2850MM</t>
  </si>
  <si>
    <t>90X90, D17|D17, 735MM</t>
  </si>
  <si>
    <t>45X90 D17|D17, 700MM</t>
  </si>
  <si>
    <t>45X90 D17|D17, 1880MM</t>
  </si>
  <si>
    <t>PG10.2.1.1.1.A</t>
  </si>
  <si>
    <t>PG10.2.1.2.1.A</t>
  </si>
  <si>
    <t xml:space="preserve">M6 X 1.0 X 25 HEX SHCS, </t>
  </si>
  <si>
    <t>PG10.2.1.3.1.A</t>
  </si>
  <si>
    <t>91595A664</t>
  </si>
  <si>
    <t>PG10.2.1.4.1.A</t>
  </si>
  <si>
    <t>90695A037</t>
  </si>
  <si>
    <t>92871A323</t>
  </si>
  <si>
    <t>91100A140</t>
  </si>
  <si>
    <t xml:space="preserve">M5 X 0.8 X 20 HEX SHCS, </t>
  </si>
  <si>
    <t>M5 X 0.8 X 16 SOCKET FCHS,</t>
  </si>
  <si>
    <t>PG10.2.1.5.1.A</t>
  </si>
  <si>
    <t>PG10.2.2.1.0.A</t>
  </si>
  <si>
    <t>PG10.2.2.2.0.A</t>
  </si>
  <si>
    <t>PG10.2.2.3.0.A</t>
  </si>
  <si>
    <t>PG10.2.2.4.0.A</t>
  </si>
  <si>
    <t>PG10.2.2.5.0.A</t>
  </si>
  <si>
    <t>PG10.2.2.6.0.A</t>
  </si>
  <si>
    <t>90X90, D17|D17, 1294MM</t>
  </si>
  <si>
    <t>45X90, -|-, 1679MM</t>
  </si>
  <si>
    <t>PG10.2.2.1.1.0.A</t>
  </si>
  <si>
    <t>PG10.2.2.1.2.0.A</t>
  </si>
  <si>
    <t>PG10.2.2.1.1.A</t>
  </si>
  <si>
    <t>PG10.2.2.1.2.A</t>
  </si>
  <si>
    <t>45X45 -|-, 953MM</t>
  </si>
  <si>
    <t>45X45 -|-, 912MM</t>
  </si>
  <si>
    <t>45X45 D17|D17, 1078MM</t>
  </si>
  <si>
    <t>PG10.2.2.1.1.1.A</t>
  </si>
  <si>
    <t>PG10.2.2.1.1.2.A</t>
  </si>
  <si>
    <t>PG10.2.2.1.1.3.A</t>
  </si>
  <si>
    <t>91595A360</t>
  </si>
  <si>
    <t>M4 X 0.7 X 16 SOCKET FCHS</t>
  </si>
  <si>
    <t>PG10.2.2.2.1.A</t>
  </si>
  <si>
    <t>PG10.2.2.2.2.A</t>
  </si>
  <si>
    <t>45X45 D17|D17, 1194MM</t>
  </si>
  <si>
    <t>PG10.2.2.3.1.A</t>
  </si>
  <si>
    <t>45X45 -|-, 690MM</t>
  </si>
  <si>
    <t>PG10.2.2.4.1.A</t>
  </si>
  <si>
    <t>PG10.2.2.5.1.A</t>
  </si>
  <si>
    <t>PG10.2.2.6.1.A</t>
  </si>
  <si>
    <t>PG10.2.3.1.0.A</t>
  </si>
  <si>
    <t>PG10.2.3.4.0.A</t>
  </si>
  <si>
    <t>PG10.2.3.7.0.A</t>
  </si>
  <si>
    <t>PG10.2.3.1.A</t>
  </si>
  <si>
    <t>PG10.2.3.5.A</t>
  </si>
  <si>
    <t>MV0000011961</t>
  </si>
  <si>
    <t>MV0000011963</t>
  </si>
  <si>
    <t>GN.15291</t>
  </si>
  <si>
    <t>45X45, -|-, 1270MM</t>
  </si>
  <si>
    <t>PG10.2.3.1.1.A</t>
  </si>
  <si>
    <t>AAP3443</t>
  </si>
  <si>
    <t>PG10.2.3.4.1.A</t>
  </si>
  <si>
    <t>PG10.2.3.4.2.A</t>
  </si>
  <si>
    <t>STSR-2000 PG10</t>
  </si>
  <si>
    <t>KXL06-02S</t>
  </si>
  <si>
    <t>PG10.2.3.7.1.A</t>
  </si>
  <si>
    <t>PG10.2.3.7.2.A</t>
  </si>
  <si>
    <t>842E-CM-MIP2BA</t>
  </si>
  <si>
    <t>1304N26</t>
  </si>
  <si>
    <t>240L075</t>
  </si>
  <si>
    <t>10-32 X 0.25IN SBHCS</t>
  </si>
  <si>
    <t xml:space="preserve">PLAIN WASHER, 8 mm, REGULAR, </t>
  </si>
  <si>
    <t>PG10.3.1.0.A</t>
  </si>
  <si>
    <t>PG10.3.2.0.A</t>
  </si>
  <si>
    <t>PG10.3.4.0.A</t>
  </si>
  <si>
    <t>PG10.3.1.1.0.A</t>
  </si>
  <si>
    <t>PG10.3.1.2.0.A</t>
  </si>
  <si>
    <t>PG10.3.1.1.A</t>
  </si>
  <si>
    <t>90X90, D17|D17, 762MM</t>
  </si>
  <si>
    <t>90X90, -|-, 980.86MM</t>
  </si>
  <si>
    <t>90X90, -|-, 2638MM</t>
  </si>
  <si>
    <t>45X90 D17|D17, 250MM</t>
  </si>
  <si>
    <t>PG10.3.1.1.1.A</t>
  </si>
  <si>
    <t>PG10.3.1.2.1.A</t>
  </si>
  <si>
    <t>PG10.3.2.1.0.A</t>
  </si>
  <si>
    <t>PG10.3.2.2.0.A</t>
  </si>
  <si>
    <t>PG10.3.2.3.0.A</t>
  </si>
  <si>
    <t>PG10.3.2.4.0.A</t>
  </si>
  <si>
    <t>PG10.3.2.5.0.A</t>
  </si>
  <si>
    <t>PG10.3.2.6.0.A</t>
  </si>
  <si>
    <t>PG10.3.2.7.0.A</t>
  </si>
  <si>
    <t>PG10.3.2.8.0.A</t>
  </si>
  <si>
    <t>PG10.3.2.9.0.A</t>
  </si>
  <si>
    <t>PG10.3.2.10.0.A</t>
  </si>
  <si>
    <t>PG10.4.2.4.0.A</t>
  </si>
  <si>
    <t>PG10.4.2.5.0.A</t>
  </si>
  <si>
    <t>90X90, -|-, 4380.86MM</t>
  </si>
  <si>
    <t>45X90 D17|D17, 2118MM</t>
  </si>
  <si>
    <t>45X90 D17|D17, 800.86MM</t>
  </si>
  <si>
    <t>45X90 D17|D17,1102MM</t>
  </si>
  <si>
    <t>PG10.3.2.1.1.0.A</t>
  </si>
  <si>
    <t>PG10.3.2.1.2.0.A</t>
  </si>
  <si>
    <t>PG10.3.2.1.1.A</t>
  </si>
  <si>
    <t xml:space="preserve">M5 X 0.8 X 20 SOCKET FCHS, </t>
  </si>
  <si>
    <t>92871A324</t>
  </si>
  <si>
    <t>PG10.3.2.2.1.A</t>
  </si>
  <si>
    <t>PG10.3.2.3.1.A</t>
  </si>
  <si>
    <t>PG10.3.2.4.1.A</t>
  </si>
  <si>
    <t>PG10.3.2.5.1.A</t>
  </si>
  <si>
    <t>PG10.3.2.5.2.A</t>
  </si>
  <si>
    <t>PG10.3.2.5.3.A</t>
  </si>
  <si>
    <t>PG10.3.2.5.4.A</t>
  </si>
  <si>
    <t>45X45 -|-, 545MM</t>
  </si>
  <si>
    <t>45X45 -|-, 503MM</t>
  </si>
  <si>
    <t>45X45 D17|D17, 999MM</t>
  </si>
  <si>
    <t>PG10.3.2.6.1.A</t>
  </si>
  <si>
    <t>PG10.3.2.6.2.A</t>
  </si>
  <si>
    <t>PG10.3.2.7.1.A</t>
  </si>
  <si>
    <t>PG10.3.2.7.2.A</t>
  </si>
  <si>
    <t>45X45 -|-, 564MM</t>
  </si>
  <si>
    <t>45X45 -|-, 523MM</t>
  </si>
  <si>
    <t>PG10.3.2.8.1.A</t>
  </si>
  <si>
    <t>PG10.3.2.8.2.A</t>
  </si>
  <si>
    <t>PG10.3.2.9.1.A</t>
  </si>
  <si>
    <t>PG10.3.2.10.1.A</t>
  </si>
  <si>
    <t>PG10.3.4.1.A</t>
  </si>
  <si>
    <t>PG10.3.4.2.A</t>
  </si>
  <si>
    <t>PG10.4.3.11.A</t>
  </si>
  <si>
    <t>MA-00779</t>
  </si>
  <si>
    <t>Track Turner</t>
  </si>
  <si>
    <t>GN.26225</t>
  </si>
  <si>
    <t>CE.99002</t>
  </si>
  <si>
    <t>CE.85921</t>
  </si>
  <si>
    <t>61005K322</t>
  </si>
  <si>
    <t>5972K157</t>
  </si>
  <si>
    <t>PSFMRWS16-63-M6-N8-SC21</t>
  </si>
  <si>
    <t xml:space="preserve">M4 X 0.7 X 20 HEX SHCS, </t>
  </si>
  <si>
    <t xml:space="preserve">M8 X 1.25 X 60 HEX SHCS, </t>
  </si>
  <si>
    <t>PG10.4.1.0.A</t>
  </si>
  <si>
    <t>PG10.4.2.0.A</t>
  </si>
  <si>
    <t>PG10.4.3.0.A</t>
  </si>
  <si>
    <t>PG10.4.4.0.A</t>
  </si>
  <si>
    <t>PG10.4.5.0.A</t>
  </si>
  <si>
    <t>PG10.4.6.0.A</t>
  </si>
  <si>
    <t>PG10.0.11.0.A</t>
  </si>
  <si>
    <t>PG10.4.1.1.0.A</t>
  </si>
  <si>
    <t>PG10.4.1.2.0.A</t>
  </si>
  <si>
    <t>PG10.4.1.3.0.A</t>
  </si>
  <si>
    <t>PG10.4.1.4.0.A</t>
  </si>
  <si>
    <t>PG10.4.1.5.0.A</t>
  </si>
  <si>
    <t>PG10.4.1.6.0.A</t>
  </si>
  <si>
    <t>PG10.4.1.7.0.A</t>
  </si>
  <si>
    <t>PG10.4.1.8.0.A</t>
  </si>
  <si>
    <t>PG10.4.1.9.0.A</t>
  </si>
  <si>
    <t>PG10.4.1.10.0.A</t>
  </si>
  <si>
    <t>PG10.4.1.11.0.A</t>
  </si>
  <si>
    <t>PG10.4.1.12.0.A</t>
  </si>
  <si>
    <t>PG10.4.1.1.A</t>
  </si>
  <si>
    <t>3842548756</t>
  </si>
  <si>
    <t>45X90 D17|-, 45MM</t>
  </si>
  <si>
    <t>45X90 D17|D17, 875MM</t>
  </si>
  <si>
    <t>90X90, D17|D17, 351.4MM</t>
  </si>
  <si>
    <t>90X90, D17|D17, 410MM</t>
  </si>
  <si>
    <t>90X90, D17|D17, 235MM</t>
  </si>
  <si>
    <t>90X90, D17|D17, 2242MM</t>
  </si>
  <si>
    <t>90X90, -|-, 700MM</t>
  </si>
  <si>
    <t>90X90, D17|D17, 420.61MM</t>
  </si>
  <si>
    <t>90X90, -|-, 1120MM</t>
  </si>
  <si>
    <t>90X90, D17|D17, 293MM</t>
  </si>
  <si>
    <t>90X90, -|-, 3400MM</t>
  </si>
  <si>
    <t>PG10.4.1.1.1.A</t>
  </si>
  <si>
    <t>R164510341 L1120 T20</t>
  </si>
  <si>
    <t>PG10.4.1.2.1.A</t>
  </si>
  <si>
    <t>PG10.4.1.3.1.A</t>
  </si>
  <si>
    <t>M6 X 1.0 X 55 HEX SHCS,</t>
  </si>
  <si>
    <t>PG10.4.1.4.1.A</t>
  </si>
  <si>
    <t>PG10.4.1.5.1.A</t>
  </si>
  <si>
    <t>PG10.4.1.6.1.A</t>
  </si>
  <si>
    <t>R164510341 L600 T30</t>
  </si>
  <si>
    <t>PG10.4.1.7.1.B</t>
  </si>
  <si>
    <t>PG10.4.1.7.2.A</t>
  </si>
  <si>
    <t>69552-C9</t>
  </si>
  <si>
    <t>260421-C1</t>
  </si>
  <si>
    <t>94708A214</t>
  </si>
  <si>
    <t>94000A035</t>
  </si>
  <si>
    <t>94708A413</t>
  </si>
  <si>
    <t>PG10.4.1.8.1.A</t>
  </si>
  <si>
    <t>PG10.4.1.8.2.A</t>
  </si>
  <si>
    <t>PG10.4.1.9.1.A</t>
  </si>
  <si>
    <t>PG10.4.1.10.1.A</t>
  </si>
  <si>
    <t>PG10.4.1.11.1.A</t>
  </si>
  <si>
    <t>PG10.4.1.12.1.B</t>
  </si>
  <si>
    <t>PG10.4.2.1.0.A</t>
  </si>
  <si>
    <t>PG10.4.2.2.0.A</t>
  </si>
  <si>
    <t>PG10.4.2.3.0.A</t>
  </si>
  <si>
    <t>PG10.4.2.6.0.A</t>
  </si>
  <si>
    <t>PG10.4.2.7.0.A</t>
  </si>
  <si>
    <t>PG10.4.2.8.0.A</t>
  </si>
  <si>
    <t>PG10.4.2.9.0.A</t>
  </si>
  <si>
    <t>PG10.4.2.10.0.A</t>
  </si>
  <si>
    <t>PG10.4.2.11.0.A</t>
  </si>
  <si>
    <t>PG10.4.2.12.0.A</t>
  </si>
  <si>
    <t>90X90, D17|D17, 1230MM</t>
  </si>
  <si>
    <t>90X90, -|-, 4707MM</t>
  </si>
  <si>
    <t>45X90 D17|D17, 2242MM</t>
  </si>
  <si>
    <t>PG10.4.2.1.1.A</t>
  </si>
  <si>
    <t>PG10.4.2.2.1.A</t>
  </si>
  <si>
    <t>PG10.4.2.3.1.A</t>
  </si>
  <si>
    <t>PG10.4.2.4.1.A</t>
  </si>
  <si>
    <t>45X45 -|-, 790.5MM</t>
  </si>
  <si>
    <t>PG10.4.2.5.1.A</t>
  </si>
  <si>
    <t>PG10.4.2.6.1.A</t>
  </si>
  <si>
    <t>PG10.4.2.6.2.A</t>
  </si>
  <si>
    <t>45X45 -|-, 1134MM</t>
  </si>
  <si>
    <t>45X45 -|-, 1093MM</t>
  </si>
  <si>
    <t>PG10.4.2.7.1.A</t>
  </si>
  <si>
    <t>PG10.4.2.7.2.A</t>
  </si>
  <si>
    <t>PG10.4.2.8.1.A</t>
  </si>
  <si>
    <t>45X45 -|-, 865MM</t>
  </si>
  <si>
    <t>PG10.4.2.9.1.A</t>
  </si>
  <si>
    <t>PG10.4.2.10.1.A</t>
  </si>
  <si>
    <t>PG10.4.2.11.1.A</t>
  </si>
  <si>
    <t>PG10.4.2.12.1.A</t>
  </si>
  <si>
    <t>PG10.4.3.1.A</t>
  </si>
  <si>
    <t>PG10.4.3.2.A</t>
  </si>
  <si>
    <t>PG10.4.3.3.A</t>
  </si>
  <si>
    <t>PG10.4.3.4.A</t>
  </si>
  <si>
    <t>PG10.4.3.5.A</t>
  </si>
  <si>
    <t>PG10.4.3.6.A</t>
  </si>
  <si>
    <t>PG10.4.3.7.A</t>
  </si>
  <si>
    <t>PG10.4.3.8.A</t>
  </si>
  <si>
    <t>PG10.4.3.9.A</t>
  </si>
  <si>
    <t>PG10.4.3.10.A</t>
  </si>
  <si>
    <t>12</t>
  </si>
  <si>
    <t>PG10.4.3.12.A</t>
  </si>
  <si>
    <t>PTGSG-10X2-01-R-ES</t>
  </si>
  <si>
    <t>WS-10-30-1400</t>
  </si>
  <si>
    <t>WW-10-30-08</t>
  </si>
  <si>
    <t>JFRM_252525TR10X2_3</t>
  </si>
  <si>
    <t>3388N16</t>
  </si>
  <si>
    <t>6057N26</t>
  </si>
  <si>
    <t>6508T52</t>
  </si>
  <si>
    <t>6057N16</t>
  </si>
  <si>
    <t>5972K910</t>
  </si>
  <si>
    <t>BACA6804ZZ</t>
  </si>
  <si>
    <t>CDQMA32-25</t>
  </si>
  <si>
    <t>M4 X 0.7 X 10 SBHCS,</t>
  </si>
  <si>
    <t xml:space="preserve">M5 X 0.8 X 25 HEX SHCS, </t>
  </si>
  <si>
    <t xml:space="preserve">M12 X 1.75 X 40 SOCKET FCHS, </t>
  </si>
  <si>
    <t>45X90 M12|M12, 1641MM</t>
  </si>
  <si>
    <t>PG10.4.4.1.0.A</t>
  </si>
  <si>
    <t>PG10.4.4.2.0.A</t>
  </si>
  <si>
    <t>PG10.8.4.0.A</t>
  </si>
  <si>
    <t>PG10.4.4.1.A</t>
  </si>
  <si>
    <t>2</t>
  </si>
  <si>
    <t>PG10.4.4.2.A</t>
  </si>
  <si>
    <t>3</t>
  </si>
  <si>
    <t>PG10.4.4.3.A</t>
  </si>
  <si>
    <t>PETS20-50-SC20-M6-N8</t>
  </si>
  <si>
    <t>R165111320</t>
  </si>
  <si>
    <t>Presto Slider Parker</t>
  </si>
  <si>
    <t xml:space="preserve">Presto Welder </t>
  </si>
  <si>
    <t>M8 X 1.25 X 65 HEX SHCS,</t>
  </si>
  <si>
    <t>M12 X 1.75 X 35 SOCKET FCHS,</t>
  </si>
  <si>
    <t>90X90, M12|-, 453.3MM</t>
  </si>
  <si>
    <t>45X45 D17 | D17, 200MM</t>
  </si>
  <si>
    <t>45X45 -|-, 1514MM</t>
  </si>
  <si>
    <t>PG10.4.4.1.1.A</t>
  </si>
  <si>
    <t>PG10.4.4.1.2.A</t>
  </si>
  <si>
    <t>PG10.4.4.1.3.A</t>
  </si>
  <si>
    <t>6115K22</t>
  </si>
  <si>
    <t>PETR12-120</t>
  </si>
  <si>
    <t>PG10.4.4.2.1.A</t>
  </si>
  <si>
    <t>PG10.4.4.2.2.A</t>
  </si>
  <si>
    <t>PG10.4.4.2.3.A</t>
  </si>
  <si>
    <t>PG10.4.4.2.4.A</t>
  </si>
  <si>
    <t>PG10.4.4.2.5.A</t>
  </si>
  <si>
    <t>CLBPM20-23-82</t>
  </si>
  <si>
    <t>GEABG2.0-26-20-B-20</t>
  </si>
  <si>
    <t>6115K49</t>
  </si>
  <si>
    <t>PG10.4.5.1.0.A</t>
  </si>
  <si>
    <t>PG10.4.5.1.A</t>
  </si>
  <si>
    <t>PG10.4.5.2.A</t>
  </si>
  <si>
    <t>PG10.4.5.3.A</t>
  </si>
  <si>
    <t>MKS1505AK NC</t>
  </si>
  <si>
    <t>KQ2L04-00A</t>
  </si>
  <si>
    <t>KQ2T04-00A</t>
  </si>
  <si>
    <t>KQ2L04-M5A</t>
  </si>
  <si>
    <t>Presto Slider Bowl and Inserter A Side</t>
  </si>
  <si>
    <t>Presto Slider Bowl and Inserter B Side</t>
  </si>
  <si>
    <t xml:space="preserve">M6 X 1.0 X 30 HEX SHCS, </t>
  </si>
  <si>
    <t>PG10.4.5.1.1.A</t>
  </si>
  <si>
    <t>PG10.4.5.1.2.A</t>
  </si>
  <si>
    <t>PG10.6.1.6.A</t>
  </si>
  <si>
    <t>PG10.7.1.1.4.A</t>
  </si>
  <si>
    <t>CLBU20-23-5</t>
  </si>
  <si>
    <t>PSFMRWS16-182-M6-N6-SC80</t>
  </si>
  <si>
    <t>ECP3112</t>
  </si>
  <si>
    <t>EVP-CS-PL</t>
  </si>
  <si>
    <t>PG10.9.6.1.A</t>
  </si>
  <si>
    <t>AAP3442</t>
  </si>
  <si>
    <t>KQ2R04-08A</t>
  </si>
  <si>
    <t>AS3002F-08A</t>
  </si>
  <si>
    <t>PG10.0.4.0.A</t>
  </si>
  <si>
    <t>PG10.0.5.0.A</t>
  </si>
  <si>
    <t>PG10.5.1.0.A</t>
  </si>
  <si>
    <t>PG10.5.2.0.A</t>
  </si>
  <si>
    <t>PG10.5.3.0.A</t>
  </si>
  <si>
    <t>PG10.5.4.0.A</t>
  </si>
  <si>
    <t>PG10.5.5.0.A</t>
  </si>
  <si>
    <t>PG10.5.6.0.A</t>
  </si>
  <si>
    <t>PG10.5.7.0.A</t>
  </si>
  <si>
    <t>PG10.0.12.0.A</t>
  </si>
  <si>
    <t>PG10.5.1.1.0.A</t>
  </si>
  <si>
    <t>PG10.5.1.1.A</t>
  </si>
  <si>
    <t>R160520431 L1740 T30</t>
  </si>
  <si>
    <t>4403K29</t>
  </si>
  <si>
    <t>90X90, D17|-, 380MM</t>
  </si>
  <si>
    <t>90X90, D17|D17, 460MM</t>
  </si>
  <si>
    <t>90X90, M12|D17, 222MM</t>
  </si>
  <si>
    <t>90X90, -|-, 1740MM</t>
  </si>
  <si>
    <t>PG10.5.1.1.1.A</t>
  </si>
  <si>
    <t xml:space="preserve">M12 X 1.75 X 30 HEX SHCS, </t>
  </si>
  <si>
    <t>2402-214</t>
  </si>
  <si>
    <t>KQ2H04-M5A</t>
  </si>
  <si>
    <t>KQ2UD04-06A</t>
  </si>
  <si>
    <t>MKS2505AK</t>
  </si>
  <si>
    <t>91166A290</t>
  </si>
  <si>
    <t xml:space="preserve">M12 X 1.75 X 45 HEX SHCS, </t>
  </si>
  <si>
    <t>45X90, M12|D17, 217.7MM</t>
  </si>
  <si>
    <t>45X90, M12|-, 1095.3MM</t>
  </si>
  <si>
    <t>45X90, D17|D17, 283.2MM</t>
  </si>
  <si>
    <t>PG10.6.1.1.0.A</t>
  </si>
  <si>
    <t>PG10.5.3.2.A</t>
  </si>
  <si>
    <t>PG10.5.3.3.A</t>
  </si>
  <si>
    <t>PG10.5.3.4.A</t>
  </si>
  <si>
    <t>PG10.5.3.5.A</t>
  </si>
  <si>
    <t>PG10.6.1.2.A</t>
  </si>
  <si>
    <t>PG10.6.1.7.A</t>
  </si>
  <si>
    <t>PG10.6.1.8.A</t>
  </si>
  <si>
    <t>PG10.6.1.9.A</t>
  </si>
  <si>
    <t>PG10.6.1.10.A</t>
  </si>
  <si>
    <t>PG10.6.1.13.A</t>
  </si>
  <si>
    <t>PG10.6.1.14.A</t>
  </si>
  <si>
    <t>PG10.6.1.15.A</t>
  </si>
  <si>
    <t>PG10.5.3.6.A</t>
  </si>
  <si>
    <t>PG10.5.3.7.A</t>
  </si>
  <si>
    <t>PG10.6.1.18.A</t>
  </si>
  <si>
    <t>R164510341 L-1140MM T-30MM</t>
  </si>
  <si>
    <t>CE.85960</t>
  </si>
  <si>
    <t>GN.26205</t>
  </si>
  <si>
    <t>CE.85919</t>
  </si>
  <si>
    <t>CLBPM6-9-12.5</t>
  </si>
  <si>
    <t>CLBPM20-23-14.5</t>
  </si>
  <si>
    <t>CLBPM20-23-25.8</t>
  </si>
  <si>
    <t>CLBPM12-15-49</t>
  </si>
  <si>
    <t>CLBPM12-15-25</t>
  </si>
  <si>
    <t>BACA6801ZZ</t>
  </si>
  <si>
    <t>PSFMRWS16-155-MD6-ND6-SC75</t>
  </si>
  <si>
    <t>FWSSM-D28-V20-T6</t>
  </si>
  <si>
    <t>CFUAPH18-40</t>
  </si>
  <si>
    <t>CFFH18-40</t>
  </si>
  <si>
    <t>B6003ZZ</t>
  </si>
  <si>
    <t>MKS2514D</t>
  </si>
  <si>
    <t>PTGSG-16X2-01-R-ES</t>
  </si>
  <si>
    <t>3388N17</t>
  </si>
  <si>
    <t>3388N24</t>
  </si>
  <si>
    <t>96505A114</t>
  </si>
  <si>
    <t>1277N725</t>
  </si>
  <si>
    <t>6484K453</t>
  </si>
  <si>
    <t>6848K236</t>
  </si>
  <si>
    <t>6526N131</t>
  </si>
  <si>
    <t>168432</t>
  </si>
  <si>
    <t>KQ2H06-U03A</t>
  </si>
  <si>
    <t>PLSBWRK12-45</t>
  </si>
  <si>
    <t>98688A115</t>
  </si>
  <si>
    <t>9162K224</t>
  </si>
  <si>
    <t xml:space="preserve">M5 X 0.8 X 45 HEX SHCS, </t>
  </si>
  <si>
    <t>90X90, -|-, 1535MM</t>
  </si>
  <si>
    <t>90X90, D17|D17, 1355MM</t>
  </si>
  <si>
    <t>90X90, D17|D17, 1128MM</t>
  </si>
  <si>
    <t>90X90, -|-, 930MM</t>
  </si>
  <si>
    <t>45X90 D17|D17, 1355MM</t>
  </si>
  <si>
    <t>PG10.5.4.1.0.A</t>
  </si>
  <si>
    <t>PG10.5.4.2.0.A</t>
  </si>
  <si>
    <t>PG10.5.4.1.A</t>
  </si>
  <si>
    <t>PG10.5.4.2.A</t>
  </si>
  <si>
    <t>22MDM02-0583133A010153</t>
  </si>
  <si>
    <t>22MDM02-0678133D010153</t>
  </si>
  <si>
    <t>22M6BESD-4432</t>
  </si>
  <si>
    <t>22M6BESA-4432</t>
  </si>
  <si>
    <t>62M040ES423EN</t>
  </si>
  <si>
    <t>200349M</t>
  </si>
  <si>
    <t>639971M</t>
  </si>
  <si>
    <t>PG10.5.4.1.1.A</t>
  </si>
  <si>
    <t>PG10.5.4.1.3.A</t>
  </si>
  <si>
    <t>PG10.5.4.1.4.A</t>
  </si>
  <si>
    <t>PG10.5.4.1.5.A</t>
  </si>
  <si>
    <t>PG10.5.4.1.6.A</t>
  </si>
  <si>
    <t>PG10.5.4.1.7.A</t>
  </si>
  <si>
    <t>92125A192</t>
  </si>
  <si>
    <t>92125A186</t>
  </si>
  <si>
    <t>92871A006</t>
  </si>
  <si>
    <t>91455A330</t>
  </si>
  <si>
    <t>90695A033</t>
  </si>
  <si>
    <t>92125A132</t>
  </si>
  <si>
    <t xml:space="preserve">M3 X 0.5 X 8 HEX SHCS, </t>
  </si>
  <si>
    <t>M3 X 0.5 X 12 HEX SHCS,</t>
  </si>
  <si>
    <t>PG10.5.4.2.1.A</t>
  </si>
  <si>
    <t>PG10.5.4.2.3.A</t>
  </si>
  <si>
    <t>PG10.5.4.2.4.A</t>
  </si>
  <si>
    <t>PG10.5.5.1.0.A</t>
  </si>
  <si>
    <t>PG10.5.5.2.0.A</t>
  </si>
  <si>
    <t>PG10.5.5.3.0.A</t>
  </si>
  <si>
    <t>PG10.5.5.4.0.A</t>
  </si>
  <si>
    <t>PG10.5.5.1.A</t>
  </si>
  <si>
    <t>PG10.5.5.2.A</t>
  </si>
  <si>
    <t>PG10.5.5.3.A</t>
  </si>
  <si>
    <t>PG10.5.5.4.A</t>
  </si>
  <si>
    <t>PG10.5.5.5.A</t>
  </si>
  <si>
    <t>PG10.5.5.6.A</t>
  </si>
  <si>
    <t>PG10.6.4.3.A</t>
  </si>
  <si>
    <t>PG10.6.4.4.A</t>
  </si>
  <si>
    <t>PMCD2302</t>
  </si>
  <si>
    <t>PMCD1602</t>
  </si>
  <si>
    <t>JFRM-C-01-TR16X2</t>
  </si>
  <si>
    <t>OP-88542</t>
  </si>
  <si>
    <t>AS1002F-04A</t>
  </si>
  <si>
    <t>AS-10L</t>
  </si>
  <si>
    <t>AS2002F-06A</t>
  </si>
  <si>
    <t>AS-20L</t>
  </si>
  <si>
    <t>KQ2L04-99A</t>
  </si>
  <si>
    <t>CQ2-Z-A-XC11-000132</t>
  </si>
  <si>
    <t>KQ2L08-U01A</t>
  </si>
  <si>
    <t>KQ2L08-99A</t>
  </si>
  <si>
    <t>AS-30L</t>
  </si>
  <si>
    <t>M3 X 0.5 X 25 HEX SHCS,</t>
  </si>
  <si>
    <t>M3 X 0.5 X 30 HEX SHCS,</t>
  </si>
  <si>
    <t>HEX NUT, STYLE 1,  M3 X 0.5, CZ</t>
  </si>
  <si>
    <t>M4 X 0.7 X 8 HEX SHCS,</t>
  </si>
  <si>
    <t>M4 X 0.7 X 70 Hex SHCS,</t>
  </si>
  <si>
    <t xml:space="preserve">M5 X 0.8 X 30 HEX SHCS, </t>
  </si>
  <si>
    <t>PG10.5.5.1.1.A</t>
  </si>
  <si>
    <t>PG10.5.5.1.2.A</t>
  </si>
  <si>
    <t>PG10.5.5.1.3.A</t>
  </si>
  <si>
    <t>PG10.5.5.1.4.A</t>
  </si>
  <si>
    <t>PG10.5.5.1.5.A</t>
  </si>
  <si>
    <t>PG10.5.5.1.6.A</t>
  </si>
  <si>
    <t>PG10.5.5.1.7.A</t>
  </si>
  <si>
    <t>PG10.5.5.1.8.A</t>
  </si>
  <si>
    <t>LR-X100C</t>
  </si>
  <si>
    <t>98688A114</t>
  </si>
  <si>
    <t>MIW12-12D</t>
  </si>
  <si>
    <t xml:space="preserve">M3 X 0.5 X 16 HEX SHCS, </t>
  </si>
  <si>
    <t>PG10.5.5.2.1.0.A</t>
  </si>
  <si>
    <t>PG10.5.5.2.1.A</t>
  </si>
  <si>
    <t>KQ2L06-M5A</t>
  </si>
  <si>
    <t>MY1C20-200L</t>
  </si>
  <si>
    <t>PLSBF8-45-M4-N5</t>
  </si>
  <si>
    <t>M4 X 0.7 X 35 Hex SHCS,</t>
  </si>
  <si>
    <t xml:space="preserve">M5 X 0.8 X 35 HEX SHCS, </t>
  </si>
  <si>
    <t>PG10.5.5.2.1.1.A</t>
  </si>
  <si>
    <t>PG10.5.5.2.1.2.A</t>
  </si>
  <si>
    <t>PG10.5.5.2.1.3.A</t>
  </si>
  <si>
    <t>PG10.5.5.2.1.4.A</t>
  </si>
  <si>
    <t>PG10.5.5.2.1.5.A</t>
  </si>
  <si>
    <t>GK15N-B</t>
  </si>
  <si>
    <t>MFS01-S-KHC-P1-PNP</t>
  </si>
  <si>
    <t>PG10.5.5.3.1.A</t>
  </si>
  <si>
    <t>PG10.5.5.3.2.A</t>
  </si>
  <si>
    <t>PG10.5.5.4.1.A</t>
  </si>
  <si>
    <t>PG10.5.5.4.2.A</t>
  </si>
  <si>
    <t>PG10.5.5.4.3.A</t>
  </si>
  <si>
    <t>PG10.5.5.4.4.A</t>
  </si>
  <si>
    <t>4948N15</t>
  </si>
  <si>
    <t>91595A356</t>
  </si>
  <si>
    <t>4406T667</t>
  </si>
  <si>
    <t>STWS19</t>
  </si>
  <si>
    <t>FPSFJBC-D10-L220-M6-T10-N6-S8-WSC0-X0</t>
  </si>
  <si>
    <t>LMUWMF10H</t>
  </si>
  <si>
    <t>JA40-14-150</t>
  </si>
  <si>
    <t>M6 X 1.0 X 12 Socket FCHS,</t>
  </si>
  <si>
    <t>PG10.5.6.1.0.A</t>
  </si>
  <si>
    <t>PG10.5.6.2.0.A</t>
  </si>
  <si>
    <t>PG10.5.6.2.A</t>
  </si>
  <si>
    <t>PG10.5.6.1.1.A</t>
  </si>
  <si>
    <t>PG10.5.6.1.2.A</t>
  </si>
  <si>
    <t>PG10.5.6.1.3.A</t>
  </si>
  <si>
    <t>PG10.5.6.1.4.A</t>
  </si>
  <si>
    <t>PG10.5.6.1.5.A</t>
  </si>
  <si>
    <t>PG10.5.6.1.6.A</t>
  </si>
  <si>
    <t>PG10.5.6.2.1.A</t>
  </si>
  <si>
    <t>PG10.5.6.2.2.A</t>
  </si>
  <si>
    <t>PG10.5.7.1.A</t>
  </si>
  <si>
    <t>PG10.5.7.2.A</t>
  </si>
  <si>
    <t>PG10.5.7.3.A</t>
  </si>
  <si>
    <t>92905A669</t>
  </si>
  <si>
    <t>20686-0001</t>
  </si>
  <si>
    <t>20686-0000</t>
  </si>
  <si>
    <t>11285Rev-01</t>
  </si>
  <si>
    <t>CDQ2KWA50-50DMZ</t>
  </si>
  <si>
    <t>M4 X 0.7 X 55 HEX SHCS,</t>
  </si>
  <si>
    <t xml:space="preserve">M8 X 1.25 X 40 HEX SHCS, </t>
  </si>
  <si>
    <t>PG10.0.6.0.A</t>
  </si>
  <si>
    <t>PG10.0.7.0.A</t>
  </si>
  <si>
    <t>PG10.0.8.0.A</t>
  </si>
  <si>
    <t>PG10.6.1.0.A</t>
  </si>
  <si>
    <t>PG10.6.2.0.A</t>
  </si>
  <si>
    <t>PG10.6.3.0.A</t>
  </si>
  <si>
    <t>PG10.6.4.0.A</t>
  </si>
  <si>
    <t>PG10.6.5.0.A</t>
  </si>
  <si>
    <t>PG10.6.6.0.A</t>
  </si>
  <si>
    <t>PG10.6.7.0.A</t>
  </si>
  <si>
    <t>PG10.6.8.0.A</t>
  </si>
  <si>
    <t>PG10.6.9.0.A</t>
  </si>
  <si>
    <t>PG10.6.10.0.A</t>
  </si>
  <si>
    <t>PG10.6.1.2.0.A</t>
  </si>
  <si>
    <t>PG10.6.1.3.A</t>
  </si>
  <si>
    <t>PG10.6.1.4.A</t>
  </si>
  <si>
    <t>PG10.6.1.5.A</t>
  </si>
  <si>
    <t>PG10.6.1.11.A</t>
  </si>
  <si>
    <t>PG10.6.1.12.A</t>
  </si>
  <si>
    <t>PG10.6.1.16.A</t>
  </si>
  <si>
    <t>PG10.6.1.17.A</t>
  </si>
  <si>
    <t>PG10.6.1.19.A</t>
  </si>
  <si>
    <t>PG10.6.1.20.A</t>
  </si>
  <si>
    <t>25MM-CTL-1355-MM</t>
  </si>
  <si>
    <t>25MM-CTL-1560.4-MM</t>
  </si>
  <si>
    <t>GFM-2526-25</t>
  </si>
  <si>
    <t>91585A881</t>
  </si>
  <si>
    <t>6486K234</t>
  </si>
  <si>
    <t>6486K235</t>
  </si>
  <si>
    <t>6486K452</t>
  </si>
  <si>
    <t>6484K451</t>
  </si>
  <si>
    <t>91920A724</t>
  </si>
  <si>
    <t xml:space="preserve">M6 X 1.0 X 20 SOCKET FCHS, </t>
  </si>
  <si>
    <t>90X90, D17|D17, 215MM</t>
  </si>
  <si>
    <t>90X90, D17|D17, 260MM</t>
  </si>
  <si>
    <t>90X90, D17|D17, 895MM</t>
  </si>
  <si>
    <t>90X90, D17|D17, 1100MM</t>
  </si>
  <si>
    <t>90X90, D17|D17, 1200MM</t>
  </si>
  <si>
    <t>45X90 D17|D17, 260MM</t>
  </si>
  <si>
    <t>PG10.7.1.5.1.A</t>
  </si>
  <si>
    <t>8031N14</t>
  </si>
  <si>
    <t>91455A613</t>
  </si>
  <si>
    <t>90326A115</t>
  </si>
  <si>
    <t>TWSSM20-10-10</t>
  </si>
  <si>
    <t>M10 x 1.5 x 60 HEX SHCS</t>
  </si>
  <si>
    <t>PG10.6.2.1.0.A</t>
  </si>
  <si>
    <t>PG10.6.2.2.0.A</t>
  </si>
  <si>
    <t>PG10.6.2.3.0.A</t>
  </si>
  <si>
    <t>PG10.6.2.1.1.0.A</t>
  </si>
  <si>
    <t>PG10.6.2.1.2.0.A</t>
  </si>
  <si>
    <t>PG10.6.2.1.3.0.A</t>
  </si>
  <si>
    <t>PG10.6.2.1.4.0.A</t>
  </si>
  <si>
    <t>PG10.6.2.1.5.0.A</t>
  </si>
  <si>
    <t>PG10.6.2.1.1.A</t>
  </si>
  <si>
    <t>PG10.6.2.1.2.A</t>
  </si>
  <si>
    <t>6709K303</t>
  </si>
  <si>
    <t>6483K122</t>
  </si>
  <si>
    <t>BMY3-016</t>
  </si>
  <si>
    <t>KQ2H06-U01A</t>
  </si>
  <si>
    <t>MYAJ25</t>
  </si>
  <si>
    <t>MY3B25-200H</t>
  </si>
  <si>
    <t>TCU0604B-2</t>
  </si>
  <si>
    <t>PG10.6.2.1.1.1.A</t>
  </si>
  <si>
    <t>PG10.6.2.1.1.2.A</t>
  </si>
  <si>
    <t>PG10.6.2.1.1.3.A</t>
  </si>
  <si>
    <t>PG10.6.2.1.1.4.A</t>
  </si>
  <si>
    <t>AJKTNM8-50</t>
  </si>
  <si>
    <t>GN.67091</t>
  </si>
  <si>
    <t>1909A59</t>
  </si>
  <si>
    <t>DR10-AP-1F</t>
  </si>
  <si>
    <t xml:space="preserve">PLAIN WASHER, 3 mm, NARROW, </t>
  </si>
  <si>
    <t>PG10.6.2.1.2.2.A</t>
  </si>
  <si>
    <t>AS2201F-U01-06A</t>
  </si>
  <si>
    <t>KQ2E06-01A</t>
  </si>
  <si>
    <t>PG10.6.2.1.3.1.A</t>
  </si>
  <si>
    <t>PG10.6.2.1.3.2.A</t>
  </si>
  <si>
    <t>PG10.6.2.1.3.3.A</t>
  </si>
  <si>
    <t>PG10.6.2.1.3.4.A</t>
  </si>
  <si>
    <t>91595A152</t>
  </si>
  <si>
    <t>9338T53</t>
  </si>
  <si>
    <t>KQ2L06-U01A</t>
  </si>
  <si>
    <t>CDM2WL32-300AZ</t>
  </si>
  <si>
    <t>JA30-10-125</t>
  </si>
  <si>
    <t>BM5-032</t>
  </si>
  <si>
    <t>6709K12</t>
  </si>
  <si>
    <t>M4 X 0.7 X 45 HEX SHCS</t>
  </si>
  <si>
    <t>HEX JAM NUT, M10 X 1.5, 16mm WAF</t>
  </si>
  <si>
    <t>PG10.6.2.1.4.1.A</t>
  </si>
  <si>
    <t>PG10.6.2.1.4.2.A</t>
  </si>
  <si>
    <t>PG10.6.2.1.4.3.A</t>
  </si>
  <si>
    <t>94180A363</t>
  </si>
  <si>
    <t>KQ2L06-99A</t>
  </si>
  <si>
    <t>KQ2E06-00A</t>
  </si>
  <si>
    <t>MFS02-S-KHC-P1-PNP</t>
  </si>
  <si>
    <t>GK25N-B</t>
  </si>
  <si>
    <t>7000-41201-0000000</t>
  </si>
  <si>
    <t>7000-12481-0000000</t>
  </si>
  <si>
    <t>MDCPQ-4FP-3.3M</t>
  </si>
  <si>
    <t>6112K52</t>
  </si>
  <si>
    <t>95495K934</t>
  </si>
  <si>
    <t xml:space="preserve">M4 X 0.7 X 25 HEX SHCS, </t>
  </si>
  <si>
    <t>PG10.6.2.1.5.1.A</t>
  </si>
  <si>
    <t>LR-X250C</t>
  </si>
  <si>
    <t>OP-88501</t>
  </si>
  <si>
    <t>OP-88503</t>
  </si>
  <si>
    <t>PG10.6.2.2.1.A</t>
  </si>
  <si>
    <t>PG10.6.2.2.2.A</t>
  </si>
  <si>
    <t>PG10.6.2.2.3.A</t>
  </si>
  <si>
    <t>PG10.6.2.2.4.A</t>
  </si>
  <si>
    <t>PG10.6.2.2.5.A</t>
  </si>
  <si>
    <t>BJ6-010</t>
  </si>
  <si>
    <t>MSQA20H3</t>
  </si>
  <si>
    <t>CDJ2B10-75AZ-B</t>
  </si>
  <si>
    <t>6389K746</t>
  </si>
  <si>
    <t>PG10.6.2.3.1.0.A</t>
  </si>
  <si>
    <t>PG10.6.2.3.2.0.A</t>
  </si>
  <si>
    <t>PG10.6.2.3.3.0.A</t>
  </si>
  <si>
    <t>PG10.6.2.3.1.A</t>
  </si>
  <si>
    <t>PG10.6.2.3.2.B</t>
  </si>
  <si>
    <t>PG10.6.2.3.3.B</t>
  </si>
  <si>
    <t>PG10.6.2.3.4.A</t>
  </si>
  <si>
    <t>PG10.6.2.3.5.A</t>
  </si>
  <si>
    <t>PG10.6.2.3.6.A</t>
  </si>
  <si>
    <t>PG10.6.2.3.7.A</t>
  </si>
  <si>
    <t>PG10.6.2.3.8.A</t>
  </si>
  <si>
    <t>PG10.6.2.3.9.A</t>
  </si>
  <si>
    <t>PG10.6.2.3.10.A</t>
  </si>
  <si>
    <t>PG10.6.2.3.11.A</t>
  </si>
  <si>
    <t>PG10.6.2.3.12.A</t>
  </si>
  <si>
    <t>KQ2H06-M5A</t>
  </si>
  <si>
    <t>MY3B16-200L</t>
  </si>
  <si>
    <t>93715A345</t>
  </si>
  <si>
    <t>M3 X 0.5 X 50 HEX SHCS,</t>
  </si>
  <si>
    <t>PG10.6.2.3.1.1.A</t>
  </si>
  <si>
    <t>PG10.6.2.3.2.1.A</t>
  </si>
  <si>
    <t>GN.15241</t>
  </si>
  <si>
    <t>PG10.6.2.3.3.1.A</t>
  </si>
  <si>
    <t>PG10.6.3.1.0.A</t>
  </si>
  <si>
    <t>PG10.6.3.2.0.A</t>
  </si>
  <si>
    <t>PG10.6.3.3.0.A</t>
  </si>
  <si>
    <t>PG10.6.3.1.1.0.A</t>
  </si>
  <si>
    <t>PG10.6.3.1.2.0.A</t>
  </si>
  <si>
    <t>PG10.6.3.1.3.0.A</t>
  </si>
  <si>
    <t>PG10.6.3.1.4.0.A</t>
  </si>
  <si>
    <t>PG10.6.3.1.3.1.A</t>
  </si>
  <si>
    <t>PG10.6.3.3.10.A</t>
  </si>
  <si>
    <t>PG10.6.4.1.A</t>
  </si>
  <si>
    <t>PG10.6.4.2.A</t>
  </si>
  <si>
    <t>CDQMB32-50</t>
  </si>
  <si>
    <t>91292A320</t>
  </si>
  <si>
    <t>50785K824</t>
  </si>
  <si>
    <t>PG10.6.6.1.0.A</t>
  </si>
  <si>
    <t>PG10.6.6.2.0.A</t>
  </si>
  <si>
    <t>PG10.6.6.1.A</t>
  </si>
  <si>
    <t>32PMM12-054411SB0101G-010</t>
  </si>
  <si>
    <t>MV0000211858</t>
  </si>
  <si>
    <t>MV0000011960</t>
  </si>
  <si>
    <t>MV0000011962</t>
  </si>
  <si>
    <t>32MSHRB</t>
  </si>
  <si>
    <t>PG10.6.6.1.1.A</t>
  </si>
  <si>
    <t>PG10.6.6.2.1.A</t>
  </si>
  <si>
    <t>LV-NH37</t>
  </si>
  <si>
    <t>LV-N11CP</t>
  </si>
  <si>
    <t>OP-73880</t>
  </si>
  <si>
    <t>94669A205</t>
  </si>
  <si>
    <t>300150M</t>
  </si>
  <si>
    <t>32PMM12-054411SC0101G-010</t>
  </si>
  <si>
    <t>MV0000211859</t>
  </si>
  <si>
    <t>PG10.6.8.1.A</t>
  </si>
  <si>
    <t>R160520431 L1500 T30</t>
  </si>
  <si>
    <t>90X90, -|-, 1500MM</t>
  </si>
  <si>
    <t>90X90, M12|D17, 188.6MM</t>
  </si>
  <si>
    <t>90X90, D17|D17, 887MM</t>
  </si>
  <si>
    <t>90X90, D17|D17, 380MM</t>
  </si>
  <si>
    <t>90X90, D17|-, 340MM</t>
  </si>
  <si>
    <t>PG10.6.9.1.A</t>
  </si>
  <si>
    <t>PG10.6.9.2.A</t>
  </si>
  <si>
    <t>PG10.6.9.3.B</t>
  </si>
  <si>
    <t>2402-215</t>
  </si>
  <si>
    <t>R164510341 L-450MM T-15MM</t>
  </si>
  <si>
    <t>90X90, M12|-, 1500MM</t>
  </si>
  <si>
    <t>90X90, M12|D17, 365MM</t>
  </si>
  <si>
    <t>90X90, D17|D17, 325MM</t>
  </si>
  <si>
    <t>90X90, D17|-, 107MM</t>
  </si>
  <si>
    <t>45X90 D17|-, 490MM</t>
  </si>
  <si>
    <t>PG10.6.10.1.0.A</t>
  </si>
  <si>
    <t>PG10.6.10.2.0.A</t>
  </si>
  <si>
    <t>PG10.6.10.1.B</t>
  </si>
  <si>
    <t>PG10.6.10.2.B</t>
  </si>
  <si>
    <t>PG10.6.10.3.A</t>
  </si>
  <si>
    <t>PG10.6.10.4.A</t>
  </si>
  <si>
    <t>PG10.6.10.5.A</t>
  </si>
  <si>
    <t>PG10.6.10.6.A</t>
  </si>
  <si>
    <t>PG10.6.10.7.A</t>
  </si>
  <si>
    <t>PG10.6.10.8.A</t>
  </si>
  <si>
    <t>PG10.6.10.9.A</t>
  </si>
  <si>
    <t>PG10.6.10.10.A</t>
  </si>
  <si>
    <t>PG10.6.10.11.A</t>
  </si>
  <si>
    <t>PG10.6.10.12.A</t>
  </si>
  <si>
    <t>PG10.6.10.13.A</t>
  </si>
  <si>
    <t>GN.15361</t>
  </si>
  <si>
    <t>92905A056</t>
  </si>
  <si>
    <t>91595A455</t>
  </si>
  <si>
    <t>SPUS8-25</t>
  </si>
  <si>
    <t>KQ2T04-06A</t>
  </si>
  <si>
    <t>CDQ2WB16-20DZ</t>
  </si>
  <si>
    <t>M3 X 0.5 X 60 HEX SHCS,</t>
  </si>
  <si>
    <t>M5 X 0.8 X 8 HEX SHCS,</t>
  </si>
  <si>
    <t>HEX NUT, FLANGE NUT, M6 X 1.0</t>
  </si>
  <si>
    <t>45X90, M12|D17, 129MM</t>
  </si>
  <si>
    <t>PG10.6.10.1.1.A</t>
  </si>
  <si>
    <t>PG10.6.10.1.2.A</t>
  </si>
  <si>
    <t>PG10.6.10.2.1.A</t>
  </si>
  <si>
    <t>PG10.7.1.0.A</t>
  </si>
  <si>
    <t>PG10.7.2.0.A</t>
  </si>
  <si>
    <t>PG10.7.3.0.A</t>
  </si>
  <si>
    <t>PG10.7.4.0.A</t>
  </si>
  <si>
    <t>PG10.7.5.0.A</t>
  </si>
  <si>
    <t>PG10.7.6.0.A</t>
  </si>
  <si>
    <t>PG10.7.7.0.A</t>
  </si>
  <si>
    <t>PG10.0.9.0.A</t>
  </si>
  <si>
    <t>PG10.7.1.1.0.A</t>
  </si>
  <si>
    <t>PG10.7.1.2.0.A</t>
  </si>
  <si>
    <t>PG10.7.1.3.0.A</t>
  </si>
  <si>
    <t>PG10.7.1.4.0.A</t>
  </si>
  <si>
    <t>PG10.7.1.5.0.A</t>
  </si>
  <si>
    <t>PG10.7.1.1.A</t>
  </si>
  <si>
    <t>PG10.7.1.2.A</t>
  </si>
  <si>
    <t>PG10.7.1.3.A</t>
  </si>
  <si>
    <t>PTGSG-16X4-01-R-ES (DSK-00061748)</t>
  </si>
  <si>
    <t>3388N21</t>
  </si>
  <si>
    <t>6484K446</t>
  </si>
  <si>
    <t>6484K241</t>
  </si>
  <si>
    <t>6484K242</t>
  </si>
  <si>
    <t>90214A428</t>
  </si>
  <si>
    <t>57445K26</t>
  </si>
  <si>
    <t>5972K323</t>
  </si>
  <si>
    <t>TWSSM20-12-10</t>
  </si>
  <si>
    <t>TWSSM20-12-7.5</t>
  </si>
  <si>
    <t>KQ2T06-04A</t>
  </si>
  <si>
    <t>KQ2H04-06A</t>
  </si>
  <si>
    <t>90X90, -|-, 1679MM</t>
  </si>
  <si>
    <t>45X90, D17|D17, 139MM</t>
  </si>
  <si>
    <t>90X90, D17|D17, 432.7MM</t>
  </si>
  <si>
    <t>90X90, D17|D17, 505MM</t>
  </si>
  <si>
    <t>90X90, D17|D17, 800.86MM</t>
  </si>
  <si>
    <t>90X90, D17|D17, 1499MM</t>
  </si>
  <si>
    <t>45X90 D17|-, 86MM</t>
  </si>
  <si>
    <t>90X90, -|-, 1590MM</t>
  </si>
  <si>
    <t>PG10.7.1.1.1.B</t>
  </si>
  <si>
    <t>PG10.7.1.1.2.A</t>
  </si>
  <si>
    <t>5972K165</t>
  </si>
  <si>
    <t>PG10.7.1.2.1.A</t>
  </si>
  <si>
    <t>R164510341 L400 T20</t>
  </si>
  <si>
    <t>PG10.7.1.3.1.A</t>
  </si>
  <si>
    <t>SKP-J-WAT</t>
  </si>
  <si>
    <t>7162K64</t>
  </si>
  <si>
    <t>7162K62</t>
  </si>
  <si>
    <t>0.25-20x0.375 IN SBHCS</t>
  </si>
  <si>
    <t xml:space="preserve">PLAIN WASHER, 0.375, NARROW, </t>
  </si>
  <si>
    <t>PG10.7.1.4.1.A</t>
  </si>
  <si>
    <t>TWSSM20-10-7.5</t>
  </si>
  <si>
    <t>PG10.7.2.1.0.A</t>
  </si>
  <si>
    <t>PG10.7.2.2.0.A</t>
  </si>
  <si>
    <t>PG10.7.2.3.0.A</t>
  </si>
  <si>
    <t>PG10.7.2.4.0.A</t>
  </si>
  <si>
    <t>PG10.7.2.5.0.A</t>
  </si>
  <si>
    <t>PG10.7.2.6.0.A</t>
  </si>
  <si>
    <t>PG10.7.2.7.0.A</t>
  </si>
  <si>
    <t>PG10.7.2.8.0.A</t>
  </si>
  <si>
    <t>PG10.7.2.9.0.A</t>
  </si>
  <si>
    <t>PG10.7.2.10.0.A</t>
  </si>
  <si>
    <t>PG10.7.2.1.1.A</t>
  </si>
  <si>
    <t>PG10.7.2.1.2.A</t>
  </si>
  <si>
    <t>PG10.7.2.1.3.A</t>
  </si>
  <si>
    <t>PG10.7.2.1.4.A</t>
  </si>
  <si>
    <t>61205K83</t>
  </si>
  <si>
    <t>9968K36</t>
  </si>
  <si>
    <t xml:space="preserve">M10 X 1.5 X 20 HEX SHCS, </t>
  </si>
  <si>
    <t>90X90, M12 | M12, 689.0MM</t>
  </si>
  <si>
    <t>PG10.7.2.2.1.A</t>
  </si>
  <si>
    <t>PG10.7.2.2.2.A</t>
  </si>
  <si>
    <t>PG10.7.2.2.3.A</t>
  </si>
  <si>
    <t>PG10.7.2.2.4.A</t>
  </si>
  <si>
    <t>PG10.7.2.2.5.A</t>
  </si>
  <si>
    <t>7835T54</t>
  </si>
  <si>
    <t>2977N119</t>
  </si>
  <si>
    <t>MV0000211844</t>
  </si>
  <si>
    <t xml:space="preserve">M8 X 1.25 X 80 HEX SHCS, </t>
  </si>
  <si>
    <t xml:space="preserve">M10 X 1.5 X 25 HEX SHCS, </t>
  </si>
  <si>
    <t>PLAIN WASHER, 12mm, NARROW,</t>
  </si>
  <si>
    <t>PG10.7.3.2.1.A</t>
  </si>
  <si>
    <t>PG10.7.2.3.2.A</t>
  </si>
  <si>
    <t>PG10.7.2.3.3.A</t>
  </si>
  <si>
    <t>PG10.7.2.3.4.A</t>
  </si>
  <si>
    <t>PG10.7.2.3.6.A</t>
  </si>
  <si>
    <t>91390A552</t>
  </si>
  <si>
    <t>SPTC-A100J-3-60-1-AA-O11203</t>
  </si>
  <si>
    <t>ISO-1/2X26</t>
  </si>
  <si>
    <t>HCA-0.5X26-277-2000-O11203</t>
  </si>
  <si>
    <t>1-8 NPT BAYONET-A01</t>
  </si>
  <si>
    <t xml:space="preserve">M4 X 0.7 X 6 HEX SBHCS, </t>
  </si>
  <si>
    <t>M5 X 0.8 X 8 SOCKET SET SCREW,</t>
  </si>
  <si>
    <t>HEX NUT, JAM NUT, M6 X 1.0</t>
  </si>
  <si>
    <t>PG10.7.2.4.1.A</t>
  </si>
  <si>
    <t>PG10.7.2.5.1.A</t>
  </si>
  <si>
    <t>PG10.7.2.5.2.A</t>
  </si>
  <si>
    <t>PG10.7.2.5.3.A</t>
  </si>
  <si>
    <t>PG10.7.2.5.4.A</t>
  </si>
  <si>
    <t xml:space="preserve">91611A410 </t>
  </si>
  <si>
    <t>90373A136</t>
  </si>
  <si>
    <t>TWSSM25-20-6</t>
  </si>
  <si>
    <t>TWSSM25-20-8</t>
  </si>
  <si>
    <t>PSFJ30-533</t>
  </si>
  <si>
    <t>M12 X 1.75 X 60 HEX SHCS</t>
  </si>
  <si>
    <t>PG10.7.2.6.1.A</t>
  </si>
  <si>
    <t>PG10.7.2.6.2.A</t>
  </si>
  <si>
    <t>PG10.7.2.6.3.A</t>
  </si>
  <si>
    <t>PG10.7.2.6.4.A</t>
  </si>
  <si>
    <t>6436K16</t>
  </si>
  <si>
    <t>JFRM-2020TR8X1.5</t>
  </si>
  <si>
    <t>PG10.7.2.8.1.A</t>
  </si>
  <si>
    <t>PG10.7.2.9.1.A</t>
  </si>
  <si>
    <t>PG10.7.2.10.1.A</t>
  </si>
  <si>
    <t>PG10.7.2.10.2.A</t>
  </si>
  <si>
    <t>91100A160</t>
  </si>
  <si>
    <t>PG10.7.3.1.0.A</t>
  </si>
  <si>
    <t>PG10.7.3.2.0.A</t>
  </si>
  <si>
    <t>MV0000211843</t>
  </si>
  <si>
    <t>PG10.7.6.1.0.A</t>
  </si>
  <si>
    <t>PG10.7.6.2.0.A</t>
  </si>
  <si>
    <t>PG10.7.2.3.1.A</t>
  </si>
  <si>
    <t>PG10.7.2.3.5.A</t>
  </si>
  <si>
    <t>PG10.7.7.1.0.A</t>
  </si>
  <si>
    <t>PG10.7.7.1.A</t>
  </si>
  <si>
    <t>PG10.7.7.1.1.A</t>
  </si>
  <si>
    <t>PG10.8.1.0.A</t>
  </si>
  <si>
    <t>PG10.8.2.0.A</t>
  </si>
  <si>
    <t>PG10.8.3.0.A</t>
  </si>
  <si>
    <t>PG10.0.10.0.A</t>
  </si>
  <si>
    <t>PG10.8.1.1.0.A</t>
  </si>
  <si>
    <t>PG10.8.1.2.0.A</t>
  </si>
  <si>
    <t>PG10.8.1.3.0.A</t>
  </si>
  <si>
    <t>PG10.8.1.4.0.A</t>
  </si>
  <si>
    <t>PG10.8.1.5.0.A</t>
  </si>
  <si>
    <t>M12 X 1.75 X 55 HEX SHCS,</t>
  </si>
  <si>
    <t>PG10.8.1.1.1.A</t>
  </si>
  <si>
    <t>PG10.8.1.1.2.A</t>
  </si>
  <si>
    <t>PG10.8.1.1.3.A</t>
  </si>
  <si>
    <t xml:space="preserve">M12 X 1.75 X 40 HEX SHCS, </t>
  </si>
  <si>
    <t>90X90, M12|M12, 321MM</t>
  </si>
  <si>
    <t>90X90, M12|M12, 842MM</t>
  </si>
  <si>
    <t>PG10.8.1.2.1.A</t>
  </si>
  <si>
    <t>MV0000211841</t>
  </si>
  <si>
    <t>PG10.8.1.3.1.A</t>
  </si>
  <si>
    <t>PG10.8.1.3.2.A</t>
  </si>
  <si>
    <t>PG10.8.1.3.3.A</t>
  </si>
  <si>
    <t>PG10.8.1.3.4.A</t>
  </si>
  <si>
    <t>PG10.8.1.3.5.A</t>
  </si>
  <si>
    <t>HCA-0.5X24.5-277-1850W-O11203</t>
  </si>
  <si>
    <t>SPTC-A100J-3-24-1-AA-O11203</t>
  </si>
  <si>
    <t>ISO-0.5X49</t>
  </si>
  <si>
    <t>PG10.8.1.4.1.A</t>
  </si>
  <si>
    <t xml:space="preserve">M6 X 1.0 X 16 SBHCS, </t>
  </si>
  <si>
    <t xml:space="preserve">PLAIN WASHER, 0.164, NARROW, </t>
  </si>
  <si>
    <t>PG10.8.1.5.1.A</t>
  </si>
  <si>
    <t>PG10.8.2.1.0.A</t>
  </si>
  <si>
    <t>PG10.8.2.2.0.A</t>
  </si>
  <si>
    <t>MV0000211842</t>
  </si>
  <si>
    <t>PG10.8.2.2.1.A</t>
  </si>
  <si>
    <t>PG10.8.3.1.C</t>
  </si>
  <si>
    <t>PG10.8.3.2.B</t>
  </si>
  <si>
    <t>PG10.8.3.3.A</t>
  </si>
  <si>
    <t>10</t>
  </si>
  <si>
    <t>PG10.8.3.4.A</t>
  </si>
  <si>
    <t>11</t>
  </si>
  <si>
    <t>PG10.8.3.5.A</t>
  </si>
  <si>
    <t>2469K8</t>
  </si>
  <si>
    <t>CLBPM6-9-25.2</t>
  </si>
  <si>
    <t>45X45 M12|M12, 1510MM</t>
  </si>
  <si>
    <t>45X90 M12|M12, 1510MM</t>
  </si>
  <si>
    <t>PG10.8.4.1.A</t>
  </si>
  <si>
    <t>PG10.8.4.2.A</t>
  </si>
  <si>
    <t>PG10.8.4.3.A</t>
  </si>
  <si>
    <t>PG10.8.4.4.A</t>
  </si>
  <si>
    <t>PG10.8.4.5.A</t>
  </si>
  <si>
    <t>PG10.8.4.6.A</t>
  </si>
  <si>
    <t>90833A124</t>
  </si>
  <si>
    <t>90214A527</t>
  </si>
  <si>
    <t xml:space="preserve">90265A363 </t>
  </si>
  <si>
    <t>90154A273</t>
  </si>
  <si>
    <t>ROCRHS50A-25</t>
  </si>
  <si>
    <t>M4 x 0.7 x 12 SOCKET SET SCREW</t>
  </si>
  <si>
    <t>PG10.9.1.0.A</t>
  </si>
  <si>
    <t>PG10.9.2.0.A</t>
  </si>
  <si>
    <t>PG10.9.3.0.A</t>
  </si>
  <si>
    <t>PG10.9.4.0.A</t>
  </si>
  <si>
    <t>PG10.9.5.0.A</t>
  </si>
  <si>
    <t>PG10.9.1.1.A</t>
  </si>
  <si>
    <t>PG10.9.1.2.A</t>
  </si>
  <si>
    <t>PG10.9.1.3.A</t>
  </si>
  <si>
    <t>PG10.9.1.4.A</t>
  </si>
  <si>
    <t>PG10.9.1.5.A</t>
  </si>
  <si>
    <t>PG10.9.1.6.A</t>
  </si>
  <si>
    <t>6526N11</t>
  </si>
  <si>
    <t>06-16-038-0 (4.72') + 060-16-12-A2</t>
  </si>
  <si>
    <t>KQ2L06-U02A</t>
  </si>
  <si>
    <t>KQ2H04-U01A</t>
  </si>
  <si>
    <t xml:space="preserve">M6 X 1.0 X 25 SBHCS, </t>
  </si>
  <si>
    <t xml:space="preserve">M3 X 0.5 X 8 SOCKET FCHS, </t>
  </si>
  <si>
    <t>45X90 M12|M12, 1654MM</t>
  </si>
  <si>
    <t>PG10.9.2.1.A</t>
  </si>
  <si>
    <t>R037551023</t>
  </si>
  <si>
    <t>MV0000173947</t>
  </si>
  <si>
    <t>CHA2/CHM55P50/CKR-90</t>
  </si>
  <si>
    <t>CKR-090-NN-1-1496-PG10</t>
  </si>
  <si>
    <t xml:space="preserve">M6 X 1.0 X 30 SOCKET FCHS, </t>
  </si>
  <si>
    <t>PG10.9.3.1.A</t>
  </si>
  <si>
    <t>PG10.9.3.2.A</t>
  </si>
  <si>
    <t>PG10.9.3.3.A</t>
  </si>
  <si>
    <t>02023-01</t>
  </si>
  <si>
    <t>PG10.9.4.1.A</t>
  </si>
  <si>
    <t>PG10.9.4.2.A</t>
  </si>
  <si>
    <t>PG10.9.4.3.A</t>
  </si>
  <si>
    <t>91595A636</t>
  </si>
  <si>
    <t>CDQ2A25-20DZ</t>
  </si>
  <si>
    <t>TCU0425B-2</t>
  </si>
  <si>
    <t>PG10.9.5.1.A</t>
  </si>
  <si>
    <t>PG10.9.5.2.A</t>
  </si>
  <si>
    <t>90265A296</t>
  </si>
  <si>
    <t>90265A349</t>
  </si>
  <si>
    <t>90214A119</t>
  </si>
  <si>
    <t>6679K15</t>
  </si>
  <si>
    <t>RNTB100</t>
  </si>
  <si>
    <t>PG10.10.1.0.A</t>
  </si>
  <si>
    <t>PG10.10.2.0.A</t>
  </si>
  <si>
    <t>PG10.10.3.0.A</t>
  </si>
  <si>
    <t>PG10.10.1.1.0.A</t>
  </si>
  <si>
    <t>PG10.10.1.2.0.A</t>
  </si>
  <si>
    <t>PG10.10.1.3.0.A</t>
  </si>
  <si>
    <t>PG10.10.1.4.0.A</t>
  </si>
  <si>
    <t>PG10.10.1.5.0.A</t>
  </si>
  <si>
    <t>PG10.10.1.6.0.A</t>
  </si>
  <si>
    <t>PG10.10.1.7.0.A</t>
  </si>
  <si>
    <t>PG10.10.1.8.0.A</t>
  </si>
  <si>
    <t>PG10.10.1.9.0.A</t>
  </si>
  <si>
    <t>PG10.10.1.10.0.A</t>
  </si>
  <si>
    <t>PG10.10.1.11.0.A</t>
  </si>
  <si>
    <t>PG10.10.1.12.0.A</t>
  </si>
  <si>
    <t>PG10.10.1.13.0.A</t>
  </si>
  <si>
    <t>45x45 D17|- 400MM</t>
  </si>
  <si>
    <t>45X90 D17|D17, 247MM</t>
  </si>
  <si>
    <t>45X90 D17|D17, 1428MM</t>
  </si>
  <si>
    <t>90X90, D17|-, 1050MM</t>
  </si>
  <si>
    <t>90X90, -|-, 2110MM</t>
  </si>
  <si>
    <t>90X90, D17|D17, 247MM</t>
  </si>
  <si>
    <t>90X90, D17|D17, 522MM</t>
  </si>
  <si>
    <t>90X90, D17|D17, 685MM</t>
  </si>
  <si>
    <t>90X90, D17|D17, 980MM</t>
  </si>
  <si>
    <t>90X90, D17|D17, 1428MM</t>
  </si>
  <si>
    <t>90X90, D17|D17, 1930MM</t>
  </si>
  <si>
    <t>90X90, M12|D17, 775MM</t>
  </si>
  <si>
    <t>90X90, M12|D17, 337MM</t>
  </si>
  <si>
    <t>90X90, -|-, 1517MM</t>
  </si>
  <si>
    <t>90X90, D17|D17, 1068MM</t>
  </si>
  <si>
    <t>45x45 D17|- 200MM</t>
  </si>
  <si>
    <t>45x45 D17 I D17,1428MM</t>
  </si>
  <si>
    <t>PG10.10.1.1.1.A</t>
  </si>
  <si>
    <t>PG10.10.1.1.2.A</t>
  </si>
  <si>
    <t>45X45 D17|D17, 880MM</t>
  </si>
  <si>
    <t>PG10.10.1.2.1.B</t>
  </si>
  <si>
    <t>PG10.10.1.3.1.B</t>
  </si>
  <si>
    <t>PG10.10.1.4.1.A</t>
  </si>
  <si>
    <t>PG10.10.1.5.1.A</t>
  </si>
  <si>
    <t>PG10.10.1.6.1.A</t>
  </si>
  <si>
    <t>PG10.10.1.7.1.A</t>
  </si>
  <si>
    <t>PG10.10.1.8.1.B</t>
  </si>
  <si>
    <t>PG10.10.1.9.1.A</t>
  </si>
  <si>
    <t>FU-40S</t>
  </si>
  <si>
    <t>FS-N41C</t>
  </si>
  <si>
    <t>DIN RAIL</t>
  </si>
  <si>
    <t xml:space="preserve">M3 X 0.5 X 12 SOCKET FCHS, </t>
  </si>
  <si>
    <t>M3 X 0.5 X 20 HEX SHCS,</t>
  </si>
  <si>
    <t>HEX NUT, FLANGE NUT, M3 X 0.5</t>
  </si>
  <si>
    <t>A960IPS-1000</t>
  </si>
  <si>
    <t>7000-08061-2111000</t>
  </si>
  <si>
    <t>PG10.10.1.11.1.A</t>
  </si>
  <si>
    <t>PG10.10.1.13.1.A</t>
  </si>
  <si>
    <t>PG10.10.2.1.0.A</t>
  </si>
  <si>
    <t>PG10.10.2.2.0.A</t>
  </si>
  <si>
    <t>PG10.10.2.3.0.A</t>
  </si>
  <si>
    <t>PG10.10.2.4.0.A</t>
  </si>
  <si>
    <t>PG10.10.2.5.0.A</t>
  </si>
  <si>
    <t>PG10.10.2.6.0.A</t>
  </si>
  <si>
    <t>PG10.10.2.7.0.A</t>
  </si>
  <si>
    <t>PG10.10.2.8.0.A</t>
  </si>
  <si>
    <t>PG10.10.2.1.A</t>
  </si>
  <si>
    <t>PG10.10.2.2.A</t>
  </si>
  <si>
    <t>PG10.10.2.3.A</t>
  </si>
  <si>
    <t>PG10.10.2.4.A</t>
  </si>
  <si>
    <t>PG10.10.2.5.A</t>
  </si>
  <si>
    <t>PG10.10.2.6.A</t>
  </si>
  <si>
    <t>PG10.10.2.7.A</t>
  </si>
  <si>
    <t>PG10.10.2.8.A</t>
  </si>
  <si>
    <t>9</t>
  </si>
  <si>
    <t>PG10.10.2.9.A</t>
  </si>
  <si>
    <t>PG10.10.2.10.A</t>
  </si>
  <si>
    <t>R160520431 L=1524 T=34</t>
  </si>
  <si>
    <t>30V-481524/03V</t>
  </si>
  <si>
    <t>PR-G41CP</t>
  </si>
  <si>
    <t>M12 X 1.75 X 55 HEX CAP SCREW</t>
  </si>
  <si>
    <t>M12 X 1.75 X 70 HEX CAP SCREW</t>
  </si>
  <si>
    <t>HEX NUT, JAM NUT, M12 X 1.75</t>
  </si>
  <si>
    <t>PG10.10.2.1.1.A</t>
  </si>
  <si>
    <t>PG10.10.2.1.2.A</t>
  </si>
  <si>
    <t>PG10.10.2.1.3.A</t>
  </si>
  <si>
    <t>90510A245</t>
  </si>
  <si>
    <t>57095K163</t>
  </si>
  <si>
    <t>6494K33</t>
  </si>
  <si>
    <t>M10 X 1.5 X 30 HEX CAP SCREW</t>
  </si>
  <si>
    <t>PG10.10.2.2.1.A</t>
  </si>
  <si>
    <t>PG10.10.2.2.2.A</t>
  </si>
  <si>
    <t>MV0000211855</t>
  </si>
  <si>
    <t>57095K495</t>
  </si>
  <si>
    <t>PG10.10.2.3.1.A</t>
  </si>
  <si>
    <t>44605K232</t>
  </si>
  <si>
    <t>6953N25</t>
  </si>
  <si>
    <t>3507N45</t>
  </si>
  <si>
    <t>MV0000211856</t>
  </si>
  <si>
    <t xml:space="preserve">M8 X 1.25 X 100 HEX SHCS, </t>
  </si>
  <si>
    <t>PG10.10.2.5.1.A</t>
  </si>
  <si>
    <t>PG10.10.2.7.1.A</t>
  </si>
  <si>
    <t>4768K7</t>
  </si>
  <si>
    <t>PG10.10.2.6.1.A</t>
  </si>
  <si>
    <t>PG10.10.2.6.2.A</t>
  </si>
  <si>
    <t>2200-8MGT-30</t>
  </si>
  <si>
    <t>96717A200</t>
  </si>
  <si>
    <t>PG10.10.3.1.0.A</t>
  </si>
  <si>
    <t>PG10.10.3.1.A</t>
  </si>
  <si>
    <t>PG10.10.3.2.A</t>
  </si>
  <si>
    <t>32CTM48-0569600AC02797</t>
  </si>
  <si>
    <t>32MBEKAC1816</t>
  </si>
  <si>
    <t>MV0000211850</t>
  </si>
  <si>
    <t>57095K448</t>
  </si>
  <si>
    <t>8507K15</t>
  </si>
  <si>
    <t>PLAIN WASHER, 5mm, REGULAR</t>
  </si>
  <si>
    <t>PG10.10.3.1.1.A</t>
  </si>
  <si>
    <t>PG10.11.1.0.A</t>
  </si>
  <si>
    <t>PG10.11.2.0.A</t>
  </si>
  <si>
    <t>PG10.11.3.0.A</t>
  </si>
  <si>
    <t>PPS1 MF63208</t>
  </si>
  <si>
    <t>PPS1 TE63</t>
  </si>
  <si>
    <t>PPS1 BO63</t>
  </si>
  <si>
    <t>PPS BTU6318</t>
  </si>
  <si>
    <t>PPS1 9C63</t>
  </si>
  <si>
    <t>PPS1 CI63</t>
  </si>
  <si>
    <t>AN40-N04</t>
  </si>
  <si>
    <t>Y600T-D</t>
  </si>
  <si>
    <t>Y600-D</t>
  </si>
  <si>
    <t>VHS50-N10-Z-D</t>
  </si>
  <si>
    <t>IS10E-60-N10-6LP-D</t>
  </si>
  <si>
    <t>AVL5000-N10-5DZ</t>
  </si>
  <si>
    <t>AW60-N10-8Z-D</t>
  </si>
  <si>
    <t>K50-MP1.0-N01MS</t>
  </si>
  <si>
    <t>AN500-N06</t>
  </si>
  <si>
    <t>4464K892</t>
  </si>
  <si>
    <t>4464K44</t>
  </si>
  <si>
    <t>FWSSM-D20-V10.5-T8</t>
  </si>
  <si>
    <t>PPS1 BT63203</t>
  </si>
  <si>
    <t>KQ2H10-U04A</t>
  </si>
  <si>
    <t>PG10.12.1.A</t>
  </si>
  <si>
    <t>PG10.12.2.A</t>
  </si>
  <si>
    <t>PG10.12.3.A</t>
  </si>
  <si>
    <t>PG10.12.4.A</t>
  </si>
  <si>
    <t>PG10.12.5.A</t>
  </si>
  <si>
    <t>PG10.12.6.A</t>
  </si>
  <si>
    <t>F66G36</t>
  </si>
  <si>
    <t>F66G72</t>
  </si>
  <si>
    <t>F66BK60</t>
  </si>
  <si>
    <t>F66GUC</t>
  </si>
  <si>
    <t>F66GCP</t>
  </si>
  <si>
    <t>1575A42</t>
  </si>
  <si>
    <t>M5 X 0.8 X 12 SOCKET FCHS,</t>
  </si>
  <si>
    <t>M8 X 1.25 X 12 SBHCS,</t>
  </si>
  <si>
    <t xml:space="preserve">M8 X 1.25 X 20 SBHCS, </t>
  </si>
  <si>
    <t>45x45 D17|- 936MM</t>
  </si>
  <si>
    <t>45X45 D17|D17, 513.25MM</t>
  </si>
  <si>
    <t>45X45 D17|D17, 1882MM</t>
  </si>
  <si>
    <t>45X45 D17|D17, 120MM</t>
  </si>
  <si>
    <t>45X45 M12|-, 290MM</t>
  </si>
  <si>
    <t>Job #</t>
  </si>
  <si>
    <t>Assy</t>
  </si>
  <si>
    <t>Item #</t>
  </si>
  <si>
    <t>Rev</t>
  </si>
  <si>
    <t>Locations</t>
  </si>
  <si>
    <t>Drawing</t>
  </si>
  <si>
    <t>Sorting DO NOT TOUCH!</t>
  </si>
  <si>
    <t>0</t>
  </si>
  <si>
    <t>Main Enclosure</t>
  </si>
  <si>
    <t>Unwind HMI Enclosure</t>
  </si>
  <si>
    <t>X</t>
  </si>
  <si>
    <t>Unwind IO Enclosure</t>
  </si>
  <si>
    <t>PG10</t>
  </si>
  <si>
    <t>0.3.1</t>
  </si>
  <si>
    <t>Manifold 1 Unwind Nips</t>
  </si>
  <si>
    <t>0.4</t>
  </si>
  <si>
    <t>Cuff IO Enclosure</t>
  </si>
  <si>
    <t>0.4.1</t>
  </si>
  <si>
    <t>Manifold 6,7 Cuff</t>
  </si>
  <si>
    <t>0.5</t>
  </si>
  <si>
    <t>Cuff Drive Enclosure</t>
  </si>
  <si>
    <t>0.6</t>
  </si>
  <si>
    <t>Tube IO Enclosure</t>
  </si>
  <si>
    <t>0.6.1</t>
  </si>
  <si>
    <t xml:space="preserve">Manifold 8,9 Tube </t>
  </si>
  <si>
    <t>0.7</t>
  </si>
  <si>
    <t>Tube Hopper Enclosure A Side</t>
  </si>
  <si>
    <t>0.8</t>
  </si>
  <si>
    <t>Tube Hopper Enclosure B Side</t>
  </si>
  <si>
    <t>0.9</t>
  </si>
  <si>
    <t>ZIPPER SEAL IO ENCLOSURE</t>
  </si>
  <si>
    <t>0.10</t>
  </si>
  <si>
    <t>CROSS SEAL IO ENCLOSURE</t>
  </si>
  <si>
    <t>0.11</t>
  </si>
  <si>
    <t>Main HMI Enclosure</t>
  </si>
  <si>
    <t>0.12</t>
  </si>
  <si>
    <t>Cuff IO Secondary Enclosure</t>
  </si>
  <si>
    <t>1</t>
  </si>
  <si>
    <t>Unwind Assy</t>
  </si>
  <si>
    <t>1.1</t>
  </si>
  <si>
    <t>Unwind Frame</t>
  </si>
  <si>
    <t>1.1.1</t>
  </si>
  <si>
    <t>1.1.10</t>
  </si>
  <si>
    <t>Dancer Fittings Assy</t>
  </si>
  <si>
    <t>1.1.11</t>
  </si>
  <si>
    <t>Thin Wall Top Guard 1</t>
  </si>
  <si>
    <t>1.1.11.1</t>
  </si>
  <si>
    <t>M5 Hardware for Poly</t>
  </si>
  <si>
    <t>1.1.13</t>
  </si>
  <si>
    <t>Upper Dancer Guard</t>
  </si>
  <si>
    <t>1.1.14</t>
  </si>
  <si>
    <t>Center Dancer Guard</t>
  </si>
  <si>
    <t>1.1.15</t>
  </si>
  <si>
    <t>Lower Dancer Guard</t>
  </si>
  <si>
    <t>1.1.16</t>
  </si>
  <si>
    <t>Key Station No Reset</t>
  </si>
  <si>
    <t>1.1.17</t>
  </si>
  <si>
    <t>UW Static Mitigation Assy</t>
  </si>
  <si>
    <t>1.1.2</t>
  </si>
  <si>
    <t>Single Web Roller Assy</t>
  </si>
  <si>
    <t>1.1.3</t>
  </si>
  <si>
    <t>Frame Gusset</t>
  </si>
  <si>
    <t>1.1.4</t>
  </si>
  <si>
    <t>Unwind Rail Assy</t>
  </si>
  <si>
    <t>1.1.5</t>
  </si>
  <si>
    <t>Edge Guide Actuator Assy</t>
  </si>
  <si>
    <t>1.1.6</t>
  </si>
  <si>
    <t>Edge Guide Eye Assy</t>
  </si>
  <si>
    <t>1.1.7</t>
  </si>
  <si>
    <t>Static Dancer Roller Assy</t>
  </si>
  <si>
    <t>1.1.8</t>
  </si>
  <si>
    <t>Actuated Dancer Roller Assy</t>
  </si>
  <si>
    <t>1.1.9</t>
  </si>
  <si>
    <t>Dancer Bumper Assem</t>
  </si>
  <si>
    <t>1.2</t>
  </si>
  <si>
    <t>Unwind Roll Assembly</t>
  </si>
  <si>
    <t>1.2.1</t>
  </si>
  <si>
    <t>Unwind Short Roller Assy</t>
  </si>
  <si>
    <t>1.2.2</t>
  </si>
  <si>
    <t>Unwind Long Roller Assy</t>
  </si>
  <si>
    <t>1.2.3</t>
  </si>
  <si>
    <t>Unwind Laser Assy</t>
  </si>
  <si>
    <t>1.3</t>
  </si>
  <si>
    <t>Solid Nip Assy</t>
  </si>
  <si>
    <t>1.3.1</t>
  </si>
  <si>
    <t>Solid Driven Nip Assy</t>
  </si>
  <si>
    <t>1.3.2</t>
  </si>
  <si>
    <t>Servo Assembly</t>
  </si>
  <si>
    <t>1.3.4</t>
  </si>
  <si>
    <t>Solid Idler Nip Assy</t>
  </si>
  <si>
    <t>1.3.5</t>
  </si>
  <si>
    <t>Nip Speed Controller Assy</t>
  </si>
  <si>
    <t>1.3.6</t>
  </si>
  <si>
    <t>Nip Mech Regulator Assy</t>
  </si>
  <si>
    <t>1.3.7</t>
  </si>
  <si>
    <t>PMA Clamp Size 17 Assy</t>
  </si>
  <si>
    <t>1.4</t>
  </si>
  <si>
    <t>Door 1 A-Side</t>
  </si>
  <si>
    <t>1.4.1</t>
  </si>
  <si>
    <t>Door Mag Lock Assembly</t>
  </si>
  <si>
    <t>1.4.2</t>
  </si>
  <si>
    <t>Elesa Door Handle Assembly</t>
  </si>
  <si>
    <t>1.5</t>
  </si>
  <si>
    <t>Door 2 B-Side</t>
  </si>
  <si>
    <t>1.6</t>
  </si>
  <si>
    <t>HMI Pendant Assy</t>
  </si>
  <si>
    <t>1.7</t>
  </si>
  <si>
    <t>Unwind Clear Guarding</t>
  </si>
  <si>
    <t>1.7.1</t>
  </si>
  <si>
    <t>Variofix and Washer Assy</t>
  </si>
  <si>
    <t>Main Frame 1</t>
  </si>
  <si>
    <t>2.1</t>
  </si>
  <si>
    <t>Lower Main Frame 1</t>
  </si>
  <si>
    <t>2.1.1</t>
  </si>
  <si>
    <t>Extrusion Joining Assy</t>
  </si>
  <si>
    <t>2.1.2</t>
  </si>
  <si>
    <t>Main Frame 1 Gear Rack Assy</t>
  </si>
  <si>
    <t>2.1.3</t>
  </si>
  <si>
    <t>Cam Bar Main Frame 1 Assy</t>
  </si>
  <si>
    <t>2.1.4</t>
  </si>
  <si>
    <t>Cuff Opening Guard L Assy</t>
  </si>
  <si>
    <t>2.1.5</t>
  </si>
  <si>
    <t>Cuff Opening Guard R Assy</t>
  </si>
  <si>
    <t>2.2</t>
  </si>
  <si>
    <t>Upper Main Frame 1</t>
  </si>
  <si>
    <t>2.2.1</t>
  </si>
  <si>
    <t>Door 3</t>
  </si>
  <si>
    <t>2.2.1.2</t>
  </si>
  <si>
    <t>Door Support Assem</t>
  </si>
  <si>
    <t>2.2.1.1</t>
  </si>
  <si>
    <t>Guard Pivot Assy</t>
  </si>
  <si>
    <t>2.2.2</t>
  </si>
  <si>
    <t>Door 4</t>
  </si>
  <si>
    <t>2.2.3</t>
  </si>
  <si>
    <t>Door 5</t>
  </si>
  <si>
    <t>2.2.4</t>
  </si>
  <si>
    <t>Door 6</t>
  </si>
  <si>
    <t>2.2.5</t>
  </si>
  <si>
    <t>Twin Wall Top Guard 2</t>
  </si>
  <si>
    <t>2.2.6</t>
  </si>
  <si>
    <t>Twin Wall Top Guard 3</t>
  </si>
  <si>
    <t>2.3</t>
  </si>
  <si>
    <t>Segmented Nip Assy</t>
  </si>
  <si>
    <t>2.3.1</t>
  </si>
  <si>
    <t>Manifold 3,4,5 Segmented Nips</t>
  </si>
  <si>
    <t>2.3.4</t>
  </si>
  <si>
    <t>Segmented Idler Nip Assy</t>
  </si>
  <si>
    <t>2.3.7</t>
  </si>
  <si>
    <t>Zipper Encoder Assy</t>
  </si>
  <si>
    <t>Main Frame 2</t>
  </si>
  <si>
    <t>3.1</t>
  </si>
  <si>
    <t>Lower Main Frame 2</t>
  </si>
  <si>
    <t>3.1.1</t>
  </si>
  <si>
    <t>Main Frame 2 Rail Assy</t>
  </si>
  <si>
    <t>3.1.2</t>
  </si>
  <si>
    <t>Main Frame 2 Rack Assy</t>
  </si>
  <si>
    <t>3.2</t>
  </si>
  <si>
    <t>Upper Main Frame 2</t>
  </si>
  <si>
    <t>3.2.1</t>
  </si>
  <si>
    <t>Tube Opening Guard L A Side</t>
  </si>
  <si>
    <t>3.2.1.1</t>
  </si>
  <si>
    <t>Csink Variofix Assy</t>
  </si>
  <si>
    <t>3.2.1.2</t>
  </si>
  <si>
    <t>Guard Slotted Adjustment Spacer Assy</t>
  </si>
  <si>
    <t>3.2.2</t>
  </si>
  <si>
    <t>Tube Opening Guard R A Side</t>
  </si>
  <si>
    <t>3.2.3</t>
  </si>
  <si>
    <t>Tube Opening Guard R B Side</t>
  </si>
  <si>
    <t>3.2.4</t>
  </si>
  <si>
    <t>Tube Opening Guard L B Side</t>
  </si>
  <si>
    <t>3.2.5</t>
  </si>
  <si>
    <t>Door 7</t>
  </si>
  <si>
    <t>3.2.6</t>
  </si>
  <si>
    <t>Door 8</t>
  </si>
  <si>
    <t>3.2.7</t>
  </si>
  <si>
    <t>Door 9</t>
  </si>
  <si>
    <t>3.2.8</t>
  </si>
  <si>
    <t>Door 10</t>
  </si>
  <si>
    <t>3.2.9</t>
  </si>
  <si>
    <t>Twin Wall Top Guard 4</t>
  </si>
  <si>
    <t>3.2.10</t>
  </si>
  <si>
    <t>Twin Wall Top Guard 5</t>
  </si>
  <si>
    <t>3.4</t>
  </si>
  <si>
    <t>Presto Track Turners Assy</t>
  </si>
  <si>
    <t>4</t>
  </si>
  <si>
    <t>Main Frame 3</t>
  </si>
  <si>
    <t>4.1</t>
  </si>
  <si>
    <t>Lower Main Frame 3</t>
  </si>
  <si>
    <t>4.1.1</t>
  </si>
  <si>
    <t>Welders Rail Assy</t>
  </si>
  <si>
    <t>4.1.2</t>
  </si>
  <si>
    <t>Welders Gear Rack Assy</t>
  </si>
  <si>
    <t>4.1.3</t>
  </si>
  <si>
    <t>Cross Seal Cam Bar Assy</t>
  </si>
  <si>
    <t>4.1.4</t>
  </si>
  <si>
    <t>Cross Seal Gear Rack  Assy</t>
  </si>
  <si>
    <t>4.1.5</t>
  </si>
  <si>
    <t>Slider Bowl Gear Rack Assy</t>
  </si>
  <si>
    <t>4.1.6</t>
  </si>
  <si>
    <t>Slider Bowl Rail Assy</t>
  </si>
  <si>
    <t>4.1.7</t>
  </si>
  <si>
    <t>Interlocked Lower Guard Assy</t>
  </si>
  <si>
    <t>4.1.8</t>
  </si>
  <si>
    <t>Interlocked Upper Guard Assy</t>
  </si>
  <si>
    <t>4.1.9</t>
  </si>
  <si>
    <t>Upweb Upper Guard Assy</t>
  </si>
  <si>
    <t>4.1.10</t>
  </si>
  <si>
    <t>Downweb Lower Guard Assy</t>
  </si>
  <si>
    <t>4.1.11</t>
  </si>
  <si>
    <t>End Lower Side Guard Assy</t>
  </si>
  <si>
    <t>4.1.12</t>
  </si>
  <si>
    <t>Upweb Lower Guard Assy</t>
  </si>
  <si>
    <t>4.2</t>
  </si>
  <si>
    <t>Upper Main Frame 3</t>
  </si>
  <si>
    <t>4.2.1</t>
  </si>
  <si>
    <t>Downweb Upper Guard Assy</t>
  </si>
  <si>
    <t>4.2.2</t>
  </si>
  <si>
    <t>End Upper Side Guard Assy</t>
  </si>
  <si>
    <t>4.2.3</t>
  </si>
  <si>
    <t>End Upper Guard Assy</t>
  </si>
  <si>
    <t>4.2.4</t>
  </si>
  <si>
    <t>Door 11</t>
  </si>
  <si>
    <t>4.2.5</t>
  </si>
  <si>
    <t>Door 12</t>
  </si>
  <si>
    <t>4.2.6</t>
  </si>
  <si>
    <t>Door 13</t>
  </si>
  <si>
    <t>4.2.7</t>
  </si>
  <si>
    <t>Door 14</t>
  </si>
  <si>
    <t>4.2.8</t>
  </si>
  <si>
    <t>Door 15</t>
  </si>
  <si>
    <t>4.2.9</t>
  </si>
  <si>
    <t>Door 16</t>
  </si>
  <si>
    <t>4.2.10</t>
  </si>
  <si>
    <t>Twin Wall Top Guard 6</t>
  </si>
  <si>
    <t>4.2.11</t>
  </si>
  <si>
    <t>Twin Wall Top Guard 7</t>
  </si>
  <si>
    <t>4.2.12</t>
  </si>
  <si>
    <t>Twin Wall Top Guard 8</t>
  </si>
  <si>
    <t>4.3</t>
  </si>
  <si>
    <t>CENTER KNIFE ASSY</t>
  </si>
  <si>
    <t>4.4</t>
  </si>
  <si>
    <t>Presto Welder Assy</t>
  </si>
  <si>
    <t>4.4.1</t>
  </si>
  <si>
    <t>Main Frame 3 Adjustment Handwheel Assy</t>
  </si>
  <si>
    <t>4.4.2</t>
  </si>
  <si>
    <t>Main Frame 3 Geared Adjustment Handwheel Assy</t>
  </si>
  <si>
    <t>4.5</t>
  </si>
  <si>
    <t>Presto Slider Insertion Assy</t>
  </si>
  <si>
    <t>4.5.1</t>
  </si>
  <si>
    <t>Slider Insertion Geared Handwheel Assy</t>
  </si>
  <si>
    <t>4.6</t>
  </si>
  <si>
    <t>Knife Manifold</t>
  </si>
  <si>
    <t>5</t>
  </si>
  <si>
    <t>Cuff Insert Assy</t>
  </si>
  <si>
    <t>5.1</t>
  </si>
  <si>
    <t>Cuff Bowl Frame</t>
  </si>
  <si>
    <t>5.1.1</t>
  </si>
  <si>
    <t>M12 Leveling Foot Assy</t>
  </si>
  <si>
    <t>5.2</t>
  </si>
  <si>
    <t>Cuff Bowl Feeder Assy</t>
  </si>
  <si>
    <t>5.3</t>
  </si>
  <si>
    <t>Cuff Insert Frame</t>
  </si>
  <si>
    <t>5.4</t>
  </si>
  <si>
    <t>Cuff Conveyors Assy</t>
  </si>
  <si>
    <t>5.4.1</t>
  </si>
  <si>
    <t>Cuff Guide A Side Assy</t>
  </si>
  <si>
    <t>5.4.2</t>
  </si>
  <si>
    <t>Cuff Guide B Side Assy</t>
  </si>
  <si>
    <t>5.5</t>
  </si>
  <si>
    <t>Cuff Lift Assy A Side</t>
  </si>
  <si>
    <t>5.5.1</t>
  </si>
  <si>
    <t>Cuff Escpmnt A Side Assy</t>
  </si>
  <si>
    <t>5.5.2</t>
  </si>
  <si>
    <t>Cuff Shuttle A Side Assy</t>
  </si>
  <si>
    <t>5.5.2.1</t>
  </si>
  <si>
    <t>Cuff Gripper Assy</t>
  </si>
  <si>
    <t>5.5.3</t>
  </si>
  <si>
    <t>Cuff Esc Sensor Assy</t>
  </si>
  <si>
    <t>5.5.4</t>
  </si>
  <si>
    <t>Cuff Nail Assy</t>
  </si>
  <si>
    <t>5.6</t>
  </si>
  <si>
    <t>Cuft Lift Assy B Side</t>
  </si>
  <si>
    <t>5.6.1</t>
  </si>
  <si>
    <t>Cuff Escpmnt B Side Assy</t>
  </si>
  <si>
    <t>5.6.2</t>
  </si>
  <si>
    <t>Cuff Shuttle B Side Assy</t>
  </si>
  <si>
    <t>5.7</t>
  </si>
  <si>
    <t>Cuff Seal Assy</t>
  </si>
  <si>
    <t>6</t>
  </si>
  <si>
    <t>Tube Insert Assy</t>
  </si>
  <si>
    <t>6.1</t>
  </si>
  <si>
    <t>Tube Inserter Frame Assy</t>
  </si>
  <si>
    <t>6.1.1</t>
  </si>
  <si>
    <t>Belt Tensioner 1 Assy</t>
  </si>
  <si>
    <t>6.1.2</t>
  </si>
  <si>
    <t>Belt Tensioner 2 Assy</t>
  </si>
  <si>
    <t>6.2</t>
  </si>
  <si>
    <t>Tube Insert Assy A Side</t>
  </si>
  <si>
    <t>6.2.1</t>
  </si>
  <si>
    <t>Tube PNP Assy A Side</t>
  </si>
  <si>
    <t>6.2.1.1</t>
  </si>
  <si>
    <t>Pick Cylinder Stop Assy A Side</t>
  </si>
  <si>
    <t>6.2.1.2</t>
  </si>
  <si>
    <t>Speed Control Tube PNP Assy A Side</t>
  </si>
  <si>
    <t>6.2.1.3</t>
  </si>
  <si>
    <t>Air Cylinder Mount Assy A Side</t>
  </si>
  <si>
    <t>6.2.1.4</t>
  </si>
  <si>
    <t>Tube Gripper Assy A Side</t>
  </si>
  <si>
    <t>6.2.3.1</t>
  </si>
  <si>
    <t>Tube Present Sensor Assy</t>
  </si>
  <si>
    <t>6.2.1.5</t>
  </si>
  <si>
    <t>Cuff Present Sensor Assy</t>
  </si>
  <si>
    <t>6.2.3.2</t>
  </si>
  <si>
    <t>11-Inch Pusher Stop Assy</t>
  </si>
  <si>
    <t>6.2.3.3</t>
  </si>
  <si>
    <t>6-Inch Pusher Stop Assy</t>
  </si>
  <si>
    <t>6.2.2</t>
  </si>
  <si>
    <t>Tube Rotate Assy A Side</t>
  </si>
  <si>
    <t>6.2.3</t>
  </si>
  <si>
    <t>Tube Pusher Assy A Side</t>
  </si>
  <si>
    <t>6.3</t>
  </si>
  <si>
    <t>Tube Insert Assy B Side</t>
  </si>
  <si>
    <t>6.3.1</t>
  </si>
  <si>
    <t>Tube PNP Assy B Side</t>
  </si>
  <si>
    <t>6.3.1.1</t>
  </si>
  <si>
    <t>Pick Cylinder Stop Assy B Side</t>
  </si>
  <si>
    <t>6.3.1.2</t>
  </si>
  <si>
    <t>Speed Control Tube PNP Assy B Side</t>
  </si>
  <si>
    <t>6.3.1.3</t>
  </si>
  <si>
    <t>Air Cylinder Mount Assy B Side</t>
  </si>
  <si>
    <t>6.3.1.4</t>
  </si>
  <si>
    <t>Tube Gripper Assy B Side</t>
  </si>
  <si>
    <t>6.3.2</t>
  </si>
  <si>
    <t>Tube Rotate Assy B Side</t>
  </si>
  <si>
    <t>6.3.3</t>
  </si>
  <si>
    <t>Tube Pusher Assy B Side</t>
  </si>
  <si>
    <t>6.4</t>
  </si>
  <si>
    <t>Cuff Support Assy A Side</t>
  </si>
  <si>
    <t>6.5</t>
  </si>
  <si>
    <t>Cuff Support Assy B Side</t>
  </si>
  <si>
    <t>6.6</t>
  </si>
  <si>
    <t>Pocket Conveyor Assy A Side</t>
  </si>
  <si>
    <t>6.6.1</t>
  </si>
  <si>
    <t>Tube Pocket Assy</t>
  </si>
  <si>
    <t>6.6.2</t>
  </si>
  <si>
    <t>Pocket Position Sensor Assy</t>
  </si>
  <si>
    <t>6.7</t>
  </si>
  <si>
    <t>Pocket Conveyor Assy B Side</t>
  </si>
  <si>
    <t>6.8</t>
  </si>
  <si>
    <t>Tube Hopper Frame</t>
  </si>
  <si>
    <t>6.9</t>
  </si>
  <si>
    <t>Tube Hopper Assy</t>
  </si>
  <si>
    <t>6.10</t>
  </si>
  <si>
    <t>Tube Singulator Assy</t>
  </si>
  <si>
    <t>6.10.1</t>
  </si>
  <si>
    <t>6-Inch Insert Assy</t>
  </si>
  <si>
    <t>6.10.2</t>
  </si>
  <si>
    <t>Tube Singulated Sensor Assy</t>
  </si>
  <si>
    <t>7</t>
  </si>
  <si>
    <t>ZIPPER SEAL ASSY</t>
  </si>
  <si>
    <t>SIDE SEAL FRAME</t>
  </si>
  <si>
    <t>7.1.1</t>
  </si>
  <si>
    <t>HANDWHEEL ASSY, SIDE SEAL</t>
  </si>
  <si>
    <t>7.1.2</t>
  </si>
  <si>
    <t>SIDE SEAL CASSETTE RAIL ASSY</t>
  </si>
  <si>
    <t>7.1.3</t>
  </si>
  <si>
    <t>HEATER PLUG ENCLOSURE, SIDE 
SEAL</t>
  </si>
  <si>
    <t>7.1.4</t>
  </si>
  <si>
    <t>WEB SUPPORT ASSY</t>
  </si>
  <si>
    <t>7.1.5</t>
  </si>
  <si>
    <t>BELT TENSIONER ASSEM</t>
  </si>
  <si>
    <t>LOWER B-SIDE SIDE SEAL CASSETTE</t>
  </si>
  <si>
    <t>7.2.1</t>
  </si>
  <si>
    <t>SIDE SEAL FRAME ASSY</t>
  </si>
  <si>
    <t>7.2.10</t>
  </si>
  <si>
    <t>ERGO TRACK GUIDE ASSEM</t>
  </si>
  <si>
    <t>7.2.2</t>
  </si>
  <si>
    <t>LOWER SIDE SEAL SERVO ASSY</t>
  </si>
  <si>
    <t>7.2.3</t>
  </si>
  <si>
    <t>LOWER SIDE SEAL HEAD ASSY</t>
  </si>
  <si>
    <t>7.2.4</t>
  </si>
  <si>
    <t>SIDE SEAL RUNNER BLOCK BRAKE ASSY</t>
  </si>
  <si>
    <t>7.2.5</t>
  </si>
  <si>
    <t>SEAL BAR ROD END ASSY</t>
  </si>
  <si>
    <t>7.2.6</t>
  </si>
  <si>
    <t>SIDE SEAL TEFLON ROLL ASSY</t>
  </si>
  <si>
    <t>7.2.7</t>
  </si>
  <si>
    <t>Igus Lead Nut Assy</t>
  </si>
  <si>
    <t>7.2.8</t>
  </si>
  <si>
    <t>Modified Igus Slider</t>
  </si>
  <si>
    <t>7.2.9</t>
  </si>
  <si>
    <t>SIDE SEAL RUNNER BLOCK ASSY</t>
  </si>
  <si>
    <t>UPPER B-SIDE SIDE SEAL CASSETTE</t>
  </si>
  <si>
    <t>7.3.1</t>
  </si>
  <si>
    <t>UPPER SIDE SEAL SERVO ASSY</t>
  </si>
  <si>
    <t>7.3.2</t>
  </si>
  <si>
    <t>UPPER SIDE SEAL HEAD ASSY</t>
  </si>
  <si>
    <t>LOWER A-SIDE SIDE SEAL 
CASSETTE</t>
  </si>
  <si>
    <t>UPPER A-SIDE SIDE SEAL 
CASSETTE</t>
  </si>
  <si>
    <t>LOWER CENTER SIDE SEAL 
CASSETTE</t>
  </si>
  <si>
    <t>7.6.1</t>
  </si>
  <si>
    <t>LOWER CENTER SIDE SEAL HEAD 
ASSY</t>
  </si>
  <si>
    <t>7.6.2</t>
  </si>
  <si>
    <t>CENTER SIDE SEAL TEFLON ROLL ASSY</t>
  </si>
  <si>
    <t>7.7.1</t>
  </si>
  <si>
    <t>UPPER CENTER SIDE SEAL HEAD 
ASSY</t>
  </si>
  <si>
    <t>UPPER CENTER SIDE SEAL 
CASSETTE</t>
  </si>
  <si>
    <t>8</t>
  </si>
  <si>
    <t>CROSS SEAL ASSY</t>
  </si>
  <si>
    <t>8.1</t>
  </si>
  <si>
    <t>LOWER CROSS SEAL CASSETTE</t>
  </si>
  <si>
    <t>8.1.1</t>
  </si>
  <si>
    <t>CROSS SEAL CASSETTE FRAME</t>
  </si>
  <si>
    <t>8.1.2</t>
  </si>
  <si>
    <t>LOWER CROSS SEAL SERVO ASSY</t>
  </si>
  <si>
    <t>8.1.3</t>
  </si>
  <si>
    <t>LOWER CROSS SEAL HEAD ASSY</t>
  </si>
  <si>
    <t>8.1.4</t>
  </si>
  <si>
    <t>CROSS SEAL 1-PLUG BOX</t>
  </si>
  <si>
    <t>8.1.5</t>
  </si>
  <si>
    <t>CROSS SEAL TEFLON ROLL ASSY</t>
  </si>
  <si>
    <t>8.2</t>
  </si>
  <si>
    <t>UPPER CROSS SEAL CASSETTE</t>
  </si>
  <si>
    <t>8.2.1</t>
  </si>
  <si>
    <t>UPPER CROSS SEAL SERVO ASSY</t>
  </si>
  <si>
    <t>8.2.2</t>
  </si>
  <si>
    <t>UPPER CROSS SEAL HEAD ASSY</t>
  </si>
  <si>
    <t>8.3</t>
  </si>
  <si>
    <t>CROSS SEAL FRAME</t>
  </si>
  <si>
    <t>8.4</t>
  </si>
  <si>
    <t>TOE ROLLER ASSEMBLY</t>
  </si>
  <si>
    <t>FLYING KNIFE ASSY</t>
  </si>
  <si>
    <t>9.1</t>
  </si>
  <si>
    <t>KNIFE FRAME ASSY</t>
  </si>
  <si>
    <t>9.2</t>
  </si>
  <si>
    <t>ACTUATOR ASSY</t>
  </si>
  <si>
    <t>9.3</t>
  </si>
  <si>
    <t>DIENES KNIFE ASSY</t>
  </si>
  <si>
    <t>9.4</t>
  </si>
  <si>
    <t>KNIFE WEB CLAMP ASSY</t>
  </si>
  <si>
    <t>9.5</t>
  </si>
  <si>
    <t>WEB ROLLER ASSEMBLY</t>
  </si>
  <si>
    <t>Delivery Assy</t>
  </si>
  <si>
    <t>10.1</t>
  </si>
  <si>
    <t>Delivery Frame Assy</t>
  </si>
  <si>
    <t>10.1.1</t>
  </si>
  <si>
    <t>Retracting Conveyor Door</t>
  </si>
  <si>
    <t>10.1.2</t>
  </si>
  <si>
    <t>Bottom Guarding 1</t>
  </si>
  <si>
    <t>10.1.3</t>
  </si>
  <si>
    <t>Bottom Guarding 2</t>
  </si>
  <si>
    <t>10.1.4</t>
  </si>
  <si>
    <t>End Guarding Assem</t>
  </si>
  <si>
    <t>10.1.5</t>
  </si>
  <si>
    <t>End Guard Sliding Door</t>
  </si>
  <si>
    <t>10.1.6</t>
  </si>
  <si>
    <t xml:space="preserve">End Bottom Guarding </t>
  </si>
  <si>
    <t>10.1.7</t>
  </si>
  <si>
    <t>Padle Conveyor Guarding</t>
  </si>
  <si>
    <t>10.1.8</t>
  </si>
  <si>
    <t>Bottom Guarding Motor Cut Out</t>
  </si>
  <si>
    <t>10.1.9</t>
  </si>
  <si>
    <t>Bag Edge Sensor Assem</t>
  </si>
  <si>
    <t>10.1.10</t>
  </si>
  <si>
    <t>Static Mitigation Assy</t>
  </si>
  <si>
    <t>10.1.11</t>
  </si>
  <si>
    <t>End Bottom Guard Assemy</t>
  </si>
  <si>
    <t>10.1.12</t>
  </si>
  <si>
    <t>M12 Leveling Foot Assy 100mm</t>
  </si>
  <si>
    <t>10.1.13</t>
  </si>
  <si>
    <t>Twin Wall Top Guard 9</t>
  </si>
  <si>
    <t>10.2</t>
  </si>
  <si>
    <t>Retracting Conveyor Assy</t>
  </si>
  <si>
    <t>10.2.1</t>
  </si>
  <si>
    <t>Driven Roller Assy</t>
  </si>
  <si>
    <t>10.2.2</t>
  </si>
  <si>
    <t>Conveyor Drive Motor Assem</t>
  </si>
  <si>
    <t>10.2.3</t>
  </si>
  <si>
    <t>Retracting Motor Assem</t>
  </si>
  <si>
    <t>10.2.4</t>
  </si>
  <si>
    <t>Retracting Belt Tensioner</t>
  </si>
  <si>
    <t>10.2.5</t>
  </si>
  <si>
    <t>Idler Conveyor Roller Unguided Assy</t>
  </si>
  <si>
    <t>10.2.6</t>
  </si>
  <si>
    <t>Idler Conveyor Roller Guided Assy</t>
  </si>
  <si>
    <t>10.2.7</t>
  </si>
  <si>
    <t>Idler Conveyor Roller Guided Assy Short Shaft</t>
  </si>
  <si>
    <t>10.2.8</t>
  </si>
  <si>
    <t>Retraction Action Driven Axle Assembly</t>
  </si>
  <si>
    <t>10.3</t>
  </si>
  <si>
    <t>Indexing Conveyor Assemb</t>
  </si>
  <si>
    <t>10.3.1</t>
  </si>
  <si>
    <t>CONVEYOR L BRACKET ASSY</t>
  </si>
  <si>
    <t>Air Prep Assy</t>
  </si>
  <si>
    <t>11.1</t>
  </si>
  <si>
    <t>Air Prep Station</t>
  </si>
  <si>
    <t>11.2</t>
  </si>
  <si>
    <t>Air Supply Pipe Mount Assy</t>
  </si>
  <si>
    <t>11.3</t>
  </si>
  <si>
    <t>Air Supply Pipe Tie Off</t>
  </si>
  <si>
    <t>Plinth and Wireway Assy</t>
  </si>
  <si>
    <t>Part #</t>
  </si>
  <si>
    <t>Machined</t>
  </si>
  <si>
    <t>PO QTY</t>
  </si>
  <si>
    <t>Need To Order?</t>
  </si>
  <si>
    <t>QB Qty Rec</t>
  </si>
  <si>
    <t>BP QTY REC</t>
  </si>
  <si>
    <t>OUT TO PLATE</t>
  </si>
  <si>
    <t>QTY TO PLATE</t>
  </si>
  <si>
    <t>BACK FROM PLATE</t>
  </si>
  <si>
    <t>QTY FROM PLATE</t>
  </si>
  <si>
    <t>Finish</t>
  </si>
  <si>
    <t>Finished By Vendor</t>
  </si>
  <si>
    <t>PO #</t>
  </si>
  <si>
    <t>Misc Cost</t>
  </si>
  <si>
    <t>Labor Hours</t>
  </si>
  <si>
    <t>CRITICAL SPARES</t>
  </si>
  <si>
    <t>Component Spacer</t>
  </si>
  <si>
    <t>Metal Rectangle</t>
  </si>
  <si>
    <t>TUMBLED</t>
  </si>
  <si>
    <t>WescoBHT</t>
  </si>
  <si>
    <t>PG10.1.1.1.1</t>
  </si>
  <si>
    <t>M8 Leveling Foot Plate</t>
  </si>
  <si>
    <t>6061-T6 ALUMINUM</t>
  </si>
  <si>
    <t>CLEAR ANODIZED</t>
  </si>
  <si>
    <t>Nuline</t>
  </si>
  <si>
    <t>Frontier Mach</t>
  </si>
  <si>
    <t>PG10.1.1.1</t>
  </si>
  <si>
    <t>MODIFIED BRX 90X90 -I- 3410mm</t>
  </si>
  <si>
    <t>6061-T6 ALUMINUM LIGHT EXTRUTION</t>
  </si>
  <si>
    <t>NONE</t>
  </si>
  <si>
    <t>PG10.1.1.10.2</t>
  </si>
  <si>
    <t>ACTUATED DANCER FITTINGS PLATE</t>
  </si>
  <si>
    <t>Big Sky</t>
  </si>
  <si>
    <t>PG10.1.1.13.1</t>
  </si>
  <si>
    <t>UPPER DANCER GUARD</t>
  </si>
  <si>
    <t>POLYCARBONITE-CLEAR</t>
  </si>
  <si>
    <t>Port Plastics</t>
  </si>
  <si>
    <t>(TJ) 8/8/2024</t>
  </si>
  <si>
    <t>PG10.1.1.14.1</t>
  </si>
  <si>
    <t>CENTER DANCER GUARD</t>
  </si>
  <si>
    <t>PG10.1.1.15.1</t>
  </si>
  <si>
    <t>LOWER DANCER GUARD</t>
  </si>
  <si>
    <t>PG10.1.4.2</t>
  </si>
  <si>
    <t xml:space="preserve">CLEAR POLYCARB PANEL </t>
  </si>
  <si>
    <t>PG10.1.5.1</t>
  </si>
  <si>
    <t>PG10.1.1.16.1</t>
  </si>
  <si>
    <t>Key Station Mount Plate</t>
  </si>
  <si>
    <t>PG10.1.1.2.1</t>
  </si>
  <si>
    <t>BONNELL EXTRUDED ROLLER</t>
  </si>
  <si>
    <t>HARD CLEAR ANODIZED</t>
  </si>
  <si>
    <t>42 from GF12</t>
  </si>
  <si>
    <t>PG10.1.1.2.2</t>
  </si>
  <si>
    <t>ROLLER SHAFT</t>
  </si>
  <si>
    <t>303 TG&amp;P, ROUND STOCK, -0.0005</t>
  </si>
  <si>
    <t>Material P.O. 55555</t>
  </si>
  <si>
    <t>PG10.1.1.2.3</t>
  </si>
  <si>
    <t>ROLLER CAP</t>
  </si>
  <si>
    <t>304 STAINLESS STEEL</t>
  </si>
  <si>
    <t>PG10.1.1.2.4</t>
  </si>
  <si>
    <t>SINGLE ROLLER BRACKET</t>
  </si>
  <si>
    <t>PG10.1.1.2.5</t>
  </si>
  <si>
    <t>SINGLE ROLLER BRACKET CLAMP</t>
  </si>
  <si>
    <t>1018 COLD ROLLED STEEL</t>
  </si>
  <si>
    <t>CLEAR ZINC</t>
  </si>
  <si>
    <t>PG10.1.1.3.1</t>
  </si>
  <si>
    <t>FRAME GUSSET</t>
  </si>
  <si>
    <t>2B</t>
  </si>
  <si>
    <t>PG10.1.1.4.1</t>
  </si>
  <si>
    <t>Unwind Rail Plate</t>
  </si>
  <si>
    <t>PG10.1.1.5.1</t>
  </si>
  <si>
    <t>Edge Guide Actuator Mount</t>
  </si>
  <si>
    <t>PG10.1.1.5.2</t>
  </si>
  <si>
    <t>Edge Guide Actuator Spacer</t>
  </si>
  <si>
    <t>PG10.1.1.6.1</t>
  </si>
  <si>
    <t>Sensor Mount</t>
  </si>
  <si>
    <t>PG10.1.1.6.2</t>
  </si>
  <si>
    <t>Sensor Mount Plate</t>
  </si>
  <si>
    <t>PG10.1.1.6.3</t>
  </si>
  <si>
    <t>Sensor Mount Gussy</t>
  </si>
  <si>
    <t>PG10.1.1.7.1</t>
  </si>
  <si>
    <t>Unwind Roller Upper Bracket</t>
  </si>
  <si>
    <t>PG10.1.1.7.2</t>
  </si>
  <si>
    <t>Unwind Roller Clamp</t>
  </si>
  <si>
    <t>MtnStatesAuto</t>
  </si>
  <si>
    <t>PG10.1.1.8.1</t>
  </si>
  <si>
    <t>Dancer Arm</t>
  </si>
  <si>
    <t>PG10.1.1.8.2</t>
  </si>
  <si>
    <t>Dancer Arm Clamp</t>
  </si>
  <si>
    <t xml:space="preserve">Nuline </t>
  </si>
  <si>
    <t>PG10.1.1.8.3</t>
  </si>
  <si>
    <t>CLEVIS MOUNT</t>
  </si>
  <si>
    <t>PG10.1.1.8.4</t>
  </si>
  <si>
    <t>Dancer Shaft</t>
  </si>
  <si>
    <t>PG10.1.1.8.5</t>
  </si>
  <si>
    <t>DANCER ROLLER BRACKET</t>
  </si>
  <si>
    <t>PG10.1.1.8.6</t>
  </si>
  <si>
    <t>DANCER ROLLER BRACKET CLAMP</t>
  </si>
  <si>
    <t>PG10.1.1.8.7</t>
  </si>
  <si>
    <t>DANCER ROLLER SHAFT</t>
  </si>
  <si>
    <t>PG10.1.2.1.1</t>
  </si>
  <si>
    <t>Roller Bracket</t>
  </si>
  <si>
    <t>PG10.1.2.1</t>
  </si>
  <si>
    <t>UNWIND BASE PLATE</t>
  </si>
  <si>
    <t>MIC-6 CAST ALUMINUM</t>
  </si>
  <si>
    <t>3J INC</t>
  </si>
  <si>
    <t>PG10.1.2.2.1</t>
  </si>
  <si>
    <t>Roller Bracket, Long</t>
  </si>
  <si>
    <t>PG10.1.2.2</t>
  </si>
  <si>
    <t>Unwind Side</t>
  </si>
  <si>
    <t>PG10.1.2.3.1</t>
  </si>
  <si>
    <t>Laser Sensor Mount Plate</t>
  </si>
  <si>
    <t>PG10.1.2.3.2</t>
  </si>
  <si>
    <t>Laser Sensor Mount Block</t>
  </si>
  <si>
    <t>PG10.1.2.3</t>
  </si>
  <si>
    <t>Unwind Gusset</t>
  </si>
  <si>
    <t>PG10.1.2.4</t>
  </si>
  <si>
    <t>Gearbox Spacer Flange</t>
  </si>
  <si>
    <t>PG10.1.2.5</t>
  </si>
  <si>
    <t>Gearbox Spacer Block</t>
  </si>
  <si>
    <t>SEE REV A</t>
  </si>
  <si>
    <t>Nuline to modify Rev A to B</t>
  </si>
  <si>
    <t>Nuline Modified from B to C on 8/22/24</t>
  </si>
  <si>
    <t>PG10.1.3.1.1</t>
  </si>
  <si>
    <t>SOLID DRIVEN NIP ROLLER</t>
  </si>
  <si>
    <t>AISI 1020 STEEL, COLD ROLLED</t>
  </si>
  <si>
    <t>1026 DOM TUBING 4"OD X .5" WALL</t>
  </si>
  <si>
    <t>Flare Precision</t>
  </si>
  <si>
    <t>PG10.1.3.1</t>
  </si>
  <si>
    <t>UW Nip Side Plate</t>
  </si>
  <si>
    <t>PG10.1.3.10</t>
  </si>
  <si>
    <t>Adj Side Frame Mount</t>
  </si>
  <si>
    <t>5 more on P.O.55571</t>
  </si>
  <si>
    <t>PG10.1.3.11</t>
  </si>
  <si>
    <t>Pivot Side Frame Mount</t>
  </si>
  <si>
    <t>PG10.1.3.2.1</t>
  </si>
  <si>
    <t>Gear Box Mounting Plate</t>
  </si>
  <si>
    <t>PG10.1.3.2.2</t>
  </si>
  <si>
    <t>Gear Box Stand Off</t>
  </si>
  <si>
    <t>PG10.1.3.2</t>
  </si>
  <si>
    <t>Nip Support Bar</t>
  </si>
  <si>
    <t>1 Extra Shipped</t>
  </si>
  <si>
    <t>Manifold Mount Plate</t>
  </si>
  <si>
    <t>PG10.1.3.3</t>
  </si>
  <si>
    <t>Drive Bearing Base</t>
  </si>
  <si>
    <t>PG10.1.3.4.1</t>
  </si>
  <si>
    <t>SOLID IDLER NIP ROLLER</t>
  </si>
  <si>
    <t>1026 DOM TUBING, 4"OD X 0.5" WALL, CLEAR ZINC FINISH</t>
  </si>
  <si>
    <t>Complete</t>
  </si>
  <si>
    <t>PG10.1.3.4</t>
  </si>
  <si>
    <t>Drive Bearing Cap</t>
  </si>
  <si>
    <t>PG10.1.3.5.1</t>
  </si>
  <si>
    <t>PG10.1.3.5</t>
  </si>
  <si>
    <t>IDLER BEARING MOUNT</t>
  </si>
  <si>
    <t>PG10.1.3.6</t>
  </si>
  <si>
    <t>Cylinder Mount Plate</t>
  </si>
  <si>
    <t>PG10.1.3.7</t>
  </si>
  <si>
    <t>Lower Nip Support Strut</t>
  </si>
  <si>
    <t>PG10.1.3.8</t>
  </si>
  <si>
    <t>Nip Adjustment Block</t>
  </si>
  <si>
    <t>PG10.1.3.9</t>
  </si>
  <si>
    <t>Nip Pivot Block</t>
  </si>
  <si>
    <t>PG10.1.4.1.1</t>
  </si>
  <si>
    <t>MAG LOCK PLATE</t>
  </si>
  <si>
    <t>PG10.1.4.1</t>
  </si>
  <si>
    <t>Door Support</t>
  </si>
  <si>
    <t>DELRIN 150-WHITE (OR EQUIVILANT)</t>
  </si>
  <si>
    <t>NATURAL</t>
  </si>
  <si>
    <t>PG10.1.7.1</t>
  </si>
  <si>
    <t>Unwind Clear Panel 1</t>
  </si>
  <si>
    <t>PG10.10.1.1.1</t>
  </si>
  <si>
    <t xml:space="preserve">Short Clear Poly Panel </t>
  </si>
  <si>
    <t>x</t>
  </si>
  <si>
    <t>PG10.1.6.1</t>
  </si>
  <si>
    <t>HMI Arm Mount</t>
  </si>
  <si>
    <t>PG10.10.1.1.2</t>
  </si>
  <si>
    <t xml:space="preserve">Long Clear Poly Panel </t>
  </si>
  <si>
    <t>PG10.10.1.11.1</t>
  </si>
  <si>
    <t>End Guarding Padle Conveyor Bellow</t>
  </si>
  <si>
    <t>PG10.10.1.2.1</t>
  </si>
  <si>
    <t xml:space="preserve">Bottom Guarding 1 Poly </t>
  </si>
  <si>
    <t>PG10.10.1.10.1</t>
  </si>
  <si>
    <t>Static Bar Mount</t>
  </si>
  <si>
    <t>2B 1/8in</t>
  </si>
  <si>
    <t>PG10.10.1.3.1</t>
  </si>
  <si>
    <t>Bottom Guarding 2 Poly</t>
  </si>
  <si>
    <t>PG10.10.1.4.1</t>
  </si>
  <si>
    <t>End Top Guarding Poly</t>
  </si>
  <si>
    <t>PG10.10.1.5.1</t>
  </si>
  <si>
    <t>End Guarding Sliding Panel</t>
  </si>
  <si>
    <t>PG10.10.1.6.1</t>
  </si>
  <si>
    <t>End Guarding Short Bottom Poly</t>
  </si>
  <si>
    <t>PG10.10.1.7.1</t>
  </si>
  <si>
    <t>End Guarding Padle Conveyor Side</t>
  </si>
  <si>
    <t>PG10.10.1.8.1</t>
  </si>
  <si>
    <t xml:space="preserve">Bottom Guarding Motor Cut out Poly </t>
  </si>
  <si>
    <t>PG10.2.1.4.1</t>
  </si>
  <si>
    <t>Cuff Opening Guard L</t>
  </si>
  <si>
    <t>PG10.2.1.5.1</t>
  </si>
  <si>
    <t>Cuff Opening Guard R</t>
  </si>
  <si>
    <t>PG10.10.1.9.1</t>
  </si>
  <si>
    <t>Bag Edge Sensor Mount</t>
  </si>
  <si>
    <t>CLEAR ANODIZE</t>
  </si>
  <si>
    <t>PG10.10.2.1.1</t>
  </si>
  <si>
    <t>Driven Conveyor Roller</t>
  </si>
  <si>
    <t>Bemox</t>
  </si>
  <si>
    <t>PG10.10.2.1.2</t>
  </si>
  <si>
    <t>Driven Roller Stub</t>
  </si>
  <si>
    <t>PG10.10.2.1</t>
  </si>
  <si>
    <t>Retracting Conveyor Side Plate A</t>
  </si>
  <si>
    <t>PG10.10.2.10</t>
  </si>
  <si>
    <t>Limit Sensor Mount Retract</t>
  </si>
  <si>
    <t>12 GAUGE #2B</t>
  </si>
  <si>
    <t>PG10.10.2.2.1</t>
  </si>
  <si>
    <t>Conveyor Motor mount</t>
  </si>
  <si>
    <t>Craig Miller</t>
  </si>
  <si>
    <t>PG10.10.2.2.2</t>
  </si>
  <si>
    <t>Conveyor Motor Spacer</t>
  </si>
  <si>
    <t>PG10.10.2.2</t>
  </si>
  <si>
    <t>Retracting Conveyor Side Plate B</t>
  </si>
  <si>
    <t>PG10.10.2.3.1</t>
  </si>
  <si>
    <t>Retraction Motor Mount</t>
  </si>
  <si>
    <t>PG10.10.2.3</t>
  </si>
  <si>
    <t>Retracting Conveyor Arm</t>
  </si>
  <si>
    <t>PG10.10.2.4.1</t>
  </si>
  <si>
    <t>Retracting Belt Tensioner Rotary Shaft</t>
  </si>
  <si>
    <t>303 TG&amp;P, Round Stock, -0.0005</t>
  </si>
  <si>
    <t>PG10.10.2.4</t>
  </si>
  <si>
    <t>Shaft Clamp</t>
  </si>
  <si>
    <t>Dodd Mfg</t>
  </si>
  <si>
    <t>PG10.10.2.5.1</t>
  </si>
  <si>
    <t>Idler Conveyor Roller Unguided</t>
  </si>
  <si>
    <t>NEED TO UPDATE P/N IN QB</t>
  </si>
  <si>
    <t>PG10.10.2.5</t>
  </si>
  <si>
    <t>Bearing Block Spacer</t>
  </si>
  <si>
    <t>PG10.10.2.6.1</t>
  </si>
  <si>
    <t>Idler Conveyor Roller Guided</t>
  </si>
  <si>
    <t>PG10.10.2.6.2</t>
  </si>
  <si>
    <t>Stationary Idler Conveyor Roller Shaft</t>
  </si>
  <si>
    <t>PURCHASED PART</t>
  </si>
  <si>
    <t>PG10.10.2.6</t>
  </si>
  <si>
    <t>Belt Clamp Mount</t>
  </si>
  <si>
    <t>PG10.10.2.7.1</t>
  </si>
  <si>
    <t>Retracted Idler Conveyor Roller Shaft</t>
  </si>
  <si>
    <t>Material P.O. 55627</t>
  </si>
  <si>
    <t>PG10.10.2.7</t>
  </si>
  <si>
    <t>Belt Clamp</t>
  </si>
  <si>
    <t>PG10.10.2.8.1</t>
  </si>
  <si>
    <t>Retraction Action Drive Shaft</t>
  </si>
  <si>
    <t>PG10.10.2.8</t>
  </si>
  <si>
    <t>Tentioning Bolt Plate</t>
  </si>
  <si>
    <t>PG10.10.2.9</t>
  </si>
  <si>
    <t>Limit Sensor Mount</t>
  </si>
  <si>
    <t>PG10.10.3.1.1</t>
  </si>
  <si>
    <t>DELIV CONVEYOR MOUNT PLATE</t>
  </si>
  <si>
    <t>PG10.10.3.1</t>
  </si>
  <si>
    <t>Cleat Sensor Mount</t>
  </si>
  <si>
    <t>Guage 16 #2B</t>
  </si>
  <si>
    <t>PG10.10.3.2</t>
  </si>
  <si>
    <t>SIDE BAG FENCE</t>
  </si>
  <si>
    <t>Air Prep Mount Plate</t>
  </si>
  <si>
    <t>PG10.12.1</t>
  </si>
  <si>
    <t>Plinth Panel 1</t>
  </si>
  <si>
    <t>PG10.12.2</t>
  </si>
  <si>
    <t>Plinth Panel 2</t>
  </si>
  <si>
    <t>PG10.12.3</t>
  </si>
  <si>
    <t>Plinth Panel 3</t>
  </si>
  <si>
    <t>PG10.12.4</t>
  </si>
  <si>
    <t>Plinth Panel 4</t>
  </si>
  <si>
    <t>PG10.12.5</t>
  </si>
  <si>
    <t>PG10.12.6</t>
  </si>
  <si>
    <t>PG10.2.2.1.1</t>
  </si>
  <si>
    <t>Clear Poly Panel long Door 3</t>
  </si>
  <si>
    <t>PG10.2.1.1.1</t>
  </si>
  <si>
    <t>Joining Plate</t>
  </si>
  <si>
    <t>PG10.2.1.1</t>
  </si>
  <si>
    <t>MODIFIED BRX 90X90 -I-</t>
  </si>
  <si>
    <t>EXTRUSION</t>
  </si>
  <si>
    <t>PG10.2.1.2.1</t>
  </si>
  <si>
    <t>Main Frame 1 Gear Rack</t>
  </si>
  <si>
    <t xml:space="preserve">PURCHASED GEAR RACK </t>
  </si>
  <si>
    <t>P.O. for material</t>
  </si>
  <si>
    <t>PG10.2.1.3.1</t>
  </si>
  <si>
    <t>Cam Bar Main Frame 1</t>
  </si>
  <si>
    <t>PG10.2.2.1.2</t>
  </si>
  <si>
    <t>Clear PolyPanel Short Door 3</t>
  </si>
  <si>
    <t>PG10.2.2.2.1</t>
  </si>
  <si>
    <t>Clear PolyPanel Short Door 4</t>
  </si>
  <si>
    <t>PG10.2.2.1.1.1</t>
  </si>
  <si>
    <t>GUARD PIVOT PLATE</t>
  </si>
  <si>
    <t>8/08/24 JP</t>
  </si>
  <si>
    <t>PG10.2.2.1.1.2</t>
  </si>
  <si>
    <t>GUARD PIVOT FLANGE</t>
  </si>
  <si>
    <t>DELRIN 150-BLACK (OR EQUIVILANT)</t>
  </si>
  <si>
    <t>PG10.2.2.1.1.3</t>
  </si>
  <si>
    <t>GUARD PIVOT NO FLANGE</t>
  </si>
  <si>
    <t>PG10.2.2.2.2</t>
  </si>
  <si>
    <t>Clear PolyPanel Long Door 4</t>
  </si>
  <si>
    <t>PG10.2.2.3.1</t>
  </si>
  <si>
    <t>Clear PolyPanel Door 5</t>
  </si>
  <si>
    <t>PG10.2.2.4.1</t>
  </si>
  <si>
    <t>Clear PolyPanel Door 6</t>
  </si>
  <si>
    <t>PG10.3.2.1.1</t>
  </si>
  <si>
    <t>PG10.3.2.2.1</t>
  </si>
  <si>
    <t>PG10.3.2.3.1</t>
  </si>
  <si>
    <t>PG10.2.3.1.1</t>
  </si>
  <si>
    <t>Manifold 3,4,5 Mount Plate</t>
  </si>
  <si>
    <t>PG10.2.3.1</t>
  </si>
  <si>
    <t>Seg Nip Side Plate</t>
  </si>
  <si>
    <t>PG10.2.3.4.1</t>
  </si>
  <si>
    <t>Nip Segment Core</t>
  </si>
  <si>
    <t>HARD CLEAR ANODIZED,  HYPALON COVERING 70DUROMETER</t>
  </si>
  <si>
    <t>PG10.2.3.4.2</t>
  </si>
  <si>
    <t>Air Shaft Key</t>
  </si>
  <si>
    <t>PG10.2.3.5</t>
  </si>
  <si>
    <t>Idler Bearing Mount Segmented Nips</t>
  </si>
  <si>
    <t>CHECK NAME Drawing has Seg Nips Idler Bearing Mount</t>
  </si>
  <si>
    <t>PG10.2.3.7.1</t>
  </si>
  <si>
    <t>Encoder Plate</t>
  </si>
  <si>
    <t>PG10.2.3.7.2</t>
  </si>
  <si>
    <t>Encoder Spacer</t>
  </si>
  <si>
    <t>PG10.3.2.4.1</t>
  </si>
  <si>
    <t>PG10.3.2.5.1</t>
  </si>
  <si>
    <t>Clear PolyPanel Long Door 7</t>
  </si>
  <si>
    <t>PG10.3.1.1.1</t>
  </si>
  <si>
    <t>Cam Bar Main Frame 2</t>
  </si>
  <si>
    <t>PG10.3.1.1</t>
  </si>
  <si>
    <t>MODIFIED BRX 90X90 -|-</t>
  </si>
  <si>
    <t>90X90 EXTRUSION</t>
  </si>
  <si>
    <t>PG10.3.1.2.1</t>
  </si>
  <si>
    <t>Main Frame 2 Gear Rack</t>
  </si>
  <si>
    <t>PG10.3.2.5.2</t>
  </si>
  <si>
    <t>Clear PolyPanel Short Door 7</t>
  </si>
  <si>
    <t>PG10.3.2.6.1</t>
  </si>
  <si>
    <t>Clear PolyPanel Long Door 8</t>
  </si>
  <si>
    <t>PG10.3.2.6.2</t>
  </si>
  <si>
    <t>Clear PolyPanel Short Door 8</t>
  </si>
  <si>
    <t>PG10.3.2.7.1</t>
  </si>
  <si>
    <t>Clear PolyPanel Long Door 9</t>
  </si>
  <si>
    <t>PG10.3.2.7.2</t>
  </si>
  <si>
    <t>Clear PolyPanel Short Door 9</t>
  </si>
  <si>
    <t>PG10.3.2.8.1</t>
  </si>
  <si>
    <t>Clear PolyPanel Long Door 10</t>
  </si>
  <si>
    <t>PG10.3.2.5.3</t>
  </si>
  <si>
    <t>Closet Door Mag Mount</t>
  </si>
  <si>
    <t>PG10.3.2.5.4</t>
  </si>
  <si>
    <t>Closet Door Mag Other Mount</t>
  </si>
  <si>
    <t>PG10.3.2.8.2</t>
  </si>
  <si>
    <t>Clear PolyPanel Short Door 10</t>
  </si>
  <si>
    <t>PG10.4.1.10.1</t>
  </si>
  <si>
    <t xml:space="preserve">Downweb Lower Guard </t>
  </si>
  <si>
    <t>PG10.4.1.11.1</t>
  </si>
  <si>
    <t>End Lower Side Guard</t>
  </si>
  <si>
    <t>PG10.4.1.7.1</t>
  </si>
  <si>
    <t>Interlocked Lower Guard</t>
  </si>
  <si>
    <t>Rev B added 8/5 EL</t>
  </si>
  <si>
    <t>PG10.4.1.8.1</t>
  </si>
  <si>
    <t>Interlocked Upper Guard</t>
  </si>
  <si>
    <t>PG10.4.1.9.1</t>
  </si>
  <si>
    <t>Upweb Upper Guard</t>
  </si>
  <si>
    <t>PG10.3.4.1</t>
  </si>
  <si>
    <t>Track Turner Adjustment Shaft</t>
  </si>
  <si>
    <t>PG10.3.4.2</t>
  </si>
  <si>
    <t>Turner Mount Plate</t>
  </si>
  <si>
    <t>PG10.4.2.1.1</t>
  </si>
  <si>
    <t>Downweb Upper Guard</t>
  </si>
  <si>
    <t>PG10.4.1.1.1</t>
  </si>
  <si>
    <t>Welders Rail Plate</t>
  </si>
  <si>
    <t>PG10.4.1.1</t>
  </si>
  <si>
    <t>MODIFED BRX 90X90 4707MM</t>
  </si>
  <si>
    <t>NULINE</t>
  </si>
  <si>
    <t>PG10.4.2.2.1</t>
  </si>
  <si>
    <t>End Upper Side Guard</t>
  </si>
  <si>
    <t>PG10.4.2.3.1</t>
  </si>
  <si>
    <t>End Upper Guard</t>
  </si>
  <si>
    <t>PG10.4.2.4.1</t>
  </si>
  <si>
    <t>Clear PolyPanel Door 11</t>
  </si>
  <si>
    <t>PG10.4.2.5.1</t>
  </si>
  <si>
    <t>Clear PolyPanel Door 12</t>
  </si>
  <si>
    <t>PG10.4.1.2.1</t>
  </si>
  <si>
    <t>Welders Gear Rack</t>
  </si>
  <si>
    <t>PG10.4.1.3.1</t>
  </si>
  <si>
    <t>Cross Seal Cam Bar</t>
  </si>
  <si>
    <t>PG10.4.1.4.1</t>
  </si>
  <si>
    <t xml:space="preserve">Cross Seal Gear Rack </t>
  </si>
  <si>
    <t>PG10.4.1.5.1</t>
  </si>
  <si>
    <t>Slider Bowl Gear Rack</t>
  </si>
  <si>
    <t>PG10.4.1.6.1</t>
  </si>
  <si>
    <t>Slider Bowl Rail Plate</t>
  </si>
  <si>
    <t>CLEAR ANNODIZED</t>
  </si>
  <si>
    <t>PG10.4.2.6.1</t>
  </si>
  <si>
    <t>Clear PolyPanel Long Door 13</t>
  </si>
  <si>
    <t>PG10.4.2.6.2</t>
  </si>
  <si>
    <t>Clear PolyPanel Short Door 13</t>
  </si>
  <si>
    <t>PG10.4.1.7.2</t>
  </si>
  <si>
    <t>Guard Sensor Bracket</t>
  </si>
  <si>
    <t>PG10.4.2.7.1</t>
  </si>
  <si>
    <t>Clear PolyPanel Long Door 14</t>
  </si>
  <si>
    <t>PG10.4.1.8.2</t>
  </si>
  <si>
    <t>Sheet Metal Guard Guide</t>
  </si>
  <si>
    <t>PG10.4.2.7.2</t>
  </si>
  <si>
    <t>Clear PolyPanel Short Door 14</t>
  </si>
  <si>
    <t>PG10.4.2.8.1</t>
  </si>
  <si>
    <t>Clear PolyPanel Door 15</t>
  </si>
  <si>
    <t>PG10.4.2.9.1</t>
  </si>
  <si>
    <t>Clear PolyPanel Door 16</t>
  </si>
  <si>
    <t>PG10.5.3.6</t>
  </si>
  <si>
    <t>ONBOARD CUFF GUARD L</t>
  </si>
  <si>
    <t>PG10.5.3.7</t>
  </si>
  <si>
    <t>ONBOARD CUFF GUARD R</t>
  </si>
  <si>
    <t>PG10.6.1.16</t>
  </si>
  <si>
    <t>ONBOARD TUBE GUARD L A Side</t>
  </si>
  <si>
    <t>PG10.6.1.17</t>
  </si>
  <si>
    <t>ONBOARD TUBE GUARD R A Side</t>
  </si>
  <si>
    <t>PG10.6.1.19</t>
  </si>
  <si>
    <t>ONBOARD TUBE GUARD R B Side</t>
  </si>
  <si>
    <t>PG10.6.1.20</t>
  </si>
  <si>
    <t>ONBOARD TUBE GUARD L B Side</t>
  </si>
  <si>
    <t>PG10.4.1.12.1</t>
  </si>
  <si>
    <t>Upweb Lower Guard</t>
  </si>
  <si>
    <t>New part added on 8/5 by EL</t>
  </si>
  <si>
    <t>PG10.1.1.11.1</t>
  </si>
  <si>
    <t>Twin Wall Top Guard 1</t>
  </si>
  <si>
    <t>TWIN WALL</t>
  </si>
  <si>
    <t>PG10.2.2.5.1</t>
  </si>
  <si>
    <t>PG10.4.3.1</t>
  </si>
  <si>
    <t>CENTER KNIFE SIDE PLATE A</t>
  </si>
  <si>
    <t>PG10.4.3.10</t>
  </si>
  <si>
    <t>Center Knife Adjustment Shaft-Short</t>
  </si>
  <si>
    <t>PG10.4.3.11</t>
  </si>
  <si>
    <t>CENTER KNIFE HANDWHEEL PLATE</t>
  </si>
  <si>
    <t>PG10.4.3.12</t>
  </si>
  <si>
    <t>PG10.4.3.2</t>
  </si>
  <si>
    <t>CENTER KNIFE SIDE PLATE B</t>
  </si>
  <si>
    <t>PG10.4.3.3</t>
  </si>
  <si>
    <t>Mount Mount</t>
  </si>
  <si>
    <t>PG10.4.3.4</t>
  </si>
  <si>
    <t>Center Knife Cylinder Mount Plate</t>
  </si>
  <si>
    <t>PG10.4.3.5</t>
  </si>
  <si>
    <t>Igus Lead Nut Bushing</t>
  </si>
  <si>
    <t>PG10.4.3.6</t>
  </si>
  <si>
    <t>CENTER KNIFE BASE</t>
  </si>
  <si>
    <t>PG10.4.3.7</t>
  </si>
  <si>
    <t>CENTER KNIFE HOLDER</t>
  </si>
  <si>
    <t>PG10.4.3.8</t>
  </si>
  <si>
    <t>Center Knife Support Rod</t>
  </si>
  <si>
    <t>PG10.4.3.9</t>
  </si>
  <si>
    <t>Lead Nut Mount Mount</t>
  </si>
  <si>
    <t>PG10.4.4.1.1</t>
  </si>
  <si>
    <t>Main Frame 3 Handwheel Mount Plate</t>
  </si>
  <si>
    <t>PG10.4.4.1.2</t>
  </si>
  <si>
    <t>Main Frame 3 Handwheel Plate</t>
  </si>
  <si>
    <t>PG10.4.4.1.3</t>
  </si>
  <si>
    <t>Main Frame 3 Handwheel Adjustment Rod</t>
  </si>
  <si>
    <t>PG10.4.4.1</t>
  </si>
  <si>
    <t>Welder Cross Beam</t>
  </si>
  <si>
    <t>PG10.4.4.2</t>
  </si>
  <si>
    <t>Welder Spur Gear Guard A Side</t>
  </si>
  <si>
    <t>PG10.4.4.3</t>
  </si>
  <si>
    <t>Welder Spur Gear Guard B Side</t>
  </si>
  <si>
    <t>PG10.4.4.2.1</t>
  </si>
  <si>
    <t>Main Frame 3 Geared Handwheel Mount Plate</t>
  </si>
  <si>
    <t>PG10.4.4.2.2</t>
  </si>
  <si>
    <t>Main Frame 3 Adjustment Shaft -Short</t>
  </si>
  <si>
    <t>PG10.4.4.2.3</t>
  </si>
  <si>
    <t>Main Frame 3 Adjustment Shaft -Long</t>
  </si>
  <si>
    <t>PG10.4.4.2.4</t>
  </si>
  <si>
    <t>Geared Handwheel Spacer Block</t>
  </si>
  <si>
    <t>PG10.4.4.2.5</t>
  </si>
  <si>
    <t>Geared Handwheel Plate No Brake</t>
  </si>
  <si>
    <t>PG10.4.5.1.1</t>
  </si>
  <si>
    <t>Slider Insertion Bearing Plate</t>
  </si>
  <si>
    <t>PG10.4.5.1.2</t>
  </si>
  <si>
    <t>Slider Inserter Adjustment Shaft</t>
  </si>
  <si>
    <t>PG10.4.5.1</t>
  </si>
  <si>
    <t>Slider Insertion Mount Plate</t>
  </si>
  <si>
    <t>PG10.4.5.2</t>
  </si>
  <si>
    <t>Slider Spur Gear Guard A Side</t>
  </si>
  <si>
    <t>PG10.4.5.3</t>
  </si>
  <si>
    <t>Slider Spur Gear Guard B Side</t>
  </si>
  <si>
    <t>PG10.2.2.6.1</t>
  </si>
  <si>
    <t>PG10.3.2.9.1</t>
  </si>
  <si>
    <t>PG10.5.1.1.1</t>
  </si>
  <si>
    <t>M12 Foot Mount Plate</t>
  </si>
  <si>
    <t>PG10.5.1.1</t>
  </si>
  <si>
    <t>Cuff Bowl Rail Plate</t>
  </si>
  <si>
    <t>PG10.5.3.1</t>
  </si>
  <si>
    <t>Cuff Side Plate</t>
  </si>
  <si>
    <t>PG10.5.3.2</t>
  </si>
  <si>
    <t>Lead Screw Plate</t>
  </si>
  <si>
    <t>PG10.5.3.3</t>
  </si>
  <si>
    <t>CONVEYOR SUPPORT BASE</t>
  </si>
  <si>
    <t>PG10.5.3.4</t>
  </si>
  <si>
    <t>CONVEYOR SUPPORT LEG</t>
  </si>
  <si>
    <t>PG10.5.3.5</t>
  </si>
  <si>
    <t>MODIFIED BRX 45X90 D17|D17 430.7MM</t>
  </si>
  <si>
    <t>PG10.3.2.10.1</t>
  </si>
  <si>
    <t>PG10.4.2.10.1</t>
  </si>
  <si>
    <t>PG10.5.4.1.1</t>
  </si>
  <si>
    <t>FIXED GUIDE 1 A SIDE</t>
  </si>
  <si>
    <t>HARD CLEAR ANODIZE</t>
  </si>
  <si>
    <t>PG10.5.4.1.2</t>
  </si>
  <si>
    <t>FIXED GUIDE 2 A SIDE</t>
  </si>
  <si>
    <t>PG10.5.4.1.3</t>
  </si>
  <si>
    <t>TELESCOPING GUIDE 1 A SIDE</t>
  </si>
  <si>
    <t>PG10.5.4.1.4</t>
  </si>
  <si>
    <t>TELESCOPING GUIDE 2 A SIDE</t>
  </si>
  <si>
    <t>PG10.5.4.1.5</t>
  </si>
  <si>
    <t>CUFF GUIDE BRACKET</t>
  </si>
  <si>
    <t>PG10.5.4.1.6</t>
  </si>
  <si>
    <t>RAIL TIE 2</t>
  </si>
  <si>
    <t>PG10.5.4.1.7</t>
  </si>
  <si>
    <t>GUIDE BRACKET TOP</t>
  </si>
  <si>
    <t>PG10.5.4.1</t>
  </si>
  <si>
    <t>CUFF CONVEYOR PLATE</t>
  </si>
  <si>
    <t>PG10.5.4.2.1</t>
  </si>
  <si>
    <t>FIXED GUIDE 1 B SIDE</t>
  </si>
  <si>
    <t>PG10.5.4.2.2</t>
  </si>
  <si>
    <t>FIXED GUIDE 2 B SIDE</t>
  </si>
  <si>
    <t>PG10.5.4.2.3</t>
  </si>
  <si>
    <t>TELESCOPING GUIDE 1 B SIDE</t>
  </si>
  <si>
    <t>PG10.5.4.2.4</t>
  </si>
  <si>
    <t>TELESCOPING GUIDE 2 B SIDE</t>
  </si>
  <si>
    <t>PG10.5.4.2</t>
  </si>
  <si>
    <t>CUFF CONVEYOR BRACKET</t>
  </si>
  <si>
    <t>Proto</t>
  </si>
  <si>
    <t>PG10.5.5.1.1</t>
  </si>
  <si>
    <t>ESC MOUNT A SIDE</t>
  </si>
  <si>
    <t>PG10.5.5.1.2</t>
  </si>
  <si>
    <t>ESC PLATE A SIDE</t>
  </si>
  <si>
    <t>PG10.5.5.1.3</t>
  </si>
  <si>
    <t>CUFF DEADNEST A SIDE</t>
  </si>
  <si>
    <t>PG10.5.5.1.4</t>
  </si>
  <si>
    <t>ESC FINGER 1 A SIDE</t>
  </si>
  <si>
    <t>PG10.5.5.1.5</t>
  </si>
  <si>
    <t>ESC FINGER 2 A SIDE</t>
  </si>
  <si>
    <t>PG10.5.5.1.6</t>
  </si>
  <si>
    <t>ESC GUIDE A SIDE</t>
  </si>
  <si>
    <t>PG10.5.5.1.7</t>
  </si>
  <si>
    <t>DEADNEST SENSOR BRACKET</t>
  </si>
  <si>
    <t>PG10.5.5.1.8</t>
  </si>
  <si>
    <t>ESC GUARD A SIDE</t>
  </si>
  <si>
    <t>PG10.5.5.1</t>
  </si>
  <si>
    <t>Cuff Lift Bearing Plate</t>
  </si>
  <si>
    <t>PG10.5.5.2.1.1</t>
  </si>
  <si>
    <t>CUFF GRIPPER ARM</t>
  </si>
  <si>
    <t>PG10.5.5.2.1.2</t>
  </si>
  <si>
    <t>GRIPPER ARM RIB</t>
  </si>
  <si>
    <t>PG10.5.5.2.1.3</t>
  </si>
  <si>
    <t>PG10.5.5.2.1.4</t>
  </si>
  <si>
    <t>CUFF GRIPPER, LEFT HAND 
CONFIG</t>
  </si>
  <si>
    <t>PG10.5.5.2.1.5</t>
  </si>
  <si>
    <t>GRIPPER WEB GUARD</t>
  </si>
  <si>
    <t>PG10.5.5.2.1</t>
  </si>
  <si>
    <t>SHUTTLE TABLE PLATE A SIDE</t>
  </si>
  <si>
    <t>PG10.5.5.2</t>
  </si>
  <si>
    <t>Lift Mid Plate A Side</t>
  </si>
  <si>
    <t>PG10.5.5.3.1</t>
  </si>
  <si>
    <t>Rail Tie 1</t>
  </si>
  <si>
    <t>PG10.5.5.3.2</t>
  </si>
  <si>
    <t>Esc Sensor Bracket</t>
  </si>
  <si>
    <t>PG10.5.5.3</t>
  </si>
  <si>
    <t>Support Plate</t>
  </si>
  <si>
    <t>PG10.5.5.4.1</t>
  </si>
  <si>
    <t>Linear Bearing Block</t>
  </si>
  <si>
    <t>PG10.5.5.4.2</t>
  </si>
  <si>
    <t>Linear Shaft Adapter</t>
  </si>
  <si>
    <t>PG10.5.5.4.3</t>
  </si>
  <si>
    <t>Cuff Nail Adapter</t>
  </si>
  <si>
    <t>PG10.5.5.4.4</t>
  </si>
  <si>
    <t>Cuff Insert Nail</t>
  </si>
  <si>
    <t>PG10.5.5.4</t>
  </si>
  <si>
    <t>Cuff Gusset</t>
  </si>
  <si>
    <t>PG10.5.5.5</t>
  </si>
  <si>
    <t>Water Coupling Bracket</t>
  </si>
  <si>
    <t>PG10.5.5.6</t>
  </si>
  <si>
    <t>Water Hose Weight</t>
  </si>
  <si>
    <t>PG10.5.6.1.1</t>
  </si>
  <si>
    <t>ESC MOUNT B SIDE</t>
  </si>
  <si>
    <t>PG10.5.6.1.2</t>
  </si>
  <si>
    <t>ESC PLATE B SIDE</t>
  </si>
  <si>
    <t>PG10.5.6.1.3</t>
  </si>
  <si>
    <t>CUFF DEADNEST B SIDE</t>
  </si>
  <si>
    <t>PG10.5.6.1.4</t>
  </si>
  <si>
    <t>ESC FINGER 1 B SIDE</t>
  </si>
  <si>
    <t>PG10.5.6.1.5</t>
  </si>
  <si>
    <t>ESC FINGER 2 B SIDE</t>
  </si>
  <si>
    <t>PG10.5.6.1.6</t>
  </si>
  <si>
    <t>ESC GUIDE B SIDE</t>
  </si>
  <si>
    <t>PG10.5.6.2.1</t>
  </si>
  <si>
    <t>SHUTTLE TABLE PLATE B SIDE</t>
  </si>
  <si>
    <t>PG10.5.6.2.2</t>
  </si>
  <si>
    <t>SHUTTLE BRACKET</t>
  </si>
  <si>
    <t>PG10.5.6.2</t>
  </si>
  <si>
    <t>LIFT MID PLATE B SIDE</t>
  </si>
  <si>
    <t>PG10.5.7.1</t>
  </si>
  <si>
    <t>CUFF SEAL PLATE</t>
  </si>
  <si>
    <t>PG10.5.7.2</t>
  </si>
  <si>
    <t>SEAL ALIGNMENT PLATE</t>
  </si>
  <si>
    <t>PG10.5.7.3</t>
  </si>
  <si>
    <t>SEAL THREAD ADAPTER</t>
  </si>
  <si>
    <t>PG10.6.1.1</t>
  </si>
  <si>
    <t>SIDE PLATE</t>
  </si>
  <si>
    <t>PG10.6.1.10</t>
  </si>
  <si>
    <t>BRAKE SPACER</t>
  </si>
  <si>
    <t>PG10.6.1.11</t>
  </si>
  <si>
    <t>LINEAR SHAFT BRACKET</t>
  </si>
  <si>
    <t>PG10.6.1.12</t>
  </si>
  <si>
    <t>LINEAR SHAFT SUPPORT</t>
  </si>
  <si>
    <t>PG10.6.1.13</t>
  </si>
  <si>
    <t>Adjustment Shaft-Long</t>
  </si>
  <si>
    <t>PG10.6.1.14</t>
  </si>
  <si>
    <t>Adjustment Shaft-Short</t>
  </si>
  <si>
    <t>Material by Nuline</t>
  </si>
  <si>
    <t>PG10.6.1.15</t>
  </si>
  <si>
    <t>CROSSWEB ADJUST SHAFT</t>
  </si>
  <si>
    <t>Use Rev B New part added on 8/5 by EL</t>
  </si>
  <si>
    <t>Use Rev B</t>
  </si>
  <si>
    <t>PG10.6.1.18</t>
  </si>
  <si>
    <t>SPUR GEAR GUARD</t>
  </si>
  <si>
    <t>PG10.4.2.12.1</t>
  </si>
  <si>
    <t>PG10.6.1.2</t>
  </si>
  <si>
    <t>CROSSWEB RAIL PLATE</t>
  </si>
  <si>
    <t>PG10.4.2.11.1</t>
  </si>
  <si>
    <t>PG10.6.1.3</t>
  </si>
  <si>
    <t>LINEAR SHAFT PLATE-DUAL</t>
  </si>
  <si>
    <t>PG10.6.1.4</t>
  </si>
  <si>
    <t>LINEAR SHAFT CLAMP</t>
  </si>
  <si>
    <t>PG10.6.1.5</t>
  </si>
  <si>
    <t>BEARING PLATE</t>
  </si>
  <si>
    <t>PG10.6.1.6</t>
  </si>
  <si>
    <t>Geared Handwheel Plate</t>
  </si>
  <si>
    <t>PG10.6.1.7</t>
  </si>
  <si>
    <t>Bearing Axel</t>
  </si>
  <si>
    <t>PG10.6.1.8</t>
  </si>
  <si>
    <t>DUAL HANDWHEEL PLATE</t>
  </si>
  <si>
    <t>PG10.6.1.9</t>
  </si>
  <si>
    <t>Brake Mounting Plate</t>
  </si>
  <si>
    <t>PG10.6.10.1.1</t>
  </si>
  <si>
    <t>INSERT STRUT</t>
  </si>
  <si>
    <t>WAITING ON AFS TO RELEASE</t>
  </si>
  <si>
    <t>PG10.6.10.1.2</t>
  </si>
  <si>
    <t>6-INCH INSERT</t>
  </si>
  <si>
    <t>16 GAUGE #2B</t>
  </si>
  <si>
    <t>PG10.6.10.1</t>
  </si>
  <si>
    <t>Singulator Side Plate R</t>
  </si>
  <si>
    <t>PG10.6.10.10</t>
  </si>
  <si>
    <t>Back Brace</t>
  </si>
  <si>
    <t>PG10.6.10.11</t>
  </si>
  <si>
    <t>Side Plate Stationary R</t>
  </si>
  <si>
    <t>PG10.6.10.12</t>
  </si>
  <si>
    <t>Side Plate Stationary L</t>
  </si>
  <si>
    <t>PG10.6.10.13</t>
  </si>
  <si>
    <t>SPACING PLATE</t>
  </si>
  <si>
    <t>PG10.6.10.2.1</t>
  </si>
  <si>
    <t>Tube Singulated Sensor Bracket</t>
  </si>
  <si>
    <t>PG10.6.10.2</t>
  </si>
  <si>
    <t>Singulator Side Plate L</t>
  </si>
  <si>
    <t>PG10.6.10.3</t>
  </si>
  <si>
    <t>Actuator Mount Plate</t>
  </si>
  <si>
    <t>PG10.6.10.4</t>
  </si>
  <si>
    <t>Back Stop Sheet Metal</t>
  </si>
  <si>
    <t>16 GUAGE Polished</t>
  </si>
  <si>
    <t>PG10.6.10.5</t>
  </si>
  <si>
    <t>Ramp Sheet Metal Slide</t>
  </si>
  <si>
    <t>PG10.6.10.6</t>
  </si>
  <si>
    <t>Squisher Mount Bar</t>
  </si>
  <si>
    <t>PG10.6.10.7</t>
  </si>
  <si>
    <t>Tube Squisher</t>
  </si>
  <si>
    <t>PG10.6.10.8</t>
  </si>
  <si>
    <t>Pin Mount Bar</t>
  </si>
  <si>
    <t>PG10.6.10.9</t>
  </si>
  <si>
    <t>Depth Stopper Plate</t>
  </si>
  <si>
    <t>PG10.6.2.1.1.1</t>
  </si>
  <si>
    <t>CYLINDER STOP BASE</t>
  </si>
  <si>
    <t>PG10.6.2.1.1.2</t>
  </si>
  <si>
    <t>STOP ADJUSTMENT BLOCK</t>
  </si>
  <si>
    <t>PG10.6.2.1.1.3</t>
  </si>
  <si>
    <t>CYLINDER STOP BLOCK</t>
  </si>
  <si>
    <t>PG10.6.2.1.1.4</t>
  </si>
  <si>
    <t>CYLINDER STOP CLAMP</t>
  </si>
  <si>
    <t>PG10.6.2.1.1</t>
  </si>
  <si>
    <t>PNP Mounting Plate</t>
  </si>
  <si>
    <t>PG10.6.2.1.2.1</t>
  </si>
  <si>
    <t>Bulkhead Bracket Upper A Side</t>
  </si>
  <si>
    <t>PG10.6.2.1.2.2</t>
  </si>
  <si>
    <t>Flow Control Bracket</t>
  </si>
  <si>
    <t>PG10.6.2.1.2</t>
  </si>
  <si>
    <t>Bearing Block</t>
  </si>
  <si>
    <t>PG10.6.2.1.3.1</t>
  </si>
  <si>
    <t>Actuator Mount Plate A Side</t>
  </si>
  <si>
    <t>PG10.6.2.1.3.2</t>
  </si>
  <si>
    <t>Profile Bearing Spacer</t>
  </si>
  <si>
    <t>PG10.6.2.1.3.3</t>
  </si>
  <si>
    <t>Round Bearing Spacer</t>
  </si>
  <si>
    <t>PG10.6.2.1.3.4</t>
  </si>
  <si>
    <t>Cylinder Stop</t>
  </si>
  <si>
    <t>PG10.6.2.1.4.1</t>
  </si>
  <si>
    <t>Gripper Mount Plate</t>
  </si>
  <si>
    <t>PG10.6.2.1.4.2</t>
  </si>
  <si>
    <t>Tube Gripper Block</t>
  </si>
  <si>
    <t>PG10.6.2.1.4.3</t>
  </si>
  <si>
    <t>Tube Gripper Mount</t>
  </si>
  <si>
    <t>PG10.6.2.1.4.4</t>
  </si>
  <si>
    <t>Bulkhead Bracket Lower</t>
  </si>
  <si>
    <t>PG10.6.2.1.5.1</t>
  </si>
  <si>
    <t>CUFF PRESENT SENSOR BRACKET</t>
  </si>
  <si>
    <t>PG10.6.2.2.1</t>
  </si>
  <si>
    <t>Pin Block</t>
  </si>
  <si>
    <t>PG10.6.2.2.2</t>
  </si>
  <si>
    <t xml:space="preserve">Pin </t>
  </si>
  <si>
    <t>PG10.6.2.2.3</t>
  </si>
  <si>
    <t>PG10.6.2.2.4</t>
  </si>
  <si>
    <t>Rotary Mount Plate</t>
  </si>
  <si>
    <t>PG10.6.2.2.5</t>
  </si>
  <si>
    <t>Rotary Gusset</t>
  </si>
  <si>
    <t>PG10.6.2.3.1.1</t>
  </si>
  <si>
    <t>TUBE PRESENT SENSOR BRACKET</t>
  </si>
  <si>
    <t>PG10.6.2.3.1</t>
  </si>
  <si>
    <t>Tube Pusher Block</t>
  </si>
  <si>
    <t>PG10.6.2.3.10</t>
  </si>
  <si>
    <t>Gusset Bracket A Side</t>
  </si>
  <si>
    <t>PG10.6.2.3.11</t>
  </si>
  <si>
    <t>Conveyor Bracket</t>
  </si>
  <si>
    <t>PG10.6.2.3.12</t>
  </si>
  <si>
    <t>Conveyor Bracket Washer</t>
  </si>
  <si>
    <t>PG10.6.2.3.2.1</t>
  </si>
  <si>
    <t>11-Inch Pusher Stop</t>
  </si>
  <si>
    <t>PG10.6.2.3.2</t>
  </si>
  <si>
    <t>Tube Pusher Plate</t>
  </si>
  <si>
    <t>Modify from Rev A</t>
  </si>
  <si>
    <t>PG10.6.2.3.3.1</t>
  </si>
  <si>
    <t>6-Inch Pusher Stop</t>
  </si>
  <si>
    <t>PG10.6.2.3.3</t>
  </si>
  <si>
    <t>Pusher Actuator Mount</t>
  </si>
  <si>
    <t>PG10.6.2.3.4</t>
  </si>
  <si>
    <t>Pusher Gusset Left</t>
  </si>
  <si>
    <t>PG10.6.2.3.5</t>
  </si>
  <si>
    <t>Pusher Gusset Right</t>
  </si>
  <si>
    <t>PG10.6.2.3.6</t>
  </si>
  <si>
    <t>Tube Pusher Mounting Plate</t>
  </si>
  <si>
    <t>PG10.6.2.3.7</t>
  </si>
  <si>
    <t>Pusher Bearing Block</t>
  </si>
  <si>
    <t>PG10.6.2.3.8</t>
  </si>
  <si>
    <t>Pusher Gusset Plate Top</t>
  </si>
  <si>
    <t>PG10.6.2.3.9</t>
  </si>
  <si>
    <t>Pusher Gusset Plate Bottom</t>
  </si>
  <si>
    <t>PG10.6.3.1.2.1</t>
  </si>
  <si>
    <t>Bulkhead Bracket Upper B Side</t>
  </si>
  <si>
    <t>PG10.6.3.1.3.1</t>
  </si>
  <si>
    <t>Actuator Mount Plate B Side</t>
  </si>
  <si>
    <t>PG10.6.3.3.10</t>
  </si>
  <si>
    <t>Gusset Bracket B Side</t>
  </si>
  <si>
    <t>PG10.6.4.1</t>
  </si>
  <si>
    <t>Cylinder Plate</t>
  </si>
  <si>
    <t>PG10.6.4.2</t>
  </si>
  <si>
    <t>Cuff Pin</t>
  </si>
  <si>
    <t>PG10.6.4.3</t>
  </si>
  <si>
    <t>Lead Screw Mounting Block</t>
  </si>
  <si>
    <t>ordered 8 more 55629</t>
  </si>
  <si>
    <t>PG10.6.4.4</t>
  </si>
  <si>
    <t>Lead Nut Modification</t>
  </si>
  <si>
    <t>P.O for material</t>
  </si>
  <si>
    <t>PG10.6.6.1.1</t>
  </si>
  <si>
    <t>Tube Pocket</t>
  </si>
  <si>
    <t>Waiting on final design (EL 8/6)</t>
  </si>
  <si>
    <t>PG10.6.6.1</t>
  </si>
  <si>
    <t>Tube Conveyor Mount Plate</t>
  </si>
  <si>
    <t>PG10.6.6.2.1</t>
  </si>
  <si>
    <t>Pocket Position Sensor Bracket</t>
  </si>
  <si>
    <t>PG10.6.8.1</t>
  </si>
  <si>
    <t>Tube Hopper Rail Plate</t>
  </si>
  <si>
    <t>PG10.6.9.1</t>
  </si>
  <si>
    <t>Conveyor Rail Plate</t>
  </si>
  <si>
    <t>PG10.6.9.2</t>
  </si>
  <si>
    <t>Transition Plate 1</t>
  </si>
  <si>
    <t>PG10.6.9.3</t>
  </si>
  <si>
    <t>Transition Plate 2</t>
  </si>
  <si>
    <t>PG10.7.1.1.1</t>
  </si>
  <si>
    <t>HANDWHEEL PLATE, 12MM TO 
14MM, SIDE SEAL</t>
  </si>
  <si>
    <t>PG10.7.1.1.2</t>
  </si>
  <si>
    <t>SIDE SEAL HANDWHEEL SHAFT</t>
  </si>
  <si>
    <t>PG10.7.1.1.4</t>
  </si>
  <si>
    <t>MODIFIED MCM 7758K31 Pushbutton Enclosure</t>
  </si>
  <si>
    <t>N/A</t>
  </si>
  <si>
    <t>PG10.7.1.1</t>
  </si>
  <si>
    <t>LEAD SCREW PLATE SIDE SEAL</t>
  </si>
  <si>
    <t>PG10.7.1.2.1</t>
  </si>
  <si>
    <t>SIDE SEAL RAIL PLATE</t>
  </si>
  <si>
    <t>PG10.7.1.2</t>
  </si>
  <si>
    <t>HANDWHEEL GEAR PLATE</t>
  </si>
  <si>
    <t>PG10.7.1.3.1</t>
  </si>
  <si>
    <t>MODIFIED HAMMOND C3RWT4324
4X4X24 WIRING TROUGH</t>
  </si>
  <si>
    <t>PG10.7.1.3</t>
  </si>
  <si>
    <t>PG10.7.1.4.1</t>
  </si>
  <si>
    <t>Web Support Shaft</t>
  </si>
  <si>
    <t>PG10.7.1.5.1</t>
  </si>
  <si>
    <t>TENSIONER CAP WASHER</t>
  </si>
  <si>
    <t>PG10.7.2.1.1</t>
  </si>
  <si>
    <t>PG10.7.2.1.2</t>
  </si>
  <si>
    <t>Side Seal Side Plate L</t>
  </si>
  <si>
    <t>PG10.7.2.1.3</t>
  </si>
  <si>
    <t>Side Seal Side Plate R</t>
  </si>
  <si>
    <t>PG10.7.2.1.4</t>
  </si>
  <si>
    <t>Side Seal Cassette Strut</t>
  </si>
  <si>
    <t>NEED TO ADD CLEARANCE HOLES TO TWO</t>
  </si>
  <si>
    <t>PG10.7.2.10.1</t>
  </si>
  <si>
    <t>ERGO Guide Standoff</t>
  </si>
  <si>
    <t>PG10.7.2.10.2</t>
  </si>
  <si>
    <t>ERGO Guide Support Bar</t>
  </si>
  <si>
    <t>PG10.7.2.2.1</t>
  </si>
  <si>
    <t>Side Seal Crank Shaft</t>
  </si>
  <si>
    <t>PG10.7.2.2.2</t>
  </si>
  <si>
    <t>Seal Bar Gearbox Plate</t>
  </si>
  <si>
    <t>PG10.7.2.2.3</t>
  </si>
  <si>
    <t>PG10.7.2.2.4</t>
  </si>
  <si>
    <t>Large Gearbox Offset Block</t>
  </si>
  <si>
    <t>PG10.7.2.2.5</t>
  </si>
  <si>
    <t>Crankshaft Bearing Mount Plate</t>
  </si>
  <si>
    <t>PG10.7.2.3.1</t>
  </si>
  <si>
    <t>Lower Center Seal Bar</t>
  </si>
  <si>
    <t>PG10.7.2.3.2</t>
  </si>
  <si>
    <t>Side Seal Mid Bar</t>
  </si>
  <si>
    <t>PG10.7.2.3.3</t>
  </si>
  <si>
    <t>Side Seal Die Cap</t>
  </si>
  <si>
    <t>PG10.7.2.3.4</t>
  </si>
  <si>
    <t>Side Seal Mounting Tube</t>
  </si>
  <si>
    <t>PG10.7.2.3.5</t>
  </si>
  <si>
    <t>Lower Side Seal Silicone</t>
  </si>
  <si>
    <t>SILICONE RUBBER</t>
  </si>
  <si>
    <t>PG10.7.2.3.6</t>
  </si>
  <si>
    <t>MODIFIED MCM 9604T190 Steel Flanged Shaft Collar, 30mm Dia</t>
  </si>
  <si>
    <t>MCM 9604T190</t>
  </si>
  <si>
    <t>Act part # 1LM030AFXK</t>
  </si>
  <si>
    <t>PG10.7.2.4.1</t>
  </si>
  <si>
    <t>Runner Block Plate</t>
  </si>
  <si>
    <t>PG10.7.2.5.1</t>
  </si>
  <si>
    <t>Crankshaft Block</t>
  </si>
  <si>
    <t>PG10.7.2.5.2</t>
  </si>
  <si>
    <t>Linear Shaft Clamp</t>
  </si>
  <si>
    <t>PG10.7.2.5.3</t>
  </si>
  <si>
    <t>MODIFIED MCM 6536N71 BALL 
JOINT ROD END</t>
  </si>
  <si>
    <t>PG10.7.2.5.4</t>
  </si>
  <si>
    <t>MODIFIED MCM 95245A155 STEEL 
THREADED ROD</t>
  </si>
  <si>
    <t>MCM 95245A155 - 1000mm = 16 PARTS
Length</t>
  </si>
  <si>
    <t>PG10.7.2.6.1</t>
  </si>
  <si>
    <t>SIDE SEAL TEFLON ROLL SHAFT</t>
  </si>
  <si>
    <t>PG10.7.2.6.2</t>
  </si>
  <si>
    <t>Teflon Roll Holder</t>
  </si>
  <si>
    <t>PG10.7.2.6.3</t>
  </si>
  <si>
    <t>TEFLON ROLL BRACKET</t>
  </si>
  <si>
    <t>PG10.7.2.6.4</t>
  </si>
  <si>
    <t>Teflon Roll Axle Clamp</t>
  </si>
  <si>
    <t>PG10.7.2.8.1</t>
  </si>
  <si>
    <t xml:space="preserve">Modified IGUS Flanged Lead Nut </t>
  </si>
  <si>
    <t>PG10.7.2.9.1</t>
  </si>
  <si>
    <t>Runner Block Plate No Brake</t>
  </si>
  <si>
    <t>PG10.7.3.2.1</t>
  </si>
  <si>
    <t>Upper Side Seal Bar</t>
  </si>
  <si>
    <t>PG10.7.7.1.1</t>
  </si>
  <si>
    <t>UPPER CENTER SIDE SEAL BAR</t>
  </si>
  <si>
    <t>PG10.7.7.1</t>
  </si>
  <si>
    <t>Tube Guide For Side Seal</t>
  </si>
  <si>
    <t>PG10.8.1.1.1</t>
  </si>
  <si>
    <t>Cross Side Seal Plate L</t>
  </si>
  <si>
    <t>PG10.8.1.1.2</t>
  </si>
  <si>
    <t>Cross Side Seal Plate R</t>
  </si>
  <si>
    <t>PG10.8.1.1.3</t>
  </si>
  <si>
    <t>Cross Seal Cassette Strut</t>
  </si>
  <si>
    <t>PG10.8.1.2.1</t>
  </si>
  <si>
    <t>CROSS SEAL CRANKSHAFT</t>
  </si>
  <si>
    <t>PG10.8.1.3.1</t>
  </si>
  <si>
    <t>LOWER CROSS SEAL BAR</t>
  </si>
  <si>
    <t>PG10.8.1.3.2</t>
  </si>
  <si>
    <t>CROSS SEAL MID BAR</t>
  </si>
  <si>
    <t>PG10.8.1.3.3</t>
  </si>
  <si>
    <t>CROSS SEAL DIE CAP</t>
  </si>
  <si>
    <t>PG10.8.1.3.4</t>
  </si>
  <si>
    <t>CROSS SEAL MOUNTING TUBE</t>
  </si>
  <si>
    <t>PG10.8.1.3.5</t>
  </si>
  <si>
    <t>Lower Cross Seal Silicone</t>
  </si>
  <si>
    <t>55620 for material</t>
  </si>
  <si>
    <t>PG10.8.1.4.1</t>
  </si>
  <si>
    <t>MODIFIED 1-PLUG HAMMOND 
C3RWT412 4X4X12 WIRING 
TROUGH</t>
  </si>
  <si>
    <t>PURCHASED</t>
  </si>
  <si>
    <t>HAMMOND C3RWT412</t>
  </si>
  <si>
    <t>PG10.8.1.5.1</t>
  </si>
  <si>
    <t>CROSS SEAL TEFLON ROLL SHAFT</t>
  </si>
  <si>
    <t>PG10.8.2.2.1</t>
  </si>
  <si>
    <t>UPPER CROSS SEAL BAR</t>
  </si>
  <si>
    <t>PG10.8.3.1</t>
  </si>
  <si>
    <t>CROSS SEAL SIDE PLATE</t>
  </si>
  <si>
    <t>PG10.8.3.2</t>
  </si>
  <si>
    <t>Thick Brake Spacer</t>
  </si>
  <si>
    <t>PG10.8.3.3</t>
  </si>
  <si>
    <t>Tube Protector</t>
  </si>
  <si>
    <t>16 GAUGE, #4B</t>
  </si>
  <si>
    <t>PG10.8.3.4</t>
  </si>
  <si>
    <t>CS Spur Gear Guard A Side</t>
  </si>
  <si>
    <t>PG10.8.3.5</t>
  </si>
  <si>
    <t>CS Spur Gear Guard B Side</t>
  </si>
  <si>
    <t>PG10.8.4.1</t>
  </si>
  <si>
    <t>TOE ROLLER POST RH</t>
  </si>
  <si>
    <t>PG10.8.4.2</t>
  </si>
  <si>
    <t>TOE ROLLER POST LH</t>
  </si>
  <si>
    <t>PG10.8.4.3</t>
  </si>
  <si>
    <t>TOE ROLLER POST MOUNT</t>
  </si>
  <si>
    <t>PG10.8.4.4</t>
  </si>
  <si>
    <t>TOE ROLLER WEIGHT</t>
  </si>
  <si>
    <t>PG10.8.4.5</t>
  </si>
  <si>
    <t>PIVOT SHAFT</t>
  </si>
  <si>
    <t>PG10.8.4.6</t>
  </si>
  <si>
    <t>STATIONARY SHAFT</t>
  </si>
  <si>
    <t>PG10.9.1.1</t>
  </si>
  <si>
    <t>Flying Knife Side A Plate</t>
  </si>
  <si>
    <t>PG10.9.1.2</t>
  </si>
  <si>
    <t>Flying Knife Side B Plate</t>
  </si>
  <si>
    <t>PG10.9.1.3</t>
  </si>
  <si>
    <t>KNIFE ANVIL HOLDER</t>
  </si>
  <si>
    <t>PG10.9.1.4</t>
  </si>
  <si>
    <t>KNIFE ANVIL</t>
  </si>
  <si>
    <t>AISI Type A2 Tool Steel</t>
  </si>
  <si>
    <t>HEAT TREAT TO 60RC; THEN 
BLANCHARD GRIND TO 
DIMENSION</t>
  </si>
  <si>
    <t>Detailed Mach</t>
  </si>
  <si>
    <t>PG10.9.1.5</t>
  </si>
  <si>
    <t>E-CHAIN TRAY</t>
  </si>
  <si>
    <t>PG10.9.1.6</t>
  </si>
  <si>
    <t>Flying Knife Web Support</t>
  </si>
  <si>
    <t>18 GAUGE #2B</t>
  </si>
  <si>
    <t>PG10.9.2.1</t>
  </si>
  <si>
    <t>ACTUATOR MOUNT PLATE</t>
  </si>
  <si>
    <t>PG10.9.3.1</t>
  </si>
  <si>
    <t>KNIFE MOUNT PLATE</t>
  </si>
  <si>
    <t>PG10.9.3.2</t>
  </si>
  <si>
    <t>KNIFE MOUNT WEDGE</t>
  </si>
  <si>
    <t>PG10.9.3.3</t>
  </si>
  <si>
    <t>E-CHAIN SUPPORT</t>
  </si>
  <si>
    <t>PG10.9.4.1</t>
  </si>
  <si>
    <t>HOLD DOWN MOUNT</t>
  </si>
  <si>
    <t>10 GAUGE #2B</t>
  </si>
  <si>
    <t>PG10.9.4.2</t>
  </si>
  <si>
    <t>HOLD DOWN</t>
  </si>
  <si>
    <t>AISI 1020 Steel, Cold Rolled</t>
  </si>
  <si>
    <t>PG10.9.4.3</t>
  </si>
  <si>
    <t>KNIFE CLAMP RUBBER</t>
  </si>
  <si>
    <t>ADHESIVE</t>
  </si>
  <si>
    <t>PG10.9.5.1</t>
  </si>
  <si>
    <t>PIVOT BRACKET</t>
  </si>
  <si>
    <t>PG10.9.5.2</t>
  </si>
  <si>
    <t>WHEEL ARM</t>
  </si>
  <si>
    <t>PG10.9.6.1</t>
  </si>
  <si>
    <t>KNIFE MANIFOLD PLATE</t>
  </si>
  <si>
    <t>PG10.10.2.1.3</t>
  </si>
  <si>
    <t>Modified MCM 90510A245_Fully Threaded T-Slot Nut</t>
  </si>
  <si>
    <t>PG10.10.1.13.1</t>
  </si>
  <si>
    <t>Purchased</t>
  </si>
  <si>
    <t>PK QTY</t>
  </si>
  <si>
    <t>BOM QTY</t>
  </si>
  <si>
    <t>ORDER QTY</t>
  </si>
  <si>
    <t>Still Need to Order?</t>
  </si>
  <si>
    <t>QB REC QTY</t>
  </si>
  <si>
    <t>ACT REC QTY</t>
  </si>
  <si>
    <t>ITV model 20 1/4in port size</t>
  </si>
  <si>
    <t>SMC</t>
  </si>
  <si>
    <t>2x more on PO 55667 (EL 8/7)</t>
  </si>
  <si>
    <t>R911172542</t>
  </si>
  <si>
    <t>BRC S20-DO-16/1 IO Block, 16 Point-Digital Output</t>
  </si>
  <si>
    <t>BRC</t>
  </si>
  <si>
    <t>AAP</t>
  </si>
  <si>
    <t>R911172543</t>
  </si>
  <si>
    <t>BRC S20-DI-16/1 IO Block, 16 Point-Digital Input</t>
  </si>
  <si>
    <t>R911173397</t>
  </si>
  <si>
    <t>BRC XFE01.1-FB-03 BUS ADAPTOR</t>
  </si>
  <si>
    <t>R911370638</t>
  </si>
  <si>
    <t>BRC PLC, XM2200.01-01-31-31-301-NN-101NNNN</t>
  </si>
  <si>
    <t>R911331601</t>
  </si>
  <si>
    <t>BRC HCS01.1E-W0005-A-03-B-ET-EC-NN-L4-NN-FW</t>
  </si>
  <si>
    <t>R911331605</t>
  </si>
  <si>
    <t>BRC HCS01.1E-W0008-A-03-B-ET-EC-NN-L4-NN-FW Servo Drive, 8A</t>
  </si>
  <si>
    <t>R911331611</t>
  </si>
  <si>
    <t>BRC HCS01.1E-W0028-A-03-B-ET-EC-NN-L4-NN-FW Servo Drive, 28A</t>
  </si>
  <si>
    <t>R911347143</t>
  </si>
  <si>
    <t>BRC GT FWA-INDRV*-MPB-20VRS-D5-1-SNC-NN Drive IndraDrive: Firmware</t>
  </si>
  <si>
    <t xml:space="preserve">BRL ball rail 140mm L 25mm nominal size </t>
  </si>
  <si>
    <t>BRL</t>
  </si>
  <si>
    <t>R+W Coupling Housing Inline Kit</t>
  </si>
  <si>
    <t>BRL - CKR090/1496/MA06/01/08/02/15L Dimension - 1496mm MA06 clamp hub on left / stub shaft on right, 001 Main body without centering holes, 008 With clamping hub and flange, 002 Long Carriage, Without Motor</t>
  </si>
  <si>
    <t>15mm Ball Rail L-400mm T-20mm</t>
  </si>
  <si>
    <t>R164510341/400</t>
  </si>
  <si>
    <t>Actuator 2-Hole Clamp</t>
  </si>
  <si>
    <t>25MM BALL RAIL, 1524MM LENGTH, T-34MM</t>
  </si>
  <si>
    <t>25MM BALL RAIL, 1500MM LENGTH, T-30MM</t>
  </si>
  <si>
    <t>25MM BALL RAIL, 1740MM LENGTH, T-30MM</t>
  </si>
  <si>
    <t>15MM BALL RAIL, 1120MM LENGTH, T-20MM</t>
  </si>
  <si>
    <t>15MM BALL RAIL, 1140MM LENGTH, T-30MM</t>
  </si>
  <si>
    <t>15MM BALL RAIL, 450MM LENGTH, T-15MM</t>
  </si>
  <si>
    <t>15MM BALL RAIL, 600MM LENGTH, T-30MM</t>
  </si>
  <si>
    <t>BRL Linear Guide Runner Block Sz 25, Standard Flange</t>
  </si>
  <si>
    <t>Ordered 16 additional PO 55645</t>
  </si>
  <si>
    <t>55551, 55645</t>
  </si>
  <si>
    <t>15mm C1 Preload Runner Block</t>
  </si>
  <si>
    <t>Ordered 24 additional PO 55645</t>
  </si>
  <si>
    <t>55561, 55645</t>
  </si>
  <si>
    <t>BRX GOTO T-HEAD BOLT HS10-M8X25</t>
  </si>
  <si>
    <t>BRX</t>
  </si>
  <si>
    <t>200 additional quantity added to 55710</t>
  </si>
  <si>
    <t>BRX GOTO T-NUT 10 M8</t>
  </si>
  <si>
    <t>400 additional quantity added to 55710</t>
  </si>
  <si>
    <t>BRX GOTO T-NUT 10 M4</t>
  </si>
  <si>
    <t>100 additional quantity added to 55710</t>
  </si>
  <si>
    <t>BRX GOTO T-NUT 10 M5</t>
  </si>
  <si>
    <t>BRX GOTO T-NUT 10 M6</t>
  </si>
  <si>
    <t>Bracket Gusset 90x90 Set</t>
  </si>
  <si>
    <t>BRX 3842548758 Cover Cap 90x90 Grey</t>
  </si>
  <si>
    <t>BRX 45X45 Frame Gusset</t>
  </si>
  <si>
    <t>2 additional quantity added to 55710</t>
  </si>
  <si>
    <t>BRX 45X45 GREY END CAP</t>
  </si>
  <si>
    <t>BRX 45X90 GREY END CAP</t>
  </si>
  <si>
    <t>SLOT PROFILE SCHWARZ</t>
  </si>
  <si>
    <t>T-SLOT STONE 10 M8</t>
  </si>
  <si>
    <t>M8 SWIVEL-IN SLIDING BLOCK N10</t>
  </si>
  <si>
    <t>BRX GOTO VARIOFIX BLOCK S,N10,40/45,GREY</t>
  </si>
  <si>
    <t>BRX GOTO T-SLOT STONE 10 M6</t>
  </si>
  <si>
    <t>BRX GOTO HINGE AL 45/45, 2PK</t>
  </si>
  <si>
    <t>Nuline has 40X Quantity</t>
  </si>
  <si>
    <t>BRX 3842529323 - M6 SLIDING BLOCK</t>
  </si>
  <si>
    <t>Non-spill 1/8 Hose Barb Valved Panel Mount Coupling Body</t>
  </si>
  <si>
    <t>CPC</t>
  </si>
  <si>
    <t>Replaced with MCM 5012K34</t>
  </si>
  <si>
    <t>Non-spill 1/8 Hose Barb Valved Elbow Coupling Insert</t>
  </si>
  <si>
    <t>Replaced with MCM 51545K92</t>
  </si>
  <si>
    <t>2200 Series Bottom Mount Pkg, A Position</t>
  </si>
  <si>
    <t>DORNER</t>
  </si>
  <si>
    <t>2200 Series Bottom Mount Pkg, D Position</t>
  </si>
  <si>
    <t>DORNER CONFIG D11452542 CUFF A SIDE CONVEYOR</t>
  </si>
  <si>
    <t>DORNER CONFIG D11383301 CUFF B SIDE CONVEYOR</t>
  </si>
  <si>
    <t>48in wide x 4645mm long conveyor belt</t>
  </si>
  <si>
    <t>Lower Cleated Delivery Conveyor D1134619132V2 32CTM48-0569600AC02797</t>
  </si>
  <si>
    <t>Bottom Mounting Pkg</t>
  </si>
  <si>
    <t>Dorner Precision Move Servo Mount Pkg, B position</t>
  </si>
  <si>
    <t>32MSHRC</t>
  </si>
  <si>
    <t>Dorner Precision Move Servo Mount Pkg, C position</t>
  </si>
  <si>
    <t>VFD Gearmotor</t>
  </si>
  <si>
    <t>Dorner Precision Move Conveyor Servo Mount B Position</t>
  </si>
  <si>
    <t>Dorner Precision Move Conveyor Servo Mount C Position</t>
  </si>
  <si>
    <t>2200 SERIES TABLETOP MOUNT BRACKET</t>
  </si>
  <si>
    <t>M6X1.0 SINGLE HOLE T-BAR</t>
  </si>
  <si>
    <t>IN NULINE STOCK, DON’T ORDER</t>
  </si>
  <si>
    <t>DORNER T-BAR, 2-HOLE M6X1.0 2.5IN LONG</t>
  </si>
  <si>
    <t>HMI 15.6” TFT 1366x768, PCAP Touchscreen, 8 GB Flash memory, 3x Ethernet 
ports, JMobile runtime</t>
  </si>
  <si>
    <t>EXOR</t>
  </si>
  <si>
    <t>Key lock station with no reset, ITM 00673197_A768146</t>
  </si>
  <si>
    <t>Fortress</t>
  </si>
  <si>
    <t>Fortress Standard tGard Key</t>
  </si>
  <si>
    <t>Rexroth ball rail guide 25mm width 236mm L</t>
  </si>
  <si>
    <t>Rexroth</t>
  </si>
  <si>
    <t>R160520131 L-236mm  T-28mm from GF12</t>
  </si>
  <si>
    <t>MPA 251TSTP0 Cylinder Sensor 251mm L</t>
  </si>
  <si>
    <t>SICK</t>
  </si>
  <si>
    <t>Double acting single rod air cylinder 32mm bore 250mm L</t>
  </si>
  <si>
    <t>CDQ2 compact cylinder double acting single rod 80mm bore 25mm stroke</t>
  </si>
  <si>
    <t>Switch Spacer for D-M9PSAPC</t>
  </si>
  <si>
    <t>4 more PO 55692</t>
  </si>
  <si>
    <t>CDJ2-Z Double Acting Single Rod Air Cylinder, 10mm bore, 75mm stroke</t>
  </si>
  <si>
    <t>CDM2 air cylinder, axial foot, 32mm bore, 300mm stroke, air cusion</t>
  </si>
  <si>
    <t>25 x 20 cylinder</t>
  </si>
  <si>
    <t>CDQ2 ACTUATOR, ANTI-ROTATION, 50MM BORE, 50MM STROKE, BOTH ENDS 
TAPPED</t>
  </si>
  <si>
    <t>Guided Cylinder</t>
  </si>
  <si>
    <t>CDQ compact air cylinder, 32mm bore, 50mm stroke</t>
  </si>
  <si>
    <t>Auto Switch, Solid State, General Purpose, M8-3Pin Connector, 0.5m Cord 
Length</t>
  </si>
  <si>
    <t>10 more PO 55692</t>
  </si>
  <si>
    <t>JA floating joint, 25/30mm bore, M10 thread</t>
  </si>
  <si>
    <t>2-FINGER ESCAPEMENT, 12MM BORE, 12MM STROKE</t>
  </si>
  <si>
    <t>MSQ, Rotary Table, Rack &amp; Pinion, Shock Absorber, 20 mm</t>
  </si>
  <si>
    <t>RODLESS ACTUATOR, MECHANICALLY COUPLED, CAM FOLLOWER TYPE</t>
  </si>
  <si>
    <t>MY3 Rodless cylinder, 16mm bore, 200mm stroke</t>
  </si>
  <si>
    <t>MY3 Rodless cylinder, 25mm bore, 200mm stroke</t>
  </si>
  <si>
    <t>Floating bracket for MY3 series 25mm bore</t>
  </si>
  <si>
    <t>Regulator with 1/4in port size, w/o backflow function</t>
  </si>
  <si>
    <t>Speed Controller, 100 series 4mm tubing</t>
  </si>
  <si>
    <t>Speed controller flange 10 series</t>
  </si>
  <si>
    <t>Speed Controller One Touch Fitting, 6mm dia tubing</t>
  </si>
  <si>
    <t>1/4 body size speed controller with 8mm Dia one touch fittings</t>
  </si>
  <si>
    <t>Speed controller flange 20 series</t>
  </si>
  <si>
    <t>Speed Controller, Elbow, One Touch Fitting1/8 port to 6mm dia tubing</t>
  </si>
  <si>
    <t>Flange for 25 series speed controller</t>
  </si>
  <si>
    <t>8MM Speed controller</t>
  </si>
  <si>
    <t>BRACKET FOR 30 SERIES SPEED CONTROLLER</t>
  </si>
  <si>
    <t>Autoswitch Mount 11mm dia</t>
  </si>
  <si>
    <t>Mounting bracket for auto switch</t>
  </si>
  <si>
    <t>KQ2 uni fit one touch fitting, bulk head, straight, 6mm dia tubing both</t>
  </si>
  <si>
    <t>KQ2 uni fit one touch fitting, bulk head, straight, 6mm dia tubing, 1/8 port</t>
  </si>
  <si>
    <t xml:space="preserve">4mm to 6mm quick connect </t>
  </si>
  <si>
    <t>Metric M5 to 4mm hose quick connect</t>
  </si>
  <si>
    <t>1/8 UNI to 4mm Tube Fitting</t>
  </si>
  <si>
    <t>KQ2 unifit, straight, 6mm dia tubing, M5 port</t>
  </si>
  <si>
    <t>KQ2 unifit straight fitting 1/8in port to 6mm dia tubing</t>
  </si>
  <si>
    <t>FITTING</t>
  </si>
  <si>
    <t>KQ2 straight fitting 1/4in port size to 8mm dia tubing</t>
  </si>
  <si>
    <t>SMC unifit , elbow, 4mm to 4mm</t>
  </si>
  <si>
    <t>KQ2 unifit, elbow, 4mm dia tubing both</t>
  </si>
  <si>
    <t>KQ2 unifit, elbow, 4mm dia tubing, M5 port</t>
  </si>
  <si>
    <t>20 more PO 55692</t>
  </si>
  <si>
    <t>KQ2 unifit, one touch fitting, 4mm D to 1/8in port male elbow</t>
  </si>
  <si>
    <t>KQ2 one touch fitting, elbow, 6mm dia tubing, plug in male end 6mm dia</t>
  </si>
  <si>
    <t>KQ2, elbow fitting, 6mm dia, M5 port</t>
  </si>
  <si>
    <t>KQ2 unifit elbow 1/8 port to 6mm dia tubing</t>
  </si>
  <si>
    <t>1/4 UNI to 6mm Tube Fitting</t>
  </si>
  <si>
    <t>KQ2 one touch fitting, 8mm D elbow</t>
  </si>
  <si>
    <t>KQ2 AIR FITTING, 8MM PLUG-IN ELBOW</t>
  </si>
  <si>
    <t>KQ2 unifit, elbow, 8mm dia tubing, 1/8NPT</t>
  </si>
  <si>
    <t>KQ2 elbow fitting 1/4in port to 8mm tubing</t>
  </si>
  <si>
    <t>KQ2 elbow fitting 3/8in port to 8mm dia tubing</t>
  </si>
  <si>
    <t>8mm fitting to 4mm tube</t>
  </si>
  <si>
    <t>Fitting T</t>
  </si>
  <si>
    <t>check nuline qty first</t>
  </si>
  <si>
    <t>Splitting T</t>
  </si>
  <si>
    <t>KQ2 one touch fitting, 6mm to 8mm D T</t>
  </si>
  <si>
    <t>KQ2 fitting T junction 8mm tubing for all</t>
  </si>
  <si>
    <t>SMC Unifit 4way splitter</t>
  </si>
  <si>
    <t>High Speed, Rotary, One Touch Fitting, Elbow, 6mm Tubing</t>
  </si>
  <si>
    <t>SS5Y5 Nuline PG10 MANIFOLD 1 REV B</t>
  </si>
  <si>
    <t>SS5Y5 Nuline PG10 MANIFOLD 2 REV B</t>
  </si>
  <si>
    <t>SS5Y5 Nuline PG10 MANIFOLD 3,4,5 REV B</t>
  </si>
  <si>
    <t>SS5Y5 Nuline PG10 MANIFOLD 6,7 REV B</t>
  </si>
  <si>
    <t>SS5Y5 Nuline PG10 MANIFOLD 8,9 REV C</t>
  </si>
  <si>
    <t>KQ2P-08</t>
  </si>
  <si>
    <t>KQ2 fitting, 8mm plug</t>
  </si>
  <si>
    <t>SY5200-5U1</t>
  </si>
  <si>
    <t>SMC manifold 2 position double valve</t>
  </si>
  <si>
    <t>SY5300-5U1</t>
  </si>
  <si>
    <t>SMC manifold 3 position center closed valve</t>
  </si>
  <si>
    <t>SY5400-5U1</t>
  </si>
  <si>
    <t>5/3 solenoid valve exhaust center</t>
  </si>
  <si>
    <t>Custom Double Acting Single Rod</t>
  </si>
  <si>
    <t>Cuff 3-Position Actuator EL</t>
  </si>
  <si>
    <t>Cylinder 16mm Bore 20mm</t>
  </si>
  <si>
    <t>FLOATING JOINT FOR 40MM BORE SIZE, M14X1.5 THREAD</t>
  </si>
  <si>
    <t>6mm pneumatic T to 4mm</t>
  </si>
  <si>
    <t>Coil Tubing, 4mmOD, 2 Tubes</t>
  </si>
  <si>
    <t>Coiled tubing, 6mm OD 4mm OD, dual tubes</t>
  </si>
  <si>
    <t>KQ2 Unifit 1/2 in NPT to 10mm tubing</t>
  </si>
  <si>
    <t>SMC Silencer</t>
  </si>
  <si>
    <t>Soft Startup Valve with Lock Out</t>
  </si>
  <si>
    <t>Filter Regulator</t>
  </si>
  <si>
    <t>Pressure Switch with Piping Adapter</t>
  </si>
  <si>
    <t>Pressure Reilief 3 Port Valve</t>
  </si>
  <si>
    <t xml:space="preserve">Airprep Spacer </t>
  </si>
  <si>
    <t>Airprep Spacer with Bracket</t>
  </si>
  <si>
    <t>Pressure Gauge</t>
  </si>
  <si>
    <t>Silencer 3/4 NPT</t>
  </si>
  <si>
    <t>Gearmotor, Flying Knife P231SPSS0050EZ203U</t>
  </si>
  <si>
    <t>STOBER</t>
  </si>
  <si>
    <t>STOBER P531SPSS0100EZ503U
GEARMOTOR, NIPS</t>
  </si>
  <si>
    <t>Stober</t>
  </si>
  <si>
    <t>K302WG0200EZ502U Gearmotor, Lower Cross Seal</t>
  </si>
  <si>
    <t>K302WG0200EZ502U Gearmotor, Upper Cross Seal</t>
  </si>
  <si>
    <t>K302WG0200EZ502U Gearmotor, Upper Side Seal</t>
  </si>
  <si>
    <t>K302WG0200EZ502U Gearmotor, Lower Side Seal</t>
  </si>
  <si>
    <t>P331SPSS0070EZ402U Gearmotor, Cleated Delivery</t>
  </si>
  <si>
    <t>P431SPSS0080EZ502U Gearmotor, Retracting Belt Drive</t>
  </si>
  <si>
    <t>Stober P431SPSS0070EZ501U Gearmotor, Delivery Retractor</t>
  </si>
  <si>
    <t>KL202SG0080EZ402U Gearmotor, Tube Pocket Conveyor A</t>
  </si>
  <si>
    <t>KL202SG0080EZ402U Gearmotor, Tube Pocket Conveyor B</t>
  </si>
  <si>
    <t>K513WG0650EZ703U Gearmotor, Unwind</t>
  </si>
  <si>
    <t>STOBER 1-7/8" WOBBLE FREE BUSHING BUSHING FOR UNWIND</t>
  </si>
  <si>
    <t>STOBER - Power cable -56876, 7.5MTR</t>
  </si>
  <si>
    <t>STOBER - Power cable -56876, 10MTR</t>
  </si>
  <si>
    <t>STOBER - Encoder cable -57815, 7.5MTR</t>
  </si>
  <si>
    <t>STOBER - Encoder cable -57815, 10MTR</t>
  </si>
  <si>
    <t>STOBER - Power cable -56876, 15MTR</t>
  </si>
  <si>
    <t>STOBER - Encoder cable -57815, 15MTR</t>
  </si>
  <si>
    <t>STOBER ENCODER CABLE 57818, 18MTR</t>
  </si>
  <si>
    <t>STOBER POWER CABLE 56879, 18MTR</t>
  </si>
  <si>
    <t>1/8in NPT Bayonet Adapter</t>
  </si>
  <si>
    <t>ACROLAB</t>
  </si>
  <si>
    <t>Vendor is moving and late 8/01/24 JP</t>
  </si>
  <si>
    <t>Cartridge Heater 24.5in Cross Seal</t>
  </si>
  <si>
    <t>CARTRIDGE HEATER</t>
  </si>
  <si>
    <t>Cross Seal Iso Bar</t>
  </si>
  <si>
    <t>26in ISOBAR</t>
  </si>
  <si>
    <t>Thermocouple 24in Length</t>
  </si>
  <si>
    <t>Thermocouple 60in Length</t>
  </si>
  <si>
    <t>PG10 Cuff Bowl Feeder Assy</t>
  </si>
  <si>
    <t>AFS</t>
  </si>
  <si>
    <t>PG10 Tube Hopper and Conveyor Assy</t>
  </si>
  <si>
    <t>AUTO DIRECT</t>
  </si>
  <si>
    <t>Proximity Sensor, 3mm sensing distance</t>
  </si>
  <si>
    <t>MICRO DETECTORS</t>
  </si>
  <si>
    <t>1 IN NULINE STOCK</t>
  </si>
  <si>
    <t>Pushbutton, Green</t>
  </si>
  <si>
    <t>NITRA</t>
  </si>
  <si>
    <t>Pneumatic Switch for pushbutton</t>
  </si>
  <si>
    <t>WERMA terminal element, 70mm diameter, cage clamp, base or bracket mount, IP65. Cap and seal included.</t>
  </si>
  <si>
    <t>WERMA</t>
  </si>
  <si>
    <t>WERMA incandescent light element, 70mm diameter, red, permanent light function, 12-240 VAC/VDC, colored lens, IP65. Purchase bulb separately.</t>
  </si>
  <si>
    <t>WERMA incandescent light element, 70mm diameter, green, permanent light function, 12-240 VAC/VDC, colored lens, IP65. Purchase bulb separately.</t>
  </si>
  <si>
    <t>WERMA incandescent light element, 70mm diameter, yellow, permanent light function, 12-240 VAC/VDC, colored lens, IP65. Purchase bulb separately.</t>
  </si>
  <si>
    <t>WERMA stack light 70mm buzzer element, 85 dB at 1m, continuous or pulse tone(s), 24 VAC/VDC, IP65.</t>
  </si>
  <si>
    <t>WERMA mounting bracket, 1-sided mount, black, polyamide.</t>
  </si>
  <si>
    <t>2-PIECE SHAFT COLLAR, 12MM ID, CHROME STEEL</t>
  </si>
  <si>
    <t>BDI</t>
  </si>
  <si>
    <t>Use BDI # 196670</t>
  </si>
  <si>
    <t>2-PIECE SHAFT COLLAR, 20MM ID, CHROME STEEL</t>
  </si>
  <si>
    <t>Use BDI # 196686</t>
  </si>
  <si>
    <t>500XL037 TIMING BELT</t>
  </si>
  <si>
    <t>Use BDI # 1109338</t>
  </si>
  <si>
    <t>XL Series Timing Belt, Trade No. 630xL037</t>
  </si>
  <si>
    <t>Use BDI # 1111545</t>
  </si>
  <si>
    <t>240XL037 TIMING BELT</t>
  </si>
  <si>
    <t>Use BDI # 1100730</t>
  </si>
  <si>
    <t>250XL037 TIMING BELT</t>
  </si>
  <si>
    <t>Use BDI # 1101292</t>
  </si>
  <si>
    <t>570XL037 TIMING BELT</t>
  </si>
  <si>
    <t>Use BDI # 1109842</t>
  </si>
  <si>
    <t>XL Series Timing Belt, Trade No. 260xL027</t>
  </si>
  <si>
    <t>LENGTH APPROVED (EL 7/10) use BDI #1101568</t>
  </si>
  <si>
    <t>Corrosion-Resistant Timing Belt Pulley</t>
  </si>
  <si>
    <t>BMF</t>
  </si>
  <si>
    <t>22707419 - 32XL037M6FA12</t>
  </si>
  <si>
    <t>L Series Corrosion-Resistant Timing Belt Pulley for 3/4" Maximum Belt Width, 
3.566" OD</t>
  </si>
  <si>
    <t>22699607 - 28L075-6FA6</t>
  </si>
  <si>
    <t>Clamping Shaft Coupling</t>
  </si>
  <si>
    <t>CLIMAX</t>
  </si>
  <si>
    <t># 196818 MISCC-20-20 , 20MM X 20MM BORE</t>
  </si>
  <si>
    <t>16MM ID Chrome Plated Steel Shaft Collar, Clamping Two-Piece</t>
  </si>
  <si>
    <t xml:space="preserve"># 196678 </t>
  </si>
  <si>
    <t>12mm ID Clamping Shaft Collar</t>
  </si>
  <si>
    <t># 196586</t>
  </si>
  <si>
    <t>Clamping Two-Piece Shaft Collar</t>
  </si>
  <si>
    <t># 193455</t>
  </si>
  <si>
    <t>Trade num ER16, Set Screw Collar Ball Bearing with Black-Oxide Steel Ring, 
Sealed, Number ER16, for 1" Diameter</t>
  </si>
  <si>
    <t>Emerson</t>
  </si>
  <si>
    <t>Trade num ER24, Set Screw Collar Ball Bearing with Black-Oxide Steel Ring, 
Sealed, Number ER24, for 1-1/2" Diameter</t>
  </si>
  <si>
    <t>Insert bearing 1.5in shaft dia</t>
  </si>
  <si>
    <t>Part # 21488716</t>
  </si>
  <si>
    <t>Gates prod num 78581708 taper-lock bushings 1.5in bore</t>
  </si>
  <si>
    <t>Gates</t>
  </si>
  <si>
    <t>Part # 1096412</t>
  </si>
  <si>
    <t>Prod num 78581632 1.3in bore bushing</t>
  </si>
  <si>
    <t>Part # 1096429</t>
  </si>
  <si>
    <t>Prod num 92572205 64 tooth belt 0.75in width</t>
  </si>
  <si>
    <t>Part # 1100721</t>
  </si>
  <si>
    <t>78817017, Timing Pulley - 0.3750 in Pitch, 28 Tooth, 0.7500 in Belt Width</t>
  </si>
  <si>
    <t>Part #  22738995</t>
  </si>
  <si>
    <t>Prod Num 95790014 80 tooth belt 30mm width</t>
  </si>
  <si>
    <t>Prod Num 77083035 30mm width sprocket</t>
  </si>
  <si>
    <t>2200-8MGT-30 Pulley Belt 30mm width</t>
  </si>
  <si>
    <t>30mm Shaft Fixed Alignment Ball Bearing</t>
  </si>
  <si>
    <t>NIPPON</t>
  </si>
  <si>
    <t>Part # KB30GUU</t>
  </si>
  <si>
    <t>Shaft-Mount Track Roller</t>
  </si>
  <si>
    <t>NTN</t>
  </si>
  <si>
    <t>Flange-Mounted Linear Ball Bearing, Round Flange, 25mm Shaft Diameter, 
112mm x 62mm x 62mm</t>
  </si>
  <si>
    <t>PBC</t>
  </si>
  <si>
    <t>#  21563309 EPF25GW</t>
  </si>
  <si>
    <t>Linear Motion Shaft, 1055 Carbon Steel, 12 mm Diameter, 500 mm Long</t>
  </si>
  <si>
    <t>Thomson</t>
  </si>
  <si>
    <t># 842907 - QS12mm 500</t>
  </si>
  <si>
    <t>XL Series Timing Belt, 31" 310XL037</t>
  </si>
  <si>
    <t>Timken</t>
  </si>
  <si>
    <t># 231062</t>
  </si>
  <si>
    <t>XL Series Timing Belt, Trade No. 330XL037 33"</t>
  </si>
  <si>
    <t># 231064</t>
  </si>
  <si>
    <t>XL Series Timing Belt, 42" 420XL037</t>
  </si>
  <si>
    <t># 231078</t>
  </si>
  <si>
    <t>Mounted Steel Ball Bearing with Cast Iron Housing</t>
  </si>
  <si>
    <t># 20353591</t>
  </si>
  <si>
    <t>Carolina Laser</t>
  </si>
  <si>
    <t>Laser engraved cycle RESET plate</t>
  </si>
  <si>
    <t>2.5in pipe to 0.5in FNPT</t>
  </si>
  <si>
    <t>PREVOST</t>
  </si>
  <si>
    <t xml:space="preserve">Compression Leasing Services </t>
  </si>
  <si>
    <t>2.5in pipe Clamp</t>
  </si>
  <si>
    <t>2.5 in pipe</t>
  </si>
  <si>
    <t>2.5in female elbow</t>
  </si>
  <si>
    <t>2.5in pipe Cap</t>
  </si>
  <si>
    <t>2in FNPT to 2.5in pipe</t>
  </si>
  <si>
    <t>2.5in pipe T Union</t>
  </si>
  <si>
    <t>PREVOST 2.5in straight connector</t>
  </si>
  <si>
    <t>SHR00N12</t>
  </si>
  <si>
    <t>Rotary Disconnect Handle</t>
  </si>
  <si>
    <t xml:space="preserve">EATON </t>
  </si>
  <si>
    <t>CRAVE</t>
  </si>
  <si>
    <t>STR1-SAFU10P8 Sensor and Actuator</t>
  </si>
  <si>
    <t>Do we need to send PO to Crave?</t>
  </si>
  <si>
    <t>Prod num ES21-SB13J1 emergency stop button</t>
  </si>
  <si>
    <t>Drawking 82KS076M1213XA-001 3in Air Shaft with Keway</t>
  </si>
  <si>
    <t>Double E</t>
  </si>
  <si>
    <t>SM100 F0 IU38.1 Idler Safety Chuck</t>
  </si>
  <si>
    <t>SM100 F1 IU38.1 Driven Safety Chuck</t>
  </si>
  <si>
    <t>Drawing 9P936, SRL-2500 Strip Shaft</t>
  </si>
  <si>
    <t>M8 Thru Black Bridge Handle EBP.200-8-C1</t>
  </si>
  <si>
    <t>ELESA</t>
  </si>
  <si>
    <t>M8 Tapped Black Bridge Handle EBP.200 B-M8-C1</t>
  </si>
  <si>
    <t>Lobe Knob with chain VCT.32 p-M6x20-LP-C9</t>
  </si>
  <si>
    <t>BSA-N51-12 SINDLE LOCKING BASE, 12MM SHAFT DIA</t>
  </si>
  <si>
    <t>Spindle Locking</t>
  </si>
  <si>
    <t>RB51-12 REDUCTION SLEEVE, 14MM TO 12MM</t>
  </si>
  <si>
    <t>Digital Position Indicator DD51-E-SST-IP65-C2</t>
  </si>
  <si>
    <t>GN 300.1-30-M4-12-SW Adjustable handles with threaded screw</t>
  </si>
  <si>
    <t>GN 300.1-78-M10-25-SW Adjustable handles with threaded screw</t>
  </si>
  <si>
    <t>GN 300.1-45-M6-16-SW M6 adjustable handle w threaded bolt</t>
  </si>
  <si>
    <t>GN 300.1-63-M8-25-SW Adjustable handles with threaded screw</t>
  </si>
  <si>
    <t>GN 322.3-125-B12-R FOLDING ALUMINUM HANDWHEEL</t>
  </si>
  <si>
    <t>Aluminum Handwheel GN 322.3-160-B14-R</t>
  </si>
  <si>
    <t>Clamping Levers with Eccentrical Cam, M6 thread GN.67091</t>
  </si>
  <si>
    <t>Actuator, Electrak HD, 24 Vdc, Dynamic Load: ball screw, 16 kN (3584 lbs), 
Max Stroke Length: 100 mm, Control: EXX + low-level signal motor switching1.5 
m long cables with flying leads</t>
  </si>
  <si>
    <t xml:space="preserve">Fiero </t>
  </si>
  <si>
    <t>ENERGY CHAIN</t>
  </si>
  <si>
    <t>IGUS</t>
  </si>
  <si>
    <t>FLANGED SLEEVE BUSHING, 25MM ID, 26MM OD, 25MM L</t>
  </si>
  <si>
    <t>Trapezoidal Nut</t>
  </si>
  <si>
    <t>drylin® trapezoidal lead screw nut with flange 8x1.5</t>
  </si>
  <si>
    <t>IGUS Flanged Lead Screw, 14mm dia</t>
  </si>
  <si>
    <t>10mm lead screw 1620mm long 8mm ends at 80mm long each, DSK-00060094</t>
  </si>
  <si>
    <t>CUSTOM LEAD SCREW, DRAWING DSK-00072524</t>
  </si>
  <si>
    <t>Stainless Bearing Rod</t>
  </si>
  <si>
    <t>LINIAR RAIL</t>
  </si>
  <si>
    <t>LINER DRYLIN STAGE</t>
  </si>
  <si>
    <t>17mm PMA Clamp</t>
  </si>
  <si>
    <t>JFRM-2835TR16X4</t>
  </si>
  <si>
    <t>FLANGED LEAD NUT</t>
  </si>
  <si>
    <t>Keyence Fiber Optic Amplifier</t>
  </si>
  <si>
    <t>KEYENCE</t>
  </si>
  <si>
    <t>Keyence Reflective Fiber Unit</t>
  </si>
  <si>
    <t>Keyence Safety interlock</t>
  </si>
  <si>
    <t>Keyence Mag Lock Actuator</t>
  </si>
  <si>
    <t>GS-P8C10</t>
  </si>
  <si>
    <t>Safety Interlock Switch Cable Standard, 8-pin, M12, 10m</t>
  </si>
  <si>
    <t>GS-P8LC1</t>
  </si>
  <si>
    <t>Safety Interlock Switch Cable Std.Extension,L-shaped,8-pin,M12,1m</t>
  </si>
  <si>
    <t>Keyence Detection distance 5 m, Cable with connector M12, Laser Class 2</t>
  </si>
  <si>
    <t>Keyence COMPACT LASER SENSOR, M8 CONNECTOR, 100MM RANGE</t>
  </si>
  <si>
    <t>, 2x5.5.305, 2x5.6.305, 2x6.2.3.1.302, 2x6.2.1.5.302, 2x6.10.313, 1x10.3.304,</t>
  </si>
  <si>
    <t>Keyence COMPACT LASER SENSOR, M8 CONNECTOR, 250MM RANGE</t>
  </si>
  <si>
    <t>Amplifier for LV-NH37, M8 Connector, Main unit, PNP</t>
  </si>
  <si>
    <t>Keyence Sensor Amplifier, Cable Type, Monitor Output</t>
  </si>
  <si>
    <t>KEYENCE Laser Sensor head, Spot Reflective, Ultra-small beam spot</t>
  </si>
  <si>
    <t>Keyence Sensor head, Retro-reflective model, Area type Magnified beam, long-
distance area</t>
  </si>
  <si>
    <t>OP-26751</t>
  </si>
  <si>
    <t>FS SERIES AMPLIFIER END UNIT BRACKET</t>
  </si>
  <si>
    <t>MOUNTING BRACKET FOR LV-NH37 AMPLIFIER</t>
  </si>
  <si>
    <t>Keyence LR-X SENSOR BRACKET</t>
  </si>
  <si>
    <t>Keyence SENSOR ADJUSTMENT SHAFT</t>
  </si>
  <si>
    <t>Keyence AMPLIFIER BRACKET FOR LR-X100C SENSOR</t>
  </si>
  <si>
    <t>Keyence Individually purchased retro-reflector</t>
  </si>
  <si>
    <t>Distance sensor</t>
  </si>
  <si>
    <t>Nuline Stock</t>
  </si>
  <si>
    <t>Zinc-Plated Steel Grease Fitting, 45 Degree Elbow, 1/8 PTF-SAE Male, 57/64" 
Overall Height</t>
  </si>
  <si>
    <t>MCM</t>
  </si>
  <si>
    <t>Lubrication-Free Ball Joint Rod End, Carbon Fiber Insert, 3/8"-24 Thread</t>
  </si>
  <si>
    <t>Sealed with Extended Inner Ring, for 1" Shaft Diameter</t>
  </si>
  <si>
    <t>18-8 Stainless Steel Oversized Washer, Black-Oxide, M8 Screw Size, 8.4 mm ID, 
24 mm OD</t>
  </si>
  <si>
    <t>Same-Size Thread 18-8 Stainless Steel Shoulder Screw, 10mm Shoulder 
Diameter, 45mm Shoulder Length, M10 x 1.50mm Thread</t>
  </si>
  <si>
    <t>Steel 6mm Dia 30mm L Slotted Spring Pin</t>
  </si>
  <si>
    <t>Ring Shims, 5052 Aluminum, 0.0630" Thick, 1" ID</t>
  </si>
  <si>
    <t>Alloy Steel Shoulder Screws, 12 mm Shoulder Diameter, 30 mm Shoulder 
Length, M10 x 1.5 mm Thread</t>
  </si>
  <si>
    <t>12 mm Shoulder Diameter, 35 mm Shoulder Length, M10 x 1.5 mm Thread</t>
  </si>
  <si>
    <t>Alloy Steel Flat-Tip Set Screws, M8 x 1.25 mm Thread, 80 mm Long</t>
  </si>
  <si>
    <t>Unthreaded Bumper, SBR Rubber, 1-1/2" OD, 5/8" High, 1/2" Counterbore 
Diameter</t>
  </si>
  <si>
    <t>Steel Oversized Washer for M12 Screw Size, 12 mm ID, 25 mm OD</t>
  </si>
  <si>
    <t>Steel Hex Head Shoulder Screw, 9mm Shoulder Diameter, 28mm Shoulder 
Length, M8 x 1.25mm Thread</t>
  </si>
  <si>
    <t>Dowel Pin 52100 Alloy Steel, 10 mm Diameter, 30 mm Long</t>
  </si>
  <si>
    <t>4 Additional Quantity Added to 55697</t>
  </si>
  <si>
    <t>Adhesive-Back Ruler, Yellow Steel, Reads Left to Right, mm Graduations, 3 M 
Long, 1/4" Wide</t>
  </si>
  <si>
    <t>Rounded Machine Key</t>
  </si>
  <si>
    <t>10mm Clamping Two-Piece Shaft Collar</t>
  </si>
  <si>
    <t>High-Pressure Brass Pipe Fitting, Plug with External Hex Drive and Gasket, M5 x 
0.8 mm Male</t>
  </si>
  <si>
    <t>12mm ID 24mm OD Ball Bearing</t>
  </si>
  <si>
    <t>12mm ID Ball Bearing</t>
  </si>
  <si>
    <t>BALL BEARING 22OD 8ID</t>
  </si>
  <si>
    <t>MCM part # 5972K91</t>
  </si>
  <si>
    <t>8mm Passivated Carbon Steel Set Screw Shaft Collar</t>
  </si>
  <si>
    <t>Light Duty Dry-Running Nylon Sleeve Bearing for 10 mm Shaft Diameter, for 14 mm Housing ID, 25 mm Long</t>
  </si>
  <si>
    <t>8mm Two-Piece Shaft Coupling</t>
  </si>
  <si>
    <t>Dual-Section Right-Angle Flow Manifold</t>
  </si>
  <si>
    <t>High-Load Dry-Running Sleeve Bearing</t>
  </si>
  <si>
    <t>Ball Bearing Carriage for 15 mm Wide Rail</t>
  </si>
  <si>
    <t>15 mm Wide X 340 mm Long Guide Rail for Ball Bearing Carriage</t>
  </si>
  <si>
    <t>External Retaining Ring</t>
  </si>
  <si>
    <t>Ring Shim, 0.1mm THICK, 0.25IN ID</t>
  </si>
  <si>
    <t>316 SS 12mm ID 1mm Thick Ring Shim</t>
  </si>
  <si>
    <t>Shoulder Bolt, 10MM DIA, 16MM L, M6X1.0 THREAD</t>
  </si>
  <si>
    <t>Shoulder Bolt, 12MM DIA, 45MM L, M10X1.5 THREAD</t>
  </si>
  <si>
    <t>Medium-Strength Steel Thin Hex Nut, Fine-Thread, Zinc-Plated, M10 x 1.25 mm 
Thread</t>
  </si>
  <si>
    <t>18-8 Stainless Steel Socket Head Screw, M5 x 0.80 mm Thread, 85 mm Long</t>
  </si>
  <si>
    <t>ALLOY STEEL CUP POINT SET SCREW</t>
  </si>
  <si>
    <t>Zinc-Plated Class 10.9 Steel Washer, M10 Screw Size</t>
  </si>
  <si>
    <t>18-8 Stainless Steel Dowel Pin 10 mm Diameter, 24 mm Long</t>
  </si>
  <si>
    <t>Dowel Pin 52100 Alloy Steel, 4 mm Diameter, 10 mm Long</t>
  </si>
  <si>
    <t>Mounted Linear Ball Bearing, Fixed Alignment, 36 mm Length, 42 mm Wide., 28 
mm Height</t>
  </si>
  <si>
    <t>20mm ID 32mm OD 7mm Thick Ball Bearing</t>
  </si>
  <si>
    <t>11 Additional Quantity Added to 55697</t>
  </si>
  <si>
    <t>Passivated Carbon Steel Set Screw Shaft Collar</t>
  </si>
  <si>
    <t>2 Additional Quantity Added to 55697</t>
  </si>
  <si>
    <t>Two-Piece Shaft Coupling, 6061 Aluminum, for 20 mm x 20 mm Diameter Shaft</t>
  </si>
  <si>
    <t>Snap-in Hole Plug for 1 Trade Size Knockout</t>
  </si>
  <si>
    <t>1 Additional Quantity Added to 55697</t>
  </si>
  <si>
    <t>12mm ID 0.5mm Thick 316 SS Ring Shim</t>
  </si>
  <si>
    <t>M10, 12mm Dia, 90mm Length SS Shoulder Bolt</t>
  </si>
  <si>
    <t>6 Additional Quantity Added to 55697</t>
  </si>
  <si>
    <t>Low-Profile Shoulder Screw</t>
  </si>
  <si>
    <t>10mm Dia 20mm L Steel Dowel Pin</t>
  </si>
  <si>
    <t>3 Additional Quantity Added to 55697</t>
  </si>
  <si>
    <t>M20 Extreme Strength Hex Head Screw</t>
  </si>
  <si>
    <t>90695A035</t>
  </si>
  <si>
    <t>Medium-Strength Zinc-Plated Steel Thin Hex Nut Class 04, M4 x 0.7 mm Thread</t>
  </si>
  <si>
    <t>10mm x 16mm METRIC ALLOY STEEL DOWEL PIN</t>
  </si>
  <si>
    <t>Button Head Hex Drive Screw, Passivated 18-8 Stainless Steel, M3 x 0.50 mm 
Thread, 30mm Long</t>
  </si>
  <si>
    <t>18-8 Stainless Steel Hex Drive Flat Head Screw, M4 x 0.7 mm Thread, 6 mm 
Long</t>
  </si>
  <si>
    <t>18-8 Stainless Steel Hex Drive Flat Head Screw, M4 x 0.7 mm Thread, 12 mm 
Long</t>
  </si>
  <si>
    <t>18-8 Stainless Steel Unthreaded Spacer, 4.500 mm OD, 4 mm Long, for M3 Screw Size</t>
  </si>
  <si>
    <t>Alloy Steel Extended-Tip Set Screw, M6 x 1 mm Thread, 14 mm Long</t>
  </si>
  <si>
    <t>Brass Tapered Heat-Set Inserts for Plastic, M5 x 0.8 mm Thread Size, 11.1 mm 
Installed Length</t>
  </si>
  <si>
    <t>Steel Oversized Washer for M6 Screw Size, 6 mm ID, 12 mm OD</t>
  </si>
  <si>
    <t>General Purpose Zinc-Plated Steel Washer for M4 Screw Size, 4.300 mm ID, 8 
mm OD</t>
  </si>
  <si>
    <t>General Purpose Zinc-Plated Steel Washer for M5 Screw Size, 5.300 mm ID, 
9.000 mm OD</t>
  </si>
  <si>
    <t>Hot-Dipped Galvanized Steel with Neoprene Sealing Washer</t>
  </si>
  <si>
    <t>Zinc-Plated Steel Hex Nut Medium-Strength, Class 8, M16 x 2 mm Thread</t>
  </si>
  <si>
    <t>SAME AS 95495K66, Adhesive-Back Bumpers, Polyurethane Rubber, 3/8" OD, 
1/8" High, Durometer 65A</t>
  </si>
  <si>
    <t>Piano Hinge with Holes</t>
  </si>
  <si>
    <t>Hytrel Rubber Spider</t>
  </si>
  <si>
    <t>Extreme-Temperature Vibration-Damping Sandwich Mount with Stud and Insert, Black, M8 x 1.25 mm Thread, 60 lbs. Capacity</t>
  </si>
  <si>
    <t>Stainless Steel High-Pressure Barbed Tube Fitting for Air and Water, 4mm 
Tube ID, M5 x 0.8 mm Male</t>
  </si>
  <si>
    <t>1/4NPT Low-Pressure Pipe Fitting</t>
  </si>
  <si>
    <t>1in ID Set Screw Flanged Ball Bearing</t>
  </si>
  <si>
    <t>Nickel-Plated Brass Pipe Fitting, Plug with Hex Drive and Viton® O-Ring, 
M5 x 0.8 mm</t>
  </si>
  <si>
    <t>1" SHAFT 1610 Taper-Lock Bushing</t>
  </si>
  <si>
    <t>1210 Taper Lock Bushing 16mm ID</t>
  </si>
  <si>
    <t>22mm Shaft 1610 Taper-Lock Bushing</t>
  </si>
  <si>
    <t>304 Stainless Steel Threaded Pipe Fitting, Low Pressure, Straight Reducer, 2 x 1 NPT Male</t>
  </si>
  <si>
    <t>Clamping Shaft Coupling, Steel, for 3/8" x 3/8" Diameter Round Shaft</t>
  </si>
  <si>
    <t>Two-Piece Shaft Coupling, 6061 Aluminum, for 3/8" x 3/8" Diameter Round Shaft</t>
  </si>
  <si>
    <t>Mounted Ball Bearing with Nickel-Plated Iron Housing</t>
  </si>
  <si>
    <t>Dual-Section Right-Angle Flow Manifold, Two 3/8 NPT Outlets Per Section, 1/2 NPT Inlets</t>
  </si>
  <si>
    <t>Metal-Detectable Flexible Shaft Coupling</t>
  </si>
  <si>
    <t>60845K32</t>
  </si>
  <si>
    <t>Two-Piece Shaft Coupling, Steel, for 3/8" x 3/8" Diameter Round Shaft</t>
  </si>
  <si>
    <t>Medium-Strength Zinc-Plated Steel Thin Hex Nut Class 04, M3 x 0.5 mm Thread</t>
  </si>
  <si>
    <t>Medium-Strength Zinc-Plated Steel Thin Hex Nut, M5x0.8mm Thread</t>
  </si>
  <si>
    <t>Zinc-Plated Steel Oversized Washer for M5 Screw Size, 5.3 mm ID, 15 mm OD</t>
  </si>
  <si>
    <t>Zinc-Plated Steel Oversized Washer</t>
  </si>
  <si>
    <t>Zinc-Plated Steel Washer for M12 Screw Size, 13 mm ID, 24 mm OD</t>
  </si>
  <si>
    <t>8364T46</t>
  </si>
  <si>
    <t>1" Rotary Shaft</t>
  </si>
  <si>
    <t>Class 8.8 Steel General Purpose Washer, Zinc-Plated, for M3 Screw Size, 3.2 mm ID, 7.0 mm OD</t>
  </si>
  <si>
    <t>Dowel Pin 52100 Alloy Steel, 5 mm Diameter, 20 mm Long</t>
  </si>
  <si>
    <t>52100 Alloy Steel, 5 mm Diameter, 22 mm Long Dowel Pin</t>
  </si>
  <si>
    <t>6mm x 22mm Dowel Pin</t>
  </si>
  <si>
    <t>Dowel Pin 52100 Alloy Steel, 10 mm Diameter, 60 mm Long</t>
  </si>
  <si>
    <t>Low-Pressure Chrome-Plated Brass Pipe Fitting, Bushing Adapter with Hex Body, 1/2 Male x 3/8 Female NPT</t>
  </si>
  <si>
    <t>91455A340</t>
  </si>
  <si>
    <t>Class 8.8 Steel General Purpose Washer, Zinc-Plated, for M4 Screw Size, 4.3 
mm ID, 9.0 mm OD</t>
  </si>
  <si>
    <t>Female Threaded Hex Standoff, 12L14 Steel, 13 mm Hex, 52 mm Long, M6 x 1 mm Thread</t>
  </si>
  <si>
    <t>18-8 Stainless Steel Hex Drive Flat Head Screw, M3 x 0.5 mm Thread, 12 mm Long</t>
  </si>
  <si>
    <t>Rounded Machine Key 1045 Carbon Steel, 6mm x 6mm, 20mm Long, Undersized</t>
  </si>
  <si>
    <t>18-8 Stainless Steel Unthreaded Spacer, 8 mm OD, 15 mm Long, for M5 Screw Size</t>
  </si>
  <si>
    <t>18-8 Stainless Steel Unthreaded Spacer, 8 mm OD, 17 mm Long, for M5 Screw Size</t>
  </si>
  <si>
    <t>M3 Alloy Steel Extended-Tip Set Screw</t>
  </si>
  <si>
    <t>18-8 Stainless Steel Key-Locking Inserts with Thin Wall, M4 x 0.7 mm Thread, 5.25 mm Installed Length</t>
  </si>
  <si>
    <t>18-8 Stainless Steel Cap Nut M4 x 0.7 mm Thread</t>
  </si>
  <si>
    <t>Aluminum Unthreaded Spacer, 13 mm OD, 45 mm Long, for M6 Screw Size</t>
  </si>
  <si>
    <t>Metal-Bonded Sealing Washer with Neoprene Seal, Hot-Dipped Galvanized Steel, 1/4" Screw, 0.260" ID, 0.5" OD</t>
  </si>
  <si>
    <t>Metal-Bonded Sealing Washer with Neoprene Seal, Hot-Dipped Galvanized Steel, 5/16" Screw, 0.330" ID, 0.75" OD</t>
  </si>
  <si>
    <t>9604T190</t>
  </si>
  <si>
    <t>30mm Dia Flanged Shaft Collar</t>
  </si>
  <si>
    <t>Not needed. Accounted for in PG10.7.2.3.6.A</t>
  </si>
  <si>
    <t>Aluminum Unthreaded Spacer 13 mm OD, 13 mm Long, for M5 Screw Size</t>
  </si>
  <si>
    <t>304 Stainless Steel Threaded Pipe Fitting, Low-Pressure, 90 Degree Elbow Adapter, 2 NPT Female x Male</t>
  </si>
  <si>
    <t>M10 Fully Threaded T-Slot Nut</t>
  </si>
  <si>
    <t>Modified MCM</t>
  </si>
  <si>
    <t>This should have a NuLine PN GH</t>
  </si>
  <si>
    <t>924IPSv2 Pulsed DC bar - 1000mm long</t>
  </si>
  <si>
    <t>MEECH</t>
  </si>
  <si>
    <t>Hyperion 960IPS Pulsed DC Bar 1000mm</t>
  </si>
  <si>
    <t>MDC, Cordset, 4 Pole, Female Straight, 3.3M (Extended), 4A, Yellow, Coiled 
PUR Cable, Nickel Plated Brass</t>
  </si>
  <si>
    <t>MENCOM</t>
  </si>
  <si>
    <t>STRAIGHT LINEAR SHAFT, 25MM DIA, 1355MM L</t>
  </si>
  <si>
    <t>MISUMI</t>
  </si>
  <si>
    <t>STRAIGHT LINEAR SHAFT, 25MM DIA, 1560.4MM L</t>
  </si>
  <si>
    <t>Knurled head, hex socket, M8 X 1.25, 50mm L</t>
  </si>
  <si>
    <t>BALL BEARING, 35MM OD, 17MM ID</t>
  </si>
  <si>
    <t>CAPTURED BEARING, 12MM ID</t>
  </si>
  <si>
    <t>CAPTURED BEARING, 20MM ID</t>
  </si>
  <si>
    <t>FLAT CAM FOLLOWER, M18X1.5 THREADED SHANK, 40MM OD</t>
  </si>
  <si>
    <t>Eccentric Cam Follower</t>
  </si>
  <si>
    <t>BEARING SPACER, 12MM ID, 15MM OD, 49MM L</t>
  </si>
  <si>
    <t>BEARING SPACER, 20MM ID, 23MM OD, 14.5MM L</t>
  </si>
  <si>
    <t>BEARING SPACER, 20MM ID, 23MM OD, 25.8MM L</t>
  </si>
  <si>
    <t>BEARING SPACER, 6MM ID, 9MM OD, 12.5MM L</t>
  </si>
  <si>
    <t>Bearing Spacer, Inner Race</t>
  </si>
  <si>
    <t>Spacer 28OD 20ID 6Thick</t>
  </si>
  <si>
    <t>Straight Spacer 16mm OD 10mm ID 33mm L</t>
  </si>
  <si>
    <t>HEX SPACER, 45MM L, M4 TAP, M5 TAP</t>
  </si>
  <si>
    <t>Drive Rod</t>
  </si>
  <si>
    <t>Long Threaded Rod Spacer</t>
  </si>
  <si>
    <t>100MM URETHANE WHEEL</t>
  </si>
  <si>
    <t>Rollers - Baked-on Rubber Lining, with Bearings</t>
  </si>
  <si>
    <t>FLAT 1045 STEEL SPACER, NICKEL PLATED, 20MM OD, 10MM ID, 7.5MM THICK</t>
  </si>
  <si>
    <t>FLAT 1045 STEEL SPACER, NICKEL PLATED, 20MM OD, 12MM ID, 10MM THICK</t>
  </si>
  <si>
    <t>Spacer</t>
  </si>
  <si>
    <t>Spacer 25OD 20ID 6thick</t>
  </si>
  <si>
    <t>Spacer 25OD 20ID 8thick</t>
  </si>
  <si>
    <t>BEARING SPACER, 12MM ID, 15MM OD, 25MM L</t>
  </si>
  <si>
    <t>2 more on PO 55693</t>
  </si>
  <si>
    <t>SPUR GEAR, ELECTROLESS NICKEL PLATED STEEL</t>
  </si>
  <si>
    <t>4 more on PO 55693</t>
  </si>
  <si>
    <t>FLAT 1045 STEEL SPACER, NICKEL PLATED, 20MM OD, 10MM ID, 10MM THICK</t>
  </si>
  <si>
    <t>20 more on PO 55693</t>
  </si>
  <si>
    <t>Misumi Bearing Spacer 20mm ID 23mm OD 82mm L</t>
  </si>
  <si>
    <t>Misumi Bearing Spacer 20mm ID 23mm OD 5mm L</t>
  </si>
  <si>
    <t>CUSTOM LINEAR MOTION SHAFT, 10MM DIA</t>
  </si>
  <si>
    <t>DOUBLE LENGHT LINEAR BEARING, 10MM DIA</t>
  </si>
  <si>
    <t>Custom Threaded Standoff 120mm L M6</t>
  </si>
  <si>
    <t>Custom Threaded Standoff 50mmL M6 to M8</t>
  </si>
  <si>
    <t>CUSTOM MISUMI STANDOFF</t>
  </si>
  <si>
    <t>Misumi Spacer 182mm L M6 to M6</t>
  </si>
  <si>
    <t>Misumi 63mm Spacer M6 to M8</t>
  </si>
  <si>
    <t>Threaded Bump Stop M8</t>
  </si>
  <si>
    <t>EXTERNAL RETAINING RING</t>
  </si>
  <si>
    <t>M10 8mm Spacer</t>
  </si>
  <si>
    <t>M8 female 0° A-cod. with cable, PVC 3x0.25 bk UL/CSA 10m</t>
  </si>
  <si>
    <t>MURR</t>
  </si>
  <si>
    <t>M8 4PIN TO FLYING LEAD 7.5M CABLE</t>
  </si>
  <si>
    <t>M12 female 0° A-cod. with cable, PVC 4x0.34 bk UL/CSA 5m</t>
  </si>
  <si>
    <t>M12 male 0° A-cod. IDC 4-pol., 0.25 - 0.5mm, 4 - 5,1mm</t>
  </si>
  <si>
    <t>T-Coupler M12 male / 2x M8 female A-cod. 4-pol. / 2x 3-pol</t>
  </si>
  <si>
    <t>M8 4PIN TO FLYING LEAD 10M CABLE, Gray</t>
  </si>
  <si>
    <t>M16 Leveling foot - HX081, Black NBR-HX16150_139_139(2.00), SW2+0, AISI 304_Shell</t>
  </si>
  <si>
    <t>NGI</t>
  </si>
  <si>
    <t>NGI M12x70mm Black leveling foot, HX-FIX081-M12-70</t>
  </si>
  <si>
    <t>Brass High Pressure Flow Switch, Inline, Piston Type, 0.25 gpm Flow Setting, 3/8" NPT Male</t>
  </si>
  <si>
    <t>GEMS</t>
  </si>
  <si>
    <t>Have #168432 in stock at Nuline - 3/8 NPT- JP</t>
  </si>
  <si>
    <t>Encoder Supplied by Presto</t>
  </si>
  <si>
    <t>Allen Bradley</t>
  </si>
  <si>
    <t>Presto</t>
  </si>
  <si>
    <t>Supplied by Presto</t>
  </si>
  <si>
    <t>Presto Slider Parker Module</t>
  </si>
  <si>
    <t>Presto Welder</t>
  </si>
  <si>
    <t>SPACE FILLER</t>
  </si>
  <si>
    <t>BPM 24 Icotek Blanking Plate</t>
  </si>
  <si>
    <t>ICOTEK</t>
  </si>
  <si>
    <t>PRO Automat</t>
  </si>
  <si>
    <t>Order 3 pkg 10</t>
  </si>
  <si>
    <t>ICOTEK, cable throughway, Prod num KEL-BES-S-24</t>
  </si>
  <si>
    <t>BRX GOTO QUICK CONNECTOR N10 0°</t>
  </si>
  <si>
    <t>T-SLOTS</t>
  </si>
  <si>
    <t>Process Tech</t>
  </si>
  <si>
    <t>500 More on P.O. #55639 Part# 659730</t>
  </si>
  <si>
    <t>BRX GOTO QUICK CONNECTOR N10 90°</t>
  </si>
  <si>
    <t>0.75in ID 1.75 OD sealed ball bearing with shaft collar</t>
  </si>
  <si>
    <t>Quality Brg</t>
  </si>
  <si>
    <t>Have 29 in stock - JP 6/6/24</t>
  </si>
  <si>
    <t>Cuff Heat Seal Band</t>
  </si>
  <si>
    <t>ROPEX</t>
  </si>
  <si>
    <t>Impulse seal head tooling</t>
  </si>
  <si>
    <t>PG10 CUFF IMPULSE SEAL HEAD</t>
  </si>
  <si>
    <t>Ropex PEX-W5 Current Transformer</t>
  </si>
  <si>
    <t>T-301EPD-1 Impulse Transformer</t>
  </si>
  <si>
    <t>RES-5011 RESISTRON Temperature Controller</t>
  </si>
  <si>
    <t>Fitting for Flexible Plastic Conduit, Straight Adapter, 1 Trade Size Female x 1 
NPT Male</t>
  </si>
  <si>
    <t>PMA</t>
  </si>
  <si>
    <t>RS AMERICAS</t>
  </si>
  <si>
    <t>Use PMA BVND-N069-GT</t>
  </si>
  <si>
    <t>Custom Saginaw IO Enclosure</t>
  </si>
  <si>
    <t>Saginaw</t>
  </si>
  <si>
    <t>Custom Subpanel for NUL1-12EL6010LP Enclosure</t>
  </si>
  <si>
    <t>Saginaw enclosure box</t>
  </si>
  <si>
    <t>HMI Enclosure backplane</t>
  </si>
  <si>
    <t>Saginaw WFLP Enclosure 24H X 42W X 12D</t>
  </si>
  <si>
    <t>Saginaw EL LPPL Enclosure, 24H X 24W X 12D, RAL5005 Blue</t>
  </si>
  <si>
    <t>Saginaw Subpanel, Bent Galvanized, 21H X 21W X 0.88D</t>
  </si>
  <si>
    <t>Saginaw Subpanel, Bent Galvanized, 39H X 21W X 0.88D</t>
  </si>
  <si>
    <t>Saginaw HMI handle</t>
  </si>
  <si>
    <t>LED light fixture w/o outlet, 24"x2.75"x4" (LxHxD), 100..277VAC 50/60Hz, door activated switch</t>
  </si>
  <si>
    <t>Saginaw FILTER FAN, 550CFM, 230VAC 50/60HZ, 0.35FLA</t>
  </si>
  <si>
    <t>Saginaw Filter &amp; Grille Assy. (Black)</t>
  </si>
  <si>
    <t>Subpanel, Bent Galvanized, 60.00H x 70.75W x 0.88D</t>
  </si>
  <si>
    <t>2DR Enc. Both sides Solid w/ Disc., 68.00H x 77.75W x 24.00D</t>
  </si>
  <si>
    <t>Closed tube suspension profile 750mm L</t>
  </si>
  <si>
    <t>Saginaw Frame mount</t>
  </si>
  <si>
    <t>Saginaw HMI mount</t>
  </si>
  <si>
    <t>Saginaw closed tube suspension profile elbow</t>
  </si>
  <si>
    <t>Closed tube suspension profile 500mm L</t>
  </si>
  <si>
    <t xml:space="preserve">Saginaw </t>
  </si>
  <si>
    <t>External Retaining Ring for FIxed Alignment Ball Bearing</t>
  </si>
  <si>
    <t>Smalley</t>
  </si>
  <si>
    <t>RSSD-047-CSBO-TW -  credit card - 100 PC min</t>
  </si>
  <si>
    <t>Thermocuple plug</t>
  </si>
  <si>
    <t>Watlow</t>
  </si>
  <si>
    <t>Valin</t>
  </si>
  <si>
    <t>L7-30 277V 30 A Male Plug</t>
  </si>
  <si>
    <t>P&amp;S</t>
  </si>
  <si>
    <t>WESCO DIST</t>
  </si>
  <si>
    <t>P&amp;S L730-P TURNLOK PLUG 3W 30A, 277V</t>
  </si>
  <si>
    <t>Three Slot L7-30 277V 30A Female Receptacle</t>
  </si>
  <si>
    <t>P&amp;S L730-R R SGL 3W30A277V T/L</t>
  </si>
  <si>
    <t>2-JAW RADIAL GRIPPER</t>
  </si>
  <si>
    <t>Zimmer</t>
  </si>
  <si>
    <t xml:space="preserve">GK 2 jaw radial gripper </t>
  </si>
  <si>
    <t>Magnetic Field Sensor</t>
  </si>
  <si>
    <t>MFS magnetic Field Sensor</t>
  </si>
  <si>
    <t>Pneumatic Brake</t>
  </si>
  <si>
    <t>NORMALLY CLOSED PNEUMATIC BRAKE, 25MM RAIL SIZE</t>
  </si>
  <si>
    <t>Pneumatic Brake for NuLine Bar Rail</t>
  </si>
  <si>
    <t>P.O. for 5, bought 1 for trial -JP</t>
  </si>
  <si>
    <t>Dienes Knife</t>
  </si>
  <si>
    <t>DIENES</t>
  </si>
  <si>
    <t>Part number should be 0022198</t>
  </si>
  <si>
    <t>Knife Holder</t>
  </si>
  <si>
    <t>add 02254 Crush / Score Cut Blades - JP 7/25/24</t>
  </si>
  <si>
    <t>6x6in wireway divider</t>
  </si>
  <si>
    <t>Hoffman</t>
  </si>
  <si>
    <t>6x6x36in wireway</t>
  </si>
  <si>
    <t xml:space="preserve">6x6x72in wireway </t>
  </si>
  <si>
    <t>6x6in wireway endcap</t>
  </si>
  <si>
    <t>6x6in wireway connector</t>
  </si>
  <si>
    <t>GENERIC DIN RAIL</t>
  </si>
  <si>
    <t>IN HOUSE</t>
  </si>
  <si>
    <t>8507K15_Neoprene Rubber Trim 1/16INCH</t>
  </si>
  <si>
    <t>Length</t>
  </si>
  <si>
    <t>Extrusion</t>
  </si>
  <si>
    <t>Cut QTY</t>
  </si>
  <si>
    <t>Still Need to cut?</t>
  </si>
  <si>
    <t>M/Stick</t>
  </si>
  <si>
    <t>$/stick</t>
  </si>
  <si>
    <t>$/mm</t>
  </si>
  <si>
    <t>Required Length</t>
  </si>
  <si>
    <t>Cut Length</t>
  </si>
  <si>
    <t>Remaining Length</t>
  </si>
  <si>
    <t>T-Slots</t>
  </si>
  <si>
    <t>APPROVED EL 8/1</t>
  </si>
  <si>
    <t>1 not acounted for, added 8/14/2024 tj</t>
  </si>
  <si>
    <t>90X90, D17|-, 323.5MM</t>
  </si>
  <si>
    <t>APPROVED EL 8/7</t>
  </si>
  <si>
    <t>Bolt</t>
  </si>
  <si>
    <t>Qty Rec</t>
  </si>
  <si>
    <t>6-32 X 0.25IN SBHCS</t>
  </si>
  <si>
    <t>HEX NUT, FLANGE NUT, M10 X 1.5</t>
  </si>
  <si>
    <t xml:space="preserve">HEX NUT, STYLE 1,  M5 X 0.8, </t>
  </si>
  <si>
    <t>HEX NUT, STYLE 1, M10 X 1.5, CZ</t>
  </si>
  <si>
    <t>HEX NUT, STYLE 1, M6 X 1.0</t>
  </si>
  <si>
    <t xml:space="preserve">M10 X 1.5 X 130 HEX SHCS, </t>
  </si>
  <si>
    <t>M10 X 1.5 X 20 SOCKET FCHS,</t>
  </si>
  <si>
    <t xml:space="preserve">M10 X 1.5 X 35 HEX SHCS, </t>
  </si>
  <si>
    <t xml:space="preserve">M10 X 1.5 X 65 HEX SHCS, </t>
  </si>
  <si>
    <t xml:space="preserve">M10 X 1.5 X 70 HEX SHCS, </t>
  </si>
  <si>
    <t>M10 X 1.5 X 80 SOCKET FCHS,</t>
  </si>
  <si>
    <t>M12 X 1.75 X 150 HEX SHCS</t>
  </si>
  <si>
    <t>M12 X 1.75 X 25 SBHCS</t>
  </si>
  <si>
    <t>M12 X 1.75 X 30 SBHCS,</t>
  </si>
  <si>
    <t>M12 X 1.75 X 40 SBHCS,</t>
  </si>
  <si>
    <t xml:space="preserve">M12 X 1.75 X 45 SOCKET FCHS, </t>
  </si>
  <si>
    <t>M12 X 1.75 X 50 HEX SHCS,</t>
  </si>
  <si>
    <t xml:space="preserve">M12 X 1.75 X 50 SOCKET FCHS, </t>
  </si>
  <si>
    <t xml:space="preserve">M3 X 0.5 X 12 SBHCS, </t>
  </si>
  <si>
    <t xml:space="preserve">M3 X 0.5 X 30 SBHCS,  </t>
  </si>
  <si>
    <t xml:space="preserve">M3 X 0.5 X 6 SBHCS, </t>
  </si>
  <si>
    <t>M3 X 0.5 X 6 SOCKET FCHS</t>
  </si>
  <si>
    <t>M3 X 0.5 X 8 Hex SHCH,</t>
  </si>
  <si>
    <t>M3 X 0.5 X 8 SBHCS,</t>
  </si>
  <si>
    <t>M4 X 0.7 X 12 SBHCS,</t>
  </si>
  <si>
    <t xml:space="preserve">M4 X 0.7 X 16 SBHCS, </t>
  </si>
  <si>
    <t>M4 X 0.7 X 20 SBHCS</t>
  </si>
  <si>
    <t>M4 X 0.7 X 30 SBHCS,</t>
  </si>
  <si>
    <t xml:space="preserve">M4 X 0.7 X 30 SOCKET FCHS, </t>
  </si>
  <si>
    <t>M4 X 0.7 X 40 SBHCS,</t>
  </si>
  <si>
    <t>M4 X 0.7 X 6 SBHCS</t>
  </si>
  <si>
    <t>M4 X 0.7 X 6 SBHCS,</t>
  </si>
  <si>
    <t>M4 X 0.7 X 8 SBHCS,</t>
  </si>
  <si>
    <t>M4 x 0.7 x 8 SOCKET SET SCREW</t>
  </si>
  <si>
    <t xml:space="preserve">M4 X 0.8 X 30 HEX SBHCS, </t>
  </si>
  <si>
    <t>M5 X 0.8 X 10 SBHCS,</t>
  </si>
  <si>
    <t xml:space="preserve">M5 X 0.8 X 10 SOCKET FCHS, </t>
  </si>
  <si>
    <t xml:space="preserve">M5 X 0.8 X 12 SBHCS, </t>
  </si>
  <si>
    <t>M5 X 0.8 X 12 SOCKET SSCP</t>
  </si>
  <si>
    <t>M5 X 0.8 X 12 SOCKET SSFP</t>
  </si>
  <si>
    <t xml:space="preserve">M5 X 0.8 X 30 SBHCS, </t>
  </si>
  <si>
    <t xml:space="preserve">M5 X 0.8 X 5 HEX SOCKET CUP PT, </t>
  </si>
  <si>
    <t>M5 X 0.8 X 5 SBHCS,</t>
  </si>
  <si>
    <t>M5 X 0.8 X 6 SOCKET SSCP</t>
  </si>
  <si>
    <t>M6 X 1 HEX JAM NUT</t>
  </si>
  <si>
    <t>M6 X 1.0 X 16 HHCS</t>
  </si>
  <si>
    <t xml:space="preserve">M6 X 1.0 X 25 SOCKET FCHS, </t>
  </si>
  <si>
    <t xml:space="preserve">M6 X 1.0 X 30 SBHCS, </t>
  </si>
  <si>
    <t>M6 X 1.0 X 35 SOCKET FCHS,</t>
  </si>
  <si>
    <t xml:space="preserve">M6 X 1.0 X 60 HEX SHCS, </t>
  </si>
  <si>
    <t xml:space="preserve">M6 X 1.0 X 70 HEX SHCS, </t>
  </si>
  <si>
    <t xml:space="preserve">M6 X 1.0 X 80 HEX SHCS, </t>
  </si>
  <si>
    <t xml:space="preserve">M8 X 1.25 X 16 SBHCS, </t>
  </si>
  <si>
    <t xml:space="preserve">M8 X 1.25 X 25 HEX CAP SCREW, </t>
  </si>
  <si>
    <t>M8 X 1.25 X 25 SBHCS,</t>
  </si>
  <si>
    <t xml:space="preserve">M8 X 1.25 X 30 SOCKET FCHS, </t>
  </si>
  <si>
    <t>M8 X 1.25 X 40 SBHCS,</t>
  </si>
  <si>
    <t xml:space="preserve">M8 X 1.25 X 40 SOCKET FCHS, </t>
  </si>
  <si>
    <t>M8 X 1.25, Hex Flange Nut</t>
  </si>
  <si>
    <t xml:space="preserve">PLAIN WASHER, #6, NARROW, </t>
  </si>
  <si>
    <t>Xometry</t>
  </si>
  <si>
    <t>PPS1 UNS63</t>
  </si>
  <si>
    <t>4.7</t>
  </si>
  <si>
    <t>4.7.1</t>
  </si>
  <si>
    <t>Printer Assy</t>
  </si>
  <si>
    <t>Printer Head Assy</t>
  </si>
  <si>
    <t>PG10.4.7.0.A</t>
  </si>
  <si>
    <t>PG10.4.7.1.0.A</t>
  </si>
  <si>
    <t>PG10.4.7.1</t>
  </si>
  <si>
    <t>Printer Support Side Mount</t>
  </si>
  <si>
    <t>PG10.4.7.2</t>
  </si>
  <si>
    <t>Printer HMI Base</t>
  </si>
  <si>
    <t>PG10.4.7.1.A</t>
  </si>
  <si>
    <t>PG10.4.7.2.A</t>
  </si>
  <si>
    <t xml:space="preserve">Plascon to Supply </t>
  </si>
  <si>
    <t>PG10.4.7.1.1</t>
  </si>
  <si>
    <t>PG10.4.7.1.1.A</t>
  </si>
  <si>
    <t>PG10.2.1.6.1</t>
  </si>
  <si>
    <t>PG10.2.1.7.1</t>
  </si>
  <si>
    <t>PG10.2.1.8.1</t>
  </si>
  <si>
    <t>PG10.3.1.3.1</t>
  </si>
  <si>
    <t>PG10.3.1.4.1</t>
  </si>
  <si>
    <t>PG10.3.1.5.1</t>
  </si>
  <si>
    <t>PG10.3.1.6.1</t>
  </si>
  <si>
    <t>PG10.3.1.7.1</t>
  </si>
  <si>
    <t>PG10.4.1.13.1</t>
  </si>
  <si>
    <t>PG10.4.1.14.1</t>
  </si>
  <si>
    <t>PG10.4.1.15.1</t>
  </si>
  <si>
    <t>PG10.4.1.16.1</t>
  </si>
  <si>
    <t>PG10.4.1.17.1</t>
  </si>
  <si>
    <t>PG10.4.1.18.1</t>
  </si>
  <si>
    <t>PG10.4.1.19.1</t>
  </si>
  <si>
    <t>Bottom Guarding 1 Poly</t>
  </si>
  <si>
    <t>Bottom Guarding 3 and 4 Poly</t>
  </si>
  <si>
    <t>Bottom Guarding 5 and 6 Poly</t>
  </si>
  <si>
    <t>Bottom Guarding 7 and 8 Poly</t>
  </si>
  <si>
    <t>Bottom Guarding 9 and 10 Poly</t>
  </si>
  <si>
    <t>Bottom Guarding 11 and 12 Poly</t>
  </si>
  <si>
    <t>Bottom Guarding 13 and 14 Poly</t>
  </si>
  <si>
    <t>Bottom Guarding 15 and 16 Poly</t>
  </si>
  <si>
    <t>Bottom Guarding 17 and 18 Poly</t>
  </si>
  <si>
    <t>Bottom Guarding 19 and 20 Poly</t>
  </si>
  <si>
    <t>Bottom Guarding 21 and 22 Poly</t>
  </si>
  <si>
    <t>Bottom Guarding 23 and 24 Poly</t>
  </si>
  <si>
    <t>Bottom Guarding 25 and 26 Poly</t>
  </si>
  <si>
    <t>Bottom Guarding 27 and 28 Poly</t>
  </si>
  <si>
    <t>Bottom Guarding 5 and 6</t>
  </si>
  <si>
    <t>Bottom Guarding 7 and 8</t>
  </si>
  <si>
    <t>Bottom Guarding 9 and  10</t>
  </si>
  <si>
    <t>Bottom Guarding 11 and 12</t>
  </si>
  <si>
    <t>Bottom Guarding 13 and 14</t>
  </si>
  <si>
    <t>3.1.3</t>
  </si>
  <si>
    <t>3.1.4</t>
  </si>
  <si>
    <t>3.1.5</t>
  </si>
  <si>
    <t>3.1.6</t>
  </si>
  <si>
    <t>3.1.7</t>
  </si>
  <si>
    <t>PG10.3.1.3.1.A</t>
  </si>
  <si>
    <t>PG10.3.1.4.1.A</t>
  </si>
  <si>
    <t>PG10.3.1.5.1.A</t>
  </si>
  <si>
    <t>PG10.3.1.6.1.A</t>
  </si>
  <si>
    <t>PG10.3.1.7.1.A</t>
  </si>
  <si>
    <t>PG10.3.1.3.0.A</t>
  </si>
  <si>
    <t>PG10.3.1.4.0.A</t>
  </si>
  <si>
    <t>PG10.3.1.5.0.A</t>
  </si>
  <si>
    <t>PG10.3.1.6.0.A</t>
  </si>
  <si>
    <t>PG10.3.1.7.0.A</t>
  </si>
  <si>
    <t>P/N changed to 3842564810</t>
  </si>
  <si>
    <t>P/N changed to 3842555270</t>
  </si>
  <si>
    <t>2.1.6</t>
  </si>
  <si>
    <t>2.1.7</t>
  </si>
  <si>
    <t>2.1.8</t>
  </si>
  <si>
    <t>Bottom Guarding 3 and 4</t>
  </si>
  <si>
    <t>PG10.2.1.6.0.A</t>
  </si>
  <si>
    <t>PG10.2.1.7.0.A</t>
  </si>
  <si>
    <t>PG10.2.1.8.0.A</t>
  </si>
  <si>
    <t>PG10.2.1.6.1.A</t>
  </si>
  <si>
    <t>PG10.2.1.7.1.A</t>
  </si>
  <si>
    <t>PG10.2.1.8.1.A</t>
  </si>
  <si>
    <t>PG10.4.1.13.1.A</t>
  </si>
  <si>
    <t>PG10.4.1.14.1.A</t>
  </si>
  <si>
    <t>PG10.4.1.15.1.A</t>
  </si>
  <si>
    <t>PG10.4.1.16.1.A</t>
  </si>
  <si>
    <t>PG10.4.1.17.1.A</t>
  </si>
  <si>
    <t>PG10.4.1.18.1.A</t>
  </si>
  <si>
    <t>PG10.4.1.19.1.A</t>
  </si>
  <si>
    <t>4.1.13</t>
  </si>
  <si>
    <t>4.1.14</t>
  </si>
  <si>
    <t>4.1.15</t>
  </si>
  <si>
    <t>4.1.16</t>
  </si>
  <si>
    <t>4.1.17</t>
  </si>
  <si>
    <t>4.1.18</t>
  </si>
  <si>
    <t>4.1.19</t>
  </si>
  <si>
    <t>Bottom Guarding 15 and 16</t>
  </si>
  <si>
    <t>Bottom Guarding 17 and 18</t>
  </si>
  <si>
    <t>Bottom Guarding 19 and 20</t>
  </si>
  <si>
    <t>Bottom Guarding 21 and 22</t>
  </si>
  <si>
    <t>Bottom Guarding 23 and 24</t>
  </si>
  <si>
    <t>Bottom Guarding 25 and 26</t>
  </si>
  <si>
    <t>Bottom Guarding 27 and 28</t>
  </si>
  <si>
    <t>PG10.4.1.13.0.A</t>
  </si>
  <si>
    <t>PG10.4.1.14.0.A</t>
  </si>
  <si>
    <t>PG10.4.1.15.0.A</t>
  </si>
  <si>
    <t>PG10.4.1.16.0.A</t>
  </si>
  <si>
    <t>PG10.4.1.17.0.A</t>
  </si>
  <si>
    <t>PG10.4.1.18.0.A</t>
  </si>
  <si>
    <t>PG10.4.1.19.0.A</t>
  </si>
  <si>
    <t>Q</t>
  </si>
  <si>
    <t>R</t>
  </si>
  <si>
    <t>S</t>
  </si>
  <si>
    <t>T</t>
  </si>
  <si>
    <t>U</t>
  </si>
  <si>
    <t>V</t>
  </si>
  <si>
    <t>Ordered 300 8/29/24 JP</t>
  </si>
  <si>
    <t>-</t>
  </si>
  <si>
    <t>APPROVED EL 9/3</t>
  </si>
  <si>
    <t>45X45 D17|D17, 1149MM</t>
  </si>
  <si>
    <t>45x45 -I- , 978MM</t>
  </si>
  <si>
    <t>45x45 -I- , 937MM</t>
  </si>
  <si>
    <t>HOLD (EL 9/3)</t>
  </si>
  <si>
    <t>Polycarbstore.com</t>
  </si>
  <si>
    <t>55592, 55693</t>
  </si>
  <si>
    <t>Diamond Plate Door</t>
  </si>
  <si>
    <t>5052 AL 16GA</t>
  </si>
  <si>
    <t>PWDRCOAT RAL 5005 BLUE</t>
  </si>
  <si>
    <t>6061 DIAMOND TREAD PLATE</t>
  </si>
  <si>
    <t>PG10.12.7</t>
  </si>
  <si>
    <t>PG10.12.8</t>
  </si>
  <si>
    <t>PG10.12.9</t>
  </si>
  <si>
    <t>PG10.12.10</t>
  </si>
  <si>
    <t>PLINTH FLOOR 1</t>
  </si>
  <si>
    <t>PLINTH FLOOR 2</t>
  </si>
  <si>
    <t>PLINTH FLOOR 3</t>
  </si>
  <si>
    <t>PG10.12.7.A</t>
  </si>
  <si>
    <t>PG10.12.8.A</t>
  </si>
  <si>
    <t>PG10.12.9.A</t>
  </si>
  <si>
    <t>PG10.12.10.A</t>
  </si>
  <si>
    <t>45X45 D17|D17, 215MM</t>
  </si>
  <si>
    <t>45X45 D17|D17, 818MM</t>
  </si>
  <si>
    <t>45X45 D17|D17, 1019MM</t>
  </si>
  <si>
    <t>45X90, M12|-, 290MM</t>
  </si>
  <si>
    <t>45X90 D17|D17, 818MM</t>
  </si>
  <si>
    <t>45X90 D17|D17, 1019MM</t>
  </si>
  <si>
    <t>45X45 M12|D17, 245MM</t>
  </si>
  <si>
    <t>45x45 -I- , 891MM</t>
  </si>
  <si>
    <t>APPROVED EL 9/10</t>
  </si>
  <si>
    <t>HEX NUT, STYLE 1, M14 X 2.0, CZ</t>
  </si>
  <si>
    <t>Zipper Enclosure</t>
  </si>
  <si>
    <t>Presto Zipper Enclosure</t>
  </si>
  <si>
    <t>PG10.11.1.1</t>
  </si>
  <si>
    <t>PG10.11.1.1.A</t>
  </si>
  <si>
    <t>55692, 55596</t>
  </si>
  <si>
    <t>55692, 55603</t>
  </si>
  <si>
    <t>Diamond Plate 1</t>
  </si>
  <si>
    <t>Diamond Plate 2</t>
  </si>
  <si>
    <t>6061-T6 AL</t>
  </si>
  <si>
    <t>XOMETRY</t>
  </si>
  <si>
    <t>95053A231</t>
  </si>
  <si>
    <t>Rounded Machine Key 1/4IN X 1.25IN OVERSIZED</t>
  </si>
  <si>
    <t>USE REV B</t>
  </si>
  <si>
    <t>PG10.10.2.8.1.B</t>
  </si>
  <si>
    <t>PG10.10.2.4.1.B</t>
  </si>
  <si>
    <t>PG10.3.2.10.2</t>
  </si>
  <si>
    <t>Twin Wall Top Guard 5-2</t>
  </si>
  <si>
    <t>PG10.3.2.10.2.A</t>
  </si>
  <si>
    <t>PG10.4.2.12.2</t>
  </si>
  <si>
    <t>Twin Wall Top Guard 8-2</t>
  </si>
  <si>
    <t>PG10.4.2.12.2.A</t>
  </si>
  <si>
    <t>M5 Clearance holes do not go through, model needs to be updated. Part was modified in house</t>
  </si>
  <si>
    <t>Mat'l in stock!</t>
  </si>
  <si>
    <t>Alreco for mat'l</t>
  </si>
  <si>
    <t>Major Changes</t>
  </si>
  <si>
    <t>Minor Changes</t>
  </si>
  <si>
    <t>MCM part # 6221K925</t>
  </si>
  <si>
    <t>Plating PO #</t>
  </si>
  <si>
    <t>55616, 55668</t>
  </si>
  <si>
    <t>55723, 55725?</t>
  </si>
  <si>
    <t>QB REC QTY is 10, BOM SAYS 24</t>
  </si>
  <si>
    <t>QB REC QTY is 0, BOM SAYS 2</t>
  </si>
  <si>
    <t>R160520131 L-236mm  T-28mm</t>
  </si>
  <si>
    <t>2.3.8</t>
  </si>
  <si>
    <t>Seg Nips Tube Guide Assy</t>
  </si>
  <si>
    <t>PG10.2.3.8.0.A</t>
  </si>
  <si>
    <t>PG10.2.3.8.1</t>
  </si>
  <si>
    <t>PG10.2.3.8.2</t>
  </si>
  <si>
    <t>PG10.2.3.8.3</t>
  </si>
  <si>
    <t>Welded Tube Guide 1</t>
  </si>
  <si>
    <t>Welded Tube Guide 2</t>
  </si>
  <si>
    <t>Welded Tube Guide 3</t>
  </si>
  <si>
    <t>PG10.2.3.8.1.A</t>
  </si>
  <si>
    <t>PG10.2.3.8.2.A</t>
  </si>
  <si>
    <t>PG10.2.3.8.3.A</t>
  </si>
  <si>
    <t>PPCCL.315UCHANNEL8MM</t>
  </si>
  <si>
    <t>DG0001	0.315 (8MM) CLEAR POLYCARBONATE U-CHANNEL X 12FT</t>
  </si>
  <si>
    <t>Will call</t>
  </si>
  <si>
    <t>Center Knife Tube Guide</t>
  </si>
  <si>
    <t>16 GUAGE, #2B</t>
  </si>
  <si>
    <t>4x more on PO 55744</t>
  </si>
  <si>
    <t>3D PRINTED, PETG, RED</t>
  </si>
  <si>
    <t>Shipp</t>
  </si>
  <si>
    <t>PG10.6.1.1.C</t>
  </si>
  <si>
    <t>PG10.5.3.1.C</t>
  </si>
  <si>
    <t>APPROVED EL 9/19</t>
  </si>
  <si>
    <t>SEE TREVOR</t>
  </si>
  <si>
    <t>95584035</t>
  </si>
  <si>
    <t>WERMA bulb, incandescent, replacement, 24 VDC, BA15d bayonet, clear/white, 5W</t>
  </si>
  <si>
    <t>PG10.6.2.1.4.4.B</t>
  </si>
  <si>
    <t>PG10.6.2.1.2.1.B</t>
  </si>
  <si>
    <t>PG10.6.3.1.2.1.B</t>
  </si>
  <si>
    <t>1 in stock</t>
  </si>
  <si>
    <t>10ft packs, need 8 ft</t>
  </si>
  <si>
    <t>PRO PLASTICS</t>
  </si>
  <si>
    <t>Rexel</t>
  </si>
  <si>
    <t>Leibinger</t>
  </si>
  <si>
    <t>PLASCON</t>
  </si>
  <si>
    <t>Jet 3SE</t>
  </si>
  <si>
    <t>Leibinger Jet 3SE Printer cabinet and head, for PG10</t>
  </si>
  <si>
    <t>Presto Turner, Welders, Parkers, Adjustment Mechanism</t>
  </si>
  <si>
    <t xml:space="preserve">Presto Slider Bowls Carriage </t>
  </si>
  <si>
    <t>92871A173</t>
  </si>
  <si>
    <t>PG10.5.4.1.2.B</t>
  </si>
  <si>
    <t>PG10.5.4.2.2.B</t>
  </si>
  <si>
    <t>CUFF GRIPPER, RIGHT HAND CONFIG</t>
  </si>
  <si>
    <t>Print Head Mount Plate</t>
  </si>
  <si>
    <t>Bemox, Xometry</t>
  </si>
  <si>
    <t>Frontier Mach, Xometry</t>
  </si>
  <si>
    <t>1 more on PO 55762</t>
  </si>
  <si>
    <t>45X45, M12|-, 410MM</t>
  </si>
  <si>
    <t>APPROVED EL 9/25</t>
  </si>
  <si>
    <t>45X45 D17|D17, 552MM</t>
  </si>
  <si>
    <t>Print Head Collar Mount</t>
  </si>
  <si>
    <t>Leibinger Print Head Collar Mount</t>
  </si>
  <si>
    <t>Mat'l PO 55765</t>
  </si>
  <si>
    <t>Part # 1100336</t>
  </si>
  <si>
    <t>1 More PO 55766, Part #  20102497</t>
  </si>
  <si>
    <t>6 more PO 55766, Part #  1125656</t>
  </si>
  <si>
    <t>12 more PO 55766, Part # 1224723, or Part # 203024</t>
  </si>
  <si>
    <t>Curbel / 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</si>
</sst>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mm/dd/yy;@"/>
    <numFmt numFmtId="166" formatCode="&quot;$&quot;#,##0.0000"/>
    <numFmt numFmtId="167" formatCode="[$-409]mmmm\ d\,\ yyyy;@"/>
    <numFmt numFmtId="168" formatCode="h:mm;@"/>
    <numFmt numFmtId="169" formatCode="#,##0.0000"/>
    <numFmt numFmtId="170" formatCode="0.0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0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entury Gothic"/>
      <family val="2"/>
    </font>
    <font>
      <sz val="11"/>
      <color theme="1"/>
      <name val="Century Gothic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820000"/>
      <name val="Calibri"/>
      <family val="2"/>
      <scheme val="minor"/>
    </font>
    <font>
      <sz val="11"/>
      <color rgb="FF180000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34411B"/>
      <name val="Calibri"/>
      <family val="2"/>
      <scheme val="minor"/>
    </font>
    <font>
      <sz val="11"/>
      <color rgb="FF2B3616"/>
      <name val="Calibri"/>
      <family val="2"/>
      <scheme val="minor"/>
    </font>
    <font>
      <sz val="11"/>
      <color rgb="FF1C230F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rgb="FF0F0B13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19454F"/>
      <name val="Calibri"/>
      <family val="2"/>
      <scheme val="minor"/>
    </font>
    <font>
      <sz val="11"/>
      <color rgb="FF0E262C"/>
      <name val="Calibri"/>
      <family val="2"/>
      <scheme val="minor"/>
    </font>
    <font>
      <sz val="11"/>
      <color rgb="FF0A1C2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FFC5F8"/>
      <name val="Calibri"/>
      <family val="2"/>
      <scheme val="minor"/>
    </font>
    <font>
      <sz val="11"/>
      <color rgb="FFFF89F1"/>
      <name val="Calibri"/>
      <family val="2"/>
      <scheme val="minor"/>
    </font>
    <font>
      <sz val="11"/>
      <color rgb="FFFF5DEC"/>
      <name val="Calibri"/>
      <family val="2"/>
      <scheme val="minor"/>
    </font>
    <font>
      <sz val="11"/>
      <color rgb="FFFF1DE4"/>
      <name val="Calibri"/>
      <family val="2"/>
      <scheme val="minor"/>
    </font>
    <font>
      <sz val="11"/>
      <color rgb="FFCDDEF3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7">
    <xf numFmtId="0" fontId="0" fillId="0" borderId="0"/>
    <xf numFmtId="44" fontId="9" fillId="0" borderId="0" applyFont="0" applyFill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43" fontId="9" fillId="0" borderId="0" applyFont="0" applyFill="0" applyBorder="0" applyAlignment="0" applyProtection="0"/>
  </cellStyleXfs>
  <cellXfs count="357">
    <xf numFmtId="0" fontId="0" fillId="0" borderId="0" xfId="0"/>
    <xf numFmtId="0" fontId="4" fillId="0" borderId="0" xfId="0" applyFont="1"/>
    <xf numFmtId="0" fontId="2" fillId="0" borderId="0" xfId="0" applyFont="1"/>
    <xf numFmtId="164" fontId="2" fillId="0" borderId="2" xfId="0" applyNumberFormat="1" applyFont="1" applyBorder="1"/>
    <xf numFmtId="0" fontId="2" fillId="0" borderId="14" xfId="0" applyFont="1" applyBorder="1"/>
    <xf numFmtId="0" fontId="2" fillId="0" borderId="0" xfId="0" applyFont="1" applyAlignment="1">
      <alignment horizontal="center"/>
    </xf>
    <xf numFmtId="164" fontId="2" fillId="0" borderId="3" xfId="0" applyNumberFormat="1" applyFont="1" applyBorder="1"/>
    <xf numFmtId="164" fontId="2" fillId="0" borderId="0" xfId="0" applyNumberFormat="1" applyFont="1"/>
    <xf numFmtId="165" fontId="2" fillId="0" borderId="0" xfId="0" applyNumberFormat="1" applyFont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0" borderId="8" xfId="0" applyNumberFormat="1" applyFont="1" applyBorder="1"/>
    <xf numFmtId="9" fontId="2" fillId="0" borderId="2" xfId="0" applyNumberFormat="1" applyFont="1" applyBorder="1" applyAlignment="1">
      <alignment horizontal="center"/>
    </xf>
    <xf numFmtId="164" fontId="2" fillId="0" borderId="9" xfId="0" applyNumberFormat="1" applyFont="1" applyBorder="1"/>
    <xf numFmtId="9" fontId="2" fillId="0" borderId="3" xfId="0" applyNumberFormat="1" applyFont="1" applyBorder="1" applyAlignment="1">
      <alignment horizontal="center"/>
    </xf>
    <xf numFmtId="164" fontId="2" fillId="0" borderId="10" xfId="0" applyNumberFormat="1" applyFont="1" applyBorder="1"/>
    <xf numFmtId="9" fontId="2" fillId="0" borderId="4" xfId="0" applyNumberFormat="1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/>
    </xf>
    <xf numFmtId="49" fontId="0" fillId="0" borderId="0" xfId="0" applyNumberFormat="1"/>
    <xf numFmtId="0" fontId="2" fillId="2" borderId="14" xfId="0" applyFont="1" applyFill="1" applyBorder="1"/>
    <xf numFmtId="0" fontId="2" fillId="2" borderId="0" xfId="0" applyFont="1" applyFill="1"/>
    <xf numFmtId="165" fontId="2" fillId="2" borderId="0" xfId="0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64" fontId="2" fillId="2" borderId="15" xfId="0" applyNumberFormat="1" applyFont="1" applyFill="1" applyBorder="1"/>
    <xf numFmtId="0" fontId="4" fillId="2" borderId="14" xfId="0" applyFont="1" applyFill="1" applyBorder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2" fillId="2" borderId="16" xfId="0" applyFont="1" applyFill="1" applyBorder="1"/>
    <xf numFmtId="0" fontId="2" fillId="2" borderId="17" xfId="0" applyFont="1" applyFill="1" applyBorder="1"/>
    <xf numFmtId="165" fontId="2" fillId="2" borderId="17" xfId="0" applyNumberFormat="1" applyFont="1" applyFill="1" applyBorder="1" applyAlignment="1">
      <alignment horizontal="center"/>
    </xf>
    <xf numFmtId="165" fontId="4" fillId="2" borderId="17" xfId="0" applyNumberFormat="1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10" fillId="3" borderId="5" xfId="0" applyFont="1" applyFill="1" applyBorder="1" applyAlignment="1">
      <alignment horizontal="center"/>
    </xf>
    <xf numFmtId="0" fontId="3" fillId="3" borderId="19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left"/>
    </xf>
    <xf numFmtId="165" fontId="6" fillId="5" borderId="0" xfId="0" applyNumberFormat="1" applyFont="1" applyFill="1" applyAlignment="1">
      <alignment horizontal="center"/>
    </xf>
    <xf numFmtId="0" fontId="6" fillId="5" borderId="0" xfId="0" applyFont="1" applyFill="1" applyAlignment="1">
      <alignment horizontal="center"/>
    </xf>
    <xf numFmtId="165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4" fontId="4" fillId="5" borderId="15" xfId="0" applyNumberFormat="1" applyFont="1" applyFill="1" applyBorder="1"/>
    <xf numFmtId="169" fontId="6" fillId="5" borderId="0" xfId="0" applyNumberFormat="1" applyFont="1" applyFill="1" applyAlignment="1">
      <alignment horizontal="right"/>
    </xf>
    <xf numFmtId="164" fontId="6" fillId="5" borderId="15" xfId="0" applyNumberFormat="1" applyFont="1" applyFill="1" applyBorder="1" applyAlignment="1">
      <alignment horizontal="right"/>
    </xf>
    <xf numFmtId="169" fontId="2" fillId="5" borderId="0" xfId="0" applyNumberFormat="1" applyFont="1" applyFill="1" applyAlignment="1">
      <alignment horizontal="right"/>
    </xf>
    <xf numFmtId="164" fontId="2" fillId="5" borderId="15" xfId="0" applyNumberFormat="1" applyFont="1" applyFill="1" applyBorder="1" applyAlignment="1">
      <alignment horizontal="right"/>
    </xf>
    <xf numFmtId="170" fontId="0" fillId="0" borderId="0" xfId="0" applyNumberFormat="1" applyAlignment="1">
      <alignment horizontal="left"/>
    </xf>
    <xf numFmtId="2" fontId="2" fillId="0" borderId="0" xfId="0" applyNumberFormat="1" applyFont="1"/>
    <xf numFmtId="166" fontId="2" fillId="0" borderId="0" xfId="0" applyNumberFormat="1" applyFont="1"/>
    <xf numFmtId="168" fontId="0" fillId="0" borderId="0" xfId="0" applyNumberFormat="1"/>
    <xf numFmtId="16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6" fontId="2" fillId="5" borderId="0" xfId="0" applyNumberFormat="1" applyFont="1" applyFill="1"/>
    <xf numFmtId="0" fontId="2" fillId="5" borderId="0" xfId="0" applyFont="1" applyFill="1"/>
    <xf numFmtId="0" fontId="1" fillId="5" borderId="0" xfId="0" applyFont="1" applyFill="1"/>
    <xf numFmtId="0" fontId="3" fillId="0" borderId="0" xfId="0" applyFont="1"/>
    <xf numFmtId="0" fontId="3" fillId="0" borderId="0" xfId="0" applyFont="1" applyAlignment="1">
      <alignment horizontal="center"/>
    </xf>
    <xf numFmtId="0" fontId="1" fillId="6" borderId="0" xfId="0" applyFont="1" applyFill="1"/>
    <xf numFmtId="0" fontId="3" fillId="6" borderId="0" xfId="0" applyFont="1" applyFill="1"/>
    <xf numFmtId="167" fontId="3" fillId="6" borderId="0" xfId="0" applyNumberFormat="1" applyFont="1" applyFill="1" applyAlignment="1">
      <alignment horizontal="left"/>
    </xf>
    <xf numFmtId="166" fontId="2" fillId="2" borderId="0" xfId="0" applyNumberFormat="1" applyFont="1" applyFill="1"/>
    <xf numFmtId="164" fontId="2" fillId="5" borderId="0" xfId="0" applyNumberFormat="1" applyFont="1" applyFill="1"/>
    <xf numFmtId="164" fontId="2" fillId="5" borderId="15" xfId="0" applyNumberFormat="1" applyFont="1" applyFill="1" applyBorder="1"/>
    <xf numFmtId="166" fontId="4" fillId="5" borderId="0" xfId="0" applyNumberFormat="1" applyFont="1" applyFill="1"/>
    <xf numFmtId="164" fontId="3" fillId="5" borderId="7" xfId="0" applyNumberFormat="1" applyFont="1" applyFill="1" applyBorder="1" applyAlignment="1">
      <alignment horizontal="center"/>
    </xf>
    <xf numFmtId="164" fontId="2" fillId="5" borderId="7" xfId="0" applyNumberFormat="1" applyFont="1" applyFill="1" applyBorder="1"/>
    <xf numFmtId="164" fontId="2" fillId="0" borderId="15" xfId="0" applyNumberFormat="1" applyFont="1" applyBorder="1"/>
    <xf numFmtId="0" fontId="1" fillId="0" borderId="0" xfId="0" applyFont="1"/>
    <xf numFmtId="167" fontId="3" fillId="0" borderId="0" xfId="0" applyNumberFormat="1" applyFont="1" applyAlignment="1">
      <alignment horizontal="left"/>
    </xf>
    <xf numFmtId="0" fontId="4" fillId="0" borderId="14" xfId="0" applyFont="1" applyBorder="1" applyAlignment="1">
      <alignment horizontal="right"/>
    </xf>
    <xf numFmtId="49" fontId="6" fillId="0" borderId="14" xfId="0" applyNumberFormat="1" applyFont="1" applyBorder="1" applyAlignment="1">
      <alignment horizontal="right"/>
    </xf>
    <xf numFmtId="0" fontId="1" fillId="6" borderId="11" xfId="0" applyFont="1" applyFill="1" applyBorder="1"/>
    <xf numFmtId="0" fontId="1" fillId="6" borderId="12" xfId="0" applyFont="1" applyFill="1" applyBorder="1"/>
    <xf numFmtId="0" fontId="3" fillId="6" borderId="12" xfId="0" applyFont="1" applyFill="1" applyBorder="1" applyAlignment="1">
      <alignment horizontal="right"/>
    </xf>
    <xf numFmtId="0" fontId="3" fillId="6" borderId="12" xfId="0" applyFont="1" applyFill="1" applyBorder="1"/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/>
    <xf numFmtId="0" fontId="3" fillId="6" borderId="14" xfId="0" applyFont="1" applyFill="1" applyBorder="1"/>
    <xf numFmtId="0" fontId="3" fillId="6" borderId="0" xfId="0" applyFont="1" applyFill="1" applyAlignment="1">
      <alignment horizontal="right" wrapText="1"/>
    </xf>
    <xf numFmtId="0" fontId="1" fillId="6" borderId="15" xfId="0" applyFont="1" applyFill="1" applyBorder="1" applyAlignment="1">
      <alignment wrapText="1"/>
    </xf>
    <xf numFmtId="0" fontId="3" fillId="6" borderId="0" xfId="0" applyFont="1" applyFill="1" applyAlignment="1">
      <alignment horizontal="right"/>
    </xf>
    <xf numFmtId="0" fontId="3" fillId="6" borderId="0" xfId="0" applyFont="1" applyFill="1" applyAlignment="1">
      <alignment horizontal="center"/>
    </xf>
    <xf numFmtId="0" fontId="3" fillId="6" borderId="15" xfId="0" applyFont="1" applyFill="1" applyBorder="1"/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4" fillId="5" borderId="0" xfId="0" applyFont="1" applyFill="1"/>
    <xf numFmtId="0" fontId="1" fillId="0" borderId="12" xfId="0" applyFont="1" applyBorder="1"/>
    <xf numFmtId="0" fontId="3" fillId="0" borderId="12" xfId="0" applyFont="1" applyBorder="1"/>
    <xf numFmtId="169" fontId="3" fillId="6" borderId="12" xfId="0" applyNumberFormat="1" applyFont="1" applyFill="1" applyBorder="1" applyAlignment="1">
      <alignment horizontal="right"/>
    </xf>
    <xf numFmtId="169" fontId="3" fillId="6" borderId="0" xfId="0" applyNumberFormat="1" applyFont="1" applyFill="1" applyAlignment="1">
      <alignment horizontal="right"/>
    </xf>
    <xf numFmtId="169" fontId="2" fillId="0" borderId="0" xfId="0" applyNumberFormat="1" applyFont="1" applyAlignment="1">
      <alignment horizontal="right"/>
    </xf>
    <xf numFmtId="169" fontId="3" fillId="0" borderId="7" xfId="0" applyNumberFormat="1" applyFont="1" applyBorder="1" applyAlignment="1">
      <alignment horizontal="right"/>
    </xf>
    <xf numFmtId="169" fontId="0" fillId="0" borderId="0" xfId="0" applyNumberFormat="1" applyAlignment="1">
      <alignment horizontal="right"/>
    </xf>
    <xf numFmtId="0" fontId="3" fillId="6" borderId="13" xfId="0" applyFont="1" applyFill="1" applyBorder="1" applyAlignment="1">
      <alignment horizontal="right"/>
    </xf>
    <xf numFmtId="0" fontId="3" fillId="6" borderId="15" xfId="0" applyFont="1" applyFill="1" applyBorder="1" applyAlignment="1">
      <alignment horizontal="right"/>
    </xf>
    <xf numFmtId="164" fontId="4" fillId="5" borderId="15" xfId="0" applyNumberFormat="1" applyFont="1" applyFill="1" applyBorder="1" applyAlignment="1">
      <alignment horizontal="right"/>
    </xf>
    <xf numFmtId="164" fontId="2" fillId="0" borderId="7" xfId="0" applyNumberFormat="1" applyFont="1" applyBorder="1" applyAlignment="1">
      <alignment horizontal="right"/>
    </xf>
    <xf numFmtId="164" fontId="2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6" fillId="5" borderId="0" xfId="0" applyFont="1" applyFill="1" applyAlignment="1">
      <alignment horizontal="left"/>
    </xf>
    <xf numFmtId="0" fontId="2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4" fillId="0" borderId="11" xfId="0" applyFont="1" applyBorder="1" applyAlignment="1">
      <alignment horizontal="right"/>
    </xf>
    <xf numFmtId="0" fontId="4" fillId="0" borderId="12" xfId="0" applyFont="1" applyBorder="1"/>
    <xf numFmtId="0" fontId="4" fillId="4" borderId="12" xfId="0" applyFont="1" applyFill="1" applyBorder="1"/>
    <xf numFmtId="0" fontId="4" fillId="2" borderId="12" xfId="0" applyFont="1" applyFill="1" applyBorder="1"/>
    <xf numFmtId="165" fontId="4" fillId="2" borderId="12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169" fontId="4" fillId="5" borderId="12" xfId="0" applyNumberFormat="1" applyFont="1" applyFill="1" applyBorder="1" applyAlignment="1">
      <alignment horizontal="right"/>
    </xf>
    <xf numFmtId="164" fontId="4" fillId="5" borderId="13" xfId="0" applyNumberFormat="1" applyFont="1" applyFill="1" applyBorder="1" applyAlignment="1">
      <alignment horizontal="right"/>
    </xf>
    <xf numFmtId="0" fontId="3" fillId="6" borderId="23" xfId="0" applyFont="1" applyFill="1" applyBorder="1" applyAlignment="1">
      <alignment horizontal="center"/>
    </xf>
    <xf numFmtId="169" fontId="3" fillId="6" borderId="21" xfId="0" applyNumberFormat="1" applyFont="1" applyFill="1" applyBorder="1" applyAlignment="1">
      <alignment horizontal="center"/>
    </xf>
    <xf numFmtId="0" fontId="6" fillId="7" borderId="0" xfId="0" applyFont="1" applyFill="1"/>
    <xf numFmtId="0" fontId="2" fillId="9" borderId="0" xfId="0" applyFont="1" applyFill="1"/>
    <xf numFmtId="0" fontId="2" fillId="10" borderId="0" xfId="0" applyFont="1" applyFill="1"/>
    <xf numFmtId="0" fontId="0" fillId="5" borderId="0" xfId="0" applyFill="1"/>
    <xf numFmtId="2" fontId="0" fillId="0" borderId="0" xfId="0" applyNumberFormat="1" applyAlignment="1">
      <alignment horizontal="center"/>
    </xf>
    <xf numFmtId="1" fontId="3" fillId="6" borderId="12" xfId="0" applyNumberFormat="1" applyFont="1" applyFill="1" applyBorder="1" applyAlignment="1">
      <alignment horizontal="center"/>
    </xf>
    <xf numFmtId="1" fontId="3" fillId="6" borderId="0" xfId="0" applyNumberFormat="1" applyFont="1" applyFill="1" applyAlignment="1">
      <alignment horizontal="center"/>
    </xf>
    <xf numFmtId="1" fontId="3" fillId="6" borderId="21" xfId="0" applyNumberFormat="1" applyFont="1" applyFill="1" applyBorder="1" applyAlignment="1">
      <alignment horizontal="center"/>
    </xf>
    <xf numFmtId="1" fontId="6" fillId="5" borderId="0" xfId="0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2" borderId="1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8" borderId="0" xfId="0" applyFont="1" applyFill="1" applyAlignment="1">
      <alignment horizontal="left"/>
    </xf>
    <xf numFmtId="44" fontId="0" fillId="0" borderId="0" xfId="1" applyFont="1" applyFill="1" applyBorder="1" applyProtection="1"/>
    <xf numFmtId="4" fontId="0" fillId="0" borderId="0" xfId="0" applyNumberFormat="1"/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4" fontId="0" fillId="0" borderId="0" xfId="1" applyFont="1" applyFill="1" applyBorder="1" applyAlignment="1" applyProtection="1">
      <alignment horizontal="center"/>
    </xf>
    <xf numFmtId="44" fontId="0" fillId="0" borderId="0" xfId="1" applyFont="1" applyFill="1"/>
    <xf numFmtId="4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4" fontId="0" fillId="0" borderId="0" xfId="0" applyNumberFormat="1" applyAlignment="1">
      <alignment horizontal="center"/>
    </xf>
    <xf numFmtId="0" fontId="4" fillId="4" borderId="0" xfId="0" applyFont="1" applyFill="1"/>
    <xf numFmtId="0" fontId="4" fillId="5" borderId="0" xfId="0" applyFont="1" applyFill="1" applyAlignment="1">
      <alignment horizontal="center"/>
    </xf>
    <xf numFmtId="169" fontId="4" fillId="5" borderId="0" xfId="0" applyNumberFormat="1" applyFont="1" applyFill="1" applyAlignment="1">
      <alignment horizontal="right"/>
    </xf>
    <xf numFmtId="169" fontId="2" fillId="2" borderId="0" xfId="0" applyNumberFormat="1" applyFont="1" applyFill="1" applyAlignment="1">
      <alignment horizontal="right"/>
    </xf>
    <xf numFmtId="164" fontId="2" fillId="2" borderId="15" xfId="0" applyNumberFormat="1" applyFont="1" applyFill="1" applyBorder="1" applyAlignment="1">
      <alignment horizontal="right"/>
    </xf>
    <xf numFmtId="0" fontId="4" fillId="0" borderId="0" xfId="0" applyFont="1" applyAlignment="1">
      <alignment horizontal="right"/>
    </xf>
    <xf numFmtId="164" fontId="4" fillId="5" borderId="0" xfId="0" applyNumberFormat="1" applyFont="1" applyFill="1" applyAlignment="1">
      <alignment horizontal="right"/>
    </xf>
    <xf numFmtId="164" fontId="4" fillId="5" borderId="26" xfId="0" applyNumberFormat="1" applyFont="1" applyFill="1" applyBorder="1" applyAlignment="1">
      <alignment horizontal="right"/>
    </xf>
    <xf numFmtId="164" fontId="4" fillId="5" borderId="27" xfId="0" applyNumberFormat="1" applyFont="1" applyFill="1" applyBorder="1" applyAlignment="1">
      <alignment horizontal="right"/>
    </xf>
    <xf numFmtId="0" fontId="4" fillId="2" borderId="3" xfId="0" applyFont="1" applyFill="1" applyBorder="1"/>
    <xf numFmtId="44" fontId="0" fillId="0" borderId="0" xfId="1" applyFont="1" applyFill="1" applyAlignment="1" applyProtection="1">
      <alignment horizontal="center"/>
    </xf>
    <xf numFmtId="44" fontId="0" fillId="0" borderId="0" xfId="1" applyFont="1" applyFill="1" applyAlignment="1">
      <alignment horizontal="center"/>
    </xf>
    <xf numFmtId="1" fontId="0" fillId="0" borderId="0" xfId="0" applyNumberFormat="1"/>
    <xf numFmtId="0" fontId="2" fillId="5" borderId="0" xfId="0" applyFont="1" applyFill="1" applyAlignment="1">
      <alignment wrapText="1"/>
    </xf>
    <xf numFmtId="0" fontId="0" fillId="5" borderId="15" xfId="0" applyFill="1" applyBorder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/>
    </xf>
    <xf numFmtId="0" fontId="3" fillId="6" borderId="28" xfId="0" applyFont="1" applyFill="1" applyBorder="1" applyAlignment="1">
      <alignment horizontal="center"/>
    </xf>
    <xf numFmtId="169" fontId="3" fillId="6" borderId="28" xfId="0" applyNumberFormat="1" applyFont="1" applyFill="1" applyBorder="1" applyAlignment="1">
      <alignment horizontal="center"/>
    </xf>
    <xf numFmtId="0" fontId="3" fillId="6" borderId="29" xfId="0" applyFont="1" applyFill="1" applyBorder="1" applyAlignment="1">
      <alignment horizontal="center"/>
    </xf>
    <xf numFmtId="0" fontId="6" fillId="5" borderId="15" xfId="0" applyFont="1" applyFill="1" applyBorder="1" applyAlignment="1">
      <alignment wrapText="1"/>
    </xf>
    <xf numFmtId="2" fontId="4" fillId="0" borderId="0" xfId="6" applyNumberFormat="1" applyFont="1"/>
    <xf numFmtId="0" fontId="6" fillId="5" borderId="0" xfId="0" applyFont="1" applyFill="1" applyAlignment="1">
      <alignment wrapText="1"/>
    </xf>
    <xf numFmtId="164" fontId="4" fillId="5" borderId="18" xfId="0" applyNumberFormat="1" applyFont="1" applyFill="1" applyBorder="1" applyAlignment="1">
      <alignment horizontal="right"/>
    </xf>
    <xf numFmtId="0" fontId="3" fillId="6" borderId="26" xfId="0" applyFont="1" applyFill="1" applyBorder="1" applyAlignment="1">
      <alignment horizontal="center"/>
    </xf>
    <xf numFmtId="1" fontId="3" fillId="6" borderId="28" xfId="0" applyNumberFormat="1" applyFont="1" applyFill="1" applyBorder="1" applyAlignment="1">
      <alignment horizontal="center"/>
    </xf>
    <xf numFmtId="0" fontId="4" fillId="2" borderId="11" xfId="0" applyFont="1" applyFill="1" applyBorder="1"/>
    <xf numFmtId="0" fontId="3" fillId="6" borderId="30" xfId="0" applyFont="1" applyFill="1" applyBorder="1" applyAlignment="1">
      <alignment horizontal="center"/>
    </xf>
    <xf numFmtId="169" fontId="3" fillId="6" borderId="28" xfId="0" applyNumberFormat="1" applyFont="1" applyFill="1" applyBorder="1" applyAlignment="1">
      <alignment horizontal="right"/>
    </xf>
    <xf numFmtId="0" fontId="3" fillId="6" borderId="29" xfId="0" applyFont="1" applyFill="1" applyBorder="1" applyAlignment="1">
      <alignment horizontal="right"/>
    </xf>
    <xf numFmtId="0" fontId="4" fillId="0" borderId="12" xfId="0" applyFont="1" applyBorder="1" applyAlignment="1">
      <alignment horizontal="right"/>
    </xf>
    <xf numFmtId="44" fontId="0" fillId="0" borderId="0" xfId="1" applyFont="1"/>
    <xf numFmtId="49" fontId="0" fillId="18" borderId="0" xfId="0" applyNumberFormat="1" applyFill="1" applyAlignment="1">
      <alignment horizontal="left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left" vertical="center" wrapText="1"/>
    </xf>
    <xf numFmtId="169" fontId="3" fillId="0" borderId="31" xfId="0" applyNumberFormat="1" applyFont="1" applyBorder="1" applyAlignment="1">
      <alignment horizontal="right"/>
    </xf>
    <xf numFmtId="49" fontId="0" fillId="0" borderId="0" xfId="0" applyNumberFormat="1" applyAlignment="1">
      <alignment vertical="center"/>
    </xf>
    <xf numFmtId="14" fontId="0" fillId="0" borderId="0" xfId="0" applyNumberFormat="1"/>
    <xf numFmtId="0" fontId="0" fillId="3" borderId="0" xfId="0" applyFill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6" fillId="5" borderId="27" xfId="0" applyFont="1" applyFill="1" applyBorder="1" applyAlignment="1">
      <alignment wrapText="1"/>
    </xf>
    <xf numFmtId="0" fontId="14" fillId="0" borderId="0" xfId="0" applyFont="1" applyAlignment="1">
      <alignment vertical="center"/>
    </xf>
    <xf numFmtId="1" fontId="3" fillId="6" borderId="22" xfId="0" applyNumberFormat="1" applyFont="1" applyFill="1" applyBorder="1" applyAlignment="1">
      <alignment horizontal="center"/>
    </xf>
    <xf numFmtId="0" fontId="0" fillId="3" borderId="0" xfId="0" applyFill="1"/>
    <xf numFmtId="0" fontId="2" fillId="3" borderId="0" xfId="0" applyFont="1" applyFill="1"/>
    <xf numFmtId="0" fontId="15" fillId="0" borderId="0" xfId="0" applyFont="1" applyAlignment="1">
      <alignment vertical="center"/>
    </xf>
    <xf numFmtId="49" fontId="0" fillId="21" borderId="0" xfId="0" applyNumberFormat="1" applyFill="1" applyAlignment="1">
      <alignment horizontal="left"/>
    </xf>
    <xf numFmtId="49" fontId="9" fillId="11" borderId="0" xfId="2" applyNumberFormat="1" applyAlignment="1">
      <alignment horizontal="left"/>
    </xf>
    <xf numFmtId="49" fontId="9" fillId="13" borderId="0" xfId="4" applyNumberFormat="1" applyAlignment="1">
      <alignment horizontal="left"/>
    </xf>
    <xf numFmtId="49" fontId="0" fillId="16" borderId="0" xfId="0" applyNumberFormat="1" applyFill="1" applyAlignment="1">
      <alignment horizontal="left"/>
    </xf>
    <xf numFmtId="49" fontId="9" fillId="16" borderId="0" xfId="2" applyNumberFormat="1" applyFill="1" applyAlignment="1">
      <alignment horizontal="left"/>
    </xf>
    <xf numFmtId="49" fontId="0" fillId="15" borderId="0" xfId="0" applyNumberFormat="1" applyFill="1" applyAlignment="1">
      <alignment horizontal="left"/>
    </xf>
    <xf numFmtId="49" fontId="9" fillId="15" borderId="0" xfId="3" applyNumberFormat="1" applyFill="1" applyAlignment="1">
      <alignment horizontal="left"/>
    </xf>
    <xf numFmtId="49" fontId="0" fillId="16" borderId="0" xfId="3" applyNumberFormat="1" applyFont="1" applyFill="1" applyAlignment="1">
      <alignment horizontal="left"/>
    </xf>
    <xf numFmtId="49" fontId="9" fillId="12" borderId="0" xfId="3" applyNumberFormat="1" applyAlignment="1">
      <alignment horizontal="left"/>
    </xf>
    <xf numFmtId="49" fontId="9" fillId="14" borderId="0" xfId="5" applyNumberFormat="1" applyAlignment="1">
      <alignment horizontal="left"/>
    </xf>
    <xf numFmtId="49" fontId="0" fillId="17" borderId="0" xfId="0" applyNumberFormat="1" applyFill="1" applyAlignment="1">
      <alignment horizontal="left"/>
    </xf>
    <xf numFmtId="49" fontId="0" fillId="12" borderId="0" xfId="3" applyNumberFormat="1" applyFont="1" applyAlignment="1">
      <alignment horizontal="left"/>
    </xf>
    <xf numFmtId="49" fontId="0" fillId="17" borderId="0" xfId="4" applyNumberFormat="1" applyFont="1" applyFill="1" applyAlignment="1">
      <alignment horizontal="left"/>
    </xf>
    <xf numFmtId="49" fontId="0" fillId="20" borderId="0" xfId="4" applyNumberFormat="1" applyFont="1" applyFill="1" applyAlignment="1">
      <alignment horizontal="left"/>
    </xf>
    <xf numFmtId="49" fontId="0" fillId="20" borderId="0" xfId="0" applyNumberFormat="1" applyFill="1" applyAlignment="1">
      <alignment horizontal="left"/>
    </xf>
    <xf numFmtId="49" fontId="0" fillId="17" borderId="0" xfId="3" applyNumberFormat="1" applyFont="1" applyFill="1" applyAlignment="1">
      <alignment horizontal="left"/>
    </xf>
    <xf numFmtId="49" fontId="0" fillId="23" borderId="0" xfId="0" applyNumberFormat="1" applyFill="1"/>
    <xf numFmtId="49" fontId="0" fillId="24" borderId="0" xfId="0" applyNumberFormat="1" applyFill="1"/>
    <xf numFmtId="49" fontId="0" fillId="25" borderId="0" xfId="0" applyNumberFormat="1" applyFill="1"/>
    <xf numFmtId="49" fontId="0" fillId="26" borderId="0" xfId="0" applyNumberFormat="1" applyFill="1" applyAlignment="1">
      <alignment horizontal="center"/>
    </xf>
    <xf numFmtId="49" fontId="0" fillId="30" borderId="0" xfId="0" applyNumberFormat="1" applyFill="1"/>
    <xf numFmtId="49" fontId="0" fillId="31" borderId="0" xfId="0" applyNumberFormat="1" applyFill="1"/>
    <xf numFmtId="49" fontId="17" fillId="19" borderId="0" xfId="0" applyNumberFormat="1" applyFont="1" applyFill="1"/>
    <xf numFmtId="49" fontId="18" fillId="19" borderId="0" xfId="0" applyNumberFormat="1" applyFont="1" applyFill="1"/>
    <xf numFmtId="49" fontId="19" fillId="19" borderId="0" xfId="0" applyNumberFormat="1" applyFont="1" applyFill="1"/>
    <xf numFmtId="49" fontId="20" fillId="19" borderId="0" xfId="0" applyNumberFormat="1" applyFont="1" applyFill="1"/>
    <xf numFmtId="49" fontId="21" fillId="19" borderId="0" xfId="0" applyNumberFormat="1" applyFont="1" applyFill="1"/>
    <xf numFmtId="49" fontId="22" fillId="19" borderId="0" xfId="0" applyNumberFormat="1" applyFont="1" applyFill="1"/>
    <xf numFmtId="49" fontId="23" fillId="19" borderId="0" xfId="0" applyNumberFormat="1" applyFont="1" applyFill="1"/>
    <xf numFmtId="49" fontId="16" fillId="19" borderId="0" xfId="0" applyNumberFormat="1" applyFont="1" applyFill="1"/>
    <xf numFmtId="49" fontId="16" fillId="27" borderId="0" xfId="0" applyNumberFormat="1" applyFont="1" applyFill="1"/>
    <xf numFmtId="49" fontId="24" fillId="27" borderId="0" xfId="0" applyNumberFormat="1" applyFont="1" applyFill="1"/>
    <xf numFmtId="49" fontId="25" fillId="27" borderId="0" xfId="0" applyNumberFormat="1" applyFont="1" applyFill="1"/>
    <xf numFmtId="49" fontId="26" fillId="3" borderId="0" xfId="0" applyNumberFormat="1" applyFont="1" applyFill="1"/>
    <xf numFmtId="49" fontId="27" fillId="3" borderId="0" xfId="0" applyNumberFormat="1" applyFont="1" applyFill="1"/>
    <xf numFmtId="49" fontId="28" fillId="3" borderId="0" xfId="0" applyNumberFormat="1" applyFont="1" applyFill="1"/>
    <xf numFmtId="49" fontId="29" fillId="22" borderId="0" xfId="0" applyNumberFormat="1" applyFont="1" applyFill="1"/>
    <xf numFmtId="49" fontId="30" fillId="22" borderId="0" xfId="0" applyNumberFormat="1" applyFont="1" applyFill="1"/>
    <xf numFmtId="49" fontId="31" fillId="22" borderId="0" xfId="0" applyNumberFormat="1" applyFont="1" applyFill="1"/>
    <xf numFmtId="49" fontId="32" fillId="22" borderId="0" xfId="0" applyNumberFormat="1" applyFont="1" applyFill="1"/>
    <xf numFmtId="49" fontId="33" fillId="22" borderId="0" xfId="0" applyNumberFormat="1" applyFont="1" applyFill="1"/>
    <xf numFmtId="49" fontId="34" fillId="22" borderId="0" xfId="0" applyNumberFormat="1" applyFont="1" applyFill="1"/>
    <xf numFmtId="49" fontId="35" fillId="28" borderId="0" xfId="0" applyNumberFormat="1" applyFont="1" applyFill="1"/>
    <xf numFmtId="49" fontId="36" fillId="28" borderId="0" xfId="0" applyNumberFormat="1" applyFont="1" applyFill="1"/>
    <xf numFmtId="49" fontId="37" fillId="28" borderId="0" xfId="0" applyNumberFormat="1" applyFont="1" applyFill="1"/>
    <xf numFmtId="49" fontId="38" fillId="28" borderId="0" xfId="0" applyNumberFormat="1" applyFont="1" applyFill="1"/>
    <xf numFmtId="49" fontId="5" fillId="28" borderId="0" xfId="0" applyNumberFormat="1" applyFont="1" applyFill="1"/>
    <xf numFmtId="49" fontId="39" fillId="28" borderId="0" xfId="0" applyNumberFormat="1" applyFont="1" applyFill="1"/>
    <xf numFmtId="49" fontId="40" fillId="28" borderId="0" xfId="0" applyNumberFormat="1" applyFont="1" applyFill="1"/>
    <xf numFmtId="49" fontId="41" fillId="28" borderId="0" xfId="0" applyNumberFormat="1" applyFont="1" applyFill="1"/>
    <xf numFmtId="49" fontId="42" fillId="29" borderId="0" xfId="0" applyNumberFormat="1" applyFont="1" applyFill="1"/>
    <xf numFmtId="49" fontId="43" fillId="29" borderId="0" xfId="0" applyNumberFormat="1" applyFont="1" applyFill="1"/>
    <xf numFmtId="49" fontId="44" fillId="29" borderId="0" xfId="0" applyNumberFormat="1" applyFont="1" applyFill="1"/>
    <xf numFmtId="49" fontId="45" fillId="29" borderId="0" xfId="0" applyNumberFormat="1" applyFont="1" applyFill="1"/>
    <xf numFmtId="49" fontId="46" fillId="29" borderId="0" xfId="0" applyNumberFormat="1" applyFont="1" applyFill="1"/>
    <xf numFmtId="49" fontId="47" fillId="29" borderId="0" xfId="0" applyNumberFormat="1" applyFont="1" applyFill="1"/>
    <xf numFmtId="49" fontId="14" fillId="29" borderId="0" xfId="0" applyNumberFormat="1" applyFont="1" applyFill="1"/>
    <xf numFmtId="49" fontId="48" fillId="23" borderId="0" xfId="0" applyNumberFormat="1" applyFont="1" applyFill="1"/>
    <xf numFmtId="49" fontId="49" fillId="23" borderId="0" xfId="0" applyNumberFormat="1" applyFont="1" applyFill="1"/>
    <xf numFmtId="49" fontId="50" fillId="23" borderId="0" xfId="0" applyNumberFormat="1" applyFont="1" applyFill="1"/>
    <xf numFmtId="49" fontId="51" fillId="23" borderId="0" xfId="0" applyNumberFormat="1" applyFont="1" applyFill="1"/>
    <xf numFmtId="49" fontId="52" fillId="23" borderId="0" xfId="0" applyNumberFormat="1" applyFont="1" applyFill="1"/>
    <xf numFmtId="49" fontId="53" fillId="23" borderId="0" xfId="0" applyNumberFormat="1" applyFont="1" applyFill="1"/>
    <xf numFmtId="49" fontId="54" fillId="23" borderId="0" xfId="0" applyNumberFormat="1" applyFont="1" applyFill="1"/>
    <xf numFmtId="49" fontId="55" fillId="30" borderId="0" xfId="0" applyNumberFormat="1" applyFont="1" applyFill="1"/>
    <xf numFmtId="49" fontId="56" fillId="30" borderId="0" xfId="0" applyNumberFormat="1" applyFont="1" applyFill="1"/>
    <xf numFmtId="49" fontId="57" fillId="30" borderId="0" xfId="0" applyNumberFormat="1" applyFont="1" applyFill="1"/>
    <xf numFmtId="49" fontId="58" fillId="18" borderId="0" xfId="0" applyNumberFormat="1" applyFont="1" applyFill="1"/>
    <xf numFmtId="49" fontId="59" fillId="18" borderId="0" xfId="0" applyNumberFormat="1" applyFont="1" applyFill="1"/>
    <xf numFmtId="49" fontId="60" fillId="18" borderId="0" xfId="0" applyNumberFormat="1" applyFont="1" applyFill="1"/>
    <xf numFmtId="49" fontId="61" fillId="18" borderId="0" xfId="0" applyNumberFormat="1" applyFont="1" applyFill="1"/>
    <xf numFmtId="0" fontId="2" fillId="8" borderId="0" xfId="0" applyFont="1" applyFill="1"/>
    <xf numFmtId="49" fontId="16" fillId="25" borderId="0" xfId="0" applyNumberFormat="1" applyFont="1" applyFill="1"/>
    <xf numFmtId="49" fontId="18" fillId="25" borderId="0" xfId="0" applyNumberFormat="1" applyFont="1" applyFill="1"/>
    <xf numFmtId="49" fontId="19" fillId="25" borderId="0" xfId="0" applyNumberFormat="1" applyFont="1" applyFill="1"/>
    <xf numFmtId="49" fontId="20" fillId="25" borderId="0" xfId="0" applyNumberFormat="1" applyFont="1" applyFill="1"/>
    <xf numFmtId="49" fontId="21" fillId="25" borderId="0" xfId="0" applyNumberFormat="1" applyFont="1" applyFill="1"/>
    <xf numFmtId="44" fontId="0" fillId="0" borderId="0" xfId="1" applyFont="1" applyAlignment="1">
      <alignment horizontal="center"/>
    </xf>
    <xf numFmtId="0" fontId="6" fillId="0" borderId="14" xfId="0" applyFont="1" applyBorder="1" applyAlignment="1">
      <alignment horizontal="right"/>
    </xf>
    <xf numFmtId="1" fontId="6" fillId="0" borderId="14" xfId="0" applyNumberFormat="1" applyFont="1" applyBorder="1" applyAlignment="1">
      <alignment horizontal="right"/>
    </xf>
    <xf numFmtId="0" fontId="11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5" fillId="2" borderId="0" xfId="0" applyFont="1" applyFill="1"/>
    <xf numFmtId="3" fontId="0" fillId="0" borderId="0" xfId="0" applyNumberFormat="1"/>
    <xf numFmtId="49" fontId="62" fillId="3" borderId="0" xfId="0" applyNumberFormat="1" applyFont="1" applyFill="1"/>
    <xf numFmtId="0" fontId="0" fillId="0" borderId="32" xfId="0" applyBorder="1"/>
    <xf numFmtId="49" fontId="63" fillId="22" borderId="0" xfId="0" applyNumberFormat="1" applyFont="1" applyFill="1" applyAlignment="1">
      <alignment horizontal="left"/>
    </xf>
    <xf numFmtId="49" fontId="64" fillId="27" borderId="0" xfId="0" applyNumberFormat="1" applyFont="1" applyFill="1"/>
    <xf numFmtId="49" fontId="65" fillId="27" borderId="0" xfId="0" applyNumberFormat="1" applyFont="1" applyFill="1"/>
    <xf numFmtId="49" fontId="0" fillId="32" borderId="0" xfId="0" applyNumberFormat="1" applyFill="1"/>
    <xf numFmtId="0" fontId="0" fillId="33" borderId="0" xfId="0" applyFill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0" fillId="26" borderId="0" xfId="0" applyFill="1"/>
    <xf numFmtId="49" fontId="0" fillId="17" borderId="0" xfId="2" applyNumberFormat="1" applyFont="1" applyFill="1" applyAlignment="1">
      <alignment horizontal="left"/>
    </xf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19" borderId="0" xfId="0" applyFill="1"/>
    <xf numFmtId="49" fontId="0" fillId="22" borderId="0" xfId="0" applyNumberFormat="1" applyFill="1" applyAlignment="1">
      <alignment horizontal="center" vertical="center"/>
    </xf>
    <xf numFmtId="1" fontId="0" fillId="0" borderId="0" xfId="1" applyNumberFormat="1" applyFont="1" applyFill="1"/>
    <xf numFmtId="1" fontId="0" fillId="0" borderId="0" xfId="1" applyNumberFormat="1" applyFont="1"/>
    <xf numFmtId="1" fontId="4" fillId="0" borderId="0" xfId="6" applyNumberFormat="1" applyFont="1"/>
    <xf numFmtId="0" fontId="2" fillId="0" borderId="0" xfId="0" applyFont="1"/>
    <xf numFmtId="0" fontId="0" fillId="0" borderId="0" xfId="0"/>
    <xf numFmtId="0" fontId="2" fillId="2" borderId="0" xfId="0" applyFont="1" applyFill="1"/>
    <xf numFmtId="0" fontId="0" fillId="2" borderId="0" xfId="0" applyFill="1"/>
    <xf numFmtId="0" fontId="4" fillId="2" borderId="0" xfId="0" applyFont="1" applyFill="1"/>
    <xf numFmtId="0" fontId="5" fillId="2" borderId="0" xfId="0" applyFont="1" applyFill="1"/>
    <xf numFmtId="0" fontId="3" fillId="6" borderId="22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0" fontId="2" fillId="5" borderId="0" xfId="0" applyFont="1" applyFill="1"/>
    <xf numFmtId="0" fontId="0" fillId="5" borderId="0" xfId="0" applyFill="1"/>
    <xf numFmtId="0" fontId="2" fillId="2" borderId="17" xfId="0" applyFont="1" applyFill="1" applyBorder="1"/>
    <xf numFmtId="0" fontId="0" fillId="2" borderId="17" xfId="0" applyFill="1" applyBorder="1"/>
    <xf numFmtId="0" fontId="4" fillId="5" borderId="0" xfId="0" applyFont="1" applyFill="1"/>
    <xf numFmtId="0" fontId="5" fillId="5" borderId="0" xfId="0" applyFont="1" applyFill="1"/>
    <xf numFmtId="0" fontId="1" fillId="0" borderId="12" xfId="0" applyFont="1" applyBorder="1" applyAlignment="1">
      <alignment horizontal="center"/>
    </xf>
    <xf numFmtId="0" fontId="6" fillId="5" borderId="0" xfId="0" applyFont="1" applyFill="1" applyAlignment="1">
      <alignment wrapText="1"/>
    </xf>
    <xf numFmtId="0" fontId="6" fillId="5" borderId="15" xfId="0" applyFont="1" applyFill="1" applyBorder="1" applyAlignment="1">
      <alignment wrapText="1"/>
    </xf>
    <xf numFmtId="0" fontId="2" fillId="2" borderId="17" xfId="0" applyFont="1" applyFill="1" applyBorder="1" applyAlignment="1">
      <alignment wrapText="1"/>
    </xf>
    <xf numFmtId="0" fontId="0" fillId="2" borderId="18" xfId="0" applyFill="1" applyBorder="1" applyAlignment="1">
      <alignment wrapText="1"/>
    </xf>
    <xf numFmtId="0" fontId="3" fillId="6" borderId="28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6" fillId="5" borderId="0" xfId="0" applyFont="1" applyFill="1" applyAlignment="1">
      <alignment horizontal="left"/>
    </xf>
    <xf numFmtId="0" fontId="7" fillId="5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4" fillId="2" borderId="12" xfId="0" applyFont="1" applyFill="1" applyBorder="1"/>
    <xf numFmtId="0" fontId="2" fillId="5" borderId="0" xfId="0" applyFont="1" applyFill="1" applyAlignment="1">
      <alignment wrapText="1"/>
    </xf>
    <xf numFmtId="0" fontId="0" fillId="5" borderId="15" xfId="0" applyFill="1" applyBorder="1" applyAlignment="1">
      <alignment wrapText="1"/>
    </xf>
    <xf numFmtId="0" fontId="2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7" fillId="5" borderId="15" xfId="0" applyFont="1" applyFill="1" applyBorder="1" applyAlignment="1">
      <alignment wrapText="1"/>
    </xf>
    <xf numFmtId="0" fontId="1" fillId="6" borderId="12" xfId="0" applyFont="1" applyFill="1" applyBorder="1" applyAlignment="1">
      <alignment horizontal="center" wrapText="1"/>
    </xf>
    <xf numFmtId="0" fontId="1" fillId="6" borderId="13" xfId="0" applyFont="1" applyFill="1" applyBorder="1" applyAlignment="1">
      <alignment horizontal="center" wrapText="1"/>
    </xf>
    <xf numFmtId="0" fontId="2" fillId="2" borderId="0" xfId="0" applyFont="1" applyFill="1" applyAlignment="1">
      <alignment wrapText="1"/>
    </xf>
    <xf numFmtId="0" fontId="0" fillId="2" borderId="15" xfId="0" applyFill="1" applyBorder="1" applyAlignment="1">
      <alignment wrapText="1"/>
    </xf>
    <xf numFmtId="0" fontId="3" fillId="6" borderId="28" xfId="0" applyFont="1" applyFill="1" applyBorder="1" applyAlignment="1">
      <alignment horizontal="center" wrapText="1"/>
    </xf>
    <xf numFmtId="0" fontId="1" fillId="6" borderId="29" xfId="0" applyFont="1" applyFill="1" applyBorder="1" applyAlignment="1">
      <alignment horizontal="center" wrapText="1"/>
    </xf>
    <xf numFmtId="0" fontId="6" fillId="5" borderId="12" xfId="0" applyFont="1" applyFill="1" applyBorder="1" applyAlignment="1">
      <alignment wrapText="1"/>
    </xf>
    <xf numFmtId="0" fontId="6" fillId="5" borderId="13" xfId="0" applyFont="1" applyFill="1" applyBorder="1" applyAlignment="1">
      <alignment wrapText="1"/>
    </xf>
    <xf numFmtId="0" fontId="3" fillId="6" borderId="22" xfId="0" applyFont="1" applyFill="1" applyBorder="1" applyAlignment="1">
      <alignment horizontal="center" wrapText="1"/>
    </xf>
    <xf numFmtId="0" fontId="1" fillId="6" borderId="25" xfId="0" applyFont="1" applyFill="1" applyBorder="1" applyAlignment="1">
      <alignment horizontal="center" wrapText="1"/>
    </xf>
    <xf numFmtId="0" fontId="3" fillId="6" borderId="21" xfId="0" applyFon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0" fontId="2" fillId="5" borderId="15" xfId="0" applyFont="1" applyFill="1" applyBorder="1" applyAlignment="1">
      <alignment wrapText="1"/>
    </xf>
    <xf numFmtId="0" fontId="2" fillId="5" borderId="0" xfId="0" applyFont="1" applyFill="1" applyAlignment="1">
      <alignment horizontal="left" wrapText="1"/>
    </xf>
    <xf numFmtId="0" fontId="0" fillId="5" borderId="15" xfId="0" applyFill="1" applyBorder="1" applyAlignment="1">
      <alignment horizontal="left" wrapText="1"/>
    </xf>
    <xf numFmtId="0" fontId="2" fillId="5" borderId="15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wrapText="1"/>
    </xf>
    <xf numFmtId="0" fontId="6" fillId="5" borderId="27" xfId="0" applyFont="1" applyFill="1" applyBorder="1" applyAlignment="1">
      <alignment wrapText="1"/>
    </xf>
    <xf numFmtId="0" fontId="6" fillId="5" borderId="26" xfId="0" applyFont="1" applyFill="1" applyBorder="1" applyAlignment="1">
      <alignment wrapText="1"/>
    </xf>
    <xf numFmtId="0" fontId="6" fillId="5" borderId="0" xfId="0" applyFont="1" applyFill="1" applyAlignment="1">
      <alignment horizontal="left" wrapText="1"/>
    </xf>
    <xf numFmtId="0" fontId="6" fillId="5" borderId="15" xfId="0" applyFont="1" applyFill="1" applyBorder="1" applyAlignment="1">
      <alignment horizontal="left" wrapText="1"/>
    </xf>
    <xf numFmtId="0" fontId="6" fillId="5" borderId="12" xfId="0" applyFont="1" applyFill="1" applyBorder="1" applyAlignment="1">
      <alignment horizontal="left" wrapText="1"/>
    </xf>
    <xf numFmtId="0" fontId="6" fillId="5" borderId="13" xfId="0" applyFont="1" applyFill="1" applyBorder="1" applyAlignment="1">
      <alignment horizontal="left" wrapText="1"/>
    </xf>
    <xf numFmtId="0" fontId="6" fillId="5" borderId="27" xfId="0" applyFont="1" applyFill="1" applyBorder="1" applyAlignment="1">
      <alignment horizontal="left" wrapText="1"/>
    </xf>
    <xf numFmtId="0" fontId="2" fillId="2" borderId="18" xfId="0" applyFont="1" applyFill="1" applyBorder="1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Fill="1"/>
  </cellXfs>
  <cellStyles count="7">
    <cellStyle name="40% - Accent1" xfId="5" builtinId="31"/>
    <cellStyle name="40% - Accent2" xfId="2" builtinId="35"/>
    <cellStyle name="40% - Accent3" xfId="3" builtinId="39"/>
    <cellStyle name="40% - Accent6" xfId="4" builtinId="51"/>
    <cellStyle name="Comma" xfId="6" builtinId="3"/>
    <cellStyle name="Currency" xfId="1" builtinId="4"/>
    <cellStyle name="Normal" xfId="0" builtinId="0"/>
  </cellStyles>
  <dxfs count="22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numFmt numFmtId="165" formatCode="mm/dd/yy;@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65" formatCode="mm/dd/yy;@"/>
      <fill>
        <patternFill patternType="none">
          <fgColor indexed="64"/>
          <bgColor auto="1"/>
        </patternFill>
      </fill>
    </dxf>
    <dxf>
      <numFmt numFmtId="165" formatCode="mm/dd/yy;@"/>
      <fill>
        <patternFill patternType="none">
          <fgColor indexed="64"/>
          <bgColor auto="1"/>
        </patternFill>
      </fill>
    </dxf>
    <dxf>
      <numFmt numFmtId="165" formatCode="mm/dd/yy;@"/>
      <fill>
        <patternFill patternType="none">
          <fgColor indexed="64"/>
          <bgColor auto="1"/>
        </patternFill>
      </fill>
    </dxf>
    <dxf>
      <numFmt numFmtId="165" formatCode="mm/dd/yy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&quot;$&quot;#,##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mm/dd/yy;@"/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numFmt numFmtId="2" formatCode="0.00"/>
      <fill>
        <patternFill patternType="none">
          <fgColor indexed="64"/>
          <bgColor auto="1"/>
        </patternFill>
      </fill>
    </dxf>
    <dxf>
      <numFmt numFmtId="0" formatCode="General"/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2" formatCode="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mm/dd/yy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mm/dd/yy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80808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1DE4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5DEC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89F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5F8"/>
        <name val="Calibri"/>
        <family val="2"/>
        <scheme val="minor"/>
      </font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7030A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399975585192419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</dxf>
    <dxf>
      <fill>
        <patternFill patternType="solid">
          <fgColor rgb="FF00206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1C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E262C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9454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0.399975585192419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0.59999389629810485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0.79998168889431442"/>
        <name val="Calibri"/>
        <family val="2"/>
        <scheme val="minor"/>
      </font>
    </dxf>
    <dxf>
      <fill>
        <patternFill patternType="solid">
          <fgColor rgb="FF0070C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0B1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399975585192419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59999389629810485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</dxf>
    <dxf>
      <fill>
        <patternFill patternType="solid">
          <fgColor rgb="FF00B0F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30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B3616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4411B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0.399975585192419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0.59999389629810485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0.79998168889431442"/>
        <name val="Calibri"/>
        <family val="2"/>
        <scheme val="minor"/>
      </font>
    </dxf>
    <dxf>
      <fill>
        <patternFill patternType="solid">
          <fgColor rgb="FF00B05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8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2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0.399975585192419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0.59999389629810485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0.79998168889431442"/>
        <name val="Calibri"/>
        <family val="2"/>
        <scheme val="minor"/>
      </font>
    </dxf>
    <dxf>
      <fill>
        <patternFill patternType="solid">
          <fgColor rgb="FF92D05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7999816888943144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DDEF3"/>
        <name val="Calibri"/>
        <family val="2"/>
        <scheme val="minor"/>
      </font>
    </dxf>
    <dxf>
      <fill>
        <patternFill patternType="solid">
          <fgColor rgb="FFFFFF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49998474074526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9.9978637043366805E-2"/>
        <name val="Calibri"/>
        <family val="2"/>
        <scheme val="minor"/>
      </font>
    </dxf>
    <dxf>
      <fill>
        <patternFill patternType="solid">
          <fgColor rgb="FFFFC0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31869B"/>
          <bgColor rgb="FF000000"/>
        </patternFill>
      </fill>
    </dxf>
    <dxf>
      <fill>
        <patternFill patternType="solid">
          <fgColor rgb="FFC00000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89F1"/>
      <color rgb="FFFF5DEC"/>
      <color rgb="FFFF1DE4"/>
      <color rgb="FFCDDEF3"/>
      <color rgb="FFFF9999"/>
      <color rgb="FFFF7C80"/>
      <color rgb="FFFFC5F8"/>
      <color rgb="FF0A1C20"/>
      <color rgb="FF0E262C"/>
      <color rgb="FF1945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heetMetadata" Target="metadata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microsoft.com/office/2017/10/relationships/person" Target="persons/perso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656989-670C-4955-9143-809B9B45874A}" name="Assemblies" displayName="Assemblies" ref="A1:J274" totalsRowShown="0" headerRowDxfId="278" dataDxfId="277">
  <autoFilter ref="A1:J274" xr:uid="{D8656989-670C-4955-9143-809B9B45874A}"/>
  <sortState xmlns:xlrd2="http://schemas.microsoft.com/office/spreadsheetml/2017/richdata2" ref="A2:J274">
    <sortCondition sortBy="cellColor" ref="J1:J274" dxfId="276"/>
    <sortCondition sortBy="cellColor" ref="J1:J274" dxfId="275"/>
    <sortCondition sortBy="cellColor" ref="J1:J274" dxfId="274"/>
    <sortCondition sortBy="fontColor" ref="J1:J274" dxfId="273"/>
    <sortCondition sortBy="fontColor" ref="J1:J274" dxfId="272"/>
    <sortCondition sortBy="fontColor" ref="J1:J274" dxfId="271"/>
    <sortCondition sortBy="fontColor" ref="J1:J274" dxfId="270"/>
    <sortCondition sortBy="fontColor" ref="J1:J274" dxfId="269"/>
    <sortCondition sortBy="fontColor" ref="J1:J274" dxfId="268"/>
    <sortCondition sortBy="fontColor" ref="J1:J274" dxfId="267"/>
    <sortCondition sortBy="cellColor" ref="J1:J274" dxfId="266"/>
    <sortCondition sortBy="fontColor" ref="J1:J274" dxfId="265"/>
    <sortCondition sortBy="fontColor" ref="J1:J274" dxfId="264"/>
    <sortCondition sortBy="fontColor" ref="J1:J274" dxfId="263"/>
    <sortCondition sortBy="fontColor" ref="J1:J274" dxfId="262"/>
    <sortCondition sortBy="cellColor" ref="J1:J274" dxfId="261"/>
    <sortCondition sortBy="fontColor" ref="J1:J274" dxfId="260"/>
    <sortCondition sortBy="fontColor" ref="J1:J274" dxfId="259"/>
    <sortCondition sortBy="fontColor" ref="J1:J274" dxfId="258"/>
    <sortCondition sortBy="fontColor" ref="J1:J274" dxfId="257"/>
    <sortCondition sortBy="cellColor" ref="J1:J274" dxfId="256"/>
    <sortCondition sortBy="fontColor" ref="J1:J274" dxfId="255"/>
    <sortCondition sortBy="fontColor" ref="J1:J274" dxfId="254"/>
    <sortCondition sortBy="fontColor" ref="J1:J274" dxfId="253"/>
    <sortCondition sortBy="fontColor" ref="J1:J274" dxfId="252"/>
    <sortCondition sortBy="fontColor" ref="J1:J274" dxfId="251"/>
    <sortCondition sortBy="fontColor" ref="J1:J274" dxfId="250"/>
    <sortCondition sortBy="fontColor" ref="J1:J274" dxfId="249"/>
    <sortCondition sortBy="cellColor" ref="J1:J274" dxfId="248"/>
    <sortCondition sortBy="fontColor" ref="J1:J274" dxfId="247"/>
    <sortCondition sortBy="fontColor" ref="J1:J274" dxfId="246"/>
    <sortCondition sortBy="fontColor" ref="J1:J274" dxfId="245"/>
    <sortCondition sortBy="fontColor" ref="J1:J274" dxfId="244"/>
    <sortCondition sortBy="fontColor" ref="J1:J274" dxfId="243"/>
    <sortCondition sortBy="fontColor" ref="J1:J274" dxfId="242"/>
    <sortCondition sortBy="fontColor" ref="J1:J274" dxfId="241"/>
    <sortCondition sortBy="fontColor" ref="J1:J274" dxfId="240"/>
    <sortCondition sortBy="cellColor" ref="J1:J274" dxfId="239"/>
    <sortCondition sortBy="fontColor" ref="J1:J274" dxfId="238"/>
    <sortCondition sortBy="fontColor" ref="J1:J274" dxfId="237"/>
    <sortCondition sortBy="fontColor" ref="J1:J274" dxfId="236"/>
    <sortCondition sortBy="fontColor" ref="J1:J274" dxfId="235"/>
    <sortCondition sortBy="fontColor" ref="J1:J274" dxfId="234"/>
    <sortCondition sortBy="fontColor" ref="J1:J274" dxfId="233"/>
    <sortCondition sortBy="cellColor" ref="J1:J274" dxfId="232"/>
    <sortCondition sortBy="fontColor" ref="J1:J274" dxfId="231"/>
    <sortCondition sortBy="fontColor" ref="J1:J274" dxfId="230"/>
    <sortCondition sortBy="fontColor" ref="J1:J274" dxfId="229"/>
    <sortCondition sortBy="fontColor" ref="J1:J274" dxfId="228"/>
    <sortCondition sortBy="fontColor" ref="J1:J274" dxfId="227"/>
    <sortCondition sortBy="fontColor" ref="J1:J274" dxfId="226"/>
    <sortCondition sortBy="fontColor" ref="J1:J274" dxfId="225"/>
    <sortCondition sortBy="cellColor" ref="J1:J274" dxfId="224"/>
    <sortCondition sortBy="fontColor" ref="J1:J274" dxfId="223"/>
    <sortCondition sortBy="fontColor" ref="J1:J274" dxfId="222"/>
    <sortCondition sortBy="fontColor" ref="J1:J274" dxfId="221"/>
    <sortCondition sortBy="cellColor" ref="J1:J274" dxfId="220"/>
    <sortCondition sortBy="cellColor" ref="J1:J274" dxfId="219"/>
    <sortCondition sortBy="fontColor" ref="J1:J274" dxfId="218"/>
    <sortCondition sortBy="fontColor" ref="J1:J274" dxfId="217"/>
    <sortCondition sortBy="fontColor" ref="J1:J274" dxfId="216"/>
    <sortCondition sortBy="fontColor" ref="J1:J274" dxfId="215"/>
    <sortCondition sortBy="cellColor" ref="J1:J274" dxfId="214"/>
  </sortState>
  <tableColumns count="10">
    <tableColumn id="1" xr3:uid="{97E24E80-988C-4FA8-AA4B-D6B2C700CD15}" name="Job #" dataDxfId="213"/>
    <tableColumn id="2" xr3:uid="{7D2985AA-5476-491C-AD9E-70CFE3E246F0}" name="Assy" dataDxfId="212"/>
    <tableColumn id="3" xr3:uid="{AD50915A-A624-4C39-8740-DEB3FE18665B}" name="Item #" dataDxfId="211"/>
    <tableColumn id="4" xr3:uid="{3BE97788-FE38-4294-A983-8F6EBCAB9D36}" name="Rev" dataDxfId="210"/>
    <tableColumn id="5" xr3:uid="{261EA065-5083-4E93-8E13-CE132E97237D}" name="Assembly" dataDxfId="209"/>
    <tableColumn id="6" xr3:uid="{D6E0D3FA-8A46-4A71-86C3-3F79B614734D}" name="Description" dataDxfId="208"/>
    <tableColumn id="7" xr3:uid="{0F84BC22-CC50-4C0E-ABA1-2E51911ED241}" name="Total Qty" dataDxfId="207">
      <calculatedColumnFormula array="1">SUMPRODUCT(SUMIF(INDIRECT("'"&amp;Assemblies[Assy]&amp;"'!"&amp;"C5:C1000"),E2,(INDIRECT("'"&amp;Assemblies[Assy]&amp;"'!"&amp;"O5:O1000"))))</calculatedColumnFormula>
    </tableColumn>
    <tableColumn id="8" xr3:uid="{F720A03A-91A0-44F1-B4FE-2046D037E1FE}" name="Locations" dataDxfId="206">
      <calculatedColumnFormula array="1">TRIM(SUBSTITUTE(_xlfn.ARRAYTOTEXT(IFERROR(CONCATENATE(SUMIF(INDIRECT("'"&amp;Assemblies[Assy]&amp;"'!"&amp;"C$5:C1000"), $E2, INDIRECT("'"&amp;Assemblies[Assy]&amp;"'!"&amp;"O$5:O1000")), "x",Assemblies[Assy],".",IF(SUMIF(INDIRECT("'"&amp;Assemblies[Assy]&amp;"'!"&amp;"C$5:C1000"), $E2, INDIRECT("'"&amp;Assemblies[Assy]&amp;"'!"&amp;"B$5:B1000"))=0,NA(),SUMIF(INDIRECT("'"&amp;Assemblies[Assy]&amp;"'!"&amp;"C$5:C1000"), $E2, INDIRECT("'"&amp;Assemblies[Assy]&amp;"'!"&amp;"A$5:A1000")))),"")), " ,", ""))</calculatedColumnFormula>
    </tableColumn>
    <tableColumn id="9" xr3:uid="{76F311BA-E3B5-4091-B901-13C9022FB8EC}" name="Drawing" dataDxfId="205"/>
    <tableColumn id="10" xr3:uid="{03BE20C9-9C73-42FB-B91F-F4A530DE0EA7}" name="Sorting DO NOT TOUCH!" dataDxfId="204">
      <calculatedColumnFormula>Assemblies[[#This Row],[Assy]]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9E2CB1-9269-40B0-9845-CBBC831B77E8}" name="Machined" displayName="Machined" ref="A1:AF477" totalsRowShown="0" headerRowDxfId="139" dataDxfId="138" headerRowCellStyle="Currency" dataCellStyle="Currency">
  <autoFilter ref="A1:AF477" xr:uid="{4C9E2CB1-9269-40B0-9845-CBBC831B77E8}"/>
  <sortState xmlns:xlrd2="http://schemas.microsoft.com/office/spreadsheetml/2017/richdata2" ref="A2:AF477">
    <sortCondition ref="C1:C477"/>
  </sortState>
  <tableColumns count="32">
    <tableColumn id="3" xr3:uid="{BBA1EA64-4FD5-41B2-A0DA-678B748C109F}" name="Part #" dataDxfId="137"/>
    <tableColumn id="4" xr3:uid="{9090D7BB-1FFD-4BF4-BFD3-B1368FCE2DDF}" name="Rev" dataDxfId="136"/>
    <tableColumn id="5" xr3:uid="{8765ED3E-99FF-4913-BA8A-4DA80414258A}" name="Machined" dataDxfId="135">
      <calculatedColumnFormula>_xlfn.CONCAT(A2,".",B2)</calculatedColumnFormula>
    </tableColumn>
    <tableColumn id="6" xr3:uid="{DC886134-2123-4ED7-A4E6-37F61B3AAED1}" name="Description" dataDxfId="134"/>
    <tableColumn id="7" xr3:uid="{3D61DF47-0AE6-4FAF-80C7-F9B06B8EE1CB}" name="Cost" dataDxfId="133">
      <calculatedColumnFormula>Z2+AA2+AB2+(65*AC2)</calculatedColumnFormula>
    </tableColumn>
    <tableColumn id="8" xr3:uid="{B853BC18-3854-4059-923F-B2033893FB3F}" name="Total Qty" dataDxfId="132">
      <calculatedColumnFormula array="1">SUMPRODUCT(SUMIF(INDIRECT("'"&amp;Assemblies[Assy]&amp;"'!"&amp;"C5:C1000"),C2,(INDIRECT("'"&amp;Assemblies[Assy]&amp;"'!"&amp;"O5:O1000"))))</calculatedColumnFormula>
    </tableColumn>
    <tableColumn id="26" xr3:uid="{B8C61338-20AC-4692-97C4-E55DA10088AC}" name="PO QTY" dataDxfId="131"/>
    <tableColumn id="1" xr3:uid="{D9A6A667-C8A5-479A-B264-F7A84EFC3CE8}" name="Need To Order?" dataDxfId="130">
      <calculatedColumnFormula>IF(F2&lt;=G2," ","YES")</calculatedColumnFormula>
    </tableColumn>
    <tableColumn id="9" xr3:uid="{B581B72E-F5D7-4309-8E66-EB811D484AD2}" name="QB Qty Rec" dataDxfId="129"/>
    <tableColumn id="29" xr3:uid="{B0994EC5-DBB0-4BB7-8858-6E66DE58EB33}" name="BP QTY REC" dataDxfId="128"/>
    <tableColumn id="30" xr3:uid="{50CCD609-664D-46E9-A74D-4B735F686C65}" name="OUT TO PLATE" dataDxfId="127"/>
    <tableColumn id="31" xr3:uid="{B96367F3-E114-461B-9E2E-A744E0F2153A}" name="QTY TO PLATE" dataDxfId="126"/>
    <tableColumn id="32" xr3:uid="{A0A20D34-E5A8-48ED-9650-69DB1225A1EE}" name="BACK FROM PLATE" dataDxfId="125"/>
    <tableColumn id="33" xr3:uid="{1A924904-2CA1-40DC-B112-411CE8F2D333}" name="QTY FROM PLATE" dataDxfId="124"/>
    <tableColumn id="10" xr3:uid="{FE041615-7A24-43AC-8FC8-572635E1DD76}" name="Mfg/Matl" dataDxfId="123"/>
    <tableColumn id="27" xr3:uid="{F9B1D312-1BC5-4916-935A-8D216F74F96D}" name="Finish"/>
    <tableColumn id="28" xr3:uid="{6E60AE97-0D95-4660-976B-551E08FDA68C}" name="Finished By Vendor"/>
    <tableColumn id="11" xr3:uid="{F4D06EBB-5F61-4627-A270-C737D80F7F67}" name="Vendor" dataDxfId="122"/>
    <tableColumn id="12" xr3:uid="{C2BC10A9-AC3B-4045-ADE2-407F1E2CF91E}" name="Notes" dataDxfId="121"/>
    <tableColumn id="13" xr3:uid="{88EC1C68-7C49-46CD-A0C0-18114F90933C}" name="Out to Quote" dataDxfId="120"/>
    <tableColumn id="14" xr3:uid="{FB97972B-954C-4F89-9C44-7C6FEB1FDDA0}" name="Order Date" dataDxfId="119"/>
    <tableColumn id="15" xr3:uid="{CDCE4DE1-B2C3-4C0A-B6D2-71668C9E6E9B}" name="Req Date" dataDxfId="118"/>
    <tableColumn id="16" xr3:uid="{D8EB5F07-E8F3-4A13-BBDB-BCA32B68F8FD}" name="Conf Date" dataDxfId="117"/>
    <tableColumn id="17" xr3:uid="{A240AB93-1A87-41B9-8EDF-DF9C6F527477}" name="PO #" dataDxfId="116"/>
    <tableColumn id="22" xr3:uid="{A8033484-FF51-4A03-80B9-529073ACFFFD}" name="Locations" dataDxfId="115">
      <calculatedColumnFormula array="1">TRIM(SUBSTITUTE(_xlfn.ARRAYTOTEXT(IFERROR(CONCATENATE(SUMIF(INDIRECT("'"&amp;Assemblies[Assy]&amp;"'!"&amp;"C$5:C1000"), $C2, INDIRECT("'"&amp;Assemblies[Assy]&amp;"'!"&amp;"O$5:O1000")), "x",Assemblies[Assy],".",IF(SUMIF(INDIRECT("'"&amp;Assemblies[Assy]&amp;"'!"&amp;"C$5:C1000"), $C2, INDIRECT("'"&amp;Assemblies[Assy]&amp;"'!"&amp;"A$5:A1000"))=0,NA(),SUMIF(INDIRECT("'"&amp;Assemblies[Assy]&amp;"'!"&amp;"C$5:C1000"), $C2, INDIRECT("'"&amp;Assemblies[Assy]&amp;"'!"&amp;"A$5:A1000")))),"")), " ,", ""))</calculatedColumnFormula>
    </tableColumn>
    <tableColumn id="18" xr3:uid="{A959D459-8E71-4E8E-9667-B1C1AD6B9372}" name="Material Cost" dataDxfId="114" dataCellStyle="Currency"/>
    <tableColumn id="19" xr3:uid="{78F77DFE-C994-4EAF-A4C0-EC48140123EE}" name="Coating Cost" dataDxfId="113" dataCellStyle="Currency"/>
    <tableColumn id="20" xr3:uid="{E4C9857B-A638-4FFA-993E-04D7C5A42726}" name="Misc Cost" dataDxfId="112" dataCellStyle="Currency"/>
    <tableColumn id="21" xr3:uid="{CCA9B8DF-FACD-47A0-82DB-9B0EF39C28C6}" name="Labor Hours" dataDxfId="111"/>
    <tableColumn id="2" xr3:uid="{F14AC614-D789-4BB9-8E57-F6374DEC592F}" name="Drawing" dataDxfId="110" dataCellStyle="Currency"/>
    <tableColumn id="25" xr3:uid="{01087865-6924-4787-9B32-5F4F9F89B073}" name="Plating PO #" dataDxfId="109" dataCellStyle="Currency"/>
    <tableColumn id="23" xr3:uid="{AFB15BBB-54B1-4FA7-93EC-151DE3EAA03B}" name="CRITICAL SPARES" dataDxfId="108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6D48E7-4B8A-44CD-B597-C740FB4AA762}" name="Purchased" displayName="Purchased" ref="A1:S507" totalsRowShown="0" headerRowDxfId="107" dataDxfId="106">
  <autoFilter ref="A1:S507" xr:uid="{2C6D48E7-4B8A-44CD-B597-C740FB4AA762}">
    <filterColumn colId="11">
      <filters>
        <filter val="BDI"/>
      </filters>
    </filterColumn>
  </autoFilter>
  <sortState xmlns:xlrd2="http://schemas.microsoft.com/office/spreadsheetml/2017/richdata2" ref="A2:S507">
    <sortCondition ref="H1:H507"/>
    <sortCondition ref="L1:L507"/>
    <sortCondition ref="K1:K507"/>
  </sortState>
  <tableColumns count="19">
    <tableColumn id="1" xr3:uid="{55ADABCA-2BB1-4685-BAD9-D954C3374992}" name="Purchased" dataDxfId="105"/>
    <tableColumn id="2" xr3:uid="{95CA896F-E3BA-4597-BAB4-999861DC56BB}" name="Description" dataDxfId="104"/>
    <tableColumn id="3" xr3:uid="{2CCEFFF3-9C5C-44BC-A6C5-DC6EEA05A091}" name="Cost" dataDxfId="103"/>
    <tableColumn id="4" xr3:uid="{FD44B106-D8B2-4A11-8C89-2FA049BD7B46}" name="PK QTY" dataDxfId="102"/>
    <tableColumn id="16" xr3:uid="{5D12269A-CE86-491B-AE4F-E926258DE106}" name="BOM QTY" dataDxfId="101">
      <calculatedColumnFormula array="1">SUMPRODUCT(SUMIF(INDIRECT("'"&amp;Assemblies[Assy]&amp;"'!"&amp;"C:C"),$A2,(INDIRECT("'"&amp;Assemblies[Assy]&amp;"'!"&amp;"O:O"))))</calculatedColumnFormula>
    </tableColumn>
    <tableColumn id="5" xr3:uid="{CAB53538-1308-49E1-9F4A-F320DAD6C24E}" name="ORDER QTY" dataDxfId="100">
      <calculatedColumnFormula>ROUNDUP(Purchased[[#This Row],[BOM QTY]]/Purchased[[#This Row],[PK QTY]], 0)</calculatedColumnFormula>
    </tableColumn>
    <tableColumn id="14" xr3:uid="{990B1B78-7EFC-4FD5-8E6E-24F1878590F0}" name="PO QTY" dataDxfId="99"/>
    <tableColumn id="19" xr3:uid="{1171B376-BB6D-4B8E-823E-120259526B26}" name="Still Need to Order?" dataDxfId="98">
      <calculatedColumnFormula>IF(F2&lt;=G2," ","YES")</calculatedColumnFormula>
    </tableColumn>
    <tableColumn id="15" xr3:uid="{7408E9D4-151F-4AAA-9E20-91A42C1DBCCE}" name="QB REC QTY" dataDxfId="97"/>
    <tableColumn id="18" xr3:uid="{194313E5-F794-44F2-8FA7-4BB5D51DB557}" name="ACT REC QTY" dataDxfId="96"/>
    <tableColumn id="6" xr3:uid="{6E614BA1-979A-464E-868C-3F918EFF3BD1}" name="Mfg/Matl" dataDxfId="95"/>
    <tableColumn id="7" xr3:uid="{F7A4CAAC-0DFF-4B31-A29F-031118E96F30}" name="Vendor" dataDxfId="94"/>
    <tableColumn id="8" xr3:uid="{2964B569-E77A-46AC-A391-8034F3423C11}" name="Notes" dataDxfId="93"/>
    <tableColumn id="9" xr3:uid="{C004D05A-451B-4FA0-A641-A276D74EC98C}" name="Out to Quote" dataDxfId="92"/>
    <tableColumn id="10" xr3:uid="{7A9A1970-778B-45F1-B88D-DAC57532391C}" name="Order Date" dataDxfId="91"/>
    <tableColumn id="11" xr3:uid="{FF997969-E963-49B8-B7FF-7A6581452A91}" name="Req Date" dataDxfId="90"/>
    <tableColumn id="12" xr3:uid="{FC0D67E4-F8C1-456E-A989-75F52A41670E}" name="Conf Date" dataDxfId="89"/>
    <tableColumn id="13" xr3:uid="{90E275C9-E8C0-4258-B06A-C0E523DE023C}" name="PO #" dataDxfId="88"/>
    <tableColumn id="17" xr3:uid="{4A9C8B82-DD39-4E75-8618-D123553FFA5C}" name="Locations" dataDxfId="87">
      <calculatedColumnFormula array="1">TRIM(SUBSTITUTE(_xlfn.ARRAYTOTEXT(IFERROR(CONCATENATE(SUMIF(INDIRECT("'"&amp;Assemblies[Assy]&amp;"'!"&amp;"C$5:C1000"), $A2, INDIRECT("'"&amp;Assemblies[Assy]&amp;"'!"&amp;"O$5:O1000")), "x",Assemblies[Assy],".",IF(SUMIF(INDIRECT("'"&amp;Assemblies[Assy]&amp;"'!"&amp;"C$5:C1000"), $A2, INDIRECT("'"&amp;Assemblies[Assy]&amp;"'!"&amp;"A$5:A1000"))=0,NA(),SUMIF(INDIRECT("'"&amp;Assemblies[Assy]&amp;"'!"&amp;"C$5:C1000"), $A2, INDIRECT("'"&amp;Assemblies[Assy]&amp;"'!"&amp;"A$5:A1000")))),"")), " ,", ""))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15E16F-FDF8-4956-ADBC-DEC6CD7DA8F2}" name="Extrusion" displayName="Extrusion" ref="A1:Z145" totalsRowShown="0" headerRowDxfId="82" dataDxfId="81">
  <autoFilter ref="A1:Z145" xr:uid="{4A15E16F-FDF8-4956-ADBC-DEC6CD7DA8F2}"/>
  <tableColumns count="26">
    <tableColumn id="4" xr3:uid="{2373CC71-9959-4702-B4CF-E82669C16437}" name="Length" dataDxfId="80"/>
    <tableColumn id="6" xr3:uid="{2E225276-05FA-4CF2-A82F-3BC4B9007D53}" name="Extrusion" dataDxfId="79"/>
    <tableColumn id="7" xr3:uid="{34C3EB01-1849-4010-AC72-6A99821EC144}" name="Description" dataDxfId="78">
      <calculatedColumnFormula>_xlfn.CONCAT("BRX ",#REF!," ",#REF!,"|",#REF!," x ",A2,"mm")</calculatedColumnFormula>
    </tableColumn>
    <tableColumn id="8" xr3:uid="{30CC3532-6CC6-4235-9232-96B8F2D92D1E}" name="Total Qty" dataDxfId="77">
      <calculatedColumnFormula array="1">SUMPRODUCT(SUMIF(INDIRECT("'"&amp;Assemblies[Assy]&amp;"'!"&amp;"C:C"),B2,(INDIRECT("'"&amp;Assemblies[Assy]&amp;"'!"&amp;"O:O"))))</calculatedColumnFormula>
    </tableColumn>
    <tableColumn id="1" xr3:uid="{FEC749C1-70C9-46D3-BDE4-5DD49C9C9FC8}" name="Cut QTY"/>
    <tableColumn id="3" xr3:uid="{31C12A7A-1B4B-444C-AEAF-F0BA7E26390D}" name="Still Need to cut?" dataDxfId="76">
      <calculatedColumnFormula>IF(D2=E2, "", "YES")</calculatedColumnFormula>
    </tableColumn>
    <tableColumn id="9" xr3:uid="{798F2293-1A21-4E47-AA2F-92A1228FED39}" name="Cost" dataDxfId="75">
      <calculatedColumnFormula>P2+Q2+R2+(65*S2)</calculatedColumnFormula>
    </tableColumn>
    <tableColumn id="10" xr3:uid="{9F2C9D7D-7DC9-435C-8E12-32169FF254E3}" name="Mfg/Matl"/>
    <tableColumn id="11" xr3:uid="{DC63A81F-E8D1-4CA6-89B9-6E911D24F1D4}" name="Vendor"/>
    <tableColumn id="12" xr3:uid="{FC0A7A03-AD5D-4FA1-8FF9-D9F327FA0947}" name="Notes"/>
    <tableColumn id="13" xr3:uid="{EA470DD1-D25D-4556-BE11-F726D58ACAF9}" name="Out to Quote" dataDxfId="74"/>
    <tableColumn id="14" xr3:uid="{04B5F882-492A-45D9-8CEE-023178012B80}" name="Order Date" dataDxfId="73"/>
    <tableColumn id="15" xr3:uid="{9AE39481-E5CD-4517-8366-309091E714C2}" name="Req Date" dataDxfId="72"/>
    <tableColumn id="16" xr3:uid="{1A4A5B11-1FED-4618-8265-BDBF5C0EC42F}" name="Conf Date" dataDxfId="71"/>
    <tableColumn id="17" xr3:uid="{9C7462B4-9F59-42FF-9FE0-FB785450A91E}" name="PO #" dataDxfId="70"/>
    <tableColumn id="18" xr3:uid="{1325E870-F264-4B75-AE0E-DC9177E6E06C}" name="Material Cost" dataDxfId="69">
      <calculatedColumnFormula>V2*A2</calculatedColumnFormula>
    </tableColumn>
    <tableColumn id="19" xr3:uid="{690C6717-570B-45FA-BE06-7EC72A79BC8E}" name="Coating Cost" dataDxfId="68"/>
    <tableColumn id="20" xr3:uid="{2F9DB8DC-9928-4638-BDDF-5F7F42AD8BBB}" name="Misc Cost" dataDxfId="67"/>
    <tableColumn id="21" xr3:uid="{715C8CC1-0246-4797-A69E-E6830EBC10FC}" name="Labor Hours" dataDxfId="66"/>
    <tableColumn id="22" xr3:uid="{BE613D21-B65B-4C08-9115-A20D3C3A7BB4}" name="M/Stick" dataDxfId="65"/>
    <tableColumn id="23" xr3:uid="{E2736AE6-4D25-4B08-9BCC-485E021E9C52}" name="$/stick" dataDxfId="64"/>
    <tableColumn id="24" xr3:uid="{D8784A8C-BB48-49AA-800B-04B39CA0A0F7}" name="$/mm" dataDxfId="63">
      <calculatedColumnFormula>U2/(T2*1000)</calculatedColumnFormula>
    </tableColumn>
    <tableColumn id="2" xr3:uid="{27AA7D76-7225-4C28-9ED0-7A1C6AA8EC2A}" name="Locations" dataDxfId="62">
      <calculatedColumnFormula array="1">TRIM(SUBSTITUTE(_xlfn.ARRAYTOTEXT(IFERROR(CONCATENATE(SUMIF(INDIRECT("'"&amp;Assemblies[Assy]&amp;"'!"&amp;"C$5:C1000"), $B2, INDIRECT("'"&amp;Assemblies[Assy]&amp;"'!"&amp;"O$5:O1000")), "x",Assemblies[Assy],".",IF(SUMIF(INDIRECT("'"&amp;Assemblies[Assy]&amp;"'!"&amp;"C$5:C1000"), $B2, INDIRECT("'"&amp;Assemblies[Assy]&amp;"'!"&amp;"A$5:A1000"))=0,NA(),SUMIF(INDIRECT("'"&amp;Assemblies[Assy]&amp;"'!"&amp;"C$5:C1000"), $B2, INDIRECT("'"&amp;Assemblies[Assy]&amp;"'!"&amp;"A$5:A1000")))),"")), " ,", ""))</calculatedColumnFormula>
    </tableColumn>
    <tableColumn id="5" xr3:uid="{3B37FAE3-2C39-4A59-A55E-7AE7E14AA473}" name="Required Length" dataDxfId="61">
      <calculatedColumnFormula>Extrusion[[#This Row],[Length]]*Extrusion[[#This Row],[Total Qty]]</calculatedColumnFormula>
    </tableColumn>
    <tableColumn id="25" xr3:uid="{78A2F699-7E7E-4DA4-B4F5-FB9D5BD86180}" name="Cut Length" dataDxfId="60">
      <calculatedColumnFormula>Extrusion[[#This Row],[Length]]*Extrusion[[#This Row],[Cut QTY]]</calculatedColumnFormula>
    </tableColumn>
    <tableColumn id="26" xr3:uid="{03F996DB-F177-4D70-A37C-B852D7D50AF2}" name="Remaining Length" dataDxfId="59">
      <calculatedColumnFormula>Extrusion[[#This Row],[Required Length]]-Extrusion[[#This Row],[Cut Length]]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9AF24B-AC06-4E21-A175-C1447313E53F}" name="Bolts" displayName="Bolts" ref="A1:M185" totalsRowShown="0" headerRowDxfId="55" dataDxfId="54">
  <autoFilter ref="A1:M185" xr:uid="{DE9AF24B-AC06-4E21-A175-C1447313E53F}"/>
  <sortState xmlns:xlrd2="http://schemas.microsoft.com/office/spreadsheetml/2017/richdata2" ref="A2:M185">
    <sortCondition ref="A1:A185"/>
  </sortState>
  <tableColumns count="13">
    <tableColumn id="6" xr3:uid="{D14BD92E-2824-4A60-B103-213F11822822}" name="Bolt" dataDxfId="53"/>
    <tableColumn id="7" xr3:uid="{35825890-CE18-482A-A385-E03CCF9F379D}" name="Cost" dataDxfId="52"/>
    <tableColumn id="8" xr3:uid="{C27B2369-A8B8-45CD-B5A2-E87801D307CB}" name="Total Qty" dataDxfId="51">
      <calculatedColumnFormula array="1">SUMPRODUCT(SUMIF(INDIRECT("'"&amp;Assemblies[Assy]&amp;"'!"&amp;"C:C"),A2,(INDIRECT("'"&amp;Assemblies[Assy]&amp;"'!"&amp;"O:O"))))</calculatedColumnFormula>
    </tableColumn>
    <tableColumn id="9" xr3:uid="{1CBEF5D4-C71A-470F-992D-4A07EC5286E7}" name="Qty Rec" dataDxfId="50"/>
    <tableColumn id="10" xr3:uid="{49B82A4B-A247-427B-8479-DCFA658F6A0E}" name="Mfg/Matl" dataDxfId="49"/>
    <tableColumn id="11" xr3:uid="{9973976E-2F5A-4A01-817A-A53B5B44C06E}" name="Vendor" dataDxfId="48"/>
    <tableColumn id="12" xr3:uid="{58CB243A-47D4-4BDA-BBA6-2A3877061CF4}" name="Notes" dataDxfId="47"/>
    <tableColumn id="13" xr3:uid="{AD65CD9B-2DF1-40FE-859D-0923F9F0A424}" name="Out to Quote" dataDxfId="46"/>
    <tableColumn id="14" xr3:uid="{18DF2F38-55C8-49CD-A472-33D3FC31705D}" name="Order Date" dataDxfId="45"/>
    <tableColumn id="15" xr3:uid="{DA9C3CEC-6B4D-468B-9F29-35E0C6DBA6EF}" name="Req Date" dataDxfId="44"/>
    <tableColumn id="16" xr3:uid="{62AEDF6E-7456-4433-8E81-974B73282451}" name="Conf Date" dataDxfId="43"/>
    <tableColumn id="17" xr3:uid="{666EB80F-1E42-4CDF-8DD4-2009349336A6}" name="PO #" dataDxfId="42"/>
    <tableColumn id="1" xr3:uid="{24C1B6C8-B55D-4B95-8CFC-A60D62F50A06}" name="Locations" dataDxfId="41">
      <calculatedColumnFormula array="1">TRIM(SUBSTITUTE(_xlfn.ARRAYTOTEXT(IFERROR(CONCATENATE(SUMIF(INDIRECT("'"&amp;Assemblies[Assy]&amp;"'!"&amp;"C$5:C1000"), $A2, INDIRECT("'"&amp;Assemblies[Assy]&amp;"'!"&amp;"O$5:O1000")), "x",Assemblies[Assy],".",IF(SUMIF(INDIRECT("'"&amp;Assemblies[Assy]&amp;"'!"&amp;"C$5:C1000"), $A2, INDIRECT("'"&amp;Assemblies[Assy]&amp;"'!"&amp;"A$5:A1000"))=0,NA(),SUMIF(INDIRECT("'"&amp;Assemblies[Assy]&amp;"'!"&amp;"C$5:C1000"), $A2, INDIRECT("'"&amp;Assemblies[Assy]&amp;"'!"&amp;"A$5:A1000")))),"")), " ,", 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6.bin"/></Relationships>
</file>

<file path=xl/worksheets/_rels/sheet1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7.bin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8.bin"/></Relationships>
</file>

<file path=xl/worksheets/_rels/sheet1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9.bin"/></Relationships>
</file>

<file path=xl/worksheets/_rels/sheet1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0.bin"/></Relationships>
</file>

<file path=xl/worksheets/_rels/sheet1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1.bin"/></Relationships>
</file>

<file path=xl/worksheets/_rels/sheet1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2.bin"/></Relationships>
</file>

<file path=xl/worksheets/_rels/sheet1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3.bin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4.bin"/></Relationships>
</file>

<file path=xl/worksheets/_rels/sheet1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5.bin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6.bin"/></Relationships>
</file>

<file path=xl/worksheets/_rels/sheet1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7.bin"/></Relationships>
</file>

<file path=xl/worksheets/_rels/sheet1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8.bin"/></Relationships>
</file>

<file path=xl/worksheets/_rels/sheet1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9.bin"/></Relationships>
</file>

<file path=xl/worksheets/_rels/sheet2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0.bin"/></Relationships>
</file>

<file path=xl/worksheets/_rels/sheet2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1.bin"/></Relationships>
</file>

<file path=xl/worksheets/_rels/sheet2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2.bin"/></Relationships>
</file>

<file path=xl/worksheets/_rels/sheet2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3.bin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4.bin"/></Relationships>
</file>

<file path=xl/worksheets/_rels/sheet2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5.bin"/></Relationships>
</file>

<file path=xl/worksheets/_rels/sheet2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6.bin"/></Relationships>
</file>

<file path=xl/worksheets/_rels/sheet2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7.bin"/></Relationships>
</file>

<file path=xl/worksheets/_rels/sheet2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8.bin"/></Relationships>
</file>

<file path=xl/worksheets/_rels/sheet2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9.bin"/></Relationships>
</file>

<file path=xl/worksheets/_rels/sheet2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0.bin"/></Relationships>
</file>

<file path=xl/worksheets/_rels/sheet2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1.bin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2.bin"/></Relationships>
</file>

<file path=xl/worksheets/_rels/sheet2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3.bin"/></Relationships>
</file>

<file path=xl/worksheets/_rels/sheet2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4.bin"/></Relationships>
</file>

<file path=xl/worksheets/_rels/sheet2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5.bin"/></Relationships>
</file>

<file path=xl/worksheets/_rels/sheet2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6.bin"/></Relationships>
</file>

<file path=xl/worksheets/_rels/sheet2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7.bin"/></Relationships>
</file>

<file path=xl/worksheets/_rels/sheet2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8.bin"/></Relationships>
</file>

<file path=xl/worksheets/_rels/sheet2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9.bin"/></Relationships>
</file>

<file path=xl/worksheets/_rels/sheet2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0.bin"/></Relationships>
</file>

<file path=xl/worksheets/_rels/sheet2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1.bin"/></Relationships>
</file>

<file path=xl/worksheets/_rels/sheet2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2.bin"/></Relationships>
</file>

<file path=xl/worksheets/_rels/sheet2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3.bin"/></Relationships>
</file>

<file path=xl/worksheets/_rels/sheet2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4.bin"/></Relationships>
</file>

<file path=xl/worksheets/_rels/sheet2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5.bin"/></Relationships>
</file>

<file path=xl/worksheets/_rels/sheet2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6.bin"/></Relationships>
</file>

<file path=xl/worksheets/_rels/sheet2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7.bin"/></Relationships>
</file>

<file path=xl/worksheets/_rels/sheet2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8.bin"/></Relationships>
</file>

<file path=xl/worksheets/_rels/sheet2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9.bin"/></Relationships>
</file>

<file path=xl/worksheets/_rels/sheet2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0.bin"/></Relationships>
</file>

<file path=xl/worksheets/_rels/sheet2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1.bin"/></Relationships>
</file>

<file path=xl/worksheets/_rels/sheet2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2.bin"/></Relationships>
</file>

<file path=xl/worksheets/_rels/sheet2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3.bin"/></Relationships>
</file>

<file path=xl/worksheets/_rels/sheet2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4.bin"/></Relationships>
</file>

<file path=xl/worksheets/_rels/sheet2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5.bin"/></Relationships>
</file>

<file path=xl/worksheets/_rels/sheet2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6.bin"/></Relationships>
</file>

<file path=xl/worksheets/_rels/sheet2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7.bin"/></Relationships>
</file>

<file path=xl/worksheets/_rels/sheet2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8.bin"/></Relationships>
</file>

<file path=xl/worksheets/_rels/sheet2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9.bin"/></Relationships>
</file>

<file path=xl/worksheets/_rels/sheet2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0.bin"/></Relationships>
</file>

<file path=xl/worksheets/_rels/sheet2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1.bin"/></Relationships>
</file>

<file path=xl/worksheets/_rels/sheet2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2.bin"/></Relationships>
</file>

<file path=xl/worksheets/_rels/sheet2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3.bin"/></Relationships>
</file>

<file path=xl/worksheets/_rels/sheet2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4.bin"/></Relationships>
</file>

<file path=xl/worksheets/_rels/sheet2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5.bin"/></Relationships>
</file>

<file path=xl/worksheets/_rels/sheet2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6.bin"/></Relationships>
</file>

<file path=xl/worksheets/_rels/sheet2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7.bin"/></Relationships>
</file>

<file path=xl/worksheets/_rels/sheet2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8.bin"/></Relationships>
</file>

<file path=xl/worksheets/_rels/sheet2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9.bin"/></Relationships>
</file>

<file path=xl/worksheets/_rels/sheet2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0.bin"/></Relationships>
</file>

<file path=xl/worksheets/_rels/sheet2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1.bin"/></Relationships>
</file>

<file path=xl/worksheets/_rels/sheet2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2.bin"/></Relationships>
</file>

<file path=xl/worksheets/_rels/sheet2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3.bin"/></Relationships>
</file>

<file path=xl/worksheets/_rels/sheet2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4.bin"/></Relationships>
</file>

<file path=xl/worksheets/_rels/sheet2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5.bin"/></Relationships>
</file>

<file path=xl/worksheets/_rels/sheet2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6.bin"/></Relationships>
</file>

<file path=xl/worksheets/_rels/sheet2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7.bin"/></Relationships>
</file>

<file path=xl/worksheets/_rels/sheet2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8.bin"/></Relationships>
</file>

<file path=xl/worksheets/_rels/sheet2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9.bin"/></Relationships>
</file>

<file path=xl/worksheets/_rels/sheet2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0.bin"/></Relationships>
</file>

<file path=xl/worksheets/_rels/sheet2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1.bin"/></Relationships>
</file>

<file path=xl/worksheets/_rels/sheet2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2.bin"/></Relationships>
</file>

<file path=xl/worksheets/_rels/sheet2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3.bin"/></Relationships>
</file>

<file path=xl/worksheets/_rels/sheet2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4.bin"/></Relationships>
</file>

<file path=xl/worksheets/_rels/sheet2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5.bin"/></Relationships>
</file>

<file path=xl/worksheets/_rels/sheet2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6.bin"/></Relationships>
</file>

<file path=xl/worksheets/_rels/sheet2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7.bin"/></Relationships>
</file>

<file path=xl/worksheets/_rels/sheet2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8.bin"/></Relationships>
</file>

<file path=xl/worksheets/_rels/sheet2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9.bin"/></Relationships>
</file>

<file path=xl/worksheets/_rels/sheet2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0.bin"/></Relationships>
</file>

<file path=xl/worksheets/_rels/sheet2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1.bin"/></Relationships>
</file>

<file path=xl/worksheets/_rels/sheet2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2.bin"/></Relationships>
</file>

<file path=xl/worksheets/_rels/sheet2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3.bin"/></Relationships>
</file>

<file path=xl/worksheets/_rels/sheet2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4.bin"/></Relationships>
</file>

<file path=xl/worksheets/_rels/sheet27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75.bin"/></Relationships>
</file>

<file path=xl/worksheets/_rels/sheet27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76.bin"/></Relationships>
</file>

<file path=xl/worksheets/_rels/sheet27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77.bin"/></Relationships>
</file>

<file path=xl/worksheets/_rels/sheet27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8.bin"/></Relationships>
</file>

<file path=xl/worksheets/_rels/sheet27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79.bin"/></Relationships>
</file>

<file path=xl/worksheets/_rels/sheet2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R54"/>
  <sheetViews>
    <sheetView zoomScale="85" zoomScaleNormal="85" workbookViewId="0">
      <selection activeCell="O50" sqref="O5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customWidth="1"/>
    <col min="6" max="7" width="10.7109375" customWidth="1"/>
    <col min="8" max="8" width="8.7109375" customWidth="1"/>
    <col min="9" max="9" width="20.7109375" customWidth="1"/>
    <col min="10" max="12" width="11.7109375" style="19" customWidth="1"/>
    <col min="13" max="13" width="8.7109375" style="19" customWidth="1"/>
    <col min="14" max="14" width="11.7109375" bestFit="1" customWidth="1"/>
    <col min="15" max="15" width="13.42578125" bestFit="1" customWidth="1"/>
    <col min="16" max="16" width="10.85546875" bestFit="1" customWidth="1"/>
    <col min="17" max="18" width="10.7109375" customWidth="1"/>
  </cols>
  <sheetData>
    <row r="1" spans="1:18" s="2" customFormat="1" ht="12" customHeight="1" x14ac:dyDescent="0.25">
      <c r="A1" s="78" t="s">
        <v>0</v>
      </c>
      <c r="B1" s="79"/>
      <c r="C1" s="94"/>
      <c r="D1" s="313" t="s">
        <v>1</v>
      </c>
      <c r="E1" s="313"/>
      <c r="F1" s="80"/>
      <c r="G1" s="94"/>
      <c r="H1" s="80"/>
      <c r="I1" s="95"/>
      <c r="J1" s="82"/>
      <c r="K1" s="82"/>
      <c r="L1" s="82"/>
      <c r="M1" s="82"/>
      <c r="N1" s="81"/>
      <c r="O1" s="81"/>
      <c r="P1" s="81"/>
      <c r="Q1" s="81"/>
      <c r="R1" s="83"/>
    </row>
    <row r="2" spans="1:18" s="2" customFormat="1" ht="12" customHeight="1" x14ac:dyDescent="0.25">
      <c r="A2" s="84" t="s">
        <v>2</v>
      </c>
      <c r="B2" s="65"/>
      <c r="C2" s="61" t="str">
        <f ca="1">$E$2&amp;".0.A"</f>
        <v>PG10.0.A</v>
      </c>
      <c r="D2" s="87" t="s">
        <v>3</v>
      </c>
      <c r="E2" s="61" t="str">
        <f ca="1">MID(CELL("filename",A1),FIND("]",CELL("filename",A1))+1,256)</f>
        <v>PG10</v>
      </c>
      <c r="F2" s="87" t="s">
        <v>4</v>
      </c>
      <c r="G2" s="62" t="s">
        <v>5</v>
      </c>
      <c r="H2" s="87" t="s">
        <v>6</v>
      </c>
      <c r="I2" s="75" t="s">
        <v>7</v>
      </c>
      <c r="J2" s="88"/>
      <c r="K2" s="88"/>
      <c r="L2" s="88"/>
      <c r="M2" s="88"/>
      <c r="N2" s="65"/>
      <c r="O2" s="65"/>
      <c r="P2" s="65"/>
      <c r="Q2" s="65"/>
      <c r="R2" s="89"/>
    </row>
    <row r="3" spans="1:18" s="2" customFormat="1" ht="12" customHeight="1" thickBot="1" x14ac:dyDescent="0.3">
      <c r="A3" s="84" t="s">
        <v>8</v>
      </c>
      <c r="B3" s="65"/>
      <c r="C3" s="74" t="s">
        <v>9</v>
      </c>
      <c r="D3" s="87" t="s">
        <v>10</v>
      </c>
      <c r="E3" s="74" t="s">
        <v>11</v>
      </c>
      <c r="F3" s="87" t="s">
        <v>12</v>
      </c>
      <c r="G3" s="62" t="s">
        <v>5</v>
      </c>
      <c r="H3" s="87" t="s">
        <v>6</v>
      </c>
      <c r="I3" s="75" t="s">
        <v>7</v>
      </c>
      <c r="J3" s="88"/>
      <c r="K3" s="88"/>
      <c r="L3" s="88"/>
      <c r="M3" s="88"/>
      <c r="N3" s="65"/>
      <c r="O3" s="65"/>
      <c r="P3" s="65"/>
      <c r="Q3" s="65"/>
      <c r="R3" s="89"/>
    </row>
    <row r="4" spans="1:18" s="5" customFormat="1" ht="12" customHeight="1" thickBot="1" x14ac:dyDescent="0.3">
      <c r="A4" s="90" t="s">
        <v>13</v>
      </c>
      <c r="B4" s="91" t="s">
        <v>14</v>
      </c>
      <c r="C4" s="91" t="s">
        <v>15</v>
      </c>
      <c r="D4" s="305" t="s">
        <v>16</v>
      </c>
      <c r="E4" s="306"/>
      <c r="F4" s="91" t="s">
        <v>17</v>
      </c>
      <c r="G4" s="91" t="s">
        <v>18</v>
      </c>
      <c r="H4" s="305" t="s">
        <v>19</v>
      </c>
      <c r="I4" s="306"/>
      <c r="J4" s="91" t="s">
        <v>20</v>
      </c>
      <c r="K4" s="91" t="s">
        <v>21</v>
      </c>
      <c r="L4" s="91" t="s">
        <v>22</v>
      </c>
      <c r="M4" s="91" t="s">
        <v>23</v>
      </c>
      <c r="N4" s="91" t="s">
        <v>24</v>
      </c>
      <c r="O4" s="91" t="s">
        <v>25</v>
      </c>
      <c r="P4" s="91" t="s">
        <v>26</v>
      </c>
      <c r="Q4" s="91" t="s">
        <v>27</v>
      </c>
      <c r="R4" s="92" t="s">
        <v>28</v>
      </c>
    </row>
    <row r="5" spans="1:18" s="2" customFormat="1" ht="12" customHeight="1" x14ac:dyDescent="0.25">
      <c r="A5" s="25"/>
      <c r="B5" s="26"/>
      <c r="C5" s="26"/>
      <c r="D5" s="301"/>
      <c r="E5" s="302"/>
      <c r="F5" s="26"/>
      <c r="G5" s="26"/>
      <c r="H5" s="301"/>
      <c r="I5" s="302"/>
      <c r="J5" s="27"/>
      <c r="K5" s="27"/>
      <c r="L5" s="27"/>
      <c r="M5" s="29"/>
      <c r="N5" s="26"/>
      <c r="O5" s="26"/>
      <c r="P5" s="26"/>
      <c r="Q5" s="67"/>
      <c r="R5" s="30"/>
    </row>
    <row r="6" spans="1:18" s="2" customFormat="1" ht="12" customHeight="1" x14ac:dyDescent="0.25">
      <c r="A6" s="25"/>
      <c r="B6" s="2">
        <f>B7+B8+B9</f>
        <v>0</v>
      </c>
      <c r="C6" s="60" t="s">
        <v>29</v>
      </c>
      <c r="D6" s="307"/>
      <c r="E6" s="308"/>
      <c r="F6" s="60"/>
      <c r="G6" s="60"/>
      <c r="H6" s="307"/>
      <c r="I6" s="308"/>
      <c r="J6" s="46"/>
      <c r="K6" s="46"/>
      <c r="L6" s="46"/>
      <c r="M6" s="47"/>
      <c r="N6" s="60"/>
      <c r="O6" s="60"/>
      <c r="P6" s="60"/>
      <c r="Q6" s="68">
        <v>20</v>
      </c>
      <c r="R6" s="69">
        <f t="shared" ref="R6:R18" si="0">Q6*B6</f>
        <v>0</v>
      </c>
    </row>
    <row r="7" spans="1:18" s="2" customFormat="1" ht="12" customHeight="1" x14ac:dyDescent="0.25">
      <c r="A7" s="25"/>
      <c r="B7" s="2">
        <v>0</v>
      </c>
      <c r="C7" s="60" t="s">
        <v>30</v>
      </c>
      <c r="D7" s="60"/>
      <c r="E7" s="124"/>
      <c r="F7" s="60"/>
      <c r="G7" s="60"/>
      <c r="H7" s="307"/>
      <c r="I7" s="308"/>
      <c r="J7" s="46"/>
      <c r="K7" s="46"/>
      <c r="L7" s="46"/>
      <c r="M7" s="47"/>
      <c r="N7" s="60"/>
      <c r="O7" s="60"/>
      <c r="P7" s="60"/>
      <c r="Q7" s="68">
        <v>45</v>
      </c>
      <c r="R7" s="69">
        <f t="shared" si="0"/>
        <v>0</v>
      </c>
    </row>
    <row r="8" spans="1:18" s="2" customFormat="1" ht="12" customHeight="1" x14ac:dyDescent="0.25">
      <c r="A8" s="25"/>
      <c r="B8" s="2">
        <v>0</v>
      </c>
      <c r="C8" s="60" t="s">
        <v>31</v>
      </c>
      <c r="D8" s="60"/>
      <c r="E8" s="124"/>
      <c r="F8" s="60"/>
      <c r="G8" s="60"/>
      <c r="H8" s="307"/>
      <c r="I8" s="308"/>
      <c r="J8" s="46"/>
      <c r="K8" s="46"/>
      <c r="L8" s="46"/>
      <c r="M8" s="47"/>
      <c r="N8" s="60"/>
      <c r="O8" s="60"/>
      <c r="P8" s="60"/>
      <c r="Q8" s="68">
        <v>45</v>
      </c>
      <c r="R8" s="69">
        <f t="shared" si="0"/>
        <v>0</v>
      </c>
    </row>
    <row r="9" spans="1:18" s="2" customFormat="1" ht="12" customHeight="1" x14ac:dyDescent="0.25">
      <c r="A9" s="25"/>
      <c r="B9" s="2">
        <v>0</v>
      </c>
      <c r="C9" s="60" t="s">
        <v>32</v>
      </c>
      <c r="D9" s="60"/>
      <c r="E9" s="124"/>
      <c r="F9" s="60"/>
      <c r="G9" s="60"/>
      <c r="H9" s="307"/>
      <c r="I9" s="308"/>
      <c r="J9" s="46"/>
      <c r="K9" s="46"/>
      <c r="L9" s="46"/>
      <c r="M9" s="47"/>
      <c r="N9" s="60"/>
      <c r="O9" s="60"/>
      <c r="P9" s="60"/>
      <c r="Q9" s="68">
        <v>50</v>
      </c>
      <c r="R9" s="69">
        <f t="shared" si="0"/>
        <v>0</v>
      </c>
    </row>
    <row r="10" spans="1:18" s="2" customFormat="1" ht="12" customHeight="1" x14ac:dyDescent="0.25">
      <c r="A10" s="25"/>
      <c r="B10" s="2">
        <v>0</v>
      </c>
      <c r="C10" s="60" t="s">
        <v>33</v>
      </c>
      <c r="D10" s="60"/>
      <c r="E10" s="124"/>
      <c r="F10" s="60"/>
      <c r="G10" s="60"/>
      <c r="H10" s="307"/>
      <c r="I10" s="308"/>
      <c r="J10" s="46"/>
      <c r="K10" s="46"/>
      <c r="L10" s="46"/>
      <c r="M10" s="47"/>
      <c r="N10" s="60"/>
      <c r="O10" s="60"/>
      <c r="P10" s="60"/>
      <c r="Q10" s="68">
        <v>120</v>
      </c>
      <c r="R10" s="69">
        <f t="shared" si="0"/>
        <v>0</v>
      </c>
    </row>
    <row r="11" spans="1:18" s="2" customFormat="1" ht="12" customHeight="1" x14ac:dyDescent="0.25">
      <c r="A11" s="25"/>
      <c r="B11" s="2">
        <v>0</v>
      </c>
      <c r="C11" s="60" t="s">
        <v>34</v>
      </c>
      <c r="D11" s="60"/>
      <c r="E11" s="124"/>
      <c r="F11" s="60"/>
      <c r="G11" s="60"/>
      <c r="H11" s="307"/>
      <c r="I11" s="308"/>
      <c r="J11" s="46"/>
      <c r="K11" s="46"/>
      <c r="L11" s="46"/>
      <c r="M11" s="47"/>
      <c r="N11" s="60"/>
      <c r="O11" s="60"/>
      <c r="P11" s="60"/>
      <c r="Q11" s="68">
        <v>120</v>
      </c>
      <c r="R11" s="69">
        <f t="shared" si="0"/>
        <v>0</v>
      </c>
    </row>
    <row r="12" spans="1:18" s="2" customFormat="1" ht="12" customHeight="1" x14ac:dyDescent="0.25">
      <c r="A12" s="25"/>
      <c r="B12" s="2">
        <v>0</v>
      </c>
      <c r="C12" s="60" t="s">
        <v>35</v>
      </c>
      <c r="D12" s="60"/>
      <c r="E12" s="124"/>
      <c r="F12" s="60"/>
      <c r="G12" s="60"/>
      <c r="H12" s="307"/>
      <c r="I12" s="308"/>
      <c r="J12" s="46"/>
      <c r="K12" s="46"/>
      <c r="L12" s="46"/>
      <c r="M12" s="47"/>
      <c r="N12" s="60"/>
      <c r="O12" s="60"/>
      <c r="P12" s="60"/>
      <c r="Q12" s="68">
        <v>120</v>
      </c>
      <c r="R12" s="69">
        <f t="shared" si="0"/>
        <v>0</v>
      </c>
    </row>
    <row r="13" spans="1:18" s="2" customFormat="1" ht="12" customHeight="1" x14ac:dyDescent="0.25">
      <c r="A13" s="25"/>
      <c r="B13" s="2">
        <v>0</v>
      </c>
      <c r="C13" s="60" t="s">
        <v>36</v>
      </c>
      <c r="D13" s="60"/>
      <c r="E13" s="124"/>
      <c r="F13" s="60"/>
      <c r="G13" s="60"/>
      <c r="H13" s="307"/>
      <c r="I13" s="308"/>
      <c r="J13" s="46"/>
      <c r="K13" s="46"/>
      <c r="L13" s="46"/>
      <c r="M13" s="47"/>
      <c r="N13" s="60"/>
      <c r="O13" s="60"/>
      <c r="P13" s="60"/>
      <c r="Q13" s="68">
        <v>120</v>
      </c>
      <c r="R13" s="69">
        <f t="shared" si="0"/>
        <v>0</v>
      </c>
    </row>
    <row r="14" spans="1:18" s="2" customFormat="1" ht="12" customHeight="1" x14ac:dyDescent="0.25">
      <c r="A14" s="25"/>
      <c r="B14" s="2">
        <v>0</v>
      </c>
      <c r="C14" s="60" t="s">
        <v>37</v>
      </c>
      <c r="D14" s="60"/>
      <c r="E14" s="124"/>
      <c r="F14" s="60"/>
      <c r="G14" s="60"/>
      <c r="H14" s="307"/>
      <c r="I14" s="308"/>
      <c r="J14" s="46"/>
      <c r="K14" s="46"/>
      <c r="L14" s="46"/>
      <c r="M14" s="47"/>
      <c r="N14" s="60"/>
      <c r="O14" s="60"/>
      <c r="P14" s="60"/>
      <c r="Q14" s="68">
        <v>125</v>
      </c>
      <c r="R14" s="69">
        <f t="shared" si="0"/>
        <v>0</v>
      </c>
    </row>
    <row r="15" spans="1:18" s="2" customFormat="1" ht="12" customHeight="1" x14ac:dyDescent="0.25">
      <c r="A15" s="25"/>
      <c r="B15" s="2">
        <v>0</v>
      </c>
      <c r="C15" s="60" t="s">
        <v>38</v>
      </c>
      <c r="D15" s="60"/>
      <c r="E15" s="124"/>
      <c r="F15" s="60"/>
      <c r="G15" s="60"/>
      <c r="H15" s="307"/>
      <c r="I15" s="308"/>
      <c r="J15" s="46"/>
      <c r="K15" s="46"/>
      <c r="L15" s="46"/>
      <c r="M15" s="47"/>
      <c r="N15" s="60"/>
      <c r="O15" s="60"/>
      <c r="P15" s="60"/>
      <c r="Q15" s="68">
        <v>120</v>
      </c>
      <c r="R15" s="69">
        <f t="shared" si="0"/>
        <v>0</v>
      </c>
    </row>
    <row r="16" spans="1:18" s="2" customFormat="1" ht="12" customHeight="1" x14ac:dyDescent="0.25">
      <c r="A16" s="25"/>
      <c r="B16" s="2">
        <v>0</v>
      </c>
      <c r="C16" s="60" t="s">
        <v>39</v>
      </c>
      <c r="D16" s="60"/>
      <c r="E16" s="124"/>
      <c r="F16" s="60"/>
      <c r="G16" s="60"/>
      <c r="H16" s="307"/>
      <c r="I16" s="308"/>
      <c r="J16" s="46"/>
      <c r="K16" s="46"/>
      <c r="L16" s="46"/>
      <c r="M16" s="47"/>
      <c r="N16" s="60"/>
      <c r="O16" s="60"/>
      <c r="P16" s="60"/>
      <c r="Q16" s="68">
        <v>125</v>
      </c>
      <c r="R16" s="69">
        <f t="shared" si="0"/>
        <v>0</v>
      </c>
    </row>
    <row r="17" spans="2:18" s="2" customFormat="1" ht="12" customHeight="1" x14ac:dyDescent="0.25">
      <c r="B17" s="2">
        <v>0</v>
      </c>
      <c r="C17" s="60" t="s">
        <v>40</v>
      </c>
      <c r="D17" s="60"/>
      <c r="E17" s="124"/>
      <c r="F17" s="60"/>
      <c r="G17" s="60"/>
      <c r="H17" s="307"/>
      <c r="I17" s="308"/>
      <c r="J17" s="46"/>
      <c r="K17" s="46"/>
      <c r="L17" s="46"/>
      <c r="M17" s="47"/>
      <c r="N17" s="60"/>
      <c r="O17" s="60"/>
      <c r="P17" s="60"/>
      <c r="Q17" s="68">
        <v>50000</v>
      </c>
      <c r="R17" s="69">
        <f t="shared" si="0"/>
        <v>0</v>
      </c>
    </row>
    <row r="18" spans="2:18" s="2" customFormat="1" ht="12" customHeight="1" x14ac:dyDescent="0.25">
      <c r="B18" s="2">
        <v>0</v>
      </c>
      <c r="C18" s="60" t="s">
        <v>41</v>
      </c>
      <c r="D18" s="60"/>
      <c r="E18" s="124"/>
      <c r="F18" s="60"/>
      <c r="G18" s="60"/>
      <c r="H18" s="307"/>
      <c r="I18" s="308"/>
      <c r="J18" s="46"/>
      <c r="K18" s="46"/>
      <c r="L18" s="46"/>
      <c r="M18" s="47"/>
      <c r="N18" s="60"/>
      <c r="O18" s="60"/>
      <c r="P18" s="60"/>
      <c r="Q18" s="68" t="e">
        <f>SUM(Q20)*0.022</f>
        <v>#N/A</v>
      </c>
      <c r="R18" s="69" t="e">
        <f t="shared" si="0"/>
        <v>#N/A</v>
      </c>
    </row>
    <row r="19" spans="2:18" s="2" customFormat="1" ht="12" customHeight="1" x14ac:dyDescent="0.25">
      <c r="B19" s="26"/>
      <c r="C19" s="26"/>
      <c r="D19" s="301"/>
      <c r="E19" s="302"/>
      <c r="F19" s="26"/>
      <c r="G19" s="26"/>
      <c r="H19" s="301"/>
      <c r="I19" s="302"/>
      <c r="J19" s="27"/>
      <c r="K19" s="27"/>
      <c r="L19" s="27"/>
      <c r="M19" s="29"/>
      <c r="N19" s="26"/>
      <c r="O19" s="26"/>
      <c r="P19" s="26"/>
      <c r="Q19" s="67"/>
      <c r="R19" s="30"/>
    </row>
    <row r="20" spans="2:18" s="1" customFormat="1" ht="12" customHeight="1" x14ac:dyDescent="0.25">
      <c r="B20" s="1">
        <v>1</v>
      </c>
      <c r="C20" s="93" t="str">
        <f ca="1">_xlfn.CONCAT($E$2,".0.A")</f>
        <v>PG10.0.A</v>
      </c>
      <c r="D20" s="311" t="str">
        <f>C3</f>
        <v>2-Up Pouch Machine</v>
      </c>
      <c r="E20" s="312"/>
      <c r="F20" s="32"/>
      <c r="G20" s="32"/>
      <c r="H20" s="303"/>
      <c r="I20" s="304"/>
      <c r="J20" s="28"/>
      <c r="K20" s="28"/>
      <c r="L20" s="28"/>
      <c r="M20" s="33"/>
      <c r="N20" s="32"/>
      <c r="O20" s="32"/>
      <c r="P20" s="32"/>
      <c r="Q20" s="70" t="e">
        <f>'0'!Q29</f>
        <v>#N/A</v>
      </c>
      <c r="R20" s="48" t="e">
        <f>Q20*B20</f>
        <v>#N/A</v>
      </c>
    </row>
    <row r="21" spans="2:18" s="2" customFormat="1" ht="12" customHeight="1" x14ac:dyDescent="0.25">
      <c r="B21" s="32"/>
      <c r="C21" s="32"/>
      <c r="D21" s="303"/>
      <c r="E21" s="304"/>
      <c r="F21" s="26"/>
      <c r="G21" s="26"/>
      <c r="H21" s="301"/>
      <c r="I21" s="302"/>
      <c r="J21" s="27"/>
      <c r="K21" s="27"/>
      <c r="L21" s="27"/>
      <c r="M21" s="29"/>
      <c r="N21" s="26"/>
      <c r="O21" s="26"/>
      <c r="P21" s="26"/>
      <c r="Q21" s="67"/>
      <c r="R21" s="30"/>
    </row>
    <row r="22" spans="2:18" s="2" customFormat="1" ht="12" customHeight="1" x14ac:dyDescent="0.25">
      <c r="B22" s="2">
        <v>0</v>
      </c>
      <c r="C22" s="2" t="s">
        <v>42</v>
      </c>
      <c r="D22" s="299"/>
      <c r="E22" s="300"/>
      <c r="H22" s="299"/>
      <c r="I22" s="300"/>
      <c r="J22" s="8"/>
      <c r="K22" s="8"/>
      <c r="L22" s="8"/>
      <c r="M22" s="5"/>
      <c r="Q22" s="55">
        <v>0</v>
      </c>
      <c r="R22" s="73">
        <f t="shared" ref="R22:R30" si="1">B22*Q22</f>
        <v>0</v>
      </c>
    </row>
    <row r="23" spans="2:18" s="2" customFormat="1" ht="12" customHeight="1" x14ac:dyDescent="0.25">
      <c r="B23" s="2">
        <v>0</v>
      </c>
      <c r="C23" s="2" t="s">
        <v>42</v>
      </c>
      <c r="D23" s="299"/>
      <c r="E23" s="300"/>
      <c r="H23" s="299"/>
      <c r="I23" s="300"/>
      <c r="J23" s="8"/>
      <c r="K23" s="8"/>
      <c r="L23" s="8"/>
      <c r="M23" s="5"/>
      <c r="Q23" s="55">
        <v>0</v>
      </c>
      <c r="R23" s="73">
        <f t="shared" si="1"/>
        <v>0</v>
      </c>
    </row>
    <row r="24" spans="2:18" s="2" customFormat="1" ht="12" customHeight="1" x14ac:dyDescent="0.25">
      <c r="B24" s="2">
        <v>0</v>
      </c>
      <c r="C24" s="2" t="s">
        <v>42</v>
      </c>
      <c r="D24" s="299"/>
      <c r="E24" s="300"/>
      <c r="H24" s="299"/>
      <c r="I24" s="300"/>
      <c r="J24" s="8"/>
      <c r="K24" s="8"/>
      <c r="L24" s="8"/>
      <c r="M24" s="5"/>
      <c r="Q24" s="55">
        <v>0</v>
      </c>
      <c r="R24" s="73">
        <f t="shared" si="1"/>
        <v>0</v>
      </c>
    </row>
    <row r="25" spans="2:18" s="2" customFormat="1" ht="12" customHeight="1" x14ac:dyDescent="0.25">
      <c r="B25" s="2">
        <v>0</v>
      </c>
      <c r="C25" s="2" t="s">
        <v>42</v>
      </c>
      <c r="D25" s="299"/>
      <c r="E25" s="300"/>
      <c r="H25" s="299"/>
      <c r="I25" s="300"/>
      <c r="J25" s="8"/>
      <c r="K25" s="8"/>
      <c r="L25" s="8"/>
      <c r="M25" s="5"/>
      <c r="Q25" s="55">
        <v>0</v>
      </c>
      <c r="R25" s="73">
        <f t="shared" si="1"/>
        <v>0</v>
      </c>
    </row>
    <row r="26" spans="2:18" s="2" customFormat="1" ht="12" customHeight="1" x14ac:dyDescent="0.25">
      <c r="B26" s="2">
        <v>0</v>
      </c>
      <c r="C26" s="2" t="s">
        <v>42</v>
      </c>
      <c r="D26" s="299"/>
      <c r="E26" s="300"/>
      <c r="H26" s="299"/>
      <c r="I26" s="300"/>
      <c r="J26" s="8"/>
      <c r="K26" s="8"/>
      <c r="L26" s="8"/>
      <c r="M26" s="5"/>
      <c r="Q26" s="55">
        <v>0</v>
      </c>
      <c r="R26" s="73">
        <f t="shared" si="1"/>
        <v>0</v>
      </c>
    </row>
    <row r="27" spans="2:18" s="2" customFormat="1" ht="12" customHeight="1" x14ac:dyDescent="0.25">
      <c r="B27" s="2">
        <v>0</v>
      </c>
      <c r="C27" s="2" t="s">
        <v>42</v>
      </c>
      <c r="D27" s="299"/>
      <c r="E27" s="300"/>
      <c r="H27" s="299"/>
      <c r="I27" s="300"/>
      <c r="J27" s="8"/>
      <c r="K27" s="8"/>
      <c r="L27" s="8"/>
      <c r="M27" s="5"/>
      <c r="Q27" s="55">
        <v>0</v>
      </c>
      <c r="R27" s="73">
        <f t="shared" si="1"/>
        <v>0</v>
      </c>
    </row>
    <row r="28" spans="2:18" s="2" customFormat="1" ht="12" customHeight="1" x14ac:dyDescent="0.25">
      <c r="B28" s="2">
        <v>0</v>
      </c>
      <c r="C28" s="2" t="s">
        <v>42</v>
      </c>
      <c r="D28" s="299"/>
      <c r="E28" s="300"/>
      <c r="H28" s="299"/>
      <c r="I28" s="300"/>
      <c r="J28" s="8"/>
      <c r="K28" s="8"/>
      <c r="L28" s="8"/>
      <c r="M28" s="5"/>
      <c r="Q28" s="55">
        <v>0</v>
      </c>
      <c r="R28" s="73">
        <f t="shared" si="1"/>
        <v>0</v>
      </c>
    </row>
    <row r="29" spans="2:18" s="2" customFormat="1" ht="12" customHeight="1" x14ac:dyDescent="0.25">
      <c r="B29" s="2">
        <v>0</v>
      </c>
      <c r="C29" s="2" t="s">
        <v>42</v>
      </c>
      <c r="D29" s="299"/>
      <c r="E29" s="300"/>
      <c r="H29" s="299"/>
      <c r="I29" s="300"/>
      <c r="J29" s="8"/>
      <c r="K29" s="8"/>
      <c r="L29" s="8"/>
      <c r="M29" s="5"/>
      <c r="Q29" s="55">
        <v>0</v>
      </c>
      <c r="R29" s="73">
        <f t="shared" si="1"/>
        <v>0</v>
      </c>
    </row>
    <row r="30" spans="2:18" s="2" customFormat="1" ht="12" customHeight="1" thickBot="1" x14ac:dyDescent="0.3">
      <c r="B30" s="2">
        <v>0</v>
      </c>
      <c r="C30" s="2" t="s">
        <v>42</v>
      </c>
      <c r="D30" s="299"/>
      <c r="E30" s="300"/>
      <c r="H30" s="299"/>
      <c r="I30" s="300"/>
      <c r="J30" s="8"/>
      <c r="K30" s="8"/>
      <c r="L30" s="8"/>
      <c r="M30" s="5"/>
      <c r="Q30" s="55">
        <v>0</v>
      </c>
      <c r="R30" s="73">
        <f t="shared" si="1"/>
        <v>0</v>
      </c>
    </row>
    <row r="31" spans="2:18" s="2" customFormat="1" ht="12" customHeight="1" thickBot="1" x14ac:dyDescent="0.3">
      <c r="B31" s="35"/>
      <c r="C31" s="35"/>
      <c r="D31" s="309"/>
      <c r="E31" s="310"/>
      <c r="F31" s="35"/>
      <c r="G31" s="35"/>
      <c r="H31" s="309"/>
      <c r="I31" s="310"/>
      <c r="J31" s="36"/>
      <c r="K31" s="36"/>
      <c r="L31" s="36"/>
      <c r="M31" s="38"/>
      <c r="N31" s="35"/>
      <c r="O31" s="35"/>
      <c r="P31" s="35"/>
      <c r="Q31" s="71" t="s">
        <v>43</v>
      </c>
      <c r="R31" s="72" t="e">
        <f>SUM(R5:R30)</f>
        <v>#N/A</v>
      </c>
    </row>
    <row r="32" spans="2:18" s="2" customFormat="1" ht="12" customHeight="1" x14ac:dyDescent="0.25">
      <c r="D32" s="299"/>
      <c r="E32" s="300"/>
      <c r="J32" s="8"/>
      <c r="K32" s="8"/>
      <c r="L32" s="8"/>
      <c r="M32" s="5"/>
      <c r="Q32" s="7"/>
      <c r="R32" s="7"/>
    </row>
    <row r="33" spans="4:18" s="2" customFormat="1" ht="12" customHeight="1" x14ac:dyDescent="0.25">
      <c r="D33" s="299"/>
      <c r="E33" s="300"/>
      <c r="J33" s="8"/>
      <c r="K33" s="8"/>
      <c r="L33" s="8"/>
      <c r="M33" s="5"/>
      <c r="O33" s="23" t="s">
        <v>44</v>
      </c>
      <c r="P33" s="9" t="s">
        <v>45</v>
      </c>
      <c r="Q33" s="10" t="s">
        <v>46</v>
      </c>
      <c r="R33" s="11" t="s">
        <v>47</v>
      </c>
    </row>
    <row r="34" spans="4:18" s="2" customFormat="1" ht="12" customHeight="1" x14ac:dyDescent="0.25">
      <c r="D34" s="299"/>
      <c r="E34" s="300"/>
      <c r="J34" s="8"/>
      <c r="K34" s="8"/>
      <c r="L34" s="8"/>
      <c r="M34" s="5"/>
      <c r="O34" s="12" t="e">
        <f>R31</f>
        <v>#N/A</v>
      </c>
      <c r="P34" s="13">
        <v>0.5</v>
      </c>
      <c r="Q34" s="3" t="e">
        <f t="shared" ref="Q34:Q43" si="2">(O34/(1-P34))</f>
        <v>#N/A</v>
      </c>
      <c r="R34" s="12" t="e">
        <f t="shared" ref="R34:R43" si="3">Q34-O34</f>
        <v>#N/A</v>
      </c>
    </row>
    <row r="35" spans="4:18" s="2" customFormat="1" ht="12" customHeight="1" x14ac:dyDescent="0.25">
      <c r="D35" s="299"/>
      <c r="E35" s="300"/>
      <c r="J35" s="8"/>
      <c r="K35" s="8"/>
      <c r="L35" s="8"/>
      <c r="M35" s="5"/>
      <c r="O35" s="14" t="e">
        <f>R31</f>
        <v>#N/A</v>
      </c>
      <c r="P35" s="15">
        <v>0.45</v>
      </c>
      <c r="Q35" s="6" t="e">
        <f t="shared" si="2"/>
        <v>#N/A</v>
      </c>
      <c r="R35" s="14" t="e">
        <f t="shared" si="3"/>
        <v>#N/A</v>
      </c>
    </row>
    <row r="36" spans="4:18" s="2" customFormat="1" ht="12" customHeight="1" x14ac:dyDescent="0.25">
      <c r="D36" s="299"/>
      <c r="E36" s="300"/>
      <c r="J36" s="5"/>
      <c r="K36" s="5"/>
      <c r="L36" s="5"/>
      <c r="M36" s="5"/>
      <c r="O36" s="14" t="e">
        <f>R31</f>
        <v>#N/A</v>
      </c>
      <c r="P36" s="15">
        <v>0.4</v>
      </c>
      <c r="Q36" s="14" t="e">
        <f t="shared" si="2"/>
        <v>#N/A</v>
      </c>
      <c r="R36" s="14" t="e">
        <f t="shared" si="3"/>
        <v>#N/A</v>
      </c>
    </row>
    <row r="37" spans="4:18" s="2" customFormat="1" ht="12" customHeight="1" x14ac:dyDescent="0.25">
      <c r="D37" s="299"/>
      <c r="E37" s="300"/>
      <c r="J37" s="5"/>
      <c r="K37" s="5"/>
      <c r="L37" s="5"/>
      <c r="M37" s="5"/>
      <c r="O37" s="14" t="e">
        <f>R31</f>
        <v>#N/A</v>
      </c>
      <c r="P37" s="15">
        <v>0.35</v>
      </c>
      <c r="Q37" s="14" t="e">
        <f t="shared" si="2"/>
        <v>#N/A</v>
      </c>
      <c r="R37" s="14" t="e">
        <f t="shared" si="3"/>
        <v>#N/A</v>
      </c>
    </row>
    <row r="38" spans="4:18" s="2" customFormat="1" ht="12" customHeight="1" x14ac:dyDescent="0.25">
      <c r="D38" s="299"/>
      <c r="E38" s="300"/>
      <c r="J38" s="5"/>
      <c r="K38" s="5"/>
      <c r="L38" s="5"/>
      <c r="M38" s="5"/>
      <c r="O38" s="14" t="e">
        <f>R31</f>
        <v>#N/A</v>
      </c>
      <c r="P38" s="15">
        <v>0.33339999999999997</v>
      </c>
      <c r="Q38" s="14" t="e">
        <f t="shared" si="2"/>
        <v>#N/A</v>
      </c>
      <c r="R38" s="14" t="e">
        <f t="shared" si="3"/>
        <v>#N/A</v>
      </c>
    </row>
    <row r="39" spans="4:18" s="2" customFormat="1" ht="12" customHeight="1" x14ac:dyDescent="0.25">
      <c r="D39" s="300"/>
      <c r="E39" s="300"/>
      <c r="J39" s="5"/>
      <c r="K39" s="5"/>
      <c r="L39" s="5"/>
      <c r="M39" s="5"/>
      <c r="O39" s="14" t="e">
        <f>R31</f>
        <v>#N/A</v>
      </c>
      <c r="P39" s="15">
        <v>0.3</v>
      </c>
      <c r="Q39" s="14" t="e">
        <f t="shared" si="2"/>
        <v>#N/A</v>
      </c>
      <c r="R39" s="14" t="e">
        <f t="shared" si="3"/>
        <v>#N/A</v>
      </c>
    </row>
    <row r="40" spans="4:18" s="2" customFormat="1" ht="12" customHeight="1" x14ac:dyDescent="0.25">
      <c r="D40" s="299"/>
      <c r="E40" s="300"/>
      <c r="J40" s="5"/>
      <c r="K40" s="5"/>
      <c r="L40" s="5"/>
      <c r="M40" s="5"/>
      <c r="O40" s="14" t="e">
        <f>R31</f>
        <v>#N/A</v>
      </c>
      <c r="P40" s="15">
        <v>0.25</v>
      </c>
      <c r="Q40" s="14" t="e">
        <f t="shared" si="2"/>
        <v>#N/A</v>
      </c>
      <c r="R40" s="14" t="e">
        <f t="shared" si="3"/>
        <v>#N/A</v>
      </c>
    </row>
    <row r="41" spans="4:18" s="2" customFormat="1" ht="12" customHeight="1" x14ac:dyDescent="0.25">
      <c r="D41" s="299"/>
      <c r="E41" s="300"/>
      <c r="J41" s="5"/>
      <c r="K41" s="5"/>
      <c r="L41" s="5"/>
      <c r="M41" s="5"/>
      <c r="O41" s="14" t="e">
        <f>R31</f>
        <v>#N/A</v>
      </c>
      <c r="P41" s="15">
        <v>0.2</v>
      </c>
      <c r="Q41" s="14" t="e">
        <f t="shared" si="2"/>
        <v>#N/A</v>
      </c>
      <c r="R41" s="14" t="e">
        <f t="shared" si="3"/>
        <v>#N/A</v>
      </c>
    </row>
    <row r="42" spans="4:18" s="2" customFormat="1" ht="12" customHeight="1" x14ac:dyDescent="0.25">
      <c r="D42" s="299"/>
      <c r="E42" s="300"/>
      <c r="J42" s="5"/>
      <c r="K42" s="5"/>
      <c r="L42" s="5"/>
      <c r="M42" s="5"/>
      <c r="O42" s="14" t="e">
        <f>R31</f>
        <v>#N/A</v>
      </c>
      <c r="P42" s="15">
        <v>0.15</v>
      </c>
      <c r="Q42" s="14" t="e">
        <f t="shared" si="2"/>
        <v>#N/A</v>
      </c>
      <c r="R42" s="14" t="e">
        <f t="shared" si="3"/>
        <v>#N/A</v>
      </c>
    </row>
    <row r="43" spans="4:18" s="2" customFormat="1" ht="12" customHeight="1" x14ac:dyDescent="0.25">
      <c r="D43" s="299"/>
      <c r="E43" s="300"/>
      <c r="J43" s="5"/>
      <c r="K43" s="5"/>
      <c r="L43" s="5"/>
      <c r="M43" s="5"/>
      <c r="O43" s="16" t="e">
        <f>R31</f>
        <v>#N/A</v>
      </c>
      <c r="P43" s="17">
        <v>0.1</v>
      </c>
      <c r="Q43" s="16" t="e">
        <f t="shared" si="2"/>
        <v>#N/A</v>
      </c>
      <c r="R43" s="16" t="e">
        <f t="shared" si="3"/>
        <v>#N/A</v>
      </c>
    </row>
    <row r="44" spans="4:18" s="2" customFormat="1" ht="12" customHeight="1" x14ac:dyDescent="0.25">
      <c r="D44" s="299"/>
      <c r="E44" s="300"/>
      <c r="J44" s="5"/>
      <c r="K44" s="5"/>
      <c r="L44" s="5"/>
      <c r="M44" s="5"/>
      <c r="Q44" s="7"/>
      <c r="R44" s="7"/>
    </row>
    <row r="45" spans="4:18" s="2" customFormat="1" x14ac:dyDescent="0.25">
      <c r="D45" s="299"/>
      <c r="E45" s="300"/>
      <c r="J45" s="5"/>
      <c r="K45" s="5"/>
      <c r="L45" s="5"/>
      <c r="M45" s="5"/>
      <c r="Q45" s="7"/>
      <c r="R45" s="7"/>
    </row>
    <row r="46" spans="4:18" s="2" customFormat="1" x14ac:dyDescent="0.25">
      <c r="D46" s="299"/>
      <c r="E46" s="300"/>
      <c r="J46" s="5"/>
      <c r="K46" s="5"/>
      <c r="L46" s="5"/>
      <c r="M46" s="5"/>
      <c r="Q46" s="7"/>
      <c r="R46" s="7"/>
    </row>
    <row r="47" spans="4:18" s="2" customFormat="1" x14ac:dyDescent="0.25">
      <c r="D47" s="299"/>
      <c r="E47" s="300"/>
      <c r="J47" s="5"/>
      <c r="K47" s="5"/>
      <c r="L47" s="5"/>
      <c r="M47" s="5"/>
      <c r="Q47" s="7"/>
      <c r="R47" s="7"/>
    </row>
    <row r="48" spans="4:18" s="2" customFormat="1" x14ac:dyDescent="0.25">
      <c r="D48" s="299"/>
      <c r="E48" s="300"/>
      <c r="J48" s="5"/>
      <c r="K48" s="5"/>
      <c r="L48" s="5"/>
      <c r="M48" s="5"/>
      <c r="Q48" s="7"/>
      <c r="R48" s="7"/>
    </row>
    <row r="49" spans="4:5" s="2" customFormat="1" x14ac:dyDescent="0.25">
      <c r="D49" s="299"/>
      <c r="E49" s="300"/>
    </row>
    <row r="50" spans="4:5" s="2" customFormat="1" x14ac:dyDescent="0.25">
      <c r="D50" s="299"/>
      <c r="E50" s="300"/>
    </row>
    <row r="51" spans="4:5" s="2" customFormat="1" x14ac:dyDescent="0.25">
      <c r="D51" s="299"/>
      <c r="E51" s="300"/>
    </row>
    <row r="52" spans="4:5" s="2" customFormat="1" x14ac:dyDescent="0.25">
      <c r="D52" s="299"/>
      <c r="E52" s="300"/>
    </row>
    <row r="53" spans="4:5" s="2" customFormat="1" x14ac:dyDescent="0.25">
      <c r="D53" s="299"/>
      <c r="E53" s="300"/>
    </row>
    <row r="54" spans="4:5" s="2" customFormat="1" x14ac:dyDescent="0.25">
      <c r="D54" s="299"/>
      <c r="E54" s="300"/>
    </row>
  </sheetData>
  <sheetProtection selectLockedCells="1"/>
  <mergeCells count="68">
    <mergeCell ref="H18:I18"/>
    <mergeCell ref="H7:I7"/>
    <mergeCell ref="H8:I8"/>
    <mergeCell ref="H9:I9"/>
    <mergeCell ref="H17:I17"/>
    <mergeCell ref="H10:I10"/>
    <mergeCell ref="H11:I11"/>
    <mergeCell ref="D53:E53"/>
    <mergeCell ref="D54:E54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19:E19"/>
    <mergeCell ref="D20:E20"/>
    <mergeCell ref="D21:E21"/>
    <mergeCell ref="D22:E22"/>
    <mergeCell ref="D1:E1"/>
    <mergeCell ref="D5:E5"/>
    <mergeCell ref="D6:E6"/>
    <mergeCell ref="D4:E4"/>
    <mergeCell ref="H27:I27"/>
    <mergeCell ref="H28:I28"/>
    <mergeCell ref="H29:I29"/>
    <mergeCell ref="H30:I30"/>
    <mergeCell ref="H31:I31"/>
    <mergeCell ref="H26:I26"/>
    <mergeCell ref="H19:I19"/>
    <mergeCell ref="H20:I20"/>
    <mergeCell ref="H4:I4"/>
    <mergeCell ref="H5:I5"/>
    <mergeCell ref="H6:I6"/>
    <mergeCell ref="H12:I12"/>
    <mergeCell ref="H13:I13"/>
    <mergeCell ref="H14:I14"/>
    <mergeCell ref="H21:I21"/>
    <mergeCell ref="H22:I22"/>
    <mergeCell ref="H23:I23"/>
    <mergeCell ref="H24:I24"/>
    <mergeCell ref="H25:I25"/>
    <mergeCell ref="H15:I15"/>
    <mergeCell ref="H16:I16"/>
  </mergeCells>
  <pageMargins left="0.7" right="0.7" top="0.75" bottom="0.75" header="0.3" footer="0.3"/>
  <pageSetup paperSize="17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Q29"/>
  <sheetViews>
    <sheetView zoomScaleNormal="100" workbookViewId="0">
      <selection activeCell="R15" sqref="R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5" width="7.7109375" style="19" customWidth="1"/>
    <col min="16" max="16" width="11.85546875" style="100" bestFit="1" customWidth="1"/>
    <col min="17" max="17" width="13.855468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82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 ca="1">'PG10'!C2</f>
        <v>PG10.0.A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v>1</v>
      </c>
      <c r="M2" s="88"/>
      <c r="N2" s="88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>'PG10'!C3</f>
        <v>2-Up Pouch Machine</v>
      </c>
      <c r="D3" s="85" t="s">
        <v>50</v>
      </c>
      <c r="E3" s="86" t="str">
        <f ca="1">MID(CELL("filename",A1),FIND("]",CELL("filename",A1))+1,256)</f>
        <v>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88"/>
      <c r="O3" s="88"/>
      <c r="P3" s="97"/>
      <c r="Q3" s="102"/>
    </row>
    <row r="4" spans="1:17" s="63" customFormat="1" ht="12.75" customHeight="1" thickBot="1" x14ac:dyDescent="0.3">
      <c r="A4" s="174" t="s">
        <v>13</v>
      </c>
      <c r="B4" s="164" t="s">
        <v>14</v>
      </c>
      <c r="C4" s="164" t="s">
        <v>15</v>
      </c>
      <c r="D4" s="334" t="s">
        <v>16</v>
      </c>
      <c r="E4" s="335"/>
      <c r="F4" s="171" t="s">
        <v>17</v>
      </c>
      <c r="G4" s="164" t="s">
        <v>18</v>
      </c>
      <c r="H4" s="318" t="s">
        <v>19</v>
      </c>
      <c r="I4" s="319"/>
      <c r="J4" s="164" t="s">
        <v>51</v>
      </c>
      <c r="K4" s="164" t="s">
        <v>21</v>
      </c>
      <c r="L4" s="164" t="s">
        <v>22</v>
      </c>
      <c r="M4" s="164" t="s">
        <v>52</v>
      </c>
      <c r="N4" s="164" t="s">
        <v>23</v>
      </c>
      <c r="O4" s="164" t="s">
        <v>53</v>
      </c>
      <c r="P4" s="175" t="s">
        <v>27</v>
      </c>
      <c r="Q4" s="176" t="s">
        <v>28</v>
      </c>
    </row>
    <row r="5" spans="1:17" s="1" customFormat="1" ht="12.75" customHeight="1" x14ac:dyDescent="0.2">
      <c r="A5" s="177" t="s">
        <v>54</v>
      </c>
      <c r="B5" s="111">
        <v>1</v>
      </c>
      <c r="C5" s="112" t="s">
        <v>55</v>
      </c>
      <c r="D5" s="336" t="str">
        <f ca="1">VLOOKUP(C5,Assemblies!E:P,2,0)</f>
        <v>Unwind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si="0">B5*$L$2</f>
        <v>1</v>
      </c>
      <c r="P5" s="117" t="e">
        <f>'1'!Q14</f>
        <v>#N/A</v>
      </c>
      <c r="Q5" s="118" t="e">
        <f t="shared" ref="Q5:Q14" si="1">B5*P5</f>
        <v>#N/A</v>
      </c>
    </row>
    <row r="6" spans="1:17" s="1" customFormat="1" ht="12.75" customHeight="1" x14ac:dyDescent="0.2">
      <c r="A6" s="76" t="s">
        <v>56</v>
      </c>
      <c r="B6" s="1">
        <v>1</v>
      </c>
      <c r="C6" s="145" t="s">
        <v>57</v>
      </c>
      <c r="D6" s="314" t="str">
        <f ca="1">VLOOKUP(C6,Assemblies!E:P,2,0)</f>
        <v>Main Frame 1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>B6*$L$2</f>
        <v>1</v>
      </c>
      <c r="P6" s="147">
        <f>'2'!Q8</f>
        <v>29153.309200000007</v>
      </c>
      <c r="Q6" s="103">
        <f>B6*P6</f>
        <v>29153.309200000007</v>
      </c>
    </row>
    <row r="7" spans="1:17" s="1" customFormat="1" ht="12.75" customHeight="1" x14ac:dyDescent="0.2">
      <c r="A7" s="76" t="s">
        <v>58</v>
      </c>
      <c r="B7" s="1">
        <v>1</v>
      </c>
      <c r="C7" s="145" t="s">
        <v>59</v>
      </c>
      <c r="D7" s="314" t="str">
        <f ca="1">VLOOKUP(C7,Assemblies!E:P,2,0)</f>
        <v>Main Frame 2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>B7*$L$2</f>
        <v>1</v>
      </c>
      <c r="P7" s="147">
        <f>'3'!Q9</f>
        <v>35219.716400000005</v>
      </c>
      <c r="Q7" s="103">
        <f>B7*P7</f>
        <v>35219.716400000005</v>
      </c>
    </row>
    <row r="8" spans="1:17" s="1" customFormat="1" ht="12.75" customHeight="1" x14ac:dyDescent="0.2">
      <c r="A8" s="76" t="s">
        <v>60</v>
      </c>
      <c r="B8" s="1">
        <v>1</v>
      </c>
      <c r="C8" s="145" t="s">
        <v>61</v>
      </c>
      <c r="D8" s="314" t="str">
        <f ca="1">VLOOKUP(C8,Assemblies!E:P,2,0)</f>
        <v>Main Frame 3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>B8*$L$2</f>
        <v>1</v>
      </c>
      <c r="P8" s="147">
        <f>'4'!Q14</f>
        <v>30935.902200000008</v>
      </c>
      <c r="Q8" s="103">
        <f>B8*P8</f>
        <v>30935.902200000008</v>
      </c>
    </row>
    <row r="9" spans="1:17" s="1" customFormat="1" ht="12.75" customHeight="1" x14ac:dyDescent="0.2">
      <c r="A9" s="76" t="s">
        <v>62</v>
      </c>
      <c r="B9" s="1">
        <v>1</v>
      </c>
      <c r="C9" s="145" t="s">
        <v>63</v>
      </c>
      <c r="D9" s="314" t="str">
        <f ca="1">VLOOKUP(C9,Assemblies!E:P,2,0)</f>
        <v>Cuff Insert Assy</v>
      </c>
      <c r="E9" s="315"/>
      <c r="F9" s="32"/>
      <c r="G9" s="32"/>
      <c r="H9" s="32"/>
      <c r="I9" s="32"/>
      <c r="J9" s="28"/>
      <c r="K9" s="28"/>
      <c r="L9" s="28"/>
      <c r="M9" s="28"/>
      <c r="N9" s="33"/>
      <c r="O9" s="146">
        <f>B9*$L$2</f>
        <v>1</v>
      </c>
      <c r="P9" s="147">
        <f>'5'!Q23</f>
        <v>102963.59019999999</v>
      </c>
      <c r="Q9" s="103">
        <f>B9*P9</f>
        <v>102963.59019999999</v>
      </c>
    </row>
    <row r="10" spans="1:17" s="1" customFormat="1" ht="12.75" customHeight="1" x14ac:dyDescent="0.2">
      <c r="A10" s="76" t="s">
        <v>64</v>
      </c>
      <c r="B10" s="1">
        <v>1</v>
      </c>
      <c r="C10" s="145" t="s">
        <v>65</v>
      </c>
      <c r="D10" s="314" t="str">
        <f ca="1">VLOOKUP(C10,Assemblies!E:P,2,0)</f>
        <v>Tube Insert Assy</v>
      </c>
      <c r="E10" s="315"/>
      <c r="F10" s="32"/>
      <c r="G10" s="32"/>
      <c r="H10" s="303"/>
      <c r="I10" s="303"/>
      <c r="J10" s="28"/>
      <c r="K10" s="28"/>
      <c r="L10" s="28"/>
      <c r="M10" s="28"/>
      <c r="N10" s="33"/>
      <c r="O10" s="146">
        <f>B10*$L$2</f>
        <v>1</v>
      </c>
      <c r="P10" s="147">
        <f>'6'!Q26</f>
        <v>149552.10140000001</v>
      </c>
      <c r="Q10" s="103">
        <f>B10*P10</f>
        <v>149552.10140000001</v>
      </c>
    </row>
    <row r="11" spans="1:17" s="1" customFormat="1" ht="12.75" customHeight="1" x14ac:dyDescent="0.25">
      <c r="A11" s="76" t="s">
        <v>66</v>
      </c>
      <c r="B11" s="1">
        <v>1</v>
      </c>
      <c r="C11" s="145" t="s">
        <v>67</v>
      </c>
      <c r="D11" s="314" t="str">
        <f ca="1">VLOOKUP(C11,Assemblies!E:P,2,0)</f>
        <v>ZIPPER SEAL ASSY</v>
      </c>
      <c r="E11" s="329"/>
      <c r="F11" s="32"/>
      <c r="G11" s="32"/>
      <c r="H11" s="303"/>
      <c r="I11" s="304"/>
      <c r="J11" s="28"/>
      <c r="K11" s="28"/>
      <c r="L11" s="28"/>
      <c r="M11" s="28"/>
      <c r="N11" s="33"/>
      <c r="O11" s="146">
        <f t="shared" ref="O11" si="2">B11*$L$2</f>
        <v>1</v>
      </c>
      <c r="P11" s="147">
        <f>'7'!Q14</f>
        <v>77525.891599999988</v>
      </c>
      <c r="Q11" s="103">
        <f t="shared" ref="Q11:Q12" si="3">B11*P11</f>
        <v>77525.891599999988</v>
      </c>
    </row>
    <row r="12" spans="1:17" s="1" customFormat="1" ht="12.75" customHeight="1" x14ac:dyDescent="0.25">
      <c r="A12" s="76" t="s">
        <v>68</v>
      </c>
      <c r="B12" s="1">
        <v>1</v>
      </c>
      <c r="C12" s="145" t="s">
        <v>69</v>
      </c>
      <c r="D12" s="314" t="str">
        <f ca="1">VLOOKUP(C12,Assemblies!E:P,2,0)</f>
        <v>CROSS SEAL ASSY</v>
      </c>
      <c r="E12" s="329"/>
      <c r="F12" s="32"/>
      <c r="G12" s="32"/>
      <c r="H12" s="303"/>
      <c r="I12" s="304"/>
      <c r="J12" s="28"/>
      <c r="K12" s="28"/>
      <c r="L12" s="28"/>
      <c r="M12" s="28"/>
      <c r="N12" s="33"/>
      <c r="O12" s="146">
        <f t="shared" ref="O12:O16" si="4">B12*$L$2</f>
        <v>1</v>
      </c>
      <c r="P12" s="147">
        <f>'8'!Q10</f>
        <v>26127.748600000003</v>
      </c>
      <c r="Q12" s="103">
        <f t="shared" si="3"/>
        <v>26127.748600000003</v>
      </c>
    </row>
    <row r="13" spans="1:17" s="1" customFormat="1" ht="12.75" customHeight="1" x14ac:dyDescent="0.25">
      <c r="A13" s="76" t="s">
        <v>70</v>
      </c>
      <c r="B13" s="1">
        <v>1</v>
      </c>
      <c r="C13" s="145" t="s">
        <v>71</v>
      </c>
      <c r="D13" s="314" t="str">
        <f ca="1">VLOOKUP(C13,Assemblies!E:P,2,0)</f>
        <v>FLYING KNIFE ASSY</v>
      </c>
      <c r="E13" s="329"/>
      <c r="F13" s="32"/>
      <c r="G13" s="32"/>
      <c r="H13" s="303"/>
      <c r="I13" s="304"/>
      <c r="J13" s="28"/>
      <c r="K13" s="28"/>
      <c r="L13" s="28"/>
      <c r="M13" s="28"/>
      <c r="N13" s="33"/>
      <c r="O13" s="146">
        <f t="shared" si="4"/>
        <v>1</v>
      </c>
      <c r="P13" s="147">
        <f>'9'!Q10</f>
        <v>14460.303100000001</v>
      </c>
      <c r="Q13" s="103">
        <f>B13*P13</f>
        <v>14460.303100000001</v>
      </c>
    </row>
    <row r="14" spans="1:17" s="1" customFormat="1" ht="12.75" customHeight="1" x14ac:dyDescent="0.25">
      <c r="A14" s="76" t="s">
        <v>72</v>
      </c>
      <c r="B14" s="1">
        <v>1</v>
      </c>
      <c r="C14" s="145" t="s">
        <v>73</v>
      </c>
      <c r="D14" s="314" t="str">
        <f ca="1">VLOOKUP(C14,Assemblies!E:P,2,0)</f>
        <v>Delivery Assy</v>
      </c>
      <c r="E14" s="329"/>
      <c r="F14" s="32"/>
      <c r="G14" s="32"/>
      <c r="H14" s="303"/>
      <c r="I14" s="304"/>
      <c r="J14" s="28"/>
      <c r="K14" s="28"/>
      <c r="L14" s="28"/>
      <c r="M14" s="28"/>
      <c r="N14" s="33"/>
      <c r="O14" s="146">
        <f t="shared" si="4"/>
        <v>1</v>
      </c>
      <c r="P14" s="147">
        <f>'10'!Q9</f>
        <v>42970.97396000001</v>
      </c>
      <c r="Q14" s="103">
        <f t="shared" si="1"/>
        <v>42970.97396000001</v>
      </c>
    </row>
    <row r="15" spans="1:17" s="1" customFormat="1" ht="12.75" customHeight="1" x14ac:dyDescent="0.25">
      <c r="A15" s="76" t="s">
        <v>74</v>
      </c>
      <c r="B15" s="1">
        <v>1</v>
      </c>
      <c r="C15" s="145" t="s">
        <v>75</v>
      </c>
      <c r="D15" s="314" t="str">
        <f ca="1">VLOOKUP(C15,Assemblies!E:P,2,0)</f>
        <v>Air Prep Assy</v>
      </c>
      <c r="E15" s="329"/>
      <c r="F15" s="32"/>
      <c r="G15" s="32"/>
      <c r="H15" s="303"/>
      <c r="I15" s="304"/>
      <c r="J15" s="28"/>
      <c r="K15" s="28"/>
      <c r="L15" s="28"/>
      <c r="M15" s="28"/>
      <c r="N15" s="33"/>
      <c r="O15" s="146">
        <f t="shared" ref="O15" si="5">B15*$L$2</f>
        <v>1</v>
      </c>
      <c r="P15" s="147">
        <f>'11'!Q20</f>
        <v>2799.1649000000002</v>
      </c>
      <c r="Q15" s="103">
        <f t="shared" ref="Q15" si="6">B15*P15</f>
        <v>2799.1649000000002</v>
      </c>
    </row>
    <row r="16" spans="1:17" s="1" customFormat="1" ht="12.75" customHeight="1" x14ac:dyDescent="0.25">
      <c r="A16" s="76" t="s">
        <v>76</v>
      </c>
      <c r="B16" s="1">
        <v>1</v>
      </c>
      <c r="C16" s="145" t="s">
        <v>79</v>
      </c>
      <c r="D16" s="314" t="str">
        <f ca="1">VLOOKUP(C16,Assemblies!E:P,2,0)</f>
        <v>Plinth and Wireway Assy</v>
      </c>
      <c r="E16" s="329"/>
      <c r="F16" s="32"/>
      <c r="G16" s="32"/>
      <c r="H16" s="32"/>
      <c r="I16" s="276"/>
      <c r="J16" s="28"/>
      <c r="K16" s="28"/>
      <c r="L16" s="28"/>
      <c r="M16" s="28"/>
      <c r="N16" s="33"/>
      <c r="O16" s="146">
        <f t="shared" si="4"/>
        <v>1</v>
      </c>
      <c r="P16" s="147">
        <f>'12'!Q52</f>
        <v>2675.5748999999992</v>
      </c>
      <c r="Q16" s="103">
        <f t="shared" ref="Q16" si="7">B16*P16</f>
        <v>2675.5748999999992</v>
      </c>
    </row>
    <row r="17" spans="1:17" s="2" customFormat="1" ht="12.75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0" customFormat="1" ht="12.75" customHeight="1" x14ac:dyDescent="0.25">
      <c r="A18" s="273">
        <v>1</v>
      </c>
      <c r="C18" s="121"/>
      <c r="D18" s="314" t="e">
        <f>VLOOKUP(C18,Machined!C:X,2,0)</f>
        <v>#N/A</v>
      </c>
      <c r="E18" s="329"/>
      <c r="F18" s="107" t="e">
        <f>VLOOKUP($C18,Machined!C:Z,13,0)</f>
        <v>#N/A</v>
      </c>
      <c r="G18" s="44" t="e">
        <f>IF(VLOOKUP($C18,Machined!C:Z,16,0) = 0, " ", VLOOKUP($C18,Machined!C:Z,16,0))</f>
        <v>#N/A</v>
      </c>
      <c r="H18" s="320" t="e">
        <f>IF(VLOOKUP($C18,Machined!C:Z,17,0) = 0, " ", VLOOKUP($C18,Machined!C:Z,17,0))</f>
        <v>#N/A</v>
      </c>
      <c r="I18" s="321" t="e">
        <f>IF(VLOOKUP($C18,Machined!$C:$Y,13,0) = 0, " ", VLOOKUP($C18,Machined!$C:$Y,13,0))</f>
        <v>#N/A</v>
      </c>
      <c r="J18" s="44" t="e">
        <f>IF(VLOOKUP($C18,Machined!C:Z,18,0) = 0, " ", VLOOKUP($C18,Machined!C:Z,18,0))</f>
        <v>#N/A</v>
      </c>
      <c r="K18" s="44" t="e">
        <f>IF(VLOOKUP($C18,Machined!C:Z,19,0) = 0, " ", VLOOKUP($C18,Machined!C:Z,19,0))</f>
        <v>#N/A</v>
      </c>
      <c r="L18" s="44" t="e">
        <f>IF(VLOOKUP($C18,Machined!C:Z,20,0) = 0, " ", VLOOKUP($C18,Machined!C:Z,20,0))</f>
        <v>#N/A</v>
      </c>
      <c r="M18" s="44" t="e">
        <f>IF(VLOOKUP($C18,Machined!C:Z,21,0) = 0, " ", VLOOKUP($C18,Machined!C:Z,21,0))</f>
        <v>#N/A</v>
      </c>
      <c r="N18" s="129" t="e">
        <f>IF(VLOOKUP($C18,Machined!C:Z,22,0) = 0, " ", VLOOKUP($C18,Machined!C:Z,22,0))</f>
        <v>#N/A</v>
      </c>
      <c r="O18" s="45">
        <f>B18*$L$2</f>
        <v>0</v>
      </c>
      <c r="P18" s="49" t="e">
        <f>VLOOKUP(C18,Machined!C:F,3,0)</f>
        <v>#N/A</v>
      </c>
      <c r="Q18" s="50" t="e">
        <f>B18*P18</f>
        <v>#N/A</v>
      </c>
    </row>
    <row r="19" spans="1:17" s="20" customFormat="1" ht="12.75" customHeight="1" x14ac:dyDescent="0.25">
      <c r="A19" s="273">
        <v>2</v>
      </c>
      <c r="C19" s="121"/>
      <c r="D19" s="314" t="e">
        <f>VLOOKUP(C19,Machined!C:X,2,0)</f>
        <v>#N/A</v>
      </c>
      <c r="E19" s="329"/>
      <c r="F19" s="107" t="e">
        <f>VLOOKUP($C19,Machined!C:Z,13,0)</f>
        <v>#N/A</v>
      </c>
      <c r="G19" s="44" t="e">
        <f>IF(VLOOKUP($C19,Machined!C:Z,16,0) = 0, " ", VLOOKUP($C19,Machined!C:Z,16,0))</f>
        <v>#N/A</v>
      </c>
      <c r="H19" s="320" t="e">
        <f>IF(VLOOKUP($C19,Machined!C:Z,17,0) = 0, " ", VLOOKUP($C19,Machined!C:Z,17,0))</f>
        <v>#N/A</v>
      </c>
      <c r="I19" s="321" t="e">
        <f>IF(VLOOKUP($C19,Machined!$C:$Y,13,0) = 0, " ", VLOOKUP($C19,Machined!$C:$Y,13,0))</f>
        <v>#N/A</v>
      </c>
      <c r="J19" s="44" t="e">
        <f>IF(VLOOKUP($C19,Machined!C:Z,18,0) = 0, " ", VLOOKUP($C19,Machined!C:Z,18,0))</f>
        <v>#N/A</v>
      </c>
      <c r="K19" s="44" t="e">
        <f>IF(VLOOKUP($C19,Machined!C:Z,19,0) = 0, " ", VLOOKUP($C19,Machined!C:Z,19,0))</f>
        <v>#N/A</v>
      </c>
      <c r="L19" s="44" t="e">
        <f>IF(VLOOKUP($C19,Machined!C:Z,20,0) = 0, " ", VLOOKUP($C19,Machined!C:Z,20,0))</f>
        <v>#N/A</v>
      </c>
      <c r="M19" s="44" t="e">
        <f>IF(VLOOKUP($C19,Machined!C:Z,21,0) = 0, " ", VLOOKUP($C19,Machined!C:Z,21,0))</f>
        <v>#N/A</v>
      </c>
      <c r="N19" s="129" t="e">
        <f>IF(VLOOKUP($C19,Machined!C:Z,22,0) = 0, " ", VLOOKUP($C19,Machined!C:Z,22,0))</f>
        <v>#N/A</v>
      </c>
      <c r="O19" s="45">
        <f>B19*$L$2</f>
        <v>0</v>
      </c>
      <c r="P19" s="49" t="e">
        <f>VLOOKUP(C19,Machined!C:F,3,0)</f>
        <v>#N/A</v>
      </c>
      <c r="Q19" s="50" t="e">
        <f>B19*P19</f>
        <v>#N/A</v>
      </c>
    </row>
    <row r="20" spans="1:17" s="20" customFormat="1" ht="12.75" customHeight="1" x14ac:dyDescent="0.25">
      <c r="A20" s="273">
        <v>3</v>
      </c>
      <c r="C20" s="121"/>
      <c r="D20" s="314" t="e">
        <f>VLOOKUP(C20,Machined!C:X,2,0)</f>
        <v>#N/A</v>
      </c>
      <c r="E20" s="329"/>
      <c r="F20" s="107" t="e">
        <f>VLOOKUP($C20,Machined!C:Z,13,0)</f>
        <v>#N/A</v>
      </c>
      <c r="G20" s="44" t="e">
        <f>IF(VLOOKUP($C20,Machined!C:Z,16,0) = 0, " ", VLOOKUP($C20,Machined!C:Z,16,0))</f>
        <v>#N/A</v>
      </c>
      <c r="H20" s="320" t="e">
        <f>IF(VLOOKUP($C20,Machined!C:Z,17,0) = 0, " ", VLOOKUP($C20,Machined!C:Z,17,0))</f>
        <v>#N/A</v>
      </c>
      <c r="I20" s="321" t="e">
        <f>IF(VLOOKUP($C20,Machined!$C:$Y,13,0) = 0, " ", VLOOKUP($C20,Machined!$C:$Y,13,0))</f>
        <v>#N/A</v>
      </c>
      <c r="J20" s="44" t="e">
        <f>IF(VLOOKUP($C20,Machined!C:Z,18,0) = 0, " ", VLOOKUP($C20,Machined!C:Z,18,0))</f>
        <v>#N/A</v>
      </c>
      <c r="K20" s="44" t="e">
        <f>IF(VLOOKUP($C20,Machined!C:Z,19,0) = 0, " ", VLOOKUP($C20,Machined!C:Z,19,0))</f>
        <v>#N/A</v>
      </c>
      <c r="L20" s="44" t="e">
        <f>IF(VLOOKUP($C20,Machined!C:Z,20,0) = 0, " ", VLOOKUP($C20,Machined!C:Z,20,0))</f>
        <v>#N/A</v>
      </c>
      <c r="M20" s="44" t="e">
        <f>IF(VLOOKUP($C20,Machined!C:Z,21,0) = 0, " ", VLOOKUP($C20,Machined!C:Z,21,0))</f>
        <v>#N/A</v>
      </c>
      <c r="N20" s="129" t="e">
        <f>IF(VLOOKUP($C20,Machined!C:Z,22,0) = 0, " ", VLOOKUP($C20,Machined!C:Z,22,0))</f>
        <v>#N/A</v>
      </c>
      <c r="O20" s="45">
        <f>B20*$L$2</f>
        <v>0</v>
      </c>
      <c r="P20" s="49" t="e">
        <f>VLOOKUP(C20,Machined!C:F,3,0)</f>
        <v>#N/A</v>
      </c>
      <c r="Q20" s="50" t="e">
        <f>B20*P20</f>
        <v>#N/A</v>
      </c>
    </row>
    <row r="21" spans="1:17" s="2" customFormat="1" ht="12.75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.75" customHeight="1" x14ac:dyDescent="0.25">
      <c r="A22" s="4">
        <v>301</v>
      </c>
      <c r="C22" s="135"/>
      <c r="D22" s="325" t="e">
        <f>VLOOKUP(C22,Purchased!A:B,2,0)</f>
        <v>#N/A</v>
      </c>
      <c r="E22" s="326"/>
      <c r="F22" s="108" t="e">
        <f>IF(VLOOKUP($C22,Purchased!A:Z,11,0) = 0, " ", VLOOKUP($C22,Purchased!A:Z,11,0))</f>
        <v>#N/A</v>
      </c>
      <c r="G22" s="108" t="e">
        <f>IF(VLOOKUP($C22,Purchased!A:Z,12,0)=0, " ", VLOOKUP($C22,Purchased!A:Z,12,0))</f>
        <v>#N/A</v>
      </c>
      <c r="H22" s="327" t="e">
        <f>IF(VLOOKUP($C22,Purchased!A:Z,13,0)=0, " ", VLOOKUP($C22,Purchased!A:Z,13,0))</f>
        <v>#N/A</v>
      </c>
      <c r="I22" s="328"/>
      <c r="J22" s="46" t="e">
        <f>IF(VLOOKUP($C22,Purchased!A:Z,14,0)=0, " ", VLOOKUP($C22,Purchased!A:Z,14,0))</f>
        <v>#N/A</v>
      </c>
      <c r="K22" s="46" t="e">
        <f>IF(VLOOKUP(C22,Purchased!A:R,14,0)=0, " ", VLOOKUP(C22,Purchased!A:R,14,0))</f>
        <v>#N/A</v>
      </c>
      <c r="L22" s="46" t="e">
        <f>IF(VLOOKUP(C22,Purchased!A:R,15,0)=0, " ", VLOOKUP(C22,Purchased!A:R,15,0))</f>
        <v>#N/A</v>
      </c>
      <c r="M22" s="46" t="e">
        <f>IF(VLOOKUP(C22,Purchased!A:R,16,0)=0, " ",VLOOKUP(C22,Purchased!A:R,16,0))</f>
        <v>#N/A</v>
      </c>
      <c r="N22" s="130" t="e">
        <f>IF(VLOOKUP(C22,Purchased!A:R,17,0)=0, " ", VLOOKUP(C22,Purchased!A:R,17,0))</f>
        <v>#N/A</v>
      </c>
      <c r="O22" s="47">
        <f t="shared" ref="O22" si="8">B22*$L$2</f>
        <v>0</v>
      </c>
      <c r="P22" s="51" t="e">
        <f>VLOOKUP(C22,Purchased!A:D,3,FALSE)</f>
        <v>#N/A</v>
      </c>
      <c r="Q22" s="52" t="e">
        <f t="shared" ref="Q22" si="9">B22*P22</f>
        <v>#N/A</v>
      </c>
    </row>
    <row r="23" spans="1:17" s="2" customFormat="1" ht="12.75" customHeight="1" x14ac:dyDescent="0.25">
      <c r="A23" s="4">
        <v>302</v>
      </c>
      <c r="C23" s="135"/>
      <c r="D23" s="325" t="e">
        <f>VLOOKUP(C23,Purchased!A:B,2,0)</f>
        <v>#N/A</v>
      </c>
      <c r="E23" s="326"/>
      <c r="F23" s="108" t="e">
        <f>IF(VLOOKUP($C23,Purchased!A:Z,11,0) = 0, " ", VLOOKUP($C23,Purchased!A:Z,11,0))</f>
        <v>#N/A</v>
      </c>
      <c r="G23" s="108" t="e">
        <f>IF(VLOOKUP($C23,Purchased!A:Z,12,0)=0, " ", VLOOKUP($C23,Purchased!A:Z,12,0))</f>
        <v>#N/A</v>
      </c>
      <c r="H23" s="327" t="e">
        <f>IF(VLOOKUP($C23,Purchased!A:Z,13,0)=0, " ", VLOOKUP($C23,Purchased!A:Z,13,0))</f>
        <v>#N/A</v>
      </c>
      <c r="I23" s="328"/>
      <c r="J23" s="46" t="e">
        <f>IF(VLOOKUP($C23,Purchased!A:Z,14,0)=0, " ", VLOOKUP($C23,Purchased!A:Z,14,0))</f>
        <v>#N/A</v>
      </c>
      <c r="K23" s="46" t="e">
        <f>IF(VLOOKUP(C23,Purchased!A:R,14,0)=0, " ", VLOOKUP(C23,Purchased!A:R,14,0))</f>
        <v>#N/A</v>
      </c>
      <c r="L23" s="46" t="e">
        <f>IF(VLOOKUP(C23,Purchased!A:R,15,0)=0, " ", VLOOKUP(C23,Purchased!A:R,15,0))</f>
        <v>#N/A</v>
      </c>
      <c r="M23" s="46" t="e">
        <f>IF(VLOOKUP(C23,Purchased!A:R,16,0)=0, " ",VLOOKUP(C23,Purchased!A:R,16,0))</f>
        <v>#N/A</v>
      </c>
      <c r="N23" s="130" t="e">
        <f>IF(VLOOKUP(C23,Purchased!A:R,17,0)=0, " ", VLOOKUP(C23,Purchased!A:R,17,0))</f>
        <v>#N/A</v>
      </c>
      <c r="O23" s="47">
        <f t="shared" ref="O23:O24" si="10">B23*$L$2</f>
        <v>0</v>
      </c>
      <c r="P23" s="51" t="e">
        <f>VLOOKUP(C23,Purchased!A:D,3,FALSE)</f>
        <v>#N/A</v>
      </c>
      <c r="Q23" s="52" t="e">
        <f t="shared" ref="Q23:Q24" si="11">B23*P23</f>
        <v>#N/A</v>
      </c>
    </row>
    <row r="24" spans="1:17" s="2" customFormat="1" ht="12.75" customHeight="1" x14ac:dyDescent="0.25">
      <c r="A24" s="4">
        <v>303</v>
      </c>
      <c r="C24" s="135"/>
      <c r="D24" s="325" t="e">
        <f>VLOOKUP(C24,Purchased!A:B,2,0)</f>
        <v>#N/A</v>
      </c>
      <c r="E24" s="326"/>
      <c r="F24" s="108" t="e">
        <f>IF(VLOOKUP($C24,Purchased!A:Z,11,0) = 0, " ", VLOOKUP($C24,Purchased!A:Z,11,0))</f>
        <v>#N/A</v>
      </c>
      <c r="G24" s="108" t="e">
        <f>IF(VLOOKUP($C24,Purchased!A:Z,12,0)=0, " ", VLOOKUP($C24,Purchased!A:Z,12,0))</f>
        <v>#N/A</v>
      </c>
      <c r="H24" s="327" t="e">
        <f>IF(VLOOKUP($C24,Purchased!A:Z,13,0)=0, " ", VLOOKUP($C24,Purchased!A:Z,13,0))</f>
        <v>#N/A</v>
      </c>
      <c r="I24" s="328"/>
      <c r="J24" s="46" t="e">
        <f>IF(VLOOKUP($C24,Purchased!A:Z,14,0)=0, " ", VLOOKUP($C24,Purchased!A:Z,14,0))</f>
        <v>#N/A</v>
      </c>
      <c r="K24" s="46" t="e">
        <f>IF(VLOOKUP(C24,Purchased!A:R,14,0)=0, " ", VLOOKUP(C24,Purchased!A:R,14,0))</f>
        <v>#N/A</v>
      </c>
      <c r="L24" s="46" t="e">
        <f>IF(VLOOKUP(C24,Purchased!A:R,15,0)=0, " ", VLOOKUP(C24,Purchased!A:R,15,0))</f>
        <v>#N/A</v>
      </c>
      <c r="M24" s="46" t="e">
        <f>IF(VLOOKUP(C24,Purchased!A:R,16,0)=0, " ",VLOOKUP(C24,Purchased!A:R,16,0))</f>
        <v>#N/A</v>
      </c>
      <c r="N24" s="130" t="e">
        <f>IF(VLOOKUP(C24,Purchased!A:R,17,0)=0, " ", VLOOKUP(C24,Purchased!A:R,17,0))</f>
        <v>#N/A</v>
      </c>
      <c r="O24" s="47">
        <f t="shared" si="10"/>
        <v>0</v>
      </c>
      <c r="P24" s="51" t="e">
        <f>VLOOKUP(C24,Purchased!A:D,3,FALSE)</f>
        <v>#N/A</v>
      </c>
      <c r="Q24" s="52" t="e">
        <f t="shared" si="11"/>
        <v>#N/A</v>
      </c>
    </row>
    <row r="25" spans="1:17" s="2" customFormat="1" ht="12.75" customHeight="1" x14ac:dyDescent="0.25">
      <c r="A25" s="25"/>
      <c r="B25" s="26"/>
      <c r="C25" s="26"/>
      <c r="D25" s="332"/>
      <c r="E25" s="333"/>
      <c r="F25" s="26"/>
      <c r="G25" s="26"/>
      <c r="H25" s="322"/>
      <c r="I25" s="323"/>
      <c r="J25" s="27"/>
      <c r="K25" s="27"/>
      <c r="L25" s="27"/>
      <c r="M25" s="28"/>
      <c r="N25" s="29"/>
      <c r="O25" s="29"/>
      <c r="P25" s="148"/>
      <c r="Q25" s="149"/>
    </row>
    <row r="26" spans="1:17" s="2" customFormat="1" ht="12.75" customHeight="1" x14ac:dyDescent="0.25">
      <c r="A26" s="4">
        <v>501</v>
      </c>
      <c r="C26" s="122"/>
      <c r="D26" s="325"/>
      <c r="E26" s="326"/>
      <c r="F26" s="108" t="e">
        <f>VLOOKUP(C26,Bolts!A:L,5,0)</f>
        <v>#N/A</v>
      </c>
      <c r="G26" s="108" t="e">
        <f>VLOOKUP(C26,Bolts!A:L,6,0)</f>
        <v>#N/A</v>
      </c>
      <c r="H26" s="108" t="e">
        <f>VLOOKUP(C26,Bolts!A:L,7,0)</f>
        <v>#N/A</v>
      </c>
      <c r="I26" s="109"/>
      <c r="J26" s="46" t="e">
        <f>VLOOKUP(C26,Bolts!A:L,8,0)</f>
        <v>#N/A</v>
      </c>
      <c r="K26" s="46" t="e">
        <f>VLOOKUP(C26,Bolts!A:L,9,0)</f>
        <v>#N/A</v>
      </c>
      <c r="L26" s="46" t="e">
        <f>VLOOKUP(C26,Bolts!A:L,10,0)</f>
        <v>#N/A</v>
      </c>
      <c r="M26" s="46" t="e">
        <f>VLOOKUP(C26,Bolts!A:L,11,0)</f>
        <v>#N/A</v>
      </c>
      <c r="N26" s="130" t="e">
        <f>VLOOKUP(C26,Bolts!A:L,12,0)</f>
        <v>#N/A</v>
      </c>
      <c r="O26" s="47">
        <f>B26*$L$2</f>
        <v>0</v>
      </c>
      <c r="P26" s="51" t="e">
        <f>VLOOKUP(C26,Bolts!A:B,2,FALSE)</f>
        <v>#N/A</v>
      </c>
      <c r="Q26" s="52" t="e">
        <f>B26*P26</f>
        <v>#N/A</v>
      </c>
    </row>
    <row r="27" spans="1:17" s="2" customFormat="1" ht="12.75" customHeight="1" x14ac:dyDescent="0.25">
      <c r="A27" s="25"/>
      <c r="B27" s="26"/>
      <c r="C27" s="26"/>
      <c r="D27" s="332"/>
      <c r="E27" s="333"/>
      <c r="F27" s="26"/>
      <c r="G27" s="26"/>
      <c r="H27" s="322"/>
      <c r="I27" s="323"/>
      <c r="J27" s="27"/>
      <c r="K27" s="27"/>
      <c r="L27" s="27"/>
      <c r="M27" s="28"/>
      <c r="N27" s="29"/>
      <c r="O27" s="29"/>
      <c r="P27" s="148"/>
      <c r="Q27" s="149"/>
    </row>
    <row r="28" spans="1:17" s="2" customFormat="1" ht="12.75" customHeight="1" thickBot="1" x14ac:dyDescent="0.3">
      <c r="A28" s="4">
        <v>701</v>
      </c>
      <c r="C28" s="123"/>
      <c r="D28" s="325" t="e">
        <f>VLOOKUP(C28,Extrusion!B:C,2,0)</f>
        <v>#N/A</v>
      </c>
      <c r="E28" s="326"/>
      <c r="F28" s="108" t="e">
        <f>VLOOKUP(C28,Extrusion!B:N,5,0)</f>
        <v>#N/A</v>
      </c>
      <c r="G28" s="108" t="e">
        <f>VLOOKUP(C28,Extrusion!B:N,6,0)</f>
        <v>#N/A</v>
      </c>
      <c r="H28" s="108" t="e">
        <f>VLOOKUP(C28,Extrusion!B:N,7,0)</f>
        <v>#N/A</v>
      </c>
      <c r="I28" s="109"/>
      <c r="J28" s="46" t="e">
        <f>VLOOKUP(C28,Extrusion!B:N,8,0)</f>
        <v>#N/A</v>
      </c>
      <c r="K28" s="46" t="e">
        <f>VLOOKUP(C28,Extrusion!B:N,9,0)</f>
        <v>#N/A</v>
      </c>
      <c r="L28" s="46" t="e">
        <f>VLOOKUP(C28,Extrusion!B:N,10,0)</f>
        <v>#N/A</v>
      </c>
      <c r="M28" s="46" t="e">
        <f>VLOOKUP(C28,Extrusion!B:N,11,0)</f>
        <v>#N/A</v>
      </c>
      <c r="N28" s="47" t="e">
        <f>VLOOKUP(C28,Extrusion!B:O,12,0)</f>
        <v>#N/A</v>
      </c>
      <c r="O28" s="47">
        <f t="shared" ref="O28" si="12">B28*$L$2</f>
        <v>0</v>
      </c>
      <c r="P28" s="51" t="e">
        <f>VLOOKUP(C28,Extrusion!B:G,4,0)</f>
        <v>#N/A</v>
      </c>
      <c r="Q28" s="52" t="e">
        <f>B28*P28</f>
        <v>#N/A</v>
      </c>
    </row>
    <row r="29" spans="1:17" s="2" customFormat="1" ht="12" customHeight="1" thickBot="1" x14ac:dyDescent="0.3">
      <c r="A29" s="34"/>
      <c r="B29" s="35"/>
      <c r="C29" s="35"/>
      <c r="D29" s="316"/>
      <c r="E29" s="317"/>
      <c r="F29" s="35"/>
      <c r="G29" s="35"/>
      <c r="H29" s="309"/>
      <c r="I29" s="310"/>
      <c r="J29" s="36"/>
      <c r="K29" s="36"/>
      <c r="L29" s="36"/>
      <c r="M29" s="37"/>
      <c r="N29" s="38"/>
      <c r="O29" s="38"/>
      <c r="P29" s="99" t="s">
        <v>43</v>
      </c>
      <c r="Q29" s="104" t="e">
        <f>SUM(Q5:Q16)</f>
        <v>#N/A</v>
      </c>
    </row>
  </sheetData>
  <sheetProtection selectLockedCells="1"/>
  <mergeCells count="49">
    <mergeCell ref="H15:I15"/>
    <mergeCell ref="H11:I11"/>
    <mergeCell ref="D27:E27"/>
    <mergeCell ref="H27:I27"/>
    <mergeCell ref="D22:E22"/>
    <mergeCell ref="H22:I22"/>
    <mergeCell ref="D24:E24"/>
    <mergeCell ref="H20:I20"/>
    <mergeCell ref="D21:E21"/>
    <mergeCell ref="H21:I21"/>
    <mergeCell ref="D25:E25"/>
    <mergeCell ref="H25:I25"/>
    <mergeCell ref="H12:I12"/>
    <mergeCell ref="D13:E13"/>
    <mergeCell ref="H13:I13"/>
    <mergeCell ref="D15:E15"/>
    <mergeCell ref="D1:E1"/>
    <mergeCell ref="D17:E17"/>
    <mergeCell ref="D4:E4"/>
    <mergeCell ref="D5:E5"/>
    <mergeCell ref="D14:E14"/>
    <mergeCell ref="D11:E11"/>
    <mergeCell ref="D6:E6"/>
    <mergeCell ref="D12:E12"/>
    <mergeCell ref="D9:E9"/>
    <mergeCell ref="D16:E16"/>
    <mergeCell ref="D29:E29"/>
    <mergeCell ref="H29:I29"/>
    <mergeCell ref="H4:I4"/>
    <mergeCell ref="H18:I18"/>
    <mergeCell ref="H17:I17"/>
    <mergeCell ref="H5:I5"/>
    <mergeCell ref="H14:I14"/>
    <mergeCell ref="D28:E28"/>
    <mergeCell ref="D23:E23"/>
    <mergeCell ref="H23:I23"/>
    <mergeCell ref="H24:I24"/>
    <mergeCell ref="D26:E26"/>
    <mergeCell ref="D18:E18"/>
    <mergeCell ref="D19:E19"/>
    <mergeCell ref="D20:E20"/>
    <mergeCell ref="H19:I19"/>
    <mergeCell ref="H6:I6"/>
    <mergeCell ref="D10:E10"/>
    <mergeCell ref="H10:I10"/>
    <mergeCell ref="D7:E7"/>
    <mergeCell ref="H7:I7"/>
    <mergeCell ref="D8:E8"/>
    <mergeCell ref="H8:I8"/>
  </mergeCells>
  <conditionalFormatting sqref="M17 M25:M28 M21">
    <cfRule type="cellIs" dxfId="2256" priority="7" stopIfTrue="1" operator="lessThanOrEqual">
      <formula>$L17</formula>
    </cfRule>
    <cfRule type="cellIs" dxfId="2255" priority="8" operator="greaterThan">
      <formula>L17</formula>
    </cfRule>
  </conditionalFormatting>
  <conditionalFormatting sqref="M22">
    <cfRule type="cellIs" dxfId="2254" priority="5" stopIfTrue="1" operator="lessThanOrEqual">
      <formula>$L22</formula>
    </cfRule>
    <cfRule type="cellIs" dxfId="2253" priority="6" operator="greaterThan">
      <formula>L22</formula>
    </cfRule>
  </conditionalFormatting>
  <conditionalFormatting sqref="M23">
    <cfRule type="cellIs" dxfId="2252" priority="3" stopIfTrue="1" operator="lessThanOrEqual">
      <formula>$L23</formula>
    </cfRule>
    <cfRule type="cellIs" dxfId="2251" priority="4" operator="greaterThan">
      <formula>L23</formula>
    </cfRule>
  </conditionalFormatting>
  <conditionalFormatting sqref="M24">
    <cfRule type="cellIs" dxfId="2250" priority="1" stopIfTrue="1" operator="lessThanOrEqual">
      <formula>$L24</formula>
    </cfRule>
    <cfRule type="cellIs" dxfId="2249" priority="2" operator="greaterThan">
      <formula>L24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61938B9-ED4F-4A07-AEC4-157961074832}">
          <x14:formula1>
            <xm:f>Extrusion!$B:$B</xm:f>
          </x14:formula1>
          <xm:sqref>C28</xm:sqref>
        </x14:dataValidation>
        <x14:dataValidation type="list" allowBlank="1" showInputMessage="1" showErrorMessage="1" xr:uid="{4A8564C3-9968-4EFD-AD9C-544FC01B3454}">
          <x14:formula1>
            <xm:f>Bolts!$A:$A</xm:f>
          </x14:formula1>
          <xm:sqref>C26</xm:sqref>
        </x14:dataValidation>
        <x14:dataValidation type="list" allowBlank="1" showInputMessage="1" showErrorMessage="1" xr:uid="{B786FEDC-EB46-421E-9E5E-1AFAA5E8DA9B}">
          <x14:formula1>
            <xm:f>Assemblies!$E:$E</xm:f>
          </x14:formula1>
          <xm:sqref>C5:C16</xm:sqref>
        </x14:dataValidation>
        <x14:dataValidation type="list" allowBlank="1" showInputMessage="1" showErrorMessage="1" xr:uid="{74B3C63B-4954-4F51-9F55-1EA48BE7BE4D}">
          <x14:formula1>
            <xm:f>Machined!$C:$C</xm:f>
          </x14:formula1>
          <xm:sqref>C18:C20</xm:sqref>
        </x14:dataValidation>
        <x14:dataValidation type="list" allowBlank="1" showInputMessage="1" showErrorMessage="1" xr:uid="{0B229AD7-171F-40CB-B640-E73BD690F8F4}">
          <x14:formula1>
            <xm:f>Purchased!$A:$A</xm:f>
          </x14:formula1>
          <xm:sqref>C22:C24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80517-0EBB-4F38-A203-676F88BF4498}">
  <sheetPr codeName="Sheet3">
    <tabColor theme="0" tint="-0.249977111117893"/>
  </sheetPr>
  <dimension ref="A1:Q16"/>
  <sheetViews>
    <sheetView zoomScale="112" zoomScaleNormal="115" workbookViewId="0">
      <selection activeCell="F20" sqref="F2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'12'!C5</f>
        <v>PG10.0.1.0.A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'12'!D5</f>
        <v>Main Enclosure</v>
      </c>
      <c r="D3" s="85" t="s">
        <v>50</v>
      </c>
      <c r="E3" s="86" t="str">
        <f ca="1">MID(CELL("filename",A1),FIND("]",CELL("filename",A1))+1,256)</f>
        <v>0.1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1</v>
      </c>
      <c r="C5" s="135" t="s">
        <v>80</v>
      </c>
      <c r="D5" s="325" t="str">
        <f>VLOOKUP(C5,Purchased!A:B,2,0)</f>
        <v>2DR Enc. Both sides Solid w/ Disc., 68.00H x 77.75W x 24.00D</v>
      </c>
      <c r="E5" s="326"/>
      <c r="F5" s="108" t="str">
        <f>IF(VLOOKUP($C5,Purchased!A:Z,11,0) = 0, " ", VLOOKUP($C5,Purchased!A:Z,11,0))</f>
        <v>Saginaw</v>
      </c>
      <c r="G5" s="108" t="str">
        <f>IF(VLOOKUP($C5,Purchased!A:Z,12,0)=0, " ", VLOOKUP($C5,Purchased!A:Z,12,0))</f>
        <v>Saginaw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45426</v>
      </c>
      <c r="K5" s="46">
        <f>IF(VLOOKUP(C5,Purchased!A:R,14,0)=0, " ", VLOOKUP(C5,Purchased!A:R,14,0))</f>
        <v>45426</v>
      </c>
      <c r="L5" s="46">
        <f>IF(VLOOKUP(C5,Purchased!A:R,15,0)=0, " ", VLOOKUP(C5,Purchased!A:R,15,0))</f>
        <v>45426</v>
      </c>
      <c r="M5" s="46">
        <f>IF(VLOOKUP(C5,Purchased!A:R,16,0)=0, " ",VLOOKUP(C5,Purchased!A:R,16,0))</f>
        <v>45485</v>
      </c>
      <c r="N5" s="130">
        <f>IF(VLOOKUP(C5,Purchased!A:R,17,0)=0, " ", VLOOKUP(C5,Purchased!A:R,17,0))</f>
        <v>45455</v>
      </c>
      <c r="O5" s="47">
        <f t="shared" ref="O5:O11" ca="1" si="0">B5*$L$2</f>
        <v>1</v>
      </c>
      <c r="P5" s="51">
        <f>VLOOKUP(C5,Purchased!A:D,3,FALSE)</f>
        <v>2566.59</v>
      </c>
      <c r="Q5" s="52">
        <f t="shared" ref="Q5:Q11" si="1">B5*P5</f>
        <v>2566.59</v>
      </c>
    </row>
    <row r="6" spans="1:17" s="2" customFormat="1" ht="12.75" customHeight="1" x14ac:dyDescent="0.25">
      <c r="A6" s="4">
        <v>302</v>
      </c>
      <c r="B6" s="2">
        <v>1</v>
      </c>
      <c r="C6" s="135" t="s">
        <v>81</v>
      </c>
      <c r="D6" s="325" t="str">
        <f>VLOOKUP(C6,Purchased!A:B,2,0)</f>
        <v>Subpanel, Bent Galvanized, 60.00H x 70.75W x 0.88D</v>
      </c>
      <c r="E6" s="326"/>
      <c r="F6" s="108" t="str">
        <f>IF(VLOOKUP($C6,Purchased!A:Z,11,0) = 0, " ", VLOOKUP($C6,Purchased!A:Z,11,0))</f>
        <v>Saginaw</v>
      </c>
      <c r="G6" s="108" t="str">
        <f>IF(VLOOKUP($C6,Purchased!A:Z,12,0)=0, " ", VLOOKUP($C6,Purchased!A:Z,12,0))</f>
        <v>Saginaw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45426</v>
      </c>
      <c r="K6" s="46">
        <f>IF(VLOOKUP(C6,Purchased!A:R,14,0)=0, " ", VLOOKUP(C6,Purchased!A:R,14,0))</f>
        <v>45426</v>
      </c>
      <c r="L6" s="46">
        <f>IF(VLOOKUP(C6,Purchased!A:R,15,0)=0, " ", VLOOKUP(C6,Purchased!A:R,15,0))</f>
        <v>45426</v>
      </c>
      <c r="M6" s="46">
        <f>IF(VLOOKUP(C6,Purchased!A:R,16,0)=0, " ",VLOOKUP(C6,Purchased!A:R,16,0))</f>
        <v>45485</v>
      </c>
      <c r="N6" s="130">
        <f>IF(VLOOKUP(C6,Purchased!A:R,17,0)=0, " ", VLOOKUP(C6,Purchased!A:R,17,0))</f>
        <v>45455</v>
      </c>
      <c r="O6" s="47">
        <f t="shared" ref="O6" ca="1" si="2">B6*$L$2</f>
        <v>1</v>
      </c>
      <c r="P6" s="51">
        <f>VLOOKUP(C6,Purchased!A:D,3,FALSE)</f>
        <v>430.72</v>
      </c>
      <c r="Q6" s="52">
        <f t="shared" ref="Q6" si="3">B6*P6</f>
        <v>430.72</v>
      </c>
    </row>
    <row r="7" spans="1:17" s="2" customFormat="1" ht="12.75" customHeight="1" x14ac:dyDescent="0.25">
      <c r="A7" s="4">
        <v>303</v>
      </c>
      <c r="B7" s="2">
        <v>1</v>
      </c>
      <c r="C7" s="135" t="s">
        <v>82</v>
      </c>
      <c r="D7" s="325" t="str">
        <f>VLOOKUP(C7,Purchased!A:B,2,0)</f>
        <v>Saginaw FILTER FAN, 550CFM, 230VAC 50/60HZ, 0.35FLA</v>
      </c>
      <c r="E7" s="326"/>
      <c r="F7" s="108" t="str">
        <f>IF(VLOOKUP($C7,Purchased!A:Z,11,0) = 0, " ", VLOOKUP($C7,Purchased!A:Z,11,0))</f>
        <v>Saginaw</v>
      </c>
      <c r="G7" s="108" t="str">
        <f>IF(VLOOKUP($C7,Purchased!A:Z,12,0)=0, " ", VLOOKUP($C7,Purchased!A:Z,12,0))</f>
        <v>Saginaw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45426</v>
      </c>
      <c r="K7" s="46">
        <f>IF(VLOOKUP(C7,Purchased!A:R,14,0)=0, " ", VLOOKUP(C7,Purchased!A:R,14,0))</f>
        <v>45426</v>
      </c>
      <c r="L7" s="46">
        <f>IF(VLOOKUP(C7,Purchased!A:R,15,0)=0, " ", VLOOKUP(C7,Purchased!A:R,15,0))</f>
        <v>45426</v>
      </c>
      <c r="M7" s="46">
        <f>IF(VLOOKUP(C7,Purchased!A:R,16,0)=0, " ",VLOOKUP(C7,Purchased!A:R,16,0))</f>
        <v>45485</v>
      </c>
      <c r="N7" s="130">
        <f>IF(VLOOKUP(C7,Purchased!A:R,17,0)=0, " ", VLOOKUP(C7,Purchased!A:R,17,0))</f>
        <v>45455</v>
      </c>
      <c r="O7" s="47">
        <f t="shared" ref="O7:O9" ca="1" si="4">B7*$L$2</f>
        <v>1</v>
      </c>
      <c r="P7" s="51">
        <f>VLOOKUP(C7,Purchased!A:D,3,FALSE)</f>
        <v>474.76</v>
      </c>
      <c r="Q7" s="52">
        <f t="shared" ref="Q7:Q9" si="5">B7*P7</f>
        <v>474.76</v>
      </c>
    </row>
    <row r="8" spans="1:17" s="2" customFormat="1" ht="12.75" customHeight="1" x14ac:dyDescent="0.25">
      <c r="A8" s="4">
        <v>304</v>
      </c>
      <c r="B8" s="2">
        <v>1</v>
      </c>
      <c r="C8" s="135" t="s">
        <v>83</v>
      </c>
      <c r="D8" s="325" t="str">
        <f>VLOOKUP(C8,Purchased!A:B,2,0)</f>
        <v>Saginaw Filter &amp; Grille Assy. (Black)</v>
      </c>
      <c r="E8" s="326"/>
      <c r="F8" s="108" t="str">
        <f>IF(VLOOKUP($C8,Purchased!A:Z,11,0) = 0, " ", VLOOKUP($C8,Purchased!A:Z,11,0))</f>
        <v>Saginaw</v>
      </c>
      <c r="G8" s="108" t="str">
        <f>IF(VLOOKUP($C8,Purchased!A:Z,12,0)=0, " ", VLOOKUP($C8,Purchased!A:Z,12,0))</f>
        <v>Saginaw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45426</v>
      </c>
      <c r="K8" s="46">
        <f>IF(VLOOKUP(C8,Purchased!A:R,14,0)=0, " ", VLOOKUP(C8,Purchased!A:R,14,0))</f>
        <v>45426</v>
      </c>
      <c r="L8" s="46">
        <f>IF(VLOOKUP(C8,Purchased!A:R,15,0)=0, " ", VLOOKUP(C8,Purchased!A:R,15,0))</f>
        <v>45426</v>
      </c>
      <c r="M8" s="46">
        <f>IF(VLOOKUP(C8,Purchased!A:R,16,0)=0, " ",VLOOKUP(C8,Purchased!A:R,16,0))</f>
        <v>45485</v>
      </c>
      <c r="N8" s="130">
        <f>IF(VLOOKUP(C8,Purchased!A:R,17,0)=0, " ", VLOOKUP(C8,Purchased!A:R,17,0))</f>
        <v>45455</v>
      </c>
      <c r="O8" s="47">
        <f t="shared" ca="1" si="4"/>
        <v>1</v>
      </c>
      <c r="P8" s="51">
        <f>VLOOKUP(C8,Purchased!A:D,3,FALSE)</f>
        <v>50.13</v>
      </c>
      <c r="Q8" s="52">
        <f t="shared" si="5"/>
        <v>50.13</v>
      </c>
    </row>
    <row r="9" spans="1:17" s="2" customFormat="1" ht="12.75" customHeight="1" x14ac:dyDescent="0.25">
      <c r="A9" s="4">
        <v>305</v>
      </c>
      <c r="B9" s="2">
        <v>2</v>
      </c>
      <c r="C9" s="135" t="s">
        <v>84</v>
      </c>
      <c r="D9" s="325" t="str">
        <f>VLOOKUP(C9,Purchased!A:B,2,0)</f>
        <v>LED light fixture w/o outlet, 24"x2.75"x4" (LxHxD), 100..277VAC 50/60Hz, door activated switch</v>
      </c>
      <c r="E9" s="326"/>
      <c r="F9" s="108" t="str">
        <f>IF(VLOOKUP($C9,Purchased!A:Z,11,0) = 0, " ", VLOOKUP($C9,Purchased!A:Z,11,0))</f>
        <v>Saginaw</v>
      </c>
      <c r="G9" s="108" t="str">
        <f>IF(VLOOKUP($C9,Purchased!A:Z,12,0)=0, " ", VLOOKUP($C9,Purchased!A:Z,12,0))</f>
        <v>Saginaw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45426</v>
      </c>
      <c r="K9" s="46">
        <f>IF(VLOOKUP(C9,Purchased!A:R,14,0)=0, " ", VLOOKUP(C9,Purchased!A:R,14,0))</f>
        <v>45426</v>
      </c>
      <c r="L9" s="46">
        <f>IF(VLOOKUP(C9,Purchased!A:R,15,0)=0, " ", VLOOKUP(C9,Purchased!A:R,15,0))</f>
        <v>45426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45455</v>
      </c>
      <c r="O9" s="47">
        <f t="shared" ca="1" si="4"/>
        <v>2</v>
      </c>
      <c r="P9" s="51">
        <f>VLOOKUP(C9,Purchased!A:D,3,FALSE)</f>
        <v>183.03</v>
      </c>
      <c r="Q9" s="52">
        <f t="shared" si="5"/>
        <v>366.06</v>
      </c>
    </row>
    <row r="10" spans="1:17" s="2" customFormat="1" ht="12.75" customHeight="1" x14ac:dyDescent="0.25">
      <c r="A10" s="4">
        <v>306</v>
      </c>
      <c r="B10" s="2">
        <v>1</v>
      </c>
      <c r="C10" s="135">
        <v>6045315</v>
      </c>
      <c r="D10" s="325" t="str">
        <f>VLOOKUP(C10,Purchased!A:B,2,0)</f>
        <v>Prod num ES21-SB13J1 emergency stop button</v>
      </c>
      <c r="E10" s="326"/>
      <c r="F10" s="108" t="str">
        <f>IF(VLOOKUP($C10,Purchased!A:Z,11,0) = 0, " ", VLOOKUP($C10,Purchased!A:Z,11,0))</f>
        <v>SICK</v>
      </c>
      <c r="G10" s="108" t="str">
        <f>IF(VLOOKUP($C10,Purchased!A:Z,12,0)=0, " ", VLOOKUP($C10,Purchased!A:Z,12,0))</f>
        <v>CRAVE</v>
      </c>
      <c r="H10" s="327" t="str">
        <f>IF(VLOOKUP($C10,Purchased!A:Z,13,0)=0, " ", VLOOKUP($C10,Purchased!A:Z,13,0))</f>
        <v>Do we need to send PO to Crave?</v>
      </c>
      <c r="I10" s="328"/>
      <c r="J10" s="46">
        <f>IF(VLOOKUP($C10,Purchased!A:Z,14,0)=0, " ", VLOOKUP($C10,Purchased!A:Z,14,0))</f>
        <v>45506</v>
      </c>
      <c r="K10" s="46">
        <f>IF(VLOOKUP(C10,Purchased!A:R,14,0)=0, " ", VLOOKUP(C10,Purchased!A:R,14,0))</f>
        <v>45506</v>
      </c>
      <c r="L10" s="46" t="str">
        <f>IF(VLOOKUP(C10,Purchased!A:R,15,0)=0, " ", VLOOKUP(C10,Purchased!A:R,15,0))</f>
        <v>N/A</v>
      </c>
      <c r="M10" s="46" t="str">
        <f>IF(VLOOKUP(C10,Purchased!A:R,16,0)=0, " ",VLOOKUP(C10,Purchased!A:R,16,0))</f>
        <v>N/A</v>
      </c>
      <c r="N10" s="130" t="str">
        <f>IF(VLOOKUP(C10,Purchased!A:R,17,0)=0, " ", VLOOKUP(C10,Purchased!A:R,17,0))</f>
        <v>N/A</v>
      </c>
      <c r="O10" s="47">
        <f t="shared" ca="1" si="0"/>
        <v>1</v>
      </c>
      <c r="P10" s="51">
        <f>VLOOKUP(C10,Purchased!A:D,3,FALSE)</f>
        <v>112.5</v>
      </c>
      <c r="Q10" s="52">
        <f t="shared" si="1"/>
        <v>112.5</v>
      </c>
    </row>
    <row r="11" spans="1:17" s="2" customFormat="1" ht="12.75" customHeight="1" x14ac:dyDescent="0.25">
      <c r="A11" s="4">
        <v>307</v>
      </c>
      <c r="B11" s="2">
        <v>1</v>
      </c>
      <c r="C11" s="135" t="s">
        <v>119</v>
      </c>
      <c r="D11" s="325" t="str">
        <f>VLOOKUP(C11,Purchased!A:B,2,0)</f>
        <v>Laser engraved cycle RESET plate</v>
      </c>
      <c r="E11" s="326"/>
      <c r="F11" s="108" t="str">
        <f>IF(VLOOKUP($C11,Purchased!A:Z,11,0) = 0, " ", VLOOKUP($C11,Purchased!A:Z,11,0))</f>
        <v>Carolina Laser</v>
      </c>
      <c r="G11" s="108" t="str">
        <f>IF(VLOOKUP($C11,Purchased!A:Z,12,0)=0, " ", VLOOKUP($C11,Purchased!A:Z,12,0))</f>
        <v>CRAVE</v>
      </c>
      <c r="H11" s="327" t="str">
        <f>IF(VLOOKUP($C11,Purchased!A:Z,13,0)=0, " ", VLOOKUP($C11,Purchased!A:Z,13,0))</f>
        <v xml:space="preserve"> 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0"/>
        <v>1</v>
      </c>
      <c r="P11" s="51">
        <f>VLOOKUP(C11,Purchased!A:D,3,FALSE)</f>
        <v>10</v>
      </c>
      <c r="Q11" s="52">
        <f t="shared" si="1"/>
        <v>10</v>
      </c>
    </row>
    <row r="12" spans="1:17" s="2" customFormat="1" ht="12.75" customHeight="1" x14ac:dyDescent="0.25">
      <c r="A12" s="4">
        <v>308</v>
      </c>
      <c r="C12" s="135"/>
      <c r="D12" s="158"/>
      <c r="E12" s="159"/>
      <c r="F12" s="108"/>
      <c r="G12" s="108"/>
      <c r="H12" s="108"/>
      <c r="I12" s="109"/>
      <c r="J12" s="46"/>
      <c r="K12" s="46"/>
      <c r="L12" s="46"/>
      <c r="M12" s="46"/>
      <c r="N12" s="130"/>
      <c r="O12" s="47"/>
      <c r="P12" s="51"/>
      <c r="Q12" s="52"/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/>
      <c r="N13" s="29"/>
      <c r="O13" s="29"/>
      <c r="P13" s="148"/>
      <c r="Q13" s="149"/>
    </row>
    <row r="14" spans="1:17" s="2" customFormat="1" ht="12.75" customHeight="1" thickBot="1" x14ac:dyDescent="0.3">
      <c r="A14" s="4">
        <v>501</v>
      </c>
      <c r="C14" s="122"/>
      <c r="D14" s="325"/>
      <c r="E14" s="326"/>
      <c r="F14" s="108"/>
      <c r="G14" s="108"/>
      <c r="H14" s="108"/>
      <c r="I14" s="109"/>
      <c r="J14" s="46"/>
      <c r="K14" s="46"/>
      <c r="L14" s="46"/>
      <c r="M14" s="46"/>
      <c r="N14" s="130"/>
      <c r="O14" s="47"/>
      <c r="P14" s="51"/>
      <c r="Q14" s="52"/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4010.7600000000007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sheetProtection selectLockedCells="1"/>
  <mergeCells count="22">
    <mergeCell ref="D11:E11"/>
    <mergeCell ref="H11:I11"/>
    <mergeCell ref="D10:E10"/>
    <mergeCell ref="H10:I10"/>
    <mergeCell ref="H9:I9"/>
    <mergeCell ref="D1:E1"/>
    <mergeCell ref="D4:E4"/>
    <mergeCell ref="H4:I4"/>
    <mergeCell ref="D5:E5"/>
    <mergeCell ref="H5:I5"/>
    <mergeCell ref="D6:E6"/>
    <mergeCell ref="H6:I6"/>
    <mergeCell ref="D8:E8"/>
    <mergeCell ref="H8:I8"/>
    <mergeCell ref="D9:E9"/>
    <mergeCell ref="D7:E7"/>
    <mergeCell ref="H7:I7"/>
    <mergeCell ref="D13:E13"/>
    <mergeCell ref="H13:I13"/>
    <mergeCell ref="D14:E14"/>
    <mergeCell ref="D15:E15"/>
    <mergeCell ref="H15:I15"/>
  </mergeCells>
  <conditionalFormatting sqref="M13:M14">
    <cfRule type="cellIs" dxfId="2248" priority="13" stopIfTrue="1" operator="lessThanOrEqual">
      <formula>$L13</formula>
    </cfRule>
    <cfRule type="cellIs" dxfId="2247" priority="14" operator="greaterThan">
      <formula>L13</formula>
    </cfRule>
  </conditionalFormatting>
  <conditionalFormatting sqref="M10:M12">
    <cfRule type="cellIs" dxfId="2246" priority="11" stopIfTrue="1" operator="lessThanOrEqual">
      <formula>$L10</formula>
    </cfRule>
    <cfRule type="cellIs" dxfId="2245" priority="12" operator="greaterThan">
      <formula>L10</formula>
    </cfRule>
  </conditionalFormatting>
  <conditionalFormatting sqref="M9">
    <cfRule type="cellIs" dxfId="2244" priority="9" stopIfTrue="1" operator="lessThanOrEqual">
      <formula>$L9</formula>
    </cfRule>
    <cfRule type="cellIs" dxfId="2243" priority="10" operator="greaterThan">
      <formula>L9</formula>
    </cfRule>
  </conditionalFormatting>
  <conditionalFormatting sqref="M8">
    <cfRule type="cellIs" dxfId="2242" priority="7" stopIfTrue="1" operator="lessThanOrEqual">
      <formula>$L8</formula>
    </cfRule>
    <cfRule type="cellIs" dxfId="2241" priority="8" operator="greaterThan">
      <formula>L8</formula>
    </cfRule>
  </conditionalFormatting>
  <conditionalFormatting sqref="M7">
    <cfRule type="cellIs" dxfId="2240" priority="5" stopIfTrue="1" operator="lessThanOrEqual">
      <formula>$L7</formula>
    </cfRule>
    <cfRule type="cellIs" dxfId="2239" priority="6" operator="greaterThan">
      <formula>L7</formula>
    </cfRule>
  </conditionalFormatting>
  <conditionalFormatting sqref="M5:M6">
    <cfRule type="cellIs" dxfId="2238" priority="1" stopIfTrue="1" operator="lessThanOrEqual">
      <formula>$L5</formula>
    </cfRule>
    <cfRule type="cellIs" dxfId="2237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D0521F-6093-4DCD-BFDE-FCE907B8B5FC}">
          <x14:formula1>
            <xm:f>Bolts!$A:$A</xm:f>
          </x14:formula1>
          <xm:sqref>C13</xm:sqref>
        </x14:dataValidation>
        <x14:dataValidation type="list" allowBlank="1" showInputMessage="1" showErrorMessage="1" xr:uid="{D59685FF-6417-47B2-8A64-303C4C03C192}">
          <x14:formula1>
            <xm:f>Purchased!$A:$A</xm:f>
          </x14:formula1>
          <xm:sqref>C5:C12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953FB-6AEC-49CE-BE22-7B21736352A7}">
  <sheetPr codeName="Sheet4">
    <tabColor theme="0" tint="-0.249977111117893"/>
  </sheetPr>
  <dimension ref="A1:Q24"/>
  <sheetViews>
    <sheetView zoomScale="113" zoomScaleNormal="115" workbookViewId="0">
      <selection activeCell="B20" sqref="B20:Q2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'1'!C12</f>
        <v>PG10.0.2.0.A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'1'!D12</f>
        <v>Unwind HMI Enclosure</v>
      </c>
      <c r="D3" s="85" t="s">
        <v>50</v>
      </c>
      <c r="E3" s="86" t="str">
        <f ca="1">MID(CELL("filename",A1),FIND("]",CELL("filename",A1))+1,256)</f>
        <v>0.2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1</v>
      </c>
      <c r="C5" s="135" t="s">
        <v>85</v>
      </c>
      <c r="D5" s="325" t="str">
        <f>VLOOKUP(C5,Purchased!A:B,2,0)</f>
        <v>Saginaw enclosure box</v>
      </c>
      <c r="E5" s="326"/>
      <c r="F5" s="108" t="str">
        <f>IF(VLOOKUP($C5,Purchased!A:Z,11,0) = 0, " ", VLOOKUP($C5,Purchased!A:Z,11,0))</f>
        <v>Saginaw</v>
      </c>
      <c r="G5" s="108" t="str">
        <f>IF(VLOOKUP($C5,Purchased!A:Z,12,0)=0, " ", VLOOKUP($C5,Purchased!A:Z,12,0))</f>
        <v>Saginaw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45426</v>
      </c>
      <c r="K5" s="46">
        <f>IF(VLOOKUP(C5,Purchased!A:R,14,0)=0, " ", VLOOKUP(C5,Purchased!A:R,14,0))</f>
        <v>45426</v>
      </c>
      <c r="L5" s="46">
        <f>IF(VLOOKUP(C5,Purchased!A:R,15,0)=0, " ", VLOOKUP(C5,Purchased!A:R,15,0))</f>
        <v>45426</v>
      </c>
      <c r="M5" s="46">
        <f>IF(VLOOKUP(C5,Purchased!A:R,16,0)=0, " ",VLOOKUP(C5,Purchased!A:R,16,0))</f>
        <v>45487</v>
      </c>
      <c r="N5" s="130">
        <f>IF(VLOOKUP(C5,Purchased!A:R,17,0)=0, " ", VLOOKUP(C5,Purchased!A:R,17,0))</f>
        <v>45485</v>
      </c>
      <c r="O5" s="47">
        <f t="shared" ref="O5:O10" ca="1" si="0">B5*$L$2</f>
        <v>1</v>
      </c>
      <c r="P5" s="51">
        <f>VLOOKUP(C5,Purchased!A:D,3,FALSE)</f>
        <v>367.49</v>
      </c>
      <c r="Q5" s="52">
        <f t="shared" ref="Q5:Q10" si="1">B5*P5</f>
        <v>367.49</v>
      </c>
    </row>
    <row r="6" spans="1:17" s="2" customFormat="1" ht="12.75" customHeight="1" x14ac:dyDescent="0.25">
      <c r="A6" s="4">
        <v>302</v>
      </c>
      <c r="B6" s="2">
        <v>1</v>
      </c>
      <c r="C6" s="135" t="s">
        <v>86</v>
      </c>
      <c r="D6" s="325" t="str">
        <f>VLOOKUP(C6,Purchased!A:B,2,0)</f>
        <v>HMI Enclosure backplane</v>
      </c>
      <c r="E6" s="326"/>
      <c r="F6" s="108" t="str">
        <f>IF(VLOOKUP($C6,Purchased!A:Z,11,0) = 0, " ", VLOOKUP($C6,Purchased!A:Z,11,0))</f>
        <v>Saginaw</v>
      </c>
      <c r="G6" s="108" t="str">
        <f>IF(VLOOKUP($C6,Purchased!A:Z,12,0)=0, " ", VLOOKUP($C6,Purchased!A:Z,12,0))</f>
        <v>Saginaw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45426</v>
      </c>
      <c r="K6" s="46">
        <f>IF(VLOOKUP(C6,Purchased!A:R,14,0)=0, " ", VLOOKUP(C6,Purchased!A:R,14,0))</f>
        <v>45426</v>
      </c>
      <c r="L6" s="46">
        <f>IF(VLOOKUP(C6,Purchased!A:R,15,0)=0, " ", VLOOKUP(C6,Purchased!A:R,15,0))</f>
        <v>45426</v>
      </c>
      <c r="M6" s="46">
        <f>IF(VLOOKUP(C6,Purchased!A:R,16,0)=0, " ",VLOOKUP(C6,Purchased!A:R,16,0))</f>
        <v>45485</v>
      </c>
      <c r="N6" s="130">
        <f>IF(VLOOKUP(C6,Purchased!A:R,17,0)=0, " ", VLOOKUP(C6,Purchased!A:R,17,0))</f>
        <v>45455</v>
      </c>
      <c r="O6" s="47">
        <f t="shared" ca="1" si="0"/>
        <v>1</v>
      </c>
      <c r="P6" s="51">
        <f>VLOOKUP(C6,Purchased!A:D,3,FALSE)</f>
        <v>15.98</v>
      </c>
      <c r="Q6" s="52">
        <f t="shared" si="1"/>
        <v>15.98</v>
      </c>
    </row>
    <row r="7" spans="1:17" s="2" customFormat="1" ht="12.75" customHeight="1" x14ac:dyDescent="0.25">
      <c r="A7" s="4">
        <v>303</v>
      </c>
      <c r="B7" s="2">
        <v>1</v>
      </c>
      <c r="C7" s="135" t="s">
        <v>87</v>
      </c>
      <c r="D7" s="325" t="str">
        <f>VLOOKUP(C7,Purchased!A:B,2,0)</f>
        <v>Saginaw HMI handle</v>
      </c>
      <c r="E7" s="326"/>
      <c r="F7" s="108" t="str">
        <f>IF(VLOOKUP($C7,Purchased!A:Z,11,0) = 0, " ", VLOOKUP($C7,Purchased!A:Z,11,0))</f>
        <v>Saginaw</v>
      </c>
      <c r="G7" s="108" t="str">
        <f>IF(VLOOKUP($C7,Purchased!A:Z,12,0)=0, " ", VLOOKUP($C7,Purchased!A:Z,12,0))</f>
        <v>Saginaw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45426</v>
      </c>
      <c r="K7" s="46">
        <f>IF(VLOOKUP(C7,Purchased!A:R,14,0)=0, " ", VLOOKUP(C7,Purchased!A:R,14,0))</f>
        <v>45426</v>
      </c>
      <c r="L7" s="46">
        <f>IF(VLOOKUP(C7,Purchased!A:R,15,0)=0, " ", VLOOKUP(C7,Purchased!A:R,15,0))</f>
        <v>45426</v>
      </c>
      <c r="M7" s="46">
        <f>IF(VLOOKUP(C7,Purchased!A:R,16,0)=0, " ",VLOOKUP(C7,Purchased!A:R,16,0))</f>
        <v>45487</v>
      </c>
      <c r="N7" s="130">
        <f>IF(VLOOKUP(C7,Purchased!A:R,17,0)=0, " ", VLOOKUP(C7,Purchased!A:R,17,0))</f>
        <v>45485</v>
      </c>
      <c r="O7" s="47">
        <f t="shared" ref="O7" ca="1" si="2">B7*$L$2</f>
        <v>1</v>
      </c>
      <c r="P7" s="51">
        <f>VLOOKUP(C7,Purchased!A:D,3,FALSE)</f>
        <v>32.15</v>
      </c>
      <c r="Q7" s="52">
        <f t="shared" ref="Q7" si="3">B7*P7</f>
        <v>32.15</v>
      </c>
    </row>
    <row r="8" spans="1:17" s="2" customFormat="1" ht="12.75" customHeight="1" x14ac:dyDescent="0.25">
      <c r="A8" s="4">
        <v>304</v>
      </c>
      <c r="B8" s="2">
        <v>1</v>
      </c>
      <c r="C8" s="135" t="s">
        <v>88</v>
      </c>
      <c r="D8" s="325" t="str">
        <f>VLOOKUP(C8,Purchased!A:B,2,0)</f>
        <v>HMI 15.6” TFT 1366x768, PCAP Touchscreen, 8 GB Flash memory, 3x Ethernet 
ports, JMobile runtime</v>
      </c>
      <c r="E8" s="326"/>
      <c r="F8" s="108" t="str">
        <f>IF(VLOOKUP($C8,Purchased!A:Z,11,0) = 0, " ", VLOOKUP($C8,Purchased!A:Z,11,0))</f>
        <v>EXOR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45426</v>
      </c>
      <c r="K8" s="46">
        <f>IF(VLOOKUP(C8,Purchased!A:R,14,0)=0, " ", VLOOKUP(C8,Purchased!A:R,14,0))</f>
        <v>45426</v>
      </c>
      <c r="L8" s="46">
        <f>IF(VLOOKUP(C8,Purchased!A:R,15,0)=0, " ", VLOOKUP(C8,Purchased!A:R,15,0))</f>
        <v>45427</v>
      </c>
      <c r="M8" s="46">
        <f>IF(VLOOKUP(C8,Purchased!A:R,16,0)=0, " ",VLOOKUP(C8,Purchased!A:R,16,0))</f>
        <v>45492</v>
      </c>
      <c r="N8" s="130">
        <f>IF(VLOOKUP(C8,Purchased!A:R,17,0)=0, " ", VLOOKUP(C8,Purchased!A:R,17,0))</f>
        <v>45493</v>
      </c>
      <c r="O8" s="47">
        <f t="shared" ca="1" si="0"/>
        <v>1</v>
      </c>
      <c r="P8" s="51">
        <f>VLOOKUP(C8,Purchased!A:D,3,FALSE)</f>
        <v>3259.48</v>
      </c>
      <c r="Q8" s="52">
        <f t="shared" si="1"/>
        <v>3259.48</v>
      </c>
    </row>
    <row r="9" spans="1:17" s="2" customFormat="1" ht="12.75" customHeight="1" x14ac:dyDescent="0.25">
      <c r="A9" s="4">
        <v>305</v>
      </c>
      <c r="C9" s="135"/>
      <c r="D9" s="325" t="e">
        <f>VLOOKUP(C9,Purchased!A:B,2,0)</f>
        <v>#N/A</v>
      </c>
      <c r="E9" s="326"/>
      <c r="F9" s="108" t="e">
        <f>IF(VLOOKUP($C9,Purchased!A:Z,11,0) = 0, " ", VLOOKUP($C9,Purchased!A:Z,11,0))</f>
        <v>#N/A</v>
      </c>
      <c r="G9" s="108" t="e">
        <f>IF(VLOOKUP($C9,Purchased!A:Z,12,0)=0, " ", VLOOKUP($C9,Purchased!A:Z,12,0))</f>
        <v>#N/A</v>
      </c>
      <c r="H9" s="327" t="e">
        <f>IF(VLOOKUP($C9,Purchased!A:Z,13,0)=0, " ", VLOOKUP($C9,Purchased!A:Z,13,0))</f>
        <v>#N/A</v>
      </c>
      <c r="I9" s="328"/>
      <c r="J9" s="46" t="e">
        <f>IF(VLOOKUP($C9,Purchased!A:Z,14,0)=0, " ", VLOOKUP($C9,Purchased!A:Z,14,0))</f>
        <v>#N/A</v>
      </c>
      <c r="K9" s="46" t="e">
        <f>IF(VLOOKUP(C9,Purchased!A:R,14,0)=0, " ", VLOOKUP(C9,Purchased!A:R,14,0))</f>
        <v>#N/A</v>
      </c>
      <c r="L9" s="46" t="e">
        <f>IF(VLOOKUP(C9,Purchased!A:R,15,0)=0, " ", VLOOKUP(C9,Purchased!A:R,15,0))</f>
        <v>#N/A</v>
      </c>
      <c r="M9" s="46" t="e">
        <f>IF(VLOOKUP(C9,Purchased!A:R,16,0)=0, " ",VLOOKUP(C9,Purchased!A:R,16,0))</f>
        <v>#N/A</v>
      </c>
      <c r="N9" s="130" t="e">
        <f>IF(VLOOKUP(C9,Purchased!A:R,17,0)=0, " ", VLOOKUP(C9,Purchased!A:R,17,0))</f>
        <v>#N/A</v>
      </c>
      <c r="O9" s="47">
        <f t="shared" ca="1" si="0"/>
        <v>0</v>
      </c>
      <c r="P9" s="51" t="e">
        <f>VLOOKUP(C9,Purchased!A:D,3,FALSE)</f>
        <v>#N/A</v>
      </c>
      <c r="Q9" s="52" t="e">
        <f t="shared" si="1"/>
        <v>#N/A</v>
      </c>
    </row>
    <row r="10" spans="1:17" s="2" customFormat="1" ht="12.75" customHeight="1" x14ac:dyDescent="0.25">
      <c r="A10" s="4">
        <v>306</v>
      </c>
      <c r="C10" s="135"/>
      <c r="D10" s="325" t="e">
        <f>VLOOKUP(C10,Purchased!A:B,2,0)</f>
        <v>#N/A</v>
      </c>
      <c r="E10" s="326"/>
      <c r="F10" s="108" t="e">
        <f>IF(VLOOKUP($C10,Purchased!A:Z,11,0) = 0, " ", VLOOKUP($C10,Purchased!A:Z,11,0))</f>
        <v>#N/A</v>
      </c>
      <c r="G10" s="108" t="e">
        <f>IF(VLOOKUP($C10,Purchased!A:Z,12,0)=0, " ", VLOOKUP($C10,Purchased!A:Z,12,0))</f>
        <v>#N/A</v>
      </c>
      <c r="H10" s="327" t="e">
        <f>IF(VLOOKUP($C10,Purchased!A:Z,13,0)=0, " ", VLOOKUP($C10,Purchased!A:Z,13,0))</f>
        <v>#N/A</v>
      </c>
      <c r="I10" s="328"/>
      <c r="J10" s="46" t="e">
        <f>IF(VLOOKUP($C10,Purchased!A:Z,14,0)=0, " ", VLOOKUP($C10,Purchased!A:Z,14,0))</f>
        <v>#N/A</v>
      </c>
      <c r="K10" s="46" t="e">
        <f>IF(VLOOKUP(C10,Purchased!A:R,14,0)=0, " ", VLOOKUP(C10,Purchased!A:R,14,0))</f>
        <v>#N/A</v>
      </c>
      <c r="L10" s="46" t="e">
        <f>IF(VLOOKUP(C10,Purchased!A:R,15,0)=0, " ", VLOOKUP(C10,Purchased!A:R,15,0))</f>
        <v>#N/A</v>
      </c>
      <c r="M10" s="46" t="e">
        <f>IF(VLOOKUP(C10,Purchased!A:R,16,0)=0, " ",VLOOKUP(C10,Purchased!A:R,16,0))</f>
        <v>#N/A</v>
      </c>
      <c r="N10" s="130" t="e">
        <f>IF(VLOOKUP(C10,Purchased!A:R,17,0)=0, " ", VLOOKUP(C10,Purchased!A:R,17,0))</f>
        <v>#N/A</v>
      </c>
      <c r="O10" s="47">
        <f t="shared" ca="1" si="0"/>
        <v>0</v>
      </c>
      <c r="P10" s="51" t="e">
        <f>VLOOKUP(C10,Purchased!A:D,3,FALSE)</f>
        <v>#N/A</v>
      </c>
      <c r="Q10" s="52" t="e">
        <f t="shared" si="1"/>
        <v>#N/A</v>
      </c>
    </row>
    <row r="11" spans="1:17" s="2" customFormat="1" ht="12.75" customHeight="1" x14ac:dyDescent="0.25">
      <c r="A11" s="4">
        <v>307</v>
      </c>
      <c r="C11" s="135"/>
      <c r="D11" s="158" t="e">
        <f>VLOOKUP(C11,Purchased!A:B,2,0)</f>
        <v>#N/A</v>
      </c>
      <c r="E11" s="159"/>
      <c r="F11" s="108" t="e">
        <f>IF(VLOOKUP($C11,Purchased!A:Z,11,0) = 0, " ", VLOOKUP($C11,Purchased!A:Z,11,0))</f>
        <v>#N/A</v>
      </c>
      <c r="G11" s="108" t="e">
        <f>IF(VLOOKUP($C11,Purchased!A:Z,12,0)=0, " ", VLOOKUP($C11,Purchased!A:Z,12,0))</f>
        <v>#N/A</v>
      </c>
      <c r="H11" s="327" t="e">
        <f>IF(VLOOKUP($C11,Purchased!A:Z,13,0)=0, " ", VLOOKUP($C11,Purchased!A:Z,13,0))</f>
        <v>#N/A</v>
      </c>
      <c r="I11" s="328"/>
      <c r="J11" s="46" t="e">
        <f>IF(VLOOKUP($C11,Purchased!A:Z,14,0)=0, " ", VLOOKUP($C11,Purchased!A:Z,14,0))</f>
        <v>#N/A</v>
      </c>
      <c r="K11" s="46" t="e">
        <f>IF(VLOOKUP(C11,Purchased!A:R,14,0)=0, " ", VLOOKUP(C11,Purchased!A:R,14,0))</f>
        <v>#N/A</v>
      </c>
      <c r="L11" s="46" t="e">
        <f>IF(VLOOKUP(C11,Purchased!A:R,15,0)=0, " ", VLOOKUP(C11,Purchased!A:R,15,0))</f>
        <v>#N/A</v>
      </c>
      <c r="M11" s="46" t="e">
        <f>IF(VLOOKUP(C11,Purchased!A:R,16,0)=0, " ",VLOOKUP(C11,Purchased!A:R,16,0))</f>
        <v>#N/A</v>
      </c>
      <c r="N11" s="130" t="e">
        <f>IF(VLOOKUP(C11,Purchased!A:R,17,0)=0, " ", VLOOKUP(C11,Purchased!A:R,17,0))</f>
        <v>#N/A</v>
      </c>
      <c r="O11" s="47">
        <f t="shared" ref="O11:O14" ca="1" si="4">B11*$L$2</f>
        <v>0</v>
      </c>
      <c r="P11" s="51" t="e">
        <f>VLOOKUP(C11,Purchased!A:D,3,FALSE)</f>
        <v>#N/A</v>
      </c>
      <c r="Q11" s="52" t="e">
        <f t="shared" ref="Q11:Q14" si="5">B11*P11</f>
        <v>#N/A</v>
      </c>
    </row>
    <row r="12" spans="1:17" s="2" customFormat="1" ht="12.75" customHeight="1" x14ac:dyDescent="0.25">
      <c r="A12" s="4">
        <v>308</v>
      </c>
      <c r="C12" s="135"/>
      <c r="D12" s="158" t="e">
        <f>VLOOKUP(C12,Purchased!A:B,2,0)</f>
        <v>#N/A</v>
      </c>
      <c r="E12" s="159"/>
      <c r="F12" s="108" t="e">
        <f>IF(VLOOKUP($C12,Purchased!A:Z,11,0) = 0, " ", VLOOKUP($C12,Purchased!A:Z,11,0))</f>
        <v>#N/A</v>
      </c>
      <c r="G12" s="108" t="e">
        <f>IF(VLOOKUP($C12,Purchased!A:Z,12,0)=0, " ", VLOOKUP($C12,Purchased!A:Z,12,0))</f>
        <v>#N/A</v>
      </c>
      <c r="H12" s="327" t="e">
        <f>IF(VLOOKUP($C12,Purchased!A:Z,13,0)=0, " ", VLOOKUP($C12,Purchased!A:Z,13,0))</f>
        <v>#N/A</v>
      </c>
      <c r="I12" s="328"/>
      <c r="J12" s="46" t="e">
        <f>IF(VLOOKUP($C12,Purchased!A:Z,14,0)=0, " ", VLOOKUP($C12,Purchased!A:Z,14,0))</f>
        <v>#N/A</v>
      </c>
      <c r="K12" s="46" t="e">
        <f>IF(VLOOKUP(C12,Purchased!A:R,14,0)=0, " ", VLOOKUP(C12,Purchased!A:R,14,0))</f>
        <v>#N/A</v>
      </c>
      <c r="L12" s="46" t="e">
        <f>IF(VLOOKUP(C12,Purchased!A:R,15,0)=0, " ", VLOOKUP(C12,Purchased!A:R,15,0))</f>
        <v>#N/A</v>
      </c>
      <c r="M12" s="46" t="e">
        <f>IF(VLOOKUP(C12,Purchased!A:R,16,0)=0, " ",VLOOKUP(C12,Purchased!A:R,16,0))</f>
        <v>#N/A</v>
      </c>
      <c r="N12" s="130" t="e">
        <f>IF(VLOOKUP(C12,Purchased!A:R,17,0)=0, " ", VLOOKUP(C12,Purchased!A:R,17,0))</f>
        <v>#N/A</v>
      </c>
      <c r="O12" s="47">
        <f t="shared" ca="1" si="4"/>
        <v>0</v>
      </c>
      <c r="P12" s="51" t="e">
        <f>VLOOKUP(C12,Purchased!A:D,3,FALSE)</f>
        <v>#N/A</v>
      </c>
      <c r="Q12" s="52" t="e">
        <f t="shared" si="5"/>
        <v>#N/A</v>
      </c>
    </row>
    <row r="13" spans="1:17" s="2" customFormat="1" ht="12.75" customHeight="1" x14ac:dyDescent="0.25">
      <c r="A13" s="4">
        <v>309</v>
      </c>
      <c r="C13" s="135"/>
      <c r="D13" s="158" t="e">
        <f>VLOOKUP(C13,Purchased!A:B,2,0)</f>
        <v>#N/A</v>
      </c>
      <c r="E13" s="159"/>
      <c r="F13" s="108" t="e">
        <f>IF(VLOOKUP($C13,Purchased!A:Z,11,0) = 0, " ", VLOOKUP($C13,Purchased!A:Z,11,0))</f>
        <v>#N/A</v>
      </c>
      <c r="G13" s="108" t="e">
        <f>IF(VLOOKUP($C13,Purchased!A:Z,12,0)=0, " ", VLOOKUP($C13,Purchased!A:Z,12,0))</f>
        <v>#N/A</v>
      </c>
      <c r="H13" s="327" t="e">
        <f>IF(VLOOKUP($C13,Purchased!A:Z,13,0)=0, " ", VLOOKUP($C13,Purchased!A:Z,13,0))</f>
        <v>#N/A</v>
      </c>
      <c r="I13" s="328"/>
      <c r="J13" s="46" t="e">
        <f>IF(VLOOKUP($C13,Purchased!A:Z,14,0)=0, " ", VLOOKUP($C13,Purchased!A:Z,14,0))</f>
        <v>#N/A</v>
      </c>
      <c r="K13" s="46" t="e">
        <f>IF(VLOOKUP(C13,Purchased!A:R,14,0)=0, " ", VLOOKUP(C13,Purchased!A:R,14,0))</f>
        <v>#N/A</v>
      </c>
      <c r="L13" s="46" t="e">
        <f>IF(VLOOKUP(C13,Purchased!A:R,15,0)=0, " ", VLOOKUP(C13,Purchased!A:R,15,0))</f>
        <v>#N/A</v>
      </c>
      <c r="M13" s="46" t="e">
        <f>IF(VLOOKUP(C13,Purchased!A:R,16,0)=0, " ",VLOOKUP(C13,Purchased!A:R,16,0))</f>
        <v>#N/A</v>
      </c>
      <c r="N13" s="130" t="e">
        <f>IF(VLOOKUP(C13,Purchased!A:R,17,0)=0, " ", VLOOKUP(C13,Purchased!A:R,17,0))</f>
        <v>#N/A</v>
      </c>
      <c r="O13" s="47">
        <f t="shared" ca="1" si="4"/>
        <v>0</v>
      </c>
      <c r="P13" s="51" t="e">
        <f>VLOOKUP(C13,Purchased!A:D,3,FALSE)</f>
        <v>#N/A</v>
      </c>
      <c r="Q13" s="52" t="e">
        <f t="shared" si="5"/>
        <v>#N/A</v>
      </c>
    </row>
    <row r="14" spans="1:17" s="2" customFormat="1" ht="12.75" customHeight="1" x14ac:dyDescent="0.25">
      <c r="A14" s="4">
        <v>310</v>
      </c>
      <c r="B14" s="2">
        <v>1</v>
      </c>
      <c r="C14" s="135" t="s">
        <v>89</v>
      </c>
      <c r="D14" s="325" t="str">
        <f>VLOOKUP(C14,Purchased!A:B,2,0)</f>
        <v>WERMA terminal element, 70mm diameter, cage clamp, base or bracket mount, IP65. Cap and seal included.</v>
      </c>
      <c r="E14" s="342"/>
      <c r="F14" s="108" t="str">
        <f>IF(VLOOKUP($C14,Purchased!A:Z,11,0) = 0, " ", VLOOKUP($C14,Purchased!A:Z,11,0))</f>
        <v>WERMA</v>
      </c>
      <c r="G14" s="108" t="str">
        <f>IF(VLOOKUP($C14,Purchased!A:Z,12,0)=0, " ", VLOOKUP($C14,Purchased!A:Z,12,0))</f>
        <v>AUTO DIRECT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 t="str">
        <f>IF(VLOOKUP(C14,Purchased!A:R,15,0)=0, " ", VLOOKUP(C14,Purchased!A:R,15,0))</f>
        <v xml:space="preserve"> 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4"/>
        <v>1</v>
      </c>
      <c r="P14" s="51">
        <f>VLOOKUP(C14,Purchased!A:D,3,FALSE)</f>
        <v>31.5</v>
      </c>
      <c r="Q14" s="52">
        <f t="shared" si="5"/>
        <v>31.5</v>
      </c>
    </row>
    <row r="15" spans="1:17" s="2" customFormat="1" ht="13.15" customHeight="1" x14ac:dyDescent="0.25">
      <c r="A15" s="4">
        <v>311</v>
      </c>
      <c r="B15" s="2">
        <v>1</v>
      </c>
      <c r="C15" s="135" t="s">
        <v>90</v>
      </c>
      <c r="D15" s="325" t="str">
        <f>VLOOKUP(C15,Purchased!A:B,2,0)</f>
        <v>WERMA incandescent light element, 70mm diameter, red, permanent light function, 12-240 VAC/VDC, colored lens, IP65. Purchase bulb separately.</v>
      </c>
      <c r="E15" s="342"/>
      <c r="F15" s="108" t="str">
        <f>IF(VLOOKUP($C15,Purchased!A:Z,11,0) = 0, " ", VLOOKUP($C15,Purchased!A:Z,11,0))</f>
        <v>WERMA</v>
      </c>
      <c r="G15" s="108" t="str">
        <f>IF(VLOOKUP($C15,Purchased!A:Z,12,0)=0, " ", VLOOKUP($C15,Purchased!A:Z,12,0))</f>
        <v>AUTO DIRECT</v>
      </c>
      <c r="H15" s="327" t="str">
        <f>IF(VLOOKUP($C15,Purchased!A:Z,13,0)=0, " ", VLOOKUP($C15,Purchased!A:Z,13,0))</f>
        <v xml:space="preserve"> 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 t="str">
        <f>IF(VLOOKUP(C15,Purchased!A:R,15,0)=0, " ", VLOOKUP(C15,Purchased!A:R,15,0))</f>
        <v xml:space="preserve"> </v>
      </c>
      <c r="M15" s="46" t="str">
        <f>IF(VLOOKUP(C15,Purchased!A:R,16,0)=0, " ",VLOOKUP(C15,Purchased!A:R,16,0))</f>
        <v xml:space="preserve"> </v>
      </c>
      <c r="N15" s="130" t="str">
        <f>IF(VLOOKUP(C15,Purchased!A:R,17,0)=0, " ", VLOOKUP(C15,Purchased!A:R,17,0))</f>
        <v xml:space="preserve"> </v>
      </c>
      <c r="O15" s="47">
        <f t="shared" ref="O15:O19" ca="1" si="6">B15*$L$2</f>
        <v>1</v>
      </c>
      <c r="P15" s="51">
        <f>VLOOKUP(C15,Purchased!A:D,3,FALSE)</f>
        <v>24</v>
      </c>
      <c r="Q15" s="52">
        <f t="shared" ref="Q15:Q19" si="7">B15*P15</f>
        <v>24</v>
      </c>
    </row>
    <row r="16" spans="1:17" s="2" customFormat="1" ht="13.15" customHeight="1" x14ac:dyDescent="0.25">
      <c r="A16" s="4">
        <v>312</v>
      </c>
      <c r="B16" s="2">
        <v>1</v>
      </c>
      <c r="C16" s="135" t="s">
        <v>91</v>
      </c>
      <c r="D16" s="325" t="str">
        <f>VLOOKUP(C16,Purchased!A:B,2,0)</f>
        <v>WERMA incandescent light element, 70mm diameter, yellow, permanent light function, 12-240 VAC/VDC, colored lens, IP65. Purchase bulb separately.</v>
      </c>
      <c r="E16" s="342"/>
      <c r="F16" s="108" t="str">
        <f>IF(VLOOKUP($C16,Purchased!A:Z,11,0) = 0, " ", VLOOKUP($C16,Purchased!A:Z,11,0))</f>
        <v>WERMA</v>
      </c>
      <c r="G16" s="108" t="str">
        <f>IF(VLOOKUP($C16,Purchased!A:Z,12,0)=0, " ", VLOOKUP($C16,Purchased!A:Z,12,0))</f>
        <v>AUTO DIRECT</v>
      </c>
      <c r="H16" s="327" t="str">
        <f>IF(VLOOKUP($C16,Purchased!A:Z,13,0)=0, " ", VLOOKUP($C16,Purchased!A:Z,13,0))</f>
        <v xml:space="preserve"> 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6"/>
        <v>1</v>
      </c>
      <c r="P16" s="51">
        <f>VLOOKUP(C16,Purchased!A:D,3,FALSE)</f>
        <v>24</v>
      </c>
      <c r="Q16" s="52">
        <f t="shared" si="7"/>
        <v>24</v>
      </c>
    </row>
    <row r="17" spans="1:17" s="2" customFormat="1" ht="13.15" customHeight="1" x14ac:dyDescent="0.25">
      <c r="A17" s="4">
        <v>313</v>
      </c>
      <c r="B17" s="2">
        <v>1</v>
      </c>
      <c r="C17" s="135" t="s">
        <v>92</v>
      </c>
      <c r="D17" s="325" t="str">
        <f>VLOOKUP(C17,Purchased!A:B,2,0)</f>
        <v>WERMA incandescent light element, 70mm diameter, green, permanent light function, 12-240 VAC/VDC, colored lens, IP65. Purchase bulb separately.</v>
      </c>
      <c r="E17" s="342"/>
      <c r="F17" s="108" t="str">
        <f>IF(VLOOKUP($C17,Purchased!A:Z,11,0) = 0, " ", VLOOKUP($C17,Purchased!A:Z,11,0))</f>
        <v>WERMA</v>
      </c>
      <c r="G17" s="108" t="str">
        <f>IF(VLOOKUP($C17,Purchased!A:Z,12,0)=0, " ", VLOOKUP($C17,Purchased!A:Z,12,0))</f>
        <v>AUTO DIRECT</v>
      </c>
      <c r="H17" s="327" t="str">
        <f>IF(VLOOKUP($C17,Purchased!A:Z,13,0)=0, " ", VLOOKUP($C17,Purchased!A:Z,13,0))</f>
        <v xml:space="preserve"> </v>
      </c>
      <c r="I17" s="328"/>
      <c r="J17" s="46" t="str">
        <f>IF(VLOOKUP($C17,Purchased!A:Z,14,0)=0, " ", VLOOKUP($C17,Purchased!A:Z,14,0))</f>
        <v>N/A</v>
      </c>
      <c r="K17" s="46" t="str">
        <f>IF(VLOOKUP(C17,Purchased!A:R,14,0)=0, " ", VLOOKUP(C17,Purchased!A:R,14,0))</f>
        <v>N/A</v>
      </c>
      <c r="L17" s="46" t="str">
        <f>IF(VLOOKUP(C17,Purchased!A:R,15,0)=0, " ", VLOOKUP(C17,Purchased!A:R,15,0))</f>
        <v xml:space="preserve"> </v>
      </c>
      <c r="M17" s="46" t="str">
        <f>IF(VLOOKUP(C17,Purchased!A:R,16,0)=0, " ",VLOOKUP(C17,Purchased!A:R,16,0))</f>
        <v xml:space="preserve"> </v>
      </c>
      <c r="N17" s="130" t="str">
        <f>IF(VLOOKUP(C17,Purchased!A:R,17,0)=0, " ", VLOOKUP(C17,Purchased!A:R,17,0))</f>
        <v xml:space="preserve"> </v>
      </c>
      <c r="O17" s="47">
        <f t="shared" ca="1" si="6"/>
        <v>1</v>
      </c>
      <c r="P17" s="51">
        <f>VLOOKUP(C17,Purchased!A:D,3,FALSE)</f>
        <v>24</v>
      </c>
      <c r="Q17" s="52">
        <f t="shared" si="7"/>
        <v>24</v>
      </c>
    </row>
    <row r="18" spans="1:17" s="2" customFormat="1" ht="13.15" customHeight="1" x14ac:dyDescent="0.25">
      <c r="A18" s="4">
        <v>314</v>
      </c>
      <c r="B18" s="2">
        <v>1</v>
      </c>
      <c r="C18" s="135" t="s">
        <v>93</v>
      </c>
      <c r="D18" s="325" t="str">
        <f>VLOOKUP(C18,Purchased!A:B,2,0)</f>
        <v>WERMA stack light 70mm buzzer element, 85 dB at 1m, continuous or pulse tone(s), 24 VAC/VDC, IP65.</v>
      </c>
      <c r="E18" s="342"/>
      <c r="F18" s="108" t="str">
        <f>IF(VLOOKUP($C18,Purchased!A:Z,11,0) = 0, " ", VLOOKUP($C18,Purchased!A:Z,11,0))</f>
        <v>WERMA</v>
      </c>
      <c r="G18" s="108" t="str">
        <f>IF(VLOOKUP($C18,Purchased!A:Z,12,0)=0, " ", VLOOKUP($C18,Purchased!A:Z,12,0))</f>
        <v>AUTO DIRECT</v>
      </c>
      <c r="H18" s="327" t="str">
        <f>IF(VLOOKUP($C18,Purchased!A:Z,13,0)=0, " ", VLOOKUP($C18,Purchased!A:Z,13,0))</f>
        <v xml:space="preserve"> 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 t="str">
        <f>IF(VLOOKUP(C18,Purchased!A:R,15,0)=0, " ", VLOOKUP(C18,Purchased!A:R,15,0))</f>
        <v xml:space="preserve"> </v>
      </c>
      <c r="M18" s="46" t="str">
        <f>IF(VLOOKUP(C18,Purchased!A:R,16,0)=0, " ",VLOOKUP(C18,Purchased!A:R,16,0))</f>
        <v xml:space="preserve"> </v>
      </c>
      <c r="N18" s="130" t="str">
        <f>IF(VLOOKUP(C18,Purchased!A:R,17,0)=0, " ", VLOOKUP(C18,Purchased!A:R,17,0))</f>
        <v xml:space="preserve"> </v>
      </c>
      <c r="O18" s="47">
        <f t="shared" ca="1" si="6"/>
        <v>1</v>
      </c>
      <c r="P18" s="51">
        <f>VLOOKUP(C18,Purchased!A:D,3,FALSE)</f>
        <v>58</v>
      </c>
      <c r="Q18" s="52">
        <f t="shared" si="7"/>
        <v>58</v>
      </c>
    </row>
    <row r="19" spans="1:17" s="2" customFormat="1" ht="13.15" customHeight="1" x14ac:dyDescent="0.25">
      <c r="A19" s="4">
        <v>315</v>
      </c>
      <c r="B19" s="2">
        <v>1</v>
      </c>
      <c r="C19" s="135" t="s">
        <v>94</v>
      </c>
      <c r="D19" s="325" t="str">
        <f>VLOOKUP(C19,Purchased!A:B,2,0)</f>
        <v>WERMA mounting bracket, 1-sided mount, black, polyamide.</v>
      </c>
      <c r="E19" s="342"/>
      <c r="F19" s="108" t="str">
        <f>IF(VLOOKUP($C19,Purchased!A:Z,11,0) = 0, " ", VLOOKUP($C19,Purchased!A:Z,11,0))</f>
        <v>WERMA</v>
      </c>
      <c r="G19" s="108" t="str">
        <f>IF(VLOOKUP($C19,Purchased!A:Z,12,0)=0, " ", VLOOKUP($C19,Purchased!A:Z,12,0))</f>
        <v>AUTO DIRECT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 t="str">
        <f>IF(VLOOKUP(C19,Purchased!A:R,15,0)=0, " ", VLOOKUP(C19,Purchased!A:R,15,0))</f>
        <v xml:space="preserve"> </v>
      </c>
      <c r="M19" s="46" t="str">
        <f>IF(VLOOKUP(C19,Purchased!A:R,16,0)=0, " ",VLOOKUP(C19,Purchased!A:R,16,0))</f>
        <v xml:space="preserve"> </v>
      </c>
      <c r="N19" s="130" t="str">
        <f>IF(VLOOKUP(C19,Purchased!A:R,17,0)=0, " ", VLOOKUP(C19,Purchased!A:R,17,0))</f>
        <v xml:space="preserve"> </v>
      </c>
      <c r="O19" s="47">
        <f t="shared" ca="1" si="6"/>
        <v>1</v>
      </c>
      <c r="P19" s="51">
        <f>VLOOKUP(C19,Purchased!A:D,3,FALSE)</f>
        <v>15</v>
      </c>
      <c r="Q19" s="52">
        <f t="shared" si="7"/>
        <v>15</v>
      </c>
    </row>
    <row r="20" spans="1:17" s="2" customFormat="1" ht="13.15" customHeight="1" x14ac:dyDescent="0.25">
      <c r="A20" s="4">
        <v>316</v>
      </c>
      <c r="B20" s="2">
        <v>3</v>
      </c>
      <c r="C20" s="135" t="s">
        <v>3865</v>
      </c>
      <c r="D20" s="325" t="str">
        <f>VLOOKUP(C20,Purchased!A:B,2,0)</f>
        <v>WERMA bulb, incandescent, replacement, 24 VDC, BA15d bayonet, clear/white, 5W</v>
      </c>
      <c r="E20" s="342"/>
      <c r="F20" s="108" t="str">
        <f>IF(VLOOKUP($C20,Purchased!A:Z,11,0) = 0, " ", VLOOKUP($C20,Purchased!A:Z,11,0))</f>
        <v>WERMA</v>
      </c>
      <c r="G20" s="108" t="str">
        <f>IF(VLOOKUP($C20,Purchased!A:Z,12,0)=0, " ", VLOOKUP($C20,Purchased!A:Z,12,0))</f>
        <v>AUTO DIRECT</v>
      </c>
      <c r="H20" s="327" t="str">
        <f>IF(VLOOKUP($C20,Purchased!A:Z,13,0)=0, " ", VLOOKUP($C20,Purchased!A:Z,13,0))</f>
        <v xml:space="preserve"> </v>
      </c>
      <c r="I20" s="328"/>
      <c r="J20" s="46" t="str">
        <f>IF(VLOOKUP($C20,Purchased!A:Z,14,0)=0, " ", VLOOKUP($C20,Purchased!A:Z,14,0))</f>
        <v>N/A</v>
      </c>
      <c r="K20" s="46" t="str">
        <f>IF(VLOOKUP(C20,Purchased!A:R,14,0)=0, " ", VLOOKUP(C20,Purchased!A:R,14,0))</f>
        <v>N/A</v>
      </c>
      <c r="L20" s="46" t="str">
        <f>IF(VLOOKUP(C20,Purchased!A:R,15,0)=0, " ", VLOOKUP(C20,Purchased!A:R,15,0))</f>
        <v xml:space="preserve"> </v>
      </c>
      <c r="M20" s="46" t="str">
        <f>IF(VLOOKUP(C20,Purchased!A:R,16,0)=0, " ",VLOOKUP(C20,Purchased!A:R,16,0))</f>
        <v xml:space="preserve"> </v>
      </c>
      <c r="N20" s="130" t="str">
        <f>IF(VLOOKUP(C20,Purchased!A:R,17,0)=0, " ", VLOOKUP(C20,Purchased!A:R,17,0))</f>
        <v xml:space="preserve"> </v>
      </c>
      <c r="O20" s="47">
        <f ca="1">B20*$L$2</f>
        <v>3</v>
      </c>
      <c r="P20" s="51">
        <f>VLOOKUP(C20,Purchased!A:D,3,FALSE)</f>
        <v>8.75</v>
      </c>
      <c r="Q20" s="52">
        <f>B20*P20</f>
        <v>26.25</v>
      </c>
    </row>
    <row r="21" spans="1:17" s="2" customFormat="1" ht="12.75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/>
      <c r="N21" s="29"/>
      <c r="O21" s="29"/>
      <c r="P21" s="148"/>
      <c r="Q21" s="149"/>
    </row>
    <row r="22" spans="1:17" s="2" customFormat="1" ht="12.75" customHeight="1" thickBot="1" x14ac:dyDescent="0.3">
      <c r="A22" s="4">
        <v>501</v>
      </c>
      <c r="B22" s="2">
        <v>4</v>
      </c>
      <c r="C22" s="122" t="s">
        <v>95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ca="1">B22*$L$2</f>
        <v>4</v>
      </c>
      <c r="P22" s="51">
        <f>VLOOKUP(C22,Bolts!A:B,2,FALSE)</f>
        <v>0</v>
      </c>
      <c r="Q22" s="52">
        <f>B22*P22</f>
        <v>0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 t="e">
        <f>SUM(Q5:Q22)</f>
        <v>#N/A</v>
      </c>
    </row>
    <row r="24" spans="1:17" s="2" customFormat="1" ht="12" customHeight="1" x14ac:dyDescent="0.2">
      <c r="D24" s="21"/>
      <c r="E24" s="21"/>
      <c r="J24" s="8"/>
      <c r="K24" s="8"/>
      <c r="L24" s="8"/>
      <c r="M24" s="8"/>
      <c r="N24" s="131"/>
      <c r="O24" s="5"/>
      <c r="P24" s="98"/>
      <c r="Q24" s="105"/>
    </row>
  </sheetData>
  <sheetProtection selectLockedCells="1"/>
  <mergeCells count="37">
    <mergeCell ref="D20:E20"/>
    <mergeCell ref="H20:I20"/>
    <mergeCell ref="H19:I19"/>
    <mergeCell ref="H14:I14"/>
    <mergeCell ref="H15:I15"/>
    <mergeCell ref="H16:I16"/>
    <mergeCell ref="H17:I17"/>
    <mergeCell ref="H18:I18"/>
    <mergeCell ref="D1:E1"/>
    <mergeCell ref="D4:E4"/>
    <mergeCell ref="H4:I4"/>
    <mergeCell ref="D5:E5"/>
    <mergeCell ref="H5:I5"/>
    <mergeCell ref="D6:E6"/>
    <mergeCell ref="H6:I6"/>
    <mergeCell ref="D8:E8"/>
    <mergeCell ref="H8:I8"/>
    <mergeCell ref="D9:E9"/>
    <mergeCell ref="H9:I9"/>
    <mergeCell ref="D7:E7"/>
    <mergeCell ref="H7:I7"/>
    <mergeCell ref="D10:E10"/>
    <mergeCell ref="H10:I10"/>
    <mergeCell ref="D21:E21"/>
    <mergeCell ref="H21:I21"/>
    <mergeCell ref="D23:E23"/>
    <mergeCell ref="H23:I23"/>
    <mergeCell ref="D22:E22"/>
    <mergeCell ref="D14:E14"/>
    <mergeCell ref="D15:E15"/>
    <mergeCell ref="D16:E16"/>
    <mergeCell ref="D17:E17"/>
    <mergeCell ref="D18:E18"/>
    <mergeCell ref="D19:E19"/>
    <mergeCell ref="H11:I11"/>
    <mergeCell ref="H12:I12"/>
    <mergeCell ref="H13:I13"/>
  </mergeCells>
  <conditionalFormatting sqref="M21:M22">
    <cfRule type="cellIs" dxfId="2236" priority="31" stopIfTrue="1" operator="lessThanOrEqual">
      <formula>$L21</formula>
    </cfRule>
    <cfRule type="cellIs" dxfId="2235" priority="32" operator="greaterThan">
      <formula>L21</formula>
    </cfRule>
  </conditionalFormatting>
  <conditionalFormatting sqref="M5">
    <cfRule type="cellIs" dxfId="2234" priority="29" stopIfTrue="1" operator="lessThanOrEqual">
      <formula>$L5</formula>
    </cfRule>
    <cfRule type="cellIs" dxfId="2233" priority="30" operator="greaterThan">
      <formula>L5</formula>
    </cfRule>
  </conditionalFormatting>
  <conditionalFormatting sqref="M6">
    <cfRule type="cellIs" dxfId="2232" priority="27" stopIfTrue="1" operator="lessThanOrEqual">
      <formula>$L6</formula>
    </cfRule>
    <cfRule type="cellIs" dxfId="2231" priority="28" operator="greaterThan">
      <formula>L6</formula>
    </cfRule>
  </conditionalFormatting>
  <conditionalFormatting sqref="M7">
    <cfRule type="cellIs" dxfId="2230" priority="25" stopIfTrue="1" operator="lessThanOrEqual">
      <formula>$L7</formula>
    </cfRule>
    <cfRule type="cellIs" dxfId="2229" priority="26" operator="greaterThan">
      <formula>L7</formula>
    </cfRule>
  </conditionalFormatting>
  <conditionalFormatting sqref="M8">
    <cfRule type="cellIs" dxfId="2228" priority="23" stopIfTrue="1" operator="lessThanOrEqual">
      <formula>$L8</formula>
    </cfRule>
    <cfRule type="cellIs" dxfId="2227" priority="24" operator="greaterThan">
      <formula>L8</formula>
    </cfRule>
  </conditionalFormatting>
  <conditionalFormatting sqref="M9">
    <cfRule type="cellIs" dxfId="2226" priority="21" stopIfTrue="1" operator="lessThanOrEqual">
      <formula>$L9</formula>
    </cfRule>
    <cfRule type="cellIs" dxfId="2225" priority="22" operator="greaterThan">
      <formula>L9</formula>
    </cfRule>
  </conditionalFormatting>
  <conditionalFormatting sqref="M10">
    <cfRule type="cellIs" dxfId="2224" priority="19" stopIfTrue="1" operator="lessThanOrEqual">
      <formula>$L10</formula>
    </cfRule>
    <cfRule type="cellIs" dxfId="2223" priority="20" operator="greaterThan">
      <formula>L10</formula>
    </cfRule>
  </conditionalFormatting>
  <conditionalFormatting sqref="M11">
    <cfRule type="cellIs" dxfId="2222" priority="17" stopIfTrue="1" operator="lessThanOrEqual">
      <formula>$L11</formula>
    </cfRule>
    <cfRule type="cellIs" dxfId="2221" priority="18" operator="greaterThan">
      <formula>L11</formula>
    </cfRule>
  </conditionalFormatting>
  <conditionalFormatting sqref="M12">
    <cfRule type="cellIs" dxfId="2220" priority="15" stopIfTrue="1" operator="lessThanOrEqual">
      <formula>$L12</formula>
    </cfRule>
    <cfRule type="cellIs" dxfId="2219" priority="16" operator="greaterThan">
      <formula>L12</formula>
    </cfRule>
  </conditionalFormatting>
  <conditionalFormatting sqref="M13">
    <cfRule type="cellIs" dxfId="2218" priority="13" stopIfTrue="1" operator="lessThanOrEqual">
      <formula>$L13</formula>
    </cfRule>
    <cfRule type="cellIs" dxfId="2217" priority="14" operator="greaterThan">
      <formula>L13</formula>
    </cfRule>
  </conditionalFormatting>
  <conditionalFormatting sqref="M14">
    <cfRule type="cellIs" dxfId="2216" priority="11" stopIfTrue="1" operator="lessThanOrEqual">
      <formula>$L14</formula>
    </cfRule>
    <cfRule type="cellIs" dxfId="2215" priority="12" operator="greaterThan">
      <formula>L14</formula>
    </cfRule>
  </conditionalFormatting>
  <conditionalFormatting sqref="M15">
    <cfRule type="cellIs" dxfId="2214" priority="9" stopIfTrue="1" operator="lessThanOrEqual">
      <formula>$L15</formula>
    </cfRule>
    <cfRule type="cellIs" dxfId="2213" priority="10" operator="greaterThan">
      <formula>L15</formula>
    </cfRule>
  </conditionalFormatting>
  <conditionalFormatting sqref="M16">
    <cfRule type="cellIs" dxfId="2212" priority="7" stopIfTrue="1" operator="lessThanOrEqual">
      <formula>$L16</formula>
    </cfRule>
    <cfRule type="cellIs" dxfId="2211" priority="8" operator="greaterThan">
      <formula>L16</formula>
    </cfRule>
  </conditionalFormatting>
  <conditionalFormatting sqref="M17">
    <cfRule type="cellIs" dxfId="2210" priority="5" stopIfTrue="1" operator="lessThanOrEqual">
      <formula>$L17</formula>
    </cfRule>
    <cfRule type="cellIs" dxfId="2209" priority="6" operator="greaterThan">
      <formula>L17</formula>
    </cfRule>
  </conditionalFormatting>
  <conditionalFormatting sqref="M18">
    <cfRule type="cellIs" dxfId="2208" priority="3" stopIfTrue="1" operator="lessThanOrEqual">
      <formula>$L18</formula>
    </cfRule>
    <cfRule type="cellIs" dxfId="2207" priority="4" operator="greaterThan">
      <formula>L18</formula>
    </cfRule>
  </conditionalFormatting>
  <conditionalFormatting sqref="M19:M20">
    <cfRule type="cellIs" dxfId="2206" priority="1" stopIfTrue="1" operator="lessThanOrEqual">
      <formula>$L19</formula>
    </cfRule>
    <cfRule type="cellIs" dxfId="2205" priority="2" operator="greaterThan">
      <formula>L19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58EE8D-670E-470B-8F1B-5DB81DB43E63}">
          <x14:formula1>
            <xm:f>Bolts!$A:$A</xm:f>
          </x14:formula1>
          <xm:sqref>C21</xm:sqref>
        </x14:dataValidation>
        <x14:dataValidation type="list" allowBlank="1" showInputMessage="1" showErrorMessage="1" xr:uid="{D647540F-D715-4083-A6A0-AAB850CAE8A8}">
          <x14:formula1>
            <xm:f>Purchased!$A:$A</xm:f>
          </x14:formula1>
          <xm:sqref>C5:C20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88031-C3B2-4F2E-915A-45486F4B9EAA}">
  <sheetPr codeName="Sheet5">
    <tabColor theme="0" tint="-0.249977111117893"/>
  </sheetPr>
  <dimension ref="A1:Q24"/>
  <sheetViews>
    <sheetView zoomScale="115" zoomScaleNormal="115" workbookViewId="0">
      <selection activeCell="D11" sqref="D11:E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'1'!C13</f>
        <v>PG10.0.3.0.A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'1'!D13</f>
        <v>Unwind IO Enclosure</v>
      </c>
      <c r="D3" s="85" t="s">
        <v>50</v>
      </c>
      <c r="E3" s="86" t="str">
        <f ca="1">MID(CELL("filename",A1),FIND("]",CELL("filename",A1))+1,256)</f>
        <v>0.3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10" t="s">
        <v>54</v>
      </c>
      <c r="B5" s="111">
        <v>1</v>
      </c>
      <c r="C5" s="112" t="s">
        <v>96</v>
      </c>
      <c r="D5" s="336" t="str">
        <f ca="1">VLOOKUP(C5,Assemblies!E:P,2,0)</f>
        <v>Manifold 1 Unwind Nips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1</v>
      </c>
      <c r="P5" s="117"/>
      <c r="Q5" s="118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1</v>
      </c>
      <c r="C7" s="135" t="s">
        <v>97</v>
      </c>
      <c r="D7" s="343" t="str">
        <f>VLOOKUP(C7,Purchased!A:B,2,0)</f>
        <v>Custom Saginaw IO Enclosure</v>
      </c>
      <c r="E7" s="344"/>
      <c r="F7" s="108" t="str">
        <f>IF(VLOOKUP($C7,Purchased!A:Z,11,0) = 0, " ", VLOOKUP($C7,Purchased!A:Z,11,0))</f>
        <v>Saginaw</v>
      </c>
      <c r="G7" s="108" t="str">
        <f>IF(VLOOKUP($C7,Purchased!A:Z,12,0)=0, " ", VLOOKUP($C7,Purchased!A:Z,12,0))</f>
        <v>Saginaw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45415</v>
      </c>
      <c r="K7" s="46">
        <f>IF(VLOOKUP(C7,Purchased!A:R,14,0)=0, " ", VLOOKUP(C7,Purchased!A:R,14,0))</f>
        <v>45415</v>
      </c>
      <c r="L7" s="46">
        <f>IF(VLOOKUP(C7,Purchased!A:R,15,0)=0, " ", VLOOKUP(C7,Purchased!A:R,15,0))</f>
        <v>45415</v>
      </c>
      <c r="M7" s="46">
        <f>IF(VLOOKUP(C7,Purchased!A:R,16,0)=0, " ",VLOOKUP(C7,Purchased!A:R,16,0))</f>
        <v>45485</v>
      </c>
      <c r="N7" s="130">
        <f>IF(VLOOKUP(C7,Purchased!A:R,17,0)=0, " ", VLOOKUP(C7,Purchased!A:R,17,0))</f>
        <v>45485</v>
      </c>
      <c r="O7" s="47">
        <f t="shared" ref="O7:O15" ca="1" si="2">B7*$L$2</f>
        <v>1</v>
      </c>
      <c r="P7" s="51">
        <f>VLOOKUP(C7,Purchased!A:D,3,FALSE)</f>
        <v>509.65</v>
      </c>
      <c r="Q7" s="52">
        <f t="shared" ref="Q7:Q15" si="3">B7*P7</f>
        <v>509.65</v>
      </c>
    </row>
    <row r="8" spans="1:17" s="2" customFormat="1" ht="12.75" customHeight="1" x14ac:dyDescent="0.25">
      <c r="A8" s="4">
        <v>302</v>
      </c>
      <c r="B8" s="2">
        <v>1</v>
      </c>
      <c r="C8" s="135" t="s">
        <v>98</v>
      </c>
      <c r="D8" s="343" t="str">
        <f>VLOOKUP(C8,Purchased!A:B,2,0)</f>
        <v>Custom Subpanel for NUL1-12EL6010LP Enclosure</v>
      </c>
      <c r="E8" s="344"/>
      <c r="F8" s="108" t="str">
        <f>IF(VLOOKUP($C8,Purchased!A:Z,11,0) = 0, " ", VLOOKUP($C8,Purchased!A:Z,11,0))</f>
        <v>Saginaw</v>
      </c>
      <c r="G8" s="108" t="str">
        <f>IF(VLOOKUP($C8,Purchased!A:Z,12,0)=0, " ", VLOOKUP($C8,Purchased!A:Z,12,0))</f>
        <v>Saginaw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45415</v>
      </c>
      <c r="K8" s="46">
        <f>IF(VLOOKUP(C8,Purchased!A:R,14,0)=0, " ", VLOOKUP(C8,Purchased!A:R,14,0))</f>
        <v>45415</v>
      </c>
      <c r="L8" s="46">
        <f>IF(VLOOKUP(C8,Purchased!A:R,15,0)=0, " ", VLOOKUP(C8,Purchased!A:R,15,0))</f>
        <v>45415</v>
      </c>
      <c r="M8" s="46">
        <f>IF(VLOOKUP(C8,Purchased!A:R,16,0)=0, " ",VLOOKUP(C8,Purchased!A:R,16,0))</f>
        <v>45485</v>
      </c>
      <c r="N8" s="130">
        <f>IF(VLOOKUP(C8,Purchased!A:R,17,0)=0, " ", VLOOKUP(C8,Purchased!A:R,17,0))</f>
        <v>45485</v>
      </c>
      <c r="O8" s="47">
        <f t="shared" ref="O8" ca="1" si="4">B8*$L$2</f>
        <v>1</v>
      </c>
      <c r="P8" s="51">
        <f>VLOOKUP(C8,Purchased!A:D,3,FALSE)</f>
        <v>94.57</v>
      </c>
      <c r="Q8" s="52">
        <f t="shared" ref="Q8" si="5">B8*P8</f>
        <v>94.57</v>
      </c>
    </row>
    <row r="9" spans="1:17" s="2" customFormat="1" ht="12.75" customHeight="1" x14ac:dyDescent="0.25">
      <c r="A9" s="4">
        <v>303</v>
      </c>
      <c r="B9" s="2">
        <v>8</v>
      </c>
      <c r="C9" s="135" t="s">
        <v>99</v>
      </c>
      <c r="D9" s="343" t="str">
        <f>VLOOKUP(C9,Purchased!A:B,2,0)</f>
        <v>Fitting for Flexible Plastic Conduit, Straight Adapter, 1 Trade Size Female x 1 
NPT Male</v>
      </c>
      <c r="E9" s="344"/>
      <c r="F9" s="108" t="str">
        <f>IF(VLOOKUP($C9,Purchased!A:Z,11,0) = 0, " ", VLOOKUP($C9,Purchased!A:Z,11,0))</f>
        <v>PMA</v>
      </c>
      <c r="G9" s="108" t="str">
        <f>IF(VLOOKUP($C9,Purchased!A:Z,12,0)=0, " ", VLOOKUP($C9,Purchased!A:Z,12,0))</f>
        <v>RS AMERICAS</v>
      </c>
      <c r="H9" s="327" t="str">
        <f>IF(VLOOKUP($C9,Purchased!A:Z,13,0)=0, " ", VLOOKUP($C9,Purchased!A:Z,13,0))</f>
        <v>Use PMA BVND-N069-GT</v>
      </c>
      <c r="I9" s="328"/>
      <c r="J9" s="46">
        <f>IF(VLOOKUP($C9,Purchased!A:Z,14,0)=0, " ", VLOOKUP($C9,Purchased!A:Z,14,0))</f>
        <v>45493</v>
      </c>
      <c r="K9" s="46">
        <f>IF(VLOOKUP(C9,Purchased!A:R,14,0)=0, " ", VLOOKUP(C9,Purchased!A:R,14,0))</f>
        <v>45493</v>
      </c>
      <c r="L9" s="46">
        <f>IF(VLOOKUP(C9,Purchased!A:R,15,0)=0, " ", VLOOKUP(C9,Purchased!A:R,15,0))</f>
        <v>45499</v>
      </c>
      <c r="M9" s="46">
        <f>IF(VLOOKUP(C9,Purchased!A:R,16,0)=0, " ",VLOOKUP(C9,Purchased!A:R,16,0))</f>
        <v>45534</v>
      </c>
      <c r="N9" s="130">
        <f>IF(VLOOKUP(C9,Purchased!A:R,17,0)=0, " ", VLOOKUP(C9,Purchased!A:R,17,0))</f>
        <v>45534</v>
      </c>
      <c r="O9" s="47">
        <f t="shared" ca="1" si="2"/>
        <v>8</v>
      </c>
      <c r="P9" s="51">
        <f>VLOOKUP(C9,Purchased!A:D,3,FALSE)</f>
        <v>13.96</v>
      </c>
      <c r="Q9" s="52">
        <f t="shared" si="3"/>
        <v>111.68</v>
      </c>
    </row>
    <row r="10" spans="1:17" s="2" customFormat="1" ht="12.75" customHeight="1" x14ac:dyDescent="0.25">
      <c r="A10" s="4">
        <v>304</v>
      </c>
      <c r="B10" s="2">
        <v>4</v>
      </c>
      <c r="C10" s="135">
        <v>51522</v>
      </c>
      <c r="D10" s="343" t="str">
        <f>VLOOKUP(C10,Purchased!A:B,2,0)</f>
        <v>ICOTEK, cable throughway, Prod num KEL-BES-S-24</v>
      </c>
      <c r="E10" s="345"/>
      <c r="F10" s="108" t="str">
        <f>IF(VLOOKUP($C10,Purchased!A:Z,11,0) = 0, " ", VLOOKUP($C10,Purchased!A:Z,11,0))</f>
        <v>ICOTEK</v>
      </c>
      <c r="G10" s="108" t="str">
        <f>IF(VLOOKUP($C10,Purchased!A:Z,12,0)=0, " ", VLOOKUP($C10,Purchased!A:Z,12,0))</f>
        <v>PRO Automat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45456</v>
      </c>
      <c r="K10" s="46">
        <f>IF(VLOOKUP(C10,Purchased!A:R,14,0)=0, " ", VLOOKUP(C10,Purchased!A:R,14,0))</f>
        <v>45456</v>
      </c>
      <c r="L10" s="46">
        <f>IF(VLOOKUP(C10,Purchased!A:R,15,0)=0, " ", VLOOKUP(C10,Purchased!A:R,15,0))</f>
        <v>45504</v>
      </c>
      <c r="M10" s="46">
        <f>IF(VLOOKUP(C10,Purchased!A:R,16,0)=0, " ",VLOOKUP(C10,Purchased!A:R,16,0))</f>
        <v>45534</v>
      </c>
      <c r="N10" s="130">
        <f>IF(VLOOKUP(C10,Purchased!A:R,17,0)=0, " ", VLOOKUP(C10,Purchased!A:R,17,0))</f>
        <v>45534</v>
      </c>
      <c r="O10" s="47">
        <f t="shared" ca="1" si="2"/>
        <v>4</v>
      </c>
      <c r="P10" s="51">
        <f>VLOOKUP(C10,Purchased!A:D,3,FALSE)</f>
        <v>10.199999999999999</v>
      </c>
      <c r="Q10" s="52">
        <f t="shared" si="3"/>
        <v>40.799999999999997</v>
      </c>
    </row>
    <row r="11" spans="1:17" s="2" customFormat="1" ht="12.75" customHeight="1" x14ac:dyDescent="0.25">
      <c r="A11" s="4">
        <v>305</v>
      </c>
      <c r="B11" s="2">
        <v>3</v>
      </c>
      <c r="C11" s="135">
        <v>42027</v>
      </c>
      <c r="D11" s="343" t="str">
        <f>VLOOKUP(C11,Purchased!A:B,2,0)</f>
        <v>BPM 24 Icotek Blanking Plate</v>
      </c>
      <c r="E11" s="345"/>
      <c r="F11" s="108" t="str">
        <f>IF(VLOOKUP($C11,Purchased!A:Z,11,0) = 0, " ", VLOOKUP($C11,Purchased!A:Z,11,0))</f>
        <v>ICOTEK</v>
      </c>
      <c r="G11" s="108" t="str">
        <f>IF(VLOOKUP($C11,Purchased!A:Z,12,0)=0, " ", VLOOKUP($C11,Purchased!A:Z,12,0))</f>
        <v>PRO Automat</v>
      </c>
      <c r="H11" s="327" t="str">
        <f>IF(VLOOKUP($C11,Purchased!A:Z,13,0)=0, " ", VLOOKUP($C11,Purchased!A:Z,13,0))</f>
        <v>Order 3 pkg 10</v>
      </c>
      <c r="I11" s="328"/>
      <c r="J11" s="46">
        <f>IF(VLOOKUP($C11,Purchased!A:Z,14,0)=0, " ", VLOOKUP($C11,Purchased!A:Z,14,0))</f>
        <v>45456</v>
      </c>
      <c r="K11" s="46">
        <f>IF(VLOOKUP(C11,Purchased!A:R,14,0)=0, " ", VLOOKUP(C11,Purchased!A:R,14,0))</f>
        <v>45456</v>
      </c>
      <c r="L11" s="46">
        <f>IF(VLOOKUP(C11,Purchased!A:R,15,0)=0, " ", VLOOKUP(C11,Purchased!A:R,15,0))</f>
        <v>45504</v>
      </c>
      <c r="M11" s="46">
        <f>IF(VLOOKUP(C11,Purchased!A:R,16,0)=0, " ",VLOOKUP(C11,Purchased!A:R,16,0))</f>
        <v>45534</v>
      </c>
      <c r="N11" s="130">
        <f>IF(VLOOKUP(C11,Purchased!A:R,17,0)=0, " ", VLOOKUP(C11,Purchased!A:R,17,0))</f>
        <v>45534</v>
      </c>
      <c r="O11" s="47">
        <f t="shared" ca="1" si="2"/>
        <v>3</v>
      </c>
      <c r="P11" s="51">
        <f>VLOOKUP(C11,Purchased!A:D,3,FALSE)</f>
        <v>6.72</v>
      </c>
      <c r="Q11" s="52">
        <f t="shared" si="3"/>
        <v>20.16</v>
      </c>
    </row>
    <row r="12" spans="1:17" s="2" customFormat="1" ht="12.75" customHeight="1" x14ac:dyDescent="0.25">
      <c r="A12" s="4">
        <v>306</v>
      </c>
      <c r="B12" s="2">
        <v>8</v>
      </c>
      <c r="C12" s="135" t="s">
        <v>100</v>
      </c>
      <c r="D12" s="343" t="str">
        <f>VLOOKUP(C12,Purchased!A:B,2,0)</f>
        <v>Snap-in Hole Plug for 1 Trade Size Knockout</v>
      </c>
      <c r="E12" s="345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>1 Additional Quantity Added to 55697</v>
      </c>
      <c r="I12" s="328"/>
      <c r="J12" s="46">
        <f>IF(VLOOKUP($C12,Purchased!A:Z,14,0)=0, " ", VLOOKUP($C12,Purchased!A:Z,14,0))</f>
        <v>45481</v>
      </c>
      <c r="K12" s="46">
        <f>IF(VLOOKUP(C12,Purchased!A:R,14,0)=0, " ", VLOOKUP(C12,Purchased!A:R,14,0))</f>
        <v>45481</v>
      </c>
      <c r="L12" s="46">
        <f>IF(VLOOKUP(C12,Purchased!A:R,15,0)=0, " ", VLOOKUP(C12,Purchased!A:R,15,0))</f>
        <v>45481</v>
      </c>
      <c r="M12" s="46">
        <f>IF(VLOOKUP(C12,Purchased!A:R,16,0)=0, " ",VLOOKUP(C12,Purchased!A:R,16,0))</f>
        <v>45482</v>
      </c>
      <c r="N12" s="130">
        <f>IF(VLOOKUP(C12,Purchased!A:R,17,0)=0, " ", VLOOKUP(C12,Purchased!A:R,17,0))</f>
        <v>45482</v>
      </c>
      <c r="O12" s="47">
        <f t="shared" ca="1" si="2"/>
        <v>8</v>
      </c>
      <c r="P12" s="51">
        <f>VLOOKUP(C12,Purchased!A:D,3,FALSE)</f>
        <v>13.48</v>
      </c>
      <c r="Q12" s="52">
        <f t="shared" si="3"/>
        <v>107.84</v>
      </c>
    </row>
    <row r="13" spans="1:17" s="2" customFormat="1" ht="12.75" customHeight="1" x14ac:dyDescent="0.25">
      <c r="A13" s="4">
        <v>307</v>
      </c>
      <c r="B13" s="2">
        <v>2</v>
      </c>
      <c r="C13" s="135" t="s">
        <v>101</v>
      </c>
      <c r="D13" s="343" t="str">
        <f>VLOOKUP(C13,Purchased!A:B,2,0)</f>
        <v>ITV model 20 1/4in port size</v>
      </c>
      <c r="E13" s="345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2x more on PO 55667 (EL 8/7)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45489</v>
      </c>
      <c r="M13" s="46">
        <f>IF(VLOOKUP(C13,Purchased!A:R,16,0)=0, " ",VLOOKUP(C13,Purchased!A:R,16,0))</f>
        <v>45510</v>
      </c>
      <c r="N13" s="130">
        <f>IF(VLOOKUP(C13,Purchased!A:R,17,0)=0, " ", VLOOKUP(C13,Purchased!A:R,17,0))</f>
        <v>45513</v>
      </c>
      <c r="O13" s="47">
        <f t="shared" ca="1" si="2"/>
        <v>2</v>
      </c>
      <c r="P13" s="51">
        <f>VLOOKUP(C13,Purchased!A:D,3,FALSE)</f>
        <v>348.48</v>
      </c>
      <c r="Q13" s="52">
        <f t="shared" si="3"/>
        <v>696.96</v>
      </c>
    </row>
    <row r="14" spans="1:17" s="2" customFormat="1" ht="12.75" customHeight="1" x14ac:dyDescent="0.25">
      <c r="A14" s="4">
        <v>308</v>
      </c>
      <c r="B14" s="2">
        <v>2</v>
      </c>
      <c r="C14" s="135" t="s">
        <v>102</v>
      </c>
      <c r="D14" s="343" t="str">
        <f>VLOOKUP(C14,Purchased!A:B,2,0)</f>
        <v>KQ2 straight fitting 1/4in port size to 8mm dia tubing</v>
      </c>
      <c r="E14" s="345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45491</v>
      </c>
      <c r="M14" s="46">
        <f>IF(VLOOKUP(C14,Purchased!A:R,16,0)=0, " ",VLOOKUP(C14,Purchased!A:R,16,0))</f>
        <v>45520</v>
      </c>
      <c r="N14" s="130">
        <f>IF(VLOOKUP(C14,Purchased!A:R,17,0)=0, " ", VLOOKUP(C14,Purchased!A:R,17,0))</f>
        <v>45511</v>
      </c>
      <c r="O14" s="47">
        <f t="shared" ca="1" si="2"/>
        <v>2</v>
      </c>
      <c r="P14" s="51">
        <f>VLOOKUP(C14,Purchased!A:D,3,FALSE)</f>
        <v>1.63</v>
      </c>
      <c r="Q14" s="52">
        <f t="shared" si="3"/>
        <v>3.26</v>
      </c>
    </row>
    <row r="15" spans="1:17" s="2" customFormat="1" ht="12.75" customHeight="1" x14ac:dyDescent="0.25">
      <c r="A15" s="4">
        <v>309</v>
      </c>
      <c r="B15" s="2">
        <v>4</v>
      </c>
      <c r="C15" s="135" t="s">
        <v>103</v>
      </c>
      <c r="D15" s="343" t="str">
        <f>VLOOKUP(C15,Purchased!A:B,2,0)</f>
        <v>KQ2 elbow fitting 1/4in port to 8mm tubing</v>
      </c>
      <c r="E15" s="345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45491</v>
      </c>
      <c r="M15" s="46">
        <f>IF(VLOOKUP(C15,Purchased!A:R,16,0)=0, " ",VLOOKUP(C15,Purchased!A:R,16,0))</f>
        <v>45520</v>
      </c>
      <c r="N15" s="130">
        <f>IF(VLOOKUP(C15,Purchased!A:R,17,0)=0, " ", VLOOKUP(C15,Purchased!A:R,17,0))</f>
        <v>45511</v>
      </c>
      <c r="O15" s="47">
        <f t="shared" ca="1" si="2"/>
        <v>4</v>
      </c>
      <c r="P15" s="51">
        <f>VLOOKUP(C15,Purchased!A:D,3,FALSE)</f>
        <v>2.2999999999999998</v>
      </c>
      <c r="Q15" s="52">
        <f t="shared" si="3"/>
        <v>9.1999999999999993</v>
      </c>
    </row>
    <row r="16" spans="1:17" s="2" customFormat="1" ht="12.75" customHeight="1" x14ac:dyDescent="0.25">
      <c r="A16" s="4">
        <v>310</v>
      </c>
      <c r="B16" s="2">
        <v>8</v>
      </c>
      <c r="C16" s="135" t="s">
        <v>104</v>
      </c>
      <c r="D16" s="343" t="str">
        <f>VLOOKUP(C16,Purchased!A:B,2,0)</f>
        <v>BRX GOTO T-NUT 10 M8</v>
      </c>
      <c r="E16" s="344"/>
      <c r="F16" s="108" t="str">
        <f>IF(VLOOKUP($C16,Purchased!A:Z,11,0) = 0, " ", VLOOKUP($C16,Purchased!A:Z,11,0))</f>
        <v>BRX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400 additional quantity added to 55710</v>
      </c>
      <c r="I16" s="328"/>
      <c r="J16" s="46">
        <f>IF(VLOOKUP($C16,Purchased!A:Z,14,0)=0, " ", VLOOKUP($C16,Purchased!A:Z,14,0))</f>
        <v>45463</v>
      </c>
      <c r="K16" s="46">
        <f>IF(VLOOKUP(C16,Purchased!A:R,14,0)=0, " ", VLOOKUP(C16,Purchased!A:R,14,0))</f>
        <v>45463</v>
      </c>
      <c r="L16" s="46">
        <f>IF(VLOOKUP(C16,Purchased!A:R,15,0)=0, " ", VLOOKUP(C16,Purchased!A:R,15,0))</f>
        <v>45463</v>
      </c>
      <c r="M16" s="46">
        <f>IF(VLOOKUP(C16,Purchased!A:R,16,0)=0, " ",VLOOKUP(C16,Purchased!A:R,16,0))</f>
        <v>45481</v>
      </c>
      <c r="N16" s="130">
        <f>IF(VLOOKUP(C16,Purchased!A:R,17,0)=0, " ", VLOOKUP(C16,Purchased!A:R,17,0))</f>
        <v>45481</v>
      </c>
      <c r="O16" s="47">
        <f t="shared" ref="O16" ca="1" si="6">B16*$L$2</f>
        <v>8</v>
      </c>
      <c r="P16" s="51">
        <f>VLOOKUP(C16,Purchased!A:D,3,FALSE)</f>
        <v>0.56000000000000005</v>
      </c>
      <c r="Q16" s="52">
        <f t="shared" ref="Q16" si="7">B16*P16</f>
        <v>4.4800000000000004</v>
      </c>
    </row>
    <row r="17" spans="1:17" s="2" customFormat="1" ht="12.75" customHeight="1" x14ac:dyDescent="0.25">
      <c r="A17" s="4">
        <v>311</v>
      </c>
      <c r="B17" s="2">
        <v>2</v>
      </c>
      <c r="C17" s="135" t="s">
        <v>105</v>
      </c>
      <c r="D17" s="343" t="str">
        <f>VLOOKUP(C17,Purchased!A:B,2,0)</f>
        <v>Keyence Sensor Amplifier, Cable Type, Monitor Output</v>
      </c>
      <c r="E17" s="344"/>
      <c r="F17" s="108" t="str">
        <f>IF(VLOOKUP($C17,Purchased!A:Z,11,0) = 0, " ", VLOOKUP($C17,Purchased!A:Z,11,0))</f>
        <v>KEYENCE</v>
      </c>
      <c r="G17" s="108" t="str">
        <f>IF(VLOOKUP($C17,Purchased!A:Z,12,0)=0, " ", VLOOKUP($C17,Purchased!A:Z,12,0))</f>
        <v>KEYENCE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45516</v>
      </c>
      <c r="K17" s="46">
        <f>IF(VLOOKUP(C17,Purchased!A:R,14,0)=0, " ", VLOOKUP(C17,Purchased!A:R,14,0))</f>
        <v>45516</v>
      </c>
      <c r="L17" s="46">
        <f>IF(VLOOKUP(C17,Purchased!A:R,15,0)=0, " ", VLOOKUP(C17,Purchased!A:R,15,0))</f>
        <v>45518</v>
      </c>
      <c r="M17" s="46">
        <f>IF(VLOOKUP(C17,Purchased!A:R,16,0)=0, " ",VLOOKUP(C17,Purchased!A:R,16,0))</f>
        <v>45526</v>
      </c>
      <c r="N17" s="130">
        <f>IF(VLOOKUP(C17,Purchased!A:R,17,0)=0, " ", VLOOKUP(C17,Purchased!A:R,17,0))</f>
        <v>45526</v>
      </c>
      <c r="O17" s="47">
        <f ca="1">B17*$L$2</f>
        <v>2</v>
      </c>
      <c r="P17" s="51">
        <f>VLOOKUP(C17,Purchased!A:D,3,FALSE)</f>
        <v>283</v>
      </c>
      <c r="Q17" s="52">
        <f>B17*P17</f>
        <v>566</v>
      </c>
    </row>
    <row r="18" spans="1:17" s="2" customFormat="1" ht="12.75" customHeight="1" x14ac:dyDescent="0.25">
      <c r="A18" s="4">
        <v>312</v>
      </c>
      <c r="B18" s="2">
        <v>2</v>
      </c>
      <c r="C18" s="135" t="s">
        <v>106</v>
      </c>
      <c r="D18" s="343" t="str">
        <f>VLOOKUP(C18,Purchased!A:B,2,0)</f>
        <v>M12 female 0° A-cod. with cable, PVC 4x0.34 bk UL/CSA 5m</v>
      </c>
      <c r="E18" s="344"/>
      <c r="F18" s="108" t="str">
        <f>IF(VLOOKUP($C18,Purchased!A:Z,11,0) = 0, " ", VLOOKUP($C18,Purchased!A:Z,11,0))</f>
        <v>MURR</v>
      </c>
      <c r="G18" s="108" t="str">
        <f>IF(VLOOKUP($C18,Purchased!A:Z,12,0)=0, " ", VLOOKUP($C18,Purchased!A:Z,12,0))</f>
        <v>MURR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45506</v>
      </c>
      <c r="K18" s="46">
        <f>IF(VLOOKUP(C18,Purchased!A:R,14,0)=0, " ", VLOOKUP(C18,Purchased!A:R,14,0))</f>
        <v>45506</v>
      </c>
      <c r="L18" s="46" t="str">
        <f>IF(VLOOKUP(C18,Purchased!A:R,15,0)=0, " ", VLOOKUP(C18,Purchased!A:R,15,0))</f>
        <v xml:space="preserve"> </v>
      </c>
      <c r="M18" s="46" t="str">
        <f>IF(VLOOKUP(C18,Purchased!A:R,16,0)=0, " ",VLOOKUP(C18,Purchased!A:R,16,0))</f>
        <v xml:space="preserve"> </v>
      </c>
      <c r="N18" s="130" t="str">
        <f>IF(VLOOKUP(C18,Purchased!A:R,17,0)=0, " ", VLOOKUP(C18,Purchased!A:R,17,0))</f>
        <v xml:space="preserve"> </v>
      </c>
      <c r="O18" s="47">
        <f ca="1">B18*$L$2</f>
        <v>2</v>
      </c>
      <c r="P18" s="51">
        <f>VLOOKUP(C18,Purchased!A:D,3,FALSE)</f>
        <v>0</v>
      </c>
      <c r="Q18" s="52">
        <f>B18*P18</f>
        <v>0</v>
      </c>
    </row>
    <row r="19" spans="1:17" s="2" customFormat="1" ht="12.75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.75" customHeight="1" x14ac:dyDescent="0.25">
      <c r="A20" s="4">
        <v>501</v>
      </c>
      <c r="B20" s="2">
        <v>24</v>
      </c>
      <c r="C20" s="122" t="s">
        <v>107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ca="1">B20*$L$2</f>
        <v>24</v>
      </c>
      <c r="P20" s="51">
        <f>VLOOKUP(C20,Bolts!A:B,2,FALSE)</f>
        <v>0</v>
      </c>
      <c r="Q20" s="52">
        <f>B20*P20</f>
        <v>0</v>
      </c>
    </row>
    <row r="21" spans="1:17" s="2" customFormat="1" ht="12.75" customHeight="1" x14ac:dyDescent="0.25">
      <c r="A21" s="4">
        <v>502</v>
      </c>
      <c r="B21" s="2">
        <v>8</v>
      </c>
      <c r="C21" s="122" t="s">
        <v>108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ca="1">B21*$L$2</f>
        <v>8</v>
      </c>
      <c r="P21" s="51">
        <f>VLOOKUP(C21,Bolts!A:B,2,FALSE)</f>
        <v>0</v>
      </c>
      <c r="Q21" s="52">
        <f>B21*P21</f>
        <v>0</v>
      </c>
    </row>
    <row r="22" spans="1:17" s="2" customFormat="1" ht="12.75" customHeight="1" thickBot="1" x14ac:dyDescent="0.3">
      <c r="A22" s="4">
        <v>503</v>
      </c>
      <c r="B22" s="2">
        <v>8</v>
      </c>
      <c r="C22" s="122" t="s">
        <v>109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ca="1">B22*$L$2</f>
        <v>8</v>
      </c>
      <c r="P22" s="51">
        <f>VLOOKUP(C22,Bolts!A:B,2,FALSE)</f>
        <v>0</v>
      </c>
      <c r="Q22" s="52">
        <f>B22*P22</f>
        <v>0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SUM(Q7:Q22)</f>
        <v>2164.6000000000004</v>
      </c>
    </row>
    <row r="24" spans="1:17" s="2" customFormat="1" ht="12" customHeight="1" x14ac:dyDescent="0.2">
      <c r="D24" s="21"/>
      <c r="E24" s="21"/>
      <c r="J24" s="8"/>
      <c r="K24" s="8"/>
      <c r="L24" s="8"/>
      <c r="M24" s="8"/>
      <c r="N24" s="131"/>
      <c r="O24" s="5"/>
      <c r="P24" s="98"/>
      <c r="Q24" s="105"/>
    </row>
  </sheetData>
  <sheetProtection selectLockedCells="1"/>
  <mergeCells count="38">
    <mergeCell ref="D10:E10"/>
    <mergeCell ref="D16:E16"/>
    <mergeCell ref="H16:I16"/>
    <mergeCell ref="D11:E11"/>
    <mergeCell ref="D13:E13"/>
    <mergeCell ref="D12:E12"/>
    <mergeCell ref="D14:E14"/>
    <mergeCell ref="D15:E15"/>
    <mergeCell ref="H10:I10"/>
    <mergeCell ref="H11:I11"/>
    <mergeCell ref="H12:I12"/>
    <mergeCell ref="H13:I13"/>
    <mergeCell ref="H14:I14"/>
    <mergeCell ref="H15:I15"/>
    <mergeCell ref="D9:E9"/>
    <mergeCell ref="H9:I9"/>
    <mergeCell ref="D1:E1"/>
    <mergeCell ref="D4:E4"/>
    <mergeCell ref="H4:I4"/>
    <mergeCell ref="H7:I7"/>
    <mergeCell ref="D7:E7"/>
    <mergeCell ref="D5:E5"/>
    <mergeCell ref="H5:I5"/>
    <mergeCell ref="D6:E6"/>
    <mergeCell ref="H6:I6"/>
    <mergeCell ref="D8:E8"/>
    <mergeCell ref="H8:I8"/>
    <mergeCell ref="D17:E17"/>
    <mergeCell ref="H17:I17"/>
    <mergeCell ref="D23:E23"/>
    <mergeCell ref="H23:I23"/>
    <mergeCell ref="D21:E21"/>
    <mergeCell ref="D20:E20"/>
    <mergeCell ref="D22:E22"/>
    <mergeCell ref="D19:E19"/>
    <mergeCell ref="H19:I19"/>
    <mergeCell ref="D18:E18"/>
    <mergeCell ref="H18:I18"/>
  </mergeCells>
  <conditionalFormatting sqref="M6 M19:M22">
    <cfRule type="cellIs" dxfId="2204" priority="25" stopIfTrue="1" operator="lessThanOrEqual">
      <formula>$L6</formula>
    </cfRule>
    <cfRule type="cellIs" dxfId="2203" priority="26" operator="greaterThan">
      <formula>L6</formula>
    </cfRule>
  </conditionalFormatting>
  <conditionalFormatting sqref="M7">
    <cfRule type="cellIs" dxfId="2202" priority="23" stopIfTrue="1" operator="lessThanOrEqual">
      <formula>$L7</formula>
    </cfRule>
    <cfRule type="cellIs" dxfId="2201" priority="24" operator="greaterThan">
      <formula>L7</formula>
    </cfRule>
  </conditionalFormatting>
  <conditionalFormatting sqref="M8">
    <cfRule type="cellIs" dxfId="2200" priority="21" stopIfTrue="1" operator="lessThanOrEqual">
      <formula>$L8</formula>
    </cfRule>
    <cfRule type="cellIs" dxfId="2199" priority="22" operator="greaterThan">
      <formula>L8</formula>
    </cfRule>
  </conditionalFormatting>
  <conditionalFormatting sqref="M9">
    <cfRule type="cellIs" dxfId="2198" priority="19" stopIfTrue="1" operator="lessThanOrEqual">
      <formula>$L9</formula>
    </cfRule>
    <cfRule type="cellIs" dxfId="2197" priority="20" operator="greaterThan">
      <formula>L9</formula>
    </cfRule>
  </conditionalFormatting>
  <conditionalFormatting sqref="M10">
    <cfRule type="cellIs" dxfId="2196" priority="17" stopIfTrue="1" operator="lessThanOrEqual">
      <formula>$L10</formula>
    </cfRule>
    <cfRule type="cellIs" dxfId="2195" priority="18" operator="greaterThan">
      <formula>L10</formula>
    </cfRule>
  </conditionalFormatting>
  <conditionalFormatting sqref="M11">
    <cfRule type="cellIs" dxfId="2194" priority="15" stopIfTrue="1" operator="lessThanOrEqual">
      <formula>$L11</formula>
    </cfRule>
    <cfRule type="cellIs" dxfId="2193" priority="16" operator="greaterThan">
      <formula>L11</formula>
    </cfRule>
  </conditionalFormatting>
  <conditionalFormatting sqref="M12">
    <cfRule type="cellIs" dxfId="2192" priority="13" stopIfTrue="1" operator="lessThanOrEqual">
      <formula>$L12</formula>
    </cfRule>
    <cfRule type="cellIs" dxfId="2191" priority="14" operator="greaterThan">
      <formula>L12</formula>
    </cfRule>
  </conditionalFormatting>
  <conditionalFormatting sqref="M13">
    <cfRule type="cellIs" dxfId="2190" priority="11" stopIfTrue="1" operator="lessThanOrEqual">
      <formula>$L13</formula>
    </cfRule>
    <cfRule type="cellIs" dxfId="2189" priority="12" operator="greaterThan">
      <formula>L13</formula>
    </cfRule>
  </conditionalFormatting>
  <conditionalFormatting sqref="M14">
    <cfRule type="cellIs" dxfId="2188" priority="9" stopIfTrue="1" operator="lessThanOrEqual">
      <formula>$L14</formula>
    </cfRule>
    <cfRule type="cellIs" dxfId="2187" priority="10" operator="greaterThan">
      <formula>L14</formula>
    </cfRule>
  </conditionalFormatting>
  <conditionalFormatting sqref="M15">
    <cfRule type="cellIs" dxfId="2186" priority="7" stopIfTrue="1" operator="lessThanOrEqual">
      <formula>$L15</formula>
    </cfRule>
    <cfRule type="cellIs" dxfId="2185" priority="8" operator="greaterThan">
      <formula>L15</formula>
    </cfRule>
  </conditionalFormatting>
  <conditionalFormatting sqref="M16">
    <cfRule type="cellIs" dxfId="2184" priority="5" stopIfTrue="1" operator="lessThanOrEqual">
      <formula>$L16</formula>
    </cfRule>
    <cfRule type="cellIs" dxfId="2183" priority="6" operator="greaterThan">
      <formula>L16</formula>
    </cfRule>
  </conditionalFormatting>
  <conditionalFormatting sqref="M17">
    <cfRule type="cellIs" dxfId="2182" priority="3" stopIfTrue="1" operator="lessThanOrEqual">
      <formula>$L17</formula>
    </cfRule>
    <cfRule type="cellIs" dxfId="2181" priority="4" operator="greaterThan">
      <formula>L17</formula>
    </cfRule>
  </conditionalFormatting>
  <conditionalFormatting sqref="M18">
    <cfRule type="cellIs" dxfId="2180" priority="1" stopIfTrue="1" operator="lessThanOrEqual">
      <formula>$L18</formula>
    </cfRule>
    <cfRule type="cellIs" dxfId="2179" priority="2" operator="greaterThan">
      <formula>L18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E9B7F4F-9579-4A75-B6F9-74AD9DDBF42B}">
          <x14:formula1>
            <xm:f>Bolts!$A:$A</xm:f>
          </x14:formula1>
          <xm:sqref>C16</xm:sqref>
        </x14:dataValidation>
        <x14:dataValidation type="list" allowBlank="1" showInputMessage="1" showErrorMessage="1" xr:uid="{1FCE439A-B54D-42E1-91A4-1204888C785E}">
          <x14:formula1>
            <xm:f>Assemblies!$E:$E</xm:f>
          </x14:formula1>
          <xm:sqref>C5</xm:sqref>
        </x14:dataValidation>
        <x14:dataValidation type="list" allowBlank="1" showInputMessage="1" showErrorMessage="1" xr:uid="{36C71356-2142-4E25-80E6-A3EC70898414}">
          <x14:formula1>
            <xm:f>Purchased!$A:$A</xm:f>
          </x14:formula1>
          <xm:sqref>C7:C15 C18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B7D37-14DF-44B0-A61B-BBDA19ADA308}">
  <sheetPr codeName="Sheet6">
    <tabColor theme="0" tint="-0.14999847407452621"/>
  </sheetPr>
  <dimension ref="A1:Q19"/>
  <sheetViews>
    <sheetView zoomScale="115" zoomScaleNormal="115" workbookViewId="0">
      <selection activeCell="F19" sqref="F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'0.3'!C5</f>
        <v>PG10.0.3.1.0.A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'0.3'!D5</f>
        <v>Manifold 1 Unwind Nips</v>
      </c>
      <c r="D3" s="85" t="s">
        <v>50</v>
      </c>
      <c r="E3" s="86" t="str">
        <f ca="1">MID(CELL("filename",A1),FIND("]",CELL("filename",A1))+1,256)</f>
        <v>0.3.1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thickBot="1" x14ac:dyDescent="0.3">
      <c r="A5" s="4">
        <v>301</v>
      </c>
      <c r="B5" s="2">
        <v>1</v>
      </c>
      <c r="C5" s="135" t="s">
        <v>110</v>
      </c>
      <c r="D5" s="325" t="str">
        <f>VLOOKUP(C5,Purchased!A:B,2,0)</f>
        <v>SS5Y5 Nuline PG10 MANIFOLD 1 REV B</v>
      </c>
      <c r="E5" s="326"/>
      <c r="F5" s="108" t="str">
        <f>IF(VLOOKUP($C5,Purchased!A:Z,11,0) = 0, " ", VLOOKUP($C5,Purchased!A:Z,11,0))</f>
        <v>SMC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45495</v>
      </c>
      <c r="K5" s="46">
        <f>IF(VLOOKUP(C5,Purchased!A:R,14,0)=0, " ", VLOOKUP(C5,Purchased!A:R,14,0))</f>
        <v>45495</v>
      </c>
      <c r="L5" s="46">
        <f>IF(VLOOKUP(C5,Purchased!A:R,15,0)=0, " ", VLOOKUP(C5,Purchased!A:R,15,0))</f>
        <v>45497</v>
      </c>
      <c r="M5" s="46">
        <f>IF(VLOOKUP(C5,Purchased!A:R,16,0)=0, " ",VLOOKUP(C5,Purchased!A:R,16,0))</f>
        <v>45526</v>
      </c>
      <c r="N5" s="130">
        <f>IF(VLOOKUP(C5,Purchased!A:R,17,0)=0, " ", VLOOKUP(C5,Purchased!A:R,17,0))</f>
        <v>45526</v>
      </c>
      <c r="O5" s="47">
        <f t="shared" ref="O5" ca="1" si="0">B5*$L$2</f>
        <v>1</v>
      </c>
      <c r="P5" s="51">
        <f>VLOOKUP(C5,Purchased!A:D,3,FALSE)</f>
        <v>527.35329999999999</v>
      </c>
      <c r="Q5" s="52">
        <f t="shared" ref="Q5" si="1">B5*P5</f>
        <v>527.35329999999999</v>
      </c>
    </row>
    <row r="6" spans="1:17" s="2" customFormat="1" ht="12" customHeight="1" thickBot="1" x14ac:dyDescent="0.3">
      <c r="A6" s="34"/>
      <c r="B6" s="35"/>
      <c r="C6" s="35"/>
      <c r="D6" s="316"/>
      <c r="E6" s="317"/>
      <c r="F6" s="35"/>
      <c r="G6" s="35"/>
      <c r="H6" s="309"/>
      <c r="I6" s="310"/>
      <c r="J6" s="36"/>
      <c r="K6" s="36"/>
      <c r="L6" s="36"/>
      <c r="M6" s="37"/>
      <c r="N6" s="132"/>
      <c r="O6" s="38"/>
      <c r="P6" s="99" t="s">
        <v>43</v>
      </c>
      <c r="Q6" s="104">
        <v>527.35</v>
      </c>
    </row>
    <row r="17" spans="4:6" x14ac:dyDescent="0.25">
      <c r="D17" s="19"/>
      <c r="E17" s="19"/>
      <c r="F17" s="133"/>
    </row>
    <row r="18" spans="4:6" x14ac:dyDescent="0.25">
      <c r="D18" s="19"/>
      <c r="E18" s="19"/>
      <c r="F18" s="133"/>
    </row>
    <row r="19" spans="4:6" x14ac:dyDescent="0.25">
      <c r="D19" s="19"/>
      <c r="E19" s="19"/>
      <c r="F19" s="133"/>
    </row>
  </sheetData>
  <mergeCells count="7">
    <mergeCell ref="D6:E6"/>
    <mergeCell ref="H6:I6"/>
    <mergeCell ref="D1:E1"/>
    <mergeCell ref="D4:E4"/>
    <mergeCell ref="H4:I4"/>
    <mergeCell ref="D5:E5"/>
    <mergeCell ref="H5:I5"/>
  </mergeCells>
  <conditionalFormatting sqref="M5">
    <cfRule type="cellIs" dxfId="2178" priority="1" stopIfTrue="1" operator="lessThanOrEqual">
      <formula>$L5</formula>
    </cfRule>
    <cfRule type="cellIs" dxfId="2177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607CB8-EEBC-4A94-A7A1-FCB7ABC2EAC4}">
          <x14:formula1>
            <xm:f>Purchased!$A:$A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7B0FF-EB20-49D1-A8D3-C470A4CB4EBC}">
  <sheetPr codeName="Sheet7">
    <tabColor theme="0" tint="-0.249977111117893"/>
  </sheetPr>
  <dimension ref="A1:Q22"/>
  <sheetViews>
    <sheetView zoomScale="115" zoomScaleNormal="115" workbookViewId="0">
      <selection activeCell="C32" sqref="C3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'5'!C5</f>
        <v>PG10.0.4.0.A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'5'!D5</f>
        <v>Cuff IO Enclosure</v>
      </c>
      <c r="D3" s="85" t="s">
        <v>50</v>
      </c>
      <c r="E3" s="86" t="str">
        <f ca="1">MID(CELL("filename",A1),FIND("]",CELL("filename",A1))+1,256)</f>
        <v>0.4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</v>
      </c>
      <c r="C5" s="112" t="s">
        <v>111</v>
      </c>
      <c r="D5" s="336" t="str">
        <f ca="1">VLOOKUP(C5,Assemblies!E:P,2,0)</f>
        <v>Manifold 6,7 Cuff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2</v>
      </c>
      <c r="P5" s="117"/>
      <c r="Q5" s="118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272">
        <v>1</v>
      </c>
      <c r="B7" s="20"/>
      <c r="C7" s="121" t="s">
        <v>1965</v>
      </c>
      <c r="D7" s="314" t="str">
        <f>VLOOKUP(C7,Machined!C:X,2,0)</f>
        <v>Description</v>
      </c>
      <c r="E7" s="329"/>
      <c r="F7" s="107" t="str">
        <f>VLOOKUP($C7,Machined!C:Z,13,0)</f>
        <v>Mfg/Matl</v>
      </c>
      <c r="G7" s="44" t="str">
        <f>IF(VLOOKUP($C7,Machined!C:Z,16,0) = 0, " ", VLOOKUP($C7,Machined!C:Z,16,0))</f>
        <v>Vendor</v>
      </c>
      <c r="H7" s="320" t="str">
        <f>IF(VLOOKUP($C7,Machined!C:Z,17,0) = 0, " ", VLOOKUP($C7,Machined!C:Z,17,0))</f>
        <v>Notes</v>
      </c>
      <c r="I7" s="321" t="str">
        <f>IF(VLOOKUP($C7,Machined!$C:$Y,13,0) = 0, " ", VLOOKUP($C7,Machined!$C:$Y,13,0))</f>
        <v>Mfg/Matl</v>
      </c>
      <c r="J7" s="44" t="str">
        <f>IF(VLOOKUP($C7,Machined!C:Z,18,0) = 0, " ", VLOOKUP($C7,Machined!C:Z,18,0))</f>
        <v>Out to Quote</v>
      </c>
      <c r="K7" s="44" t="str">
        <f>IF(VLOOKUP($C7,Machined!C:Z,19,0) = 0, " ", VLOOKUP($C7,Machined!C:Z,19,0))</f>
        <v>Order Date</v>
      </c>
      <c r="L7" s="44" t="str">
        <f>IF(VLOOKUP($C7,Machined!C:Z,20,0) = 0, " ", VLOOKUP($C7,Machined!C:Z,20,0))</f>
        <v>Req Date</v>
      </c>
      <c r="M7" s="44" t="str">
        <f>IF(VLOOKUP($C7,Machined!C:Z,21,0) = 0, " ", VLOOKUP($C7,Machined!C:Z,21,0))</f>
        <v>Conf Date</v>
      </c>
      <c r="N7" s="129" t="str">
        <f>IF(VLOOKUP($C7,Machined!C:Z,22,0) = 0, " ", VLOOKUP($C7,Machined!C:Z,22,0))</f>
        <v>PO #</v>
      </c>
      <c r="O7" s="45">
        <f ca="1">B7*$L$2</f>
        <v>0</v>
      </c>
      <c r="P7" s="49" t="str">
        <f>VLOOKUP(C7,Machined!C:F,3,0)</f>
        <v>Cost</v>
      </c>
      <c r="Q7" s="50" t="e">
        <f>B7*P7</f>
        <v>#VALUE!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97</v>
      </c>
      <c r="D9" s="325" t="str">
        <f>VLOOKUP(C9,Purchased!A:B,2,0)</f>
        <v>Custom Saginaw IO Enclosure</v>
      </c>
      <c r="E9" s="326"/>
      <c r="F9" s="108" t="str">
        <f>IF(VLOOKUP($C9,Purchased!A:Z,11,0) = 0, " ", VLOOKUP($C9,Purchased!A:Z,11,0))</f>
        <v>Saginaw</v>
      </c>
      <c r="G9" s="108" t="str">
        <f>IF(VLOOKUP($C9,Purchased!A:Z,12,0)=0, " ", VLOOKUP($C9,Purchased!A:Z,12,0))</f>
        <v>Saginaw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45415</v>
      </c>
      <c r="K9" s="46">
        <f>IF(VLOOKUP(C9,Purchased!A:R,14,0)=0, " ", VLOOKUP(C9,Purchased!A:R,14,0))</f>
        <v>45415</v>
      </c>
      <c r="L9" s="46">
        <f>IF(VLOOKUP(C9,Purchased!A:R,15,0)=0, " ", VLOOKUP(C9,Purchased!A:R,15,0))</f>
        <v>45415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45485</v>
      </c>
      <c r="O9" s="47">
        <f t="shared" ref="O9:O18" ca="1" si="2">B9*$L$2</f>
        <v>1</v>
      </c>
      <c r="P9" s="51">
        <f>VLOOKUP(C9,Purchased!A:D,3,FALSE)</f>
        <v>509.65</v>
      </c>
      <c r="Q9" s="52">
        <f t="shared" ref="Q9:Q18" si="3">B9*P9</f>
        <v>509.65</v>
      </c>
    </row>
    <row r="10" spans="1:17" s="2" customFormat="1" ht="12" customHeight="1" x14ac:dyDescent="0.25">
      <c r="A10" s="4">
        <v>302</v>
      </c>
      <c r="B10" s="2">
        <v>1</v>
      </c>
      <c r="C10" s="135" t="s">
        <v>98</v>
      </c>
      <c r="D10" s="325" t="str">
        <f>VLOOKUP(C10,Purchased!A:B,2,0)</f>
        <v>Custom Subpanel for NUL1-12EL6010LP Enclosure</v>
      </c>
      <c r="E10" s="326"/>
      <c r="F10" s="108" t="str">
        <f>IF(VLOOKUP($C10,Purchased!A:Z,11,0) = 0, " ", VLOOKUP($C10,Purchased!A:Z,11,0))</f>
        <v>Saginaw</v>
      </c>
      <c r="G10" s="108" t="str">
        <f>IF(VLOOKUP($C10,Purchased!A:Z,12,0)=0, " ", VLOOKUP($C10,Purchased!A:Z,12,0))</f>
        <v>Saginaw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45415</v>
      </c>
      <c r="K10" s="46">
        <f>IF(VLOOKUP(C10,Purchased!A:R,14,0)=0, " ", VLOOKUP(C10,Purchased!A:R,14,0))</f>
        <v>45415</v>
      </c>
      <c r="L10" s="46">
        <f>IF(VLOOKUP(C10,Purchased!A:R,15,0)=0, " ", VLOOKUP(C10,Purchased!A:R,15,0))</f>
        <v>45415</v>
      </c>
      <c r="M10" s="46">
        <f>IF(VLOOKUP(C10,Purchased!A:R,16,0)=0, " ",VLOOKUP(C10,Purchased!A:R,16,0))</f>
        <v>45485</v>
      </c>
      <c r="N10" s="130">
        <f>IF(VLOOKUP(C10,Purchased!A:R,17,0)=0, " ", VLOOKUP(C10,Purchased!A:R,17,0))</f>
        <v>45485</v>
      </c>
      <c r="O10" s="47">
        <f t="shared" ca="1" si="2"/>
        <v>1</v>
      </c>
      <c r="P10" s="51">
        <f>VLOOKUP(C10,Purchased!A:D,3,FALSE)</f>
        <v>94.57</v>
      </c>
      <c r="Q10" s="52">
        <f t="shared" si="3"/>
        <v>94.57</v>
      </c>
    </row>
    <row r="11" spans="1:17" s="2" customFormat="1" ht="12" customHeight="1" x14ac:dyDescent="0.25">
      <c r="A11" s="4">
        <v>303</v>
      </c>
      <c r="B11" s="2">
        <v>8</v>
      </c>
      <c r="C11" s="135" t="s">
        <v>99</v>
      </c>
      <c r="D11" s="325" t="str">
        <f>VLOOKUP(C11,Purchased!A:B,2,0)</f>
        <v>Fitting for Flexible Plastic Conduit, Straight Adapter, 1 Trade Size Female x 1 
NPT Male</v>
      </c>
      <c r="E11" s="326"/>
      <c r="F11" s="108" t="str">
        <f>IF(VLOOKUP($C11,Purchased!A:Z,11,0) = 0, " ", VLOOKUP($C11,Purchased!A:Z,11,0))</f>
        <v>PMA</v>
      </c>
      <c r="G11" s="108" t="str">
        <f>IF(VLOOKUP($C11,Purchased!A:Z,12,0)=0, " ", VLOOKUP($C11,Purchased!A:Z,12,0))</f>
        <v>RS AMERICAS</v>
      </c>
      <c r="H11" s="327" t="str">
        <f>IF(VLOOKUP($C11,Purchased!A:Z,13,0)=0, " ", VLOOKUP($C11,Purchased!A:Z,13,0))</f>
        <v>Use PMA BVND-N069-GT</v>
      </c>
      <c r="I11" s="328"/>
      <c r="J11" s="46">
        <f>IF(VLOOKUP($C11,Purchased!A:Z,14,0)=0, " ", VLOOKUP($C11,Purchased!A:Z,14,0))</f>
        <v>45493</v>
      </c>
      <c r="K11" s="46">
        <f>IF(VLOOKUP(C11,Purchased!A:R,14,0)=0, " ", VLOOKUP(C11,Purchased!A:R,14,0))</f>
        <v>45493</v>
      </c>
      <c r="L11" s="46">
        <f>IF(VLOOKUP(C11,Purchased!A:R,15,0)=0, " ", VLOOKUP(C11,Purchased!A:R,15,0))</f>
        <v>45499</v>
      </c>
      <c r="M11" s="46">
        <f>IF(VLOOKUP(C11,Purchased!A:R,16,0)=0, " ",VLOOKUP(C11,Purchased!A:R,16,0))</f>
        <v>45534</v>
      </c>
      <c r="N11" s="130">
        <f>IF(VLOOKUP(C11,Purchased!A:R,17,0)=0, " ", VLOOKUP(C11,Purchased!A:R,17,0))</f>
        <v>45534</v>
      </c>
      <c r="O11" s="47">
        <f t="shared" ref="O11:O13" ca="1" si="4">B11*$L$2</f>
        <v>8</v>
      </c>
      <c r="P11" s="51">
        <f>VLOOKUP(C11,Purchased!A:D,3,FALSE)</f>
        <v>13.96</v>
      </c>
      <c r="Q11" s="52">
        <f t="shared" ref="Q11:Q13" si="5">B11*P11</f>
        <v>111.68</v>
      </c>
    </row>
    <row r="12" spans="1:17" s="2" customFormat="1" ht="12" customHeight="1" x14ac:dyDescent="0.25">
      <c r="A12" s="4">
        <v>304</v>
      </c>
      <c r="B12" s="2">
        <v>4</v>
      </c>
      <c r="C12" s="135">
        <v>51522</v>
      </c>
      <c r="D12" s="325" t="str">
        <f>VLOOKUP(C12,Purchased!A:B,2,0)</f>
        <v>ICOTEK, cable throughway, Prod num KEL-BES-S-24</v>
      </c>
      <c r="E12" s="326"/>
      <c r="F12" s="108" t="str">
        <f>IF(VLOOKUP($C12,Purchased!A:Z,11,0) = 0, " ", VLOOKUP($C12,Purchased!A:Z,11,0))</f>
        <v>ICOTEK</v>
      </c>
      <c r="G12" s="108" t="str">
        <f>IF(VLOOKUP($C12,Purchased!A:Z,12,0)=0, " ", VLOOKUP($C12,Purchased!A:Z,12,0))</f>
        <v>PRO Automat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45456</v>
      </c>
      <c r="K12" s="46">
        <f>IF(VLOOKUP(C12,Purchased!A:R,14,0)=0, " ", VLOOKUP(C12,Purchased!A:R,14,0))</f>
        <v>45456</v>
      </c>
      <c r="L12" s="46">
        <f>IF(VLOOKUP(C12,Purchased!A:R,15,0)=0, " ", VLOOKUP(C12,Purchased!A:R,15,0))</f>
        <v>45504</v>
      </c>
      <c r="M12" s="46">
        <f>IF(VLOOKUP(C12,Purchased!A:R,16,0)=0, " ",VLOOKUP(C12,Purchased!A:R,16,0))</f>
        <v>45534</v>
      </c>
      <c r="N12" s="130">
        <f>IF(VLOOKUP(C12,Purchased!A:R,17,0)=0, " ", VLOOKUP(C12,Purchased!A:R,17,0))</f>
        <v>45534</v>
      </c>
      <c r="O12" s="47">
        <f t="shared" ca="1" si="4"/>
        <v>4</v>
      </c>
      <c r="P12" s="51">
        <f>VLOOKUP(C12,Purchased!A:D,3,FALSE)</f>
        <v>10.199999999999999</v>
      </c>
      <c r="Q12" s="52">
        <f t="shared" si="5"/>
        <v>40.799999999999997</v>
      </c>
    </row>
    <row r="13" spans="1:17" s="2" customFormat="1" ht="12" customHeight="1" x14ac:dyDescent="0.25">
      <c r="A13" s="4">
        <v>305</v>
      </c>
      <c r="B13" s="2">
        <v>3</v>
      </c>
      <c r="C13" s="135">
        <v>42027</v>
      </c>
      <c r="D13" s="158" t="str">
        <f>VLOOKUP(C13,Purchased!A:B,2,0)</f>
        <v>BPM 24 Icotek Blanking Plate</v>
      </c>
      <c r="E13" s="159"/>
      <c r="F13" s="108" t="str">
        <f>IF(VLOOKUP($C13,Purchased!A:Z,11,0) = 0, " ", VLOOKUP($C13,Purchased!A:Z,11,0))</f>
        <v>ICOTEK</v>
      </c>
      <c r="G13" s="108" t="str">
        <f>IF(VLOOKUP($C13,Purchased!A:Z,12,0)=0, " ", VLOOKUP($C13,Purchased!A:Z,12,0))</f>
        <v>PRO Automat</v>
      </c>
      <c r="H13" s="327" t="str">
        <f>IF(VLOOKUP($C13,Purchased!A:Z,13,0)=0, " ", VLOOKUP($C13,Purchased!A:Z,13,0))</f>
        <v>Order 3 pkg 10</v>
      </c>
      <c r="I13" s="328"/>
      <c r="J13" s="46">
        <f>IF(VLOOKUP($C13,Purchased!A:Z,14,0)=0, " ", VLOOKUP($C13,Purchased!A:Z,14,0))</f>
        <v>45456</v>
      </c>
      <c r="K13" s="46">
        <f>IF(VLOOKUP(C13,Purchased!A:R,14,0)=0, " ", VLOOKUP(C13,Purchased!A:R,14,0))</f>
        <v>45456</v>
      </c>
      <c r="L13" s="46">
        <f>IF(VLOOKUP(C13,Purchased!A:R,15,0)=0, " ", VLOOKUP(C13,Purchased!A:R,15,0))</f>
        <v>45504</v>
      </c>
      <c r="M13" s="46">
        <f>IF(VLOOKUP(C13,Purchased!A:R,16,0)=0, " ",VLOOKUP(C13,Purchased!A:R,16,0))</f>
        <v>45534</v>
      </c>
      <c r="N13" s="130">
        <f>IF(VLOOKUP(C13,Purchased!A:R,17,0)=0, " ", VLOOKUP(C13,Purchased!A:R,17,0))</f>
        <v>45534</v>
      </c>
      <c r="O13" s="47">
        <f t="shared" ca="1" si="4"/>
        <v>3</v>
      </c>
      <c r="P13" s="51">
        <f>VLOOKUP(C13,Purchased!A:D,3,FALSE)</f>
        <v>6.72</v>
      </c>
      <c r="Q13" s="52">
        <f t="shared" si="5"/>
        <v>20.16</v>
      </c>
    </row>
    <row r="14" spans="1:17" s="2" customFormat="1" ht="12" customHeight="1" x14ac:dyDescent="0.25">
      <c r="A14" s="4">
        <v>306</v>
      </c>
      <c r="B14" s="2">
        <v>8</v>
      </c>
      <c r="C14" s="135" t="s">
        <v>100</v>
      </c>
      <c r="D14" s="325" t="str">
        <f>VLOOKUP(C14,Purchased!A:B,2,0)</f>
        <v>Snap-in Hole Plug for 1 Trade Size Knockout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>1 Additional Quantity Added to 55697</v>
      </c>
      <c r="I14" s="328"/>
      <c r="J14" s="46">
        <f>IF(VLOOKUP($C14,Purchased!A:Z,14,0)=0, " ", VLOOKUP($C14,Purchased!A:Z,14,0))</f>
        <v>45481</v>
      </c>
      <c r="K14" s="46">
        <f>IF(VLOOKUP(C14,Purchased!A:R,14,0)=0, " ", VLOOKUP(C14,Purchased!A:R,14,0))</f>
        <v>45481</v>
      </c>
      <c r="L14" s="46">
        <f>IF(VLOOKUP(C14,Purchased!A:R,15,0)=0, " ", VLOOKUP(C14,Purchased!A:R,15,0))</f>
        <v>45481</v>
      </c>
      <c r="M14" s="46">
        <f>IF(VLOOKUP(C14,Purchased!A:R,16,0)=0, " ",VLOOKUP(C14,Purchased!A:R,16,0))</f>
        <v>45482</v>
      </c>
      <c r="N14" s="130">
        <f>IF(VLOOKUP(C14,Purchased!A:R,17,0)=0, " ", VLOOKUP(C14,Purchased!A:R,17,0))</f>
        <v>45482</v>
      </c>
      <c r="O14" s="47">
        <f t="shared" ca="1" si="2"/>
        <v>8</v>
      </c>
      <c r="P14" s="51">
        <f>VLOOKUP(C14,Purchased!A:D,3,FALSE)</f>
        <v>13.48</v>
      </c>
      <c r="Q14" s="52">
        <f t="shared" si="3"/>
        <v>107.84</v>
      </c>
    </row>
    <row r="15" spans="1:17" s="2" customFormat="1" ht="12" customHeight="1" x14ac:dyDescent="0.25">
      <c r="A15" s="4">
        <v>307</v>
      </c>
      <c r="B15" s="2">
        <v>2</v>
      </c>
      <c r="C15" s="135">
        <v>7501100</v>
      </c>
      <c r="D15" s="325" t="str">
        <f>VLOOKUP(C15,Purchased!A:B,2,0)</f>
        <v>RES-5011 RESISTRON Temperature Controller</v>
      </c>
      <c r="E15" s="326"/>
      <c r="F15" s="108" t="str">
        <f>IF(VLOOKUP($C15,Purchased!A:Z,11,0) = 0, " ", VLOOKUP($C15,Purchased!A:Z,11,0))</f>
        <v>ROPEX</v>
      </c>
      <c r="G15" s="108" t="str">
        <f>IF(VLOOKUP($C15,Purchased!A:Z,12,0)=0, " ", VLOOKUP($C15,Purchased!A:Z,12,0))</f>
        <v>ROPEX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45427</v>
      </c>
      <c r="K15" s="46">
        <f>IF(VLOOKUP(C15,Purchased!A:R,14,0)=0, " ", VLOOKUP(C15,Purchased!A:R,14,0))</f>
        <v>45427</v>
      </c>
      <c r="L15" s="46">
        <f>IF(VLOOKUP(C15,Purchased!A:R,15,0)=0, " ", VLOOKUP(C15,Purchased!A:R,15,0))</f>
        <v>45427</v>
      </c>
      <c r="M15" s="46">
        <f>IF(VLOOKUP(C15,Purchased!A:R,16,0)=0, " ",VLOOKUP(C15,Purchased!A:R,16,0))</f>
        <v>45459</v>
      </c>
      <c r="N15" s="130">
        <f>IF(VLOOKUP(C15,Purchased!A:R,17,0)=0, " ", VLOOKUP(C15,Purchased!A:R,17,0))</f>
        <v>45459</v>
      </c>
      <c r="O15" s="47">
        <f t="shared" ca="1" si="2"/>
        <v>2</v>
      </c>
      <c r="P15" s="51">
        <f>VLOOKUP(C15,Purchased!A:D,3,FALSE)</f>
        <v>1662.63</v>
      </c>
      <c r="Q15" s="52">
        <f t="shared" si="3"/>
        <v>3325.26</v>
      </c>
    </row>
    <row r="16" spans="1:17" s="2" customFormat="1" ht="12" customHeight="1" x14ac:dyDescent="0.25">
      <c r="A16" s="4">
        <v>308</v>
      </c>
      <c r="B16" s="2">
        <v>2</v>
      </c>
      <c r="C16" s="135">
        <v>885107</v>
      </c>
      <c r="D16" s="325" t="str">
        <f>VLOOKUP(C16,Purchased!A:B,2,0)</f>
        <v>Ropex PEX-W5 Current Transformer</v>
      </c>
      <c r="E16" s="326"/>
      <c r="F16" s="108" t="str">
        <f>IF(VLOOKUP($C16,Purchased!A:Z,11,0) = 0, " ", VLOOKUP($C16,Purchased!A:Z,11,0))</f>
        <v>ROPEX</v>
      </c>
      <c r="G16" s="108" t="str">
        <f>IF(VLOOKUP($C16,Purchased!A:Z,12,0)=0, " ", VLOOKUP($C16,Purchased!A:Z,12,0))</f>
        <v>ROPEX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45427</v>
      </c>
      <c r="K16" s="46">
        <f>IF(VLOOKUP(C16,Purchased!A:R,14,0)=0, " ", VLOOKUP(C16,Purchased!A:R,14,0))</f>
        <v>45427</v>
      </c>
      <c r="L16" s="46">
        <f>IF(VLOOKUP(C16,Purchased!A:R,15,0)=0, " ", VLOOKUP(C16,Purchased!A:R,15,0))</f>
        <v>45427</v>
      </c>
      <c r="M16" s="46">
        <f>IF(VLOOKUP(C16,Purchased!A:R,16,0)=0, " ",VLOOKUP(C16,Purchased!A:R,16,0))</f>
        <v>45460</v>
      </c>
      <c r="N16" s="130">
        <f>IF(VLOOKUP(C16,Purchased!A:R,17,0)=0, " ", VLOOKUP(C16,Purchased!A:R,17,0))</f>
        <v>45460</v>
      </c>
      <c r="O16" s="47">
        <f t="shared" ca="1" si="2"/>
        <v>2</v>
      </c>
      <c r="P16" s="51">
        <f>VLOOKUP(C16,Purchased!A:D,3,FALSE)</f>
        <v>88.07</v>
      </c>
      <c r="Q16" s="52">
        <f t="shared" si="3"/>
        <v>176.14</v>
      </c>
    </row>
    <row r="17" spans="1:17" s="2" customFormat="1" ht="12" customHeight="1" x14ac:dyDescent="0.25">
      <c r="A17" s="4">
        <v>309</v>
      </c>
      <c r="B17" s="2">
        <v>2</v>
      </c>
      <c r="C17" s="135">
        <v>890203</v>
      </c>
      <c r="D17" s="325" t="str">
        <f>VLOOKUP(C17,Purchased!A:B,2,0)</f>
        <v>T-301EPD-1 Impulse Transformer</v>
      </c>
      <c r="E17" s="326"/>
      <c r="F17" s="108" t="str">
        <f>IF(VLOOKUP($C17,Purchased!A:Z,11,0) = 0, " ", VLOOKUP($C17,Purchased!A:Z,11,0))</f>
        <v>ROPEX</v>
      </c>
      <c r="G17" s="108" t="str">
        <f>IF(VLOOKUP($C17,Purchased!A:Z,12,0)=0, " ", VLOOKUP($C17,Purchased!A:Z,12,0))</f>
        <v>ROPEX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45427</v>
      </c>
      <c r="K17" s="46">
        <f>IF(VLOOKUP(C17,Purchased!A:R,14,0)=0, " ", VLOOKUP(C17,Purchased!A:R,14,0))</f>
        <v>45427</v>
      </c>
      <c r="L17" s="46">
        <f>IF(VLOOKUP(C17,Purchased!A:R,15,0)=0, " ", VLOOKUP(C17,Purchased!A:R,15,0))</f>
        <v>45427</v>
      </c>
      <c r="M17" s="46">
        <f>IF(VLOOKUP(C17,Purchased!A:R,16,0)=0, " ",VLOOKUP(C17,Purchased!A:R,16,0))</f>
        <v>45461</v>
      </c>
      <c r="N17" s="130">
        <f>IF(VLOOKUP(C17,Purchased!A:R,17,0)=0, " ", VLOOKUP(C17,Purchased!A:R,17,0))</f>
        <v>45461</v>
      </c>
      <c r="O17" s="47">
        <f t="shared" ca="1" si="2"/>
        <v>2</v>
      </c>
      <c r="P17" s="51">
        <f>VLOOKUP(C17,Purchased!A:D,3,FALSE)</f>
        <v>943.23</v>
      </c>
      <c r="Q17" s="52">
        <f t="shared" si="3"/>
        <v>1886.46</v>
      </c>
    </row>
    <row r="18" spans="1:17" s="2" customFormat="1" ht="12" customHeight="1" x14ac:dyDescent="0.25">
      <c r="A18" s="4">
        <v>310</v>
      </c>
      <c r="B18" s="2">
        <v>2</v>
      </c>
      <c r="C18" s="135" t="s">
        <v>101</v>
      </c>
      <c r="D18" s="325" t="str">
        <f>VLOOKUP(C18,Purchased!A:B,2,0)</f>
        <v>ITV model 20 1/4in port size</v>
      </c>
      <c r="E18" s="326"/>
      <c r="F18" s="108" t="str">
        <f>IF(VLOOKUP($C18,Purchased!A:Z,11,0) = 0, " ", VLOOKUP($C18,Purchased!A:Z,11,0))</f>
        <v>SMC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>2x more on PO 55667 (EL 8/7)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45489</v>
      </c>
      <c r="M18" s="46">
        <f>IF(VLOOKUP(C18,Purchased!A:R,16,0)=0, " ",VLOOKUP(C18,Purchased!A:R,16,0))</f>
        <v>45510</v>
      </c>
      <c r="N18" s="130">
        <f>IF(VLOOKUP(C18,Purchased!A:R,17,0)=0, " ", VLOOKUP(C18,Purchased!A:R,17,0))</f>
        <v>45513</v>
      </c>
      <c r="O18" s="47">
        <f t="shared" ca="1" si="2"/>
        <v>2</v>
      </c>
      <c r="P18" s="51">
        <f>VLOOKUP(C18,Purchased!A:D,3,FALSE)</f>
        <v>348.48</v>
      </c>
      <c r="Q18" s="52">
        <f t="shared" si="3"/>
        <v>696.96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501</v>
      </c>
      <c r="C20" s="122"/>
      <c r="D20" s="325"/>
      <c r="E20" s="326"/>
      <c r="F20" s="108" t="e">
        <f>VLOOKUP(C20,Bolts!A:L,5,0)</f>
        <v>#N/A</v>
      </c>
      <c r="G20" s="108" t="e">
        <f>VLOOKUP(C20,Bolts!A:L,6,0)</f>
        <v>#N/A</v>
      </c>
      <c r="H20" s="108" t="e">
        <f>VLOOKUP(C20,Bolts!A:L,7,0)</f>
        <v>#N/A</v>
      </c>
      <c r="I20" s="109"/>
      <c r="J20" s="46" t="e">
        <f>VLOOKUP(C20,Bolts!A:L,8,0)</f>
        <v>#N/A</v>
      </c>
      <c r="K20" s="46" t="e">
        <f>VLOOKUP(C20,Bolts!A:L,9,0)</f>
        <v>#N/A</v>
      </c>
      <c r="L20" s="46" t="e">
        <f>VLOOKUP(C20,Bolts!A:L,10,0)</f>
        <v>#N/A</v>
      </c>
      <c r="M20" s="46" t="e">
        <f>VLOOKUP(C20,Bolts!A:L,11,0)</f>
        <v>#N/A</v>
      </c>
      <c r="N20" s="130" t="e">
        <f>VLOOKUP(C20,Bolts!A:L,12,0)</f>
        <v>#N/A</v>
      </c>
      <c r="O20" s="47">
        <f t="shared" ref="O20:O21" ca="1" si="6">B20*$L$2</f>
        <v>0</v>
      </c>
      <c r="P20" s="51" t="e">
        <f>VLOOKUP(C20,Bolts!A:B,2,FALSE)</f>
        <v>#N/A</v>
      </c>
      <c r="Q20" s="52" t="e">
        <f t="shared" ref="Q20:Q21" si="7">B20*P20</f>
        <v>#N/A</v>
      </c>
    </row>
    <row r="21" spans="1:17" s="2" customFormat="1" ht="12" customHeight="1" thickBot="1" x14ac:dyDescent="0.3">
      <c r="A21" s="4">
        <v>502</v>
      </c>
      <c r="C21" s="122"/>
      <c r="D21" s="325"/>
      <c r="E21" s="326"/>
      <c r="F21" s="108" t="e">
        <f>VLOOKUP(C21,Bolts!A:L,5,0)</f>
        <v>#N/A</v>
      </c>
      <c r="G21" s="108" t="e">
        <f>VLOOKUP(C21,Bolts!A:L,6,0)</f>
        <v>#N/A</v>
      </c>
      <c r="H21" s="108" t="e">
        <f>VLOOKUP(C21,Bolts!A:L,7,0)</f>
        <v>#N/A</v>
      </c>
      <c r="I21" s="109"/>
      <c r="J21" s="46" t="e">
        <f>VLOOKUP(C21,Bolts!A:L,8,0)</f>
        <v>#N/A</v>
      </c>
      <c r="K21" s="46" t="e">
        <f>VLOOKUP(C21,Bolts!A:L,9,0)</f>
        <v>#N/A</v>
      </c>
      <c r="L21" s="46" t="e">
        <f>VLOOKUP(C21,Bolts!A:L,10,0)</f>
        <v>#N/A</v>
      </c>
      <c r="M21" s="46" t="e">
        <f>VLOOKUP(C21,Bolts!A:L,11,0)</f>
        <v>#N/A</v>
      </c>
      <c r="N21" s="130" t="e">
        <f>VLOOKUP(C21,Bolts!A:L,12,0)</f>
        <v>#N/A</v>
      </c>
      <c r="O21" s="47">
        <f t="shared" ca="1" si="6"/>
        <v>0</v>
      </c>
      <c r="P21" s="51" t="e">
        <f>VLOOKUP(C21,Bolts!A:B,2,FALSE)</f>
        <v>#N/A</v>
      </c>
      <c r="Q21" s="52" t="e">
        <f t="shared" si="7"/>
        <v>#N/A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SUM(Q9:Q18)+SUM(Q5)</f>
        <v>6969.52</v>
      </c>
    </row>
  </sheetData>
  <sheetProtection selectLockedCells="1"/>
  <mergeCells count="36">
    <mergeCell ref="D19:E19"/>
    <mergeCell ref="H19:I19"/>
    <mergeCell ref="D20:E20"/>
    <mergeCell ref="D21:E21"/>
    <mergeCell ref="D22:E22"/>
    <mergeCell ref="H22:I22"/>
    <mergeCell ref="D16:E16"/>
    <mergeCell ref="H16:I16"/>
    <mergeCell ref="D17:E17"/>
    <mergeCell ref="H17:I17"/>
    <mergeCell ref="D18:E18"/>
    <mergeCell ref="H18:I18"/>
    <mergeCell ref="D12:E12"/>
    <mergeCell ref="H12:I12"/>
    <mergeCell ref="D14:E14"/>
    <mergeCell ref="H14:I14"/>
    <mergeCell ref="D15:E15"/>
    <mergeCell ref="H15:I15"/>
    <mergeCell ref="H13:I13"/>
    <mergeCell ref="D9:E9"/>
    <mergeCell ref="H9:I9"/>
    <mergeCell ref="D10:E10"/>
    <mergeCell ref="H10:I10"/>
    <mergeCell ref="D11:E11"/>
    <mergeCell ref="H11:I11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6 M8 M19:M21">
    <cfRule type="cellIs" dxfId="2176" priority="23" stopIfTrue="1" operator="lessThanOrEqual">
      <formula>$L6</formula>
    </cfRule>
    <cfRule type="cellIs" dxfId="2175" priority="24" operator="greaterThan">
      <formula>L6</formula>
    </cfRule>
  </conditionalFormatting>
  <conditionalFormatting sqref="M9">
    <cfRule type="cellIs" dxfId="2174" priority="19" stopIfTrue="1" operator="lessThanOrEqual">
      <formula>$L9</formula>
    </cfRule>
    <cfRule type="cellIs" dxfId="2173" priority="20" operator="greaterThan">
      <formula>L9</formula>
    </cfRule>
  </conditionalFormatting>
  <conditionalFormatting sqref="M10">
    <cfRule type="cellIs" dxfId="2172" priority="17" stopIfTrue="1" operator="lessThanOrEqual">
      <formula>$L10</formula>
    </cfRule>
    <cfRule type="cellIs" dxfId="2171" priority="18" operator="greaterThan">
      <formula>L10</formula>
    </cfRule>
  </conditionalFormatting>
  <conditionalFormatting sqref="M11">
    <cfRule type="cellIs" dxfId="2170" priority="15" stopIfTrue="1" operator="lessThanOrEqual">
      <formula>$L11</formula>
    </cfRule>
    <cfRule type="cellIs" dxfId="2169" priority="16" operator="greaterThan">
      <formula>L11</formula>
    </cfRule>
  </conditionalFormatting>
  <conditionalFormatting sqref="M12">
    <cfRule type="cellIs" dxfId="2168" priority="13" stopIfTrue="1" operator="lessThanOrEqual">
      <formula>$L12</formula>
    </cfRule>
    <cfRule type="cellIs" dxfId="2167" priority="14" operator="greaterThan">
      <formula>L12</formula>
    </cfRule>
  </conditionalFormatting>
  <conditionalFormatting sqref="M13">
    <cfRule type="cellIs" dxfId="2166" priority="11" stopIfTrue="1" operator="lessThanOrEqual">
      <formula>$L13</formula>
    </cfRule>
    <cfRule type="cellIs" dxfId="2165" priority="12" operator="greaterThan">
      <formula>L13</formula>
    </cfRule>
  </conditionalFormatting>
  <conditionalFormatting sqref="M14">
    <cfRule type="cellIs" dxfId="2164" priority="9" stopIfTrue="1" operator="lessThanOrEqual">
      <formula>$L14</formula>
    </cfRule>
    <cfRule type="cellIs" dxfId="2163" priority="10" operator="greaterThan">
      <formula>L14</formula>
    </cfRule>
  </conditionalFormatting>
  <conditionalFormatting sqref="M15">
    <cfRule type="cellIs" dxfId="2162" priority="7" stopIfTrue="1" operator="lessThanOrEqual">
      <formula>$L15</formula>
    </cfRule>
    <cfRule type="cellIs" dxfId="2161" priority="8" operator="greaterThan">
      <formula>L15</formula>
    </cfRule>
  </conditionalFormatting>
  <conditionalFormatting sqref="M16:M18">
    <cfRule type="cellIs" dxfId="2160" priority="1" stopIfTrue="1" operator="lessThanOrEqual">
      <formula>$L16</formula>
    </cfRule>
    <cfRule type="cellIs" dxfId="2159" priority="2" operator="greaterThan">
      <formula>L16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B0756D-C00C-473E-B91F-3C7C3779EA93}">
          <x14:formula1>
            <xm:f>Bolts!$A:$A</xm:f>
          </x14:formula1>
          <xm:sqref>C19:C21</xm:sqref>
        </x14:dataValidation>
        <x14:dataValidation type="list" allowBlank="1" showInputMessage="1" showErrorMessage="1" xr:uid="{3271A62B-20A7-4FC0-9B94-3B1758534727}">
          <x14:formula1>
            <xm:f>Assemblies!$E:$E</xm:f>
          </x14:formula1>
          <xm:sqref>C5</xm:sqref>
        </x14:dataValidation>
        <x14:dataValidation type="list" allowBlank="1" showInputMessage="1" showErrorMessage="1" xr:uid="{D3A8C3D0-77AD-4237-B494-D3E4B511E55F}">
          <x14:formula1>
            <xm:f>Machined!$C:$C</xm:f>
          </x14:formula1>
          <xm:sqref>C6:C7</xm:sqref>
        </x14:dataValidation>
        <x14:dataValidation type="list" allowBlank="1" showInputMessage="1" showErrorMessage="1" xr:uid="{173EED67-C87D-4B28-9BA8-3FCD354A1A1E}">
          <x14:formula1>
            <xm:f>Purchased!$A:$A</xm:f>
          </x14:formula1>
          <xm:sqref>C8:C18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849D-A646-434B-B38E-17780359C928}">
  <sheetPr codeName="Sheet8">
    <tabColor theme="0" tint="-0.14999847407452621"/>
  </sheetPr>
  <dimension ref="A1:Q19"/>
  <sheetViews>
    <sheetView zoomScale="115" zoomScaleNormal="115" workbookViewId="0">
      <selection activeCell="E11" sqref="E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'0.4'!C5</f>
        <v>PG10.0.4.1.0.A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'0.4'!D5</f>
        <v>Manifold 6,7 Cuff</v>
      </c>
      <c r="D3" s="85" t="s">
        <v>50</v>
      </c>
      <c r="E3" s="86" t="str">
        <f ca="1">MID(CELL("filename",A1),FIND("]",CELL("filename",A1))+1,256)</f>
        <v>0.4.1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thickBot="1" x14ac:dyDescent="0.3">
      <c r="A5" s="4">
        <v>301</v>
      </c>
      <c r="B5" s="2">
        <v>1</v>
      </c>
      <c r="C5" s="135" t="s">
        <v>112</v>
      </c>
      <c r="D5" s="325" t="str">
        <f>VLOOKUP(C5,Purchased!A:B,2,0)</f>
        <v>SS5Y5 Nuline PG10 MANIFOLD 6,7 REV B</v>
      </c>
      <c r="E5" s="326"/>
      <c r="F5" s="108" t="str">
        <f>IF(VLOOKUP($C5,Purchased!A:Z,11,0) = 0, " ", VLOOKUP($C5,Purchased!A:Z,11,0))</f>
        <v>SMC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45495</v>
      </c>
      <c r="K5" s="46">
        <f>IF(VLOOKUP(C5,Purchased!A:R,14,0)=0, " ", VLOOKUP(C5,Purchased!A:R,14,0))</f>
        <v>45495</v>
      </c>
      <c r="L5" s="46">
        <f>IF(VLOOKUP(C5,Purchased!A:R,15,0)=0, " ", VLOOKUP(C5,Purchased!A:R,15,0))</f>
        <v>45497</v>
      </c>
      <c r="M5" s="46">
        <f>IF(VLOOKUP(C5,Purchased!A:R,16,0)=0, " ",VLOOKUP(C5,Purchased!A:R,16,0))</f>
        <v>45526</v>
      </c>
      <c r="N5" s="130">
        <f>IF(VLOOKUP(C5,Purchased!A:R,17,0)=0, " ", VLOOKUP(C5,Purchased!A:R,17,0))</f>
        <v>45526</v>
      </c>
      <c r="O5" s="47">
        <f t="shared" ref="O5" ca="1" si="0">B5*$L$2</f>
        <v>2</v>
      </c>
      <c r="P5" s="51">
        <f>VLOOKUP(C5,Purchased!A:D,3,FALSE)</f>
        <v>914.19709999999998</v>
      </c>
      <c r="Q5" s="52">
        <f t="shared" ref="Q5" si="1">B5*P5</f>
        <v>914.19709999999998</v>
      </c>
    </row>
    <row r="6" spans="1:17" s="2" customFormat="1" ht="12" customHeight="1" thickBot="1" x14ac:dyDescent="0.3">
      <c r="A6" s="34"/>
      <c r="B6" s="35"/>
      <c r="C6" s="35"/>
      <c r="D6" s="316"/>
      <c r="E6" s="317"/>
      <c r="F6" s="35"/>
      <c r="G6" s="35"/>
      <c r="H6" s="309"/>
      <c r="I6" s="310"/>
      <c r="J6" s="36"/>
      <c r="K6" s="36"/>
      <c r="L6" s="36"/>
      <c r="M6" s="37"/>
      <c r="N6" s="132"/>
      <c r="O6" s="38"/>
      <c r="P6" s="99" t="s">
        <v>43</v>
      </c>
      <c r="Q6" s="104">
        <f>2*914.1971</f>
        <v>1828.3942</v>
      </c>
    </row>
    <row r="17" spans="4:6" x14ac:dyDescent="0.25">
      <c r="D17" s="19"/>
      <c r="E17" s="19"/>
      <c r="F17" s="133"/>
    </row>
    <row r="18" spans="4:6" x14ac:dyDescent="0.25">
      <c r="D18" s="19"/>
      <c r="E18" s="19"/>
      <c r="F18" s="133"/>
    </row>
    <row r="19" spans="4:6" x14ac:dyDescent="0.25">
      <c r="D19" s="19"/>
      <c r="E19" s="19"/>
      <c r="F19" s="133"/>
    </row>
  </sheetData>
  <mergeCells count="7">
    <mergeCell ref="D6:E6"/>
    <mergeCell ref="H6:I6"/>
    <mergeCell ref="D1:E1"/>
    <mergeCell ref="D4:E4"/>
    <mergeCell ref="H4:I4"/>
    <mergeCell ref="D5:E5"/>
    <mergeCell ref="H5:I5"/>
  </mergeCells>
  <conditionalFormatting sqref="M5">
    <cfRule type="cellIs" dxfId="2158" priority="1" stopIfTrue="1" operator="lessThanOrEqual">
      <formula>$L5</formula>
    </cfRule>
    <cfRule type="cellIs" dxfId="2157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D6EF95-1237-45BC-8D68-7C78C664138D}">
          <x14:formula1>
            <xm:f>Purchased!$A:$A</xm:f>
          </x14:formula1>
          <xm:sqref>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D42B-0135-4B05-A580-AEB3F9CA55B7}">
  <sheetPr codeName="Sheet9">
    <tabColor theme="0" tint="-0.249977111117893"/>
  </sheetPr>
  <dimension ref="A1:Q15"/>
  <sheetViews>
    <sheetView zoomScale="115" zoomScaleNormal="115" workbookViewId="0">
      <selection activeCell="A7" sqref="A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'5'!C6</f>
        <v>PG10.0.5.0.A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'5'!D6</f>
        <v>Cuff Drive Enclosure</v>
      </c>
      <c r="D3" s="85" t="s">
        <v>50</v>
      </c>
      <c r="E3" s="86" t="str">
        <f ca="1">MID(CELL("filename",A1),FIND("]",CELL("filename",A1))+1,256)</f>
        <v>0.5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/>
      <c r="C5" s="112"/>
      <c r="D5" s="336" t="e">
        <f ca="1">VLOOKUP(C5,Assemblies!E:P,2,0)</f>
        <v>#N/A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0</v>
      </c>
      <c r="P5" s="117"/>
      <c r="Q5" s="118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272">
        <v>1</v>
      </c>
      <c r="B7" s="20"/>
      <c r="C7" s="121"/>
      <c r="D7" s="314" t="e">
        <f>VLOOKUP(C7,Machined!C:X,2,0)</f>
        <v>#N/A</v>
      </c>
      <c r="E7" s="329"/>
      <c r="F7" s="107" t="e">
        <f>VLOOKUP($C7,Machined!C:Z,13,0)</f>
        <v>#N/A</v>
      </c>
      <c r="G7" s="44" t="e">
        <f>IF(VLOOKUP($C7,Machined!C:Z,16,0) = 0, " ", VLOOKUP($C7,Machined!C:Z,16,0))</f>
        <v>#N/A</v>
      </c>
      <c r="H7" s="320" t="e">
        <f>IF(VLOOKUP($C7,Machined!C:Z,17,0) = 0, " ", VLOOKUP($C7,Machined!C:Z,17,0))</f>
        <v>#N/A</v>
      </c>
      <c r="I7" s="321" t="e">
        <f>IF(VLOOKUP($C7,Machined!$C:$Y,13,0) = 0, " ", VLOOKUP($C7,Machined!$C:$Y,13,0))</f>
        <v>#N/A</v>
      </c>
      <c r="J7" s="44" t="e">
        <f>IF(VLOOKUP($C7,Machined!C:Z,18,0) = 0, " ", VLOOKUP($C7,Machined!C:Z,18,0))</f>
        <v>#N/A</v>
      </c>
      <c r="K7" s="44" t="e">
        <f>IF(VLOOKUP($C7,Machined!C:Z,19,0) = 0, " ", VLOOKUP($C7,Machined!C:Z,19,0))</f>
        <v>#N/A</v>
      </c>
      <c r="L7" s="44" t="e">
        <f>IF(VLOOKUP($C7,Machined!C:Z,20,0) = 0, " ", VLOOKUP($C7,Machined!C:Z,20,0))</f>
        <v>#N/A</v>
      </c>
      <c r="M7" s="44" t="e">
        <f>IF(VLOOKUP($C7,Machined!C:Z,21,0) = 0, " ", VLOOKUP($C7,Machined!C:Z,21,0))</f>
        <v>#N/A</v>
      </c>
      <c r="N7" s="129" t="e">
        <f>IF(VLOOKUP($C7,Machined!C:Z,22,0) = 0, " ", VLOOKUP($C7,Machined!C:Z,22,0))</f>
        <v>#N/A</v>
      </c>
      <c r="O7" s="45">
        <f ca="1">B7*$L$2</f>
        <v>0</v>
      </c>
      <c r="P7" s="49" t="e">
        <f>VLOOKUP(C7,Machined!C:F,3,0)</f>
        <v>#N/A</v>
      </c>
      <c r="Q7" s="50" t="e">
        <f>B7*P7</f>
        <v>#N/A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113</v>
      </c>
      <c r="D9" s="325" t="str">
        <f>VLOOKUP(C9,Purchased!A:B,2,0)</f>
        <v>Saginaw EL LPPL Enclosure, 24H X 24W X 12D, RAL5005 Blue</v>
      </c>
      <c r="E9" s="326"/>
      <c r="F9" s="108" t="str">
        <f>IF(VLOOKUP($C9,Purchased!A:Z,11,0) = 0, " ", VLOOKUP($C9,Purchased!A:Z,11,0))</f>
        <v>Saginaw</v>
      </c>
      <c r="G9" s="108" t="str">
        <f>IF(VLOOKUP($C9,Purchased!A:Z,12,0)=0, " ", VLOOKUP($C9,Purchased!A:Z,12,0))</f>
        <v>Saginaw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45426</v>
      </c>
      <c r="K9" s="46">
        <f>IF(VLOOKUP(C9,Purchased!A:R,14,0)=0, " ", VLOOKUP(C9,Purchased!A:R,14,0))</f>
        <v>45426</v>
      </c>
      <c r="L9" s="46">
        <f>IF(VLOOKUP(C9,Purchased!A:R,15,0)=0, " ", VLOOKUP(C9,Purchased!A:R,15,0))</f>
        <v>45426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45455</v>
      </c>
      <c r="O9" s="47">
        <f t="shared" ref="O9:O11" ca="1" si="2">B9*$L$2</f>
        <v>1</v>
      </c>
      <c r="P9" s="51">
        <f>VLOOKUP(C9,Purchased!A:D,3,FALSE)</f>
        <v>369.55</v>
      </c>
      <c r="Q9" s="52">
        <f t="shared" ref="Q9:Q11" si="3">B9*P9</f>
        <v>369.55</v>
      </c>
    </row>
    <row r="10" spans="1:17" s="2" customFormat="1" ht="12" customHeight="1" x14ac:dyDescent="0.25">
      <c r="A10" s="4">
        <v>302</v>
      </c>
      <c r="B10" s="2">
        <v>1</v>
      </c>
      <c r="C10" s="135" t="s">
        <v>114</v>
      </c>
      <c r="D10" s="325" t="str">
        <f>VLOOKUP(C10,Purchased!A:B,2,0)</f>
        <v>Saginaw Subpanel, Bent Galvanized, 21H X 21W X 0.88D</v>
      </c>
      <c r="E10" s="326"/>
      <c r="F10" s="108" t="str">
        <f>IF(VLOOKUP($C10,Purchased!A:Z,11,0) = 0, " ", VLOOKUP($C10,Purchased!A:Z,11,0))</f>
        <v>Saginaw</v>
      </c>
      <c r="G10" s="108" t="str">
        <f>IF(VLOOKUP($C10,Purchased!A:Z,12,0)=0, " ", VLOOKUP($C10,Purchased!A:Z,12,0))</f>
        <v>Saginaw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45426</v>
      </c>
      <c r="K10" s="46">
        <f>IF(VLOOKUP(C10,Purchased!A:R,14,0)=0, " ", VLOOKUP(C10,Purchased!A:R,14,0))</f>
        <v>45426</v>
      </c>
      <c r="L10" s="46">
        <f>IF(VLOOKUP(C10,Purchased!A:R,15,0)=0, " ", VLOOKUP(C10,Purchased!A:R,15,0))</f>
        <v>45426</v>
      </c>
      <c r="M10" s="46">
        <f>IF(VLOOKUP(C10,Purchased!A:R,16,0)=0, " ",VLOOKUP(C10,Purchased!A:R,16,0))</f>
        <v>45485</v>
      </c>
      <c r="N10" s="130">
        <f>IF(VLOOKUP(C10,Purchased!A:R,17,0)=0, " ", VLOOKUP(C10,Purchased!A:R,17,0))</f>
        <v>45455</v>
      </c>
      <c r="O10" s="47">
        <f t="shared" ca="1" si="2"/>
        <v>1</v>
      </c>
      <c r="P10" s="51">
        <f>VLOOKUP(C10,Purchased!A:D,3,FALSE)</f>
        <v>46.6</v>
      </c>
      <c r="Q10" s="52">
        <f t="shared" si="3"/>
        <v>46.6</v>
      </c>
    </row>
    <row r="11" spans="1:17" s="2" customFormat="1" ht="12" customHeight="1" x14ac:dyDescent="0.25">
      <c r="A11" s="4">
        <v>303</v>
      </c>
      <c r="C11" s="135"/>
      <c r="D11" s="325" t="e">
        <f>VLOOKUP(C11,Purchased!A:B,2,0)</f>
        <v>#N/A</v>
      </c>
      <c r="E11" s="326"/>
      <c r="F11" s="108" t="e">
        <f>IF(VLOOKUP($C11,Purchased!A:Z,11,0) = 0, " ", VLOOKUP($C11,Purchased!A:Z,11,0))</f>
        <v>#N/A</v>
      </c>
      <c r="G11" s="108" t="e">
        <f>IF(VLOOKUP($C11,Purchased!A:Z,12,0)=0, " ", VLOOKUP($C11,Purchased!A:Z,12,0))</f>
        <v>#N/A</v>
      </c>
      <c r="H11" s="327" t="e">
        <f>IF(VLOOKUP($C11,Purchased!A:Z,13,0)=0, " ", VLOOKUP($C11,Purchased!A:Z,13,0))</f>
        <v>#N/A</v>
      </c>
      <c r="I11" s="328"/>
      <c r="J11" s="46" t="e">
        <f>IF(VLOOKUP($C11,Purchased!A:Z,14,0)=0, " ", VLOOKUP($C11,Purchased!A:Z,14,0))</f>
        <v>#N/A</v>
      </c>
      <c r="K11" s="46" t="e">
        <f>IF(VLOOKUP(C11,Purchased!A:R,14,0)=0, " ", VLOOKUP(C11,Purchased!A:R,14,0))</f>
        <v>#N/A</v>
      </c>
      <c r="L11" s="46" t="e">
        <f>IF(VLOOKUP(C11,Purchased!A:R,15,0)=0, " ", VLOOKUP(C11,Purchased!A:R,15,0))</f>
        <v>#N/A</v>
      </c>
      <c r="M11" s="46" t="e">
        <f>IF(VLOOKUP(C11,Purchased!A:R,16,0)=0, " ",VLOOKUP(C11,Purchased!A:R,16,0))</f>
        <v>#N/A</v>
      </c>
      <c r="N11" s="130" t="e">
        <f>IF(VLOOKUP(C11,Purchased!A:R,17,0)=0, " ", VLOOKUP(C11,Purchased!A:R,17,0))</f>
        <v>#N/A</v>
      </c>
      <c r="O11" s="47">
        <f t="shared" ca="1" si="2"/>
        <v>0</v>
      </c>
      <c r="P11" s="51" t="e">
        <f>VLOOKUP(C11,Purchased!A:D,3,FALSE)</f>
        <v>#N/A</v>
      </c>
      <c r="Q11" s="52" t="e">
        <f t="shared" si="3"/>
        <v>#N/A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501</v>
      </c>
      <c r="C13" s="122"/>
      <c r="D13" s="325"/>
      <c r="E13" s="326"/>
      <c r="F13" s="108" t="e">
        <f>VLOOKUP(C13,Bolts!A:L,5,0)</f>
        <v>#N/A</v>
      </c>
      <c r="G13" s="108" t="e">
        <f>VLOOKUP(C13,Bolts!A:L,6,0)</f>
        <v>#N/A</v>
      </c>
      <c r="H13" s="108" t="e">
        <f>VLOOKUP(C13,Bolts!A:L,7,0)</f>
        <v>#N/A</v>
      </c>
      <c r="I13" s="109"/>
      <c r="J13" s="46" t="e">
        <f>VLOOKUP(C13,Bolts!A:L,8,0)</f>
        <v>#N/A</v>
      </c>
      <c r="K13" s="46" t="e">
        <f>VLOOKUP(C13,Bolts!A:L,9,0)</f>
        <v>#N/A</v>
      </c>
      <c r="L13" s="46" t="e">
        <f>VLOOKUP(C13,Bolts!A:L,10,0)</f>
        <v>#N/A</v>
      </c>
      <c r="M13" s="46" t="e">
        <f>VLOOKUP(C13,Bolts!A:L,11,0)</f>
        <v>#N/A</v>
      </c>
      <c r="N13" s="130" t="e">
        <f>VLOOKUP(C13,Bolts!A:L,12,0)</f>
        <v>#N/A</v>
      </c>
      <c r="O13" s="47">
        <f t="shared" ref="O13:O14" ca="1" si="4">B13*$L$2</f>
        <v>0</v>
      </c>
      <c r="P13" s="51" t="e">
        <f>VLOOKUP(C13,Bolts!A:B,2,FALSE)</f>
        <v>#N/A</v>
      </c>
      <c r="Q13" s="52" t="e">
        <f t="shared" ref="Q13:Q14" si="5">B13*P13</f>
        <v>#N/A</v>
      </c>
    </row>
    <row r="14" spans="1:17" s="2" customFormat="1" ht="12" customHeight="1" thickBot="1" x14ac:dyDescent="0.3">
      <c r="A14" s="4">
        <v>502</v>
      </c>
      <c r="C14" s="122"/>
      <c r="D14" s="325"/>
      <c r="E14" s="326"/>
      <c r="F14" s="108" t="e">
        <f>VLOOKUP(C14,Bolts!A:L,5,0)</f>
        <v>#N/A</v>
      </c>
      <c r="G14" s="108" t="e">
        <f>VLOOKUP(C14,Bolts!A:L,6,0)</f>
        <v>#N/A</v>
      </c>
      <c r="H14" s="108" t="e">
        <f>VLOOKUP(C14,Bolts!A:L,7,0)</f>
        <v>#N/A</v>
      </c>
      <c r="I14" s="109"/>
      <c r="J14" s="46" t="e">
        <f>VLOOKUP(C14,Bolts!A:L,8,0)</f>
        <v>#N/A</v>
      </c>
      <c r="K14" s="46" t="e">
        <f>VLOOKUP(C14,Bolts!A:L,9,0)</f>
        <v>#N/A</v>
      </c>
      <c r="L14" s="46" t="e">
        <f>VLOOKUP(C14,Bolts!A:L,10,0)</f>
        <v>#N/A</v>
      </c>
      <c r="M14" s="46" t="e">
        <f>VLOOKUP(C14,Bolts!A:L,11,0)</f>
        <v>#N/A</v>
      </c>
      <c r="N14" s="130" t="e">
        <f>VLOOKUP(C14,Bolts!A:L,12,0)</f>
        <v>#N/A</v>
      </c>
      <c r="O14" s="47">
        <f t="shared" ca="1" si="4"/>
        <v>0</v>
      </c>
      <c r="P14" s="51" t="e">
        <f>VLOOKUP(C14,Bolts!A:B,2,FALSE)</f>
        <v>#N/A</v>
      </c>
      <c r="Q14" s="52" t="e">
        <f t="shared" si="5"/>
        <v>#N/A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SUM(Q8:Q10)</f>
        <v>416.15000000000003</v>
      </c>
    </row>
  </sheetData>
  <sheetProtection selectLockedCells="1"/>
  <mergeCells count="23">
    <mergeCell ref="D14:E14"/>
    <mergeCell ref="D15:E15"/>
    <mergeCell ref="H15:I15"/>
    <mergeCell ref="D12:E12"/>
    <mergeCell ref="H12:I12"/>
    <mergeCell ref="D13:E13"/>
    <mergeCell ref="D9:E9"/>
    <mergeCell ref="H9:I9"/>
    <mergeCell ref="D10:E10"/>
    <mergeCell ref="H10:I10"/>
    <mergeCell ref="D11:E11"/>
    <mergeCell ref="H11:I11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6 M8 M12:M14">
    <cfRule type="cellIs" dxfId="2156" priority="9" stopIfTrue="1" operator="lessThanOrEqual">
      <formula>$L6</formula>
    </cfRule>
    <cfRule type="cellIs" dxfId="2155" priority="10" operator="greaterThan">
      <formula>L6</formula>
    </cfRule>
  </conditionalFormatting>
  <conditionalFormatting sqref="M9:M11">
    <cfRule type="cellIs" dxfId="2154" priority="1" stopIfTrue="1" operator="lessThanOrEqual">
      <formula>$L9</formula>
    </cfRule>
    <cfRule type="cellIs" dxfId="2153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D9776D2-B47B-4B8C-957E-A07AB826FDA6}">
          <x14:formula1>
            <xm:f>Bolts!$A:$A</xm:f>
          </x14:formula1>
          <xm:sqref>C12:C14</xm:sqref>
        </x14:dataValidation>
        <x14:dataValidation type="list" allowBlank="1" showInputMessage="1" showErrorMessage="1" xr:uid="{F116027E-20B1-4578-B122-9A7A014F4731}">
          <x14:formula1>
            <xm:f>Assemblies!$E:$E</xm:f>
          </x14:formula1>
          <xm:sqref>C5</xm:sqref>
        </x14:dataValidation>
        <x14:dataValidation type="list" allowBlank="1" showInputMessage="1" showErrorMessage="1" xr:uid="{4B89CE92-4F4F-469C-B914-DA4D2EE3B6AB}">
          <x14:formula1>
            <xm:f>Machined!$C:$C</xm:f>
          </x14:formula1>
          <xm:sqref>C6:C7</xm:sqref>
        </x14:dataValidation>
        <x14:dataValidation type="list" allowBlank="1" showInputMessage="1" showErrorMessage="1" xr:uid="{FAFFCB85-12F2-4844-99AB-670DEEDA5648}">
          <x14:formula1>
            <xm:f>Purchased!$A:$A</xm:f>
          </x14:formula1>
          <xm:sqref>C8:C11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0D791-F916-4EB1-868C-48649D8E5859}">
  <sheetPr codeName="Sheet10">
    <tabColor theme="0" tint="-0.249977111117893"/>
  </sheetPr>
  <dimension ref="A1:Q19"/>
  <sheetViews>
    <sheetView zoomScale="115" zoomScaleNormal="115" workbookViewId="0">
      <selection activeCell="A7" sqref="A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'6'!C5</f>
        <v>PG10.0.6.0.A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'6'!D5</f>
        <v>Tube IO Enclosure</v>
      </c>
      <c r="D3" s="85" t="s">
        <v>50</v>
      </c>
      <c r="E3" s="86" t="str">
        <f ca="1">MID(CELL("filename",A1),FIND("]",CELL("filename",A1))+1,256)</f>
        <v>0.6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</v>
      </c>
      <c r="C5" s="112" t="s">
        <v>115</v>
      </c>
      <c r="D5" s="336" t="str">
        <f ca="1">VLOOKUP(C5,Assemblies!E:P,2,0)</f>
        <v xml:space="preserve">Manifold 8,9 Tube 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2</v>
      </c>
      <c r="P5" s="117"/>
      <c r="Q5" s="118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272">
        <v>1</v>
      </c>
      <c r="B7" s="20"/>
      <c r="C7" s="121"/>
      <c r="D7" s="314" t="e">
        <f>VLOOKUP(C7,Machined!C:X,2,0)</f>
        <v>#N/A</v>
      </c>
      <c r="E7" s="329"/>
      <c r="F7" s="107" t="e">
        <f>VLOOKUP($C7,Machined!C:Z,13,0)</f>
        <v>#N/A</v>
      </c>
      <c r="G7" s="44" t="e">
        <f>IF(VLOOKUP($C7,Machined!C:Z,16,0) = 0, " ", VLOOKUP($C7,Machined!C:Z,16,0))</f>
        <v>#N/A</v>
      </c>
      <c r="H7" s="320" t="e">
        <f>IF(VLOOKUP($C7,Machined!C:Z,17,0) = 0, " ", VLOOKUP($C7,Machined!C:Z,17,0))</f>
        <v>#N/A</v>
      </c>
      <c r="I7" s="321" t="e">
        <f>IF(VLOOKUP($C7,Machined!$C:$Y,13,0) = 0, " ", VLOOKUP($C7,Machined!$C:$Y,13,0))</f>
        <v>#N/A</v>
      </c>
      <c r="J7" s="44" t="e">
        <f>IF(VLOOKUP($C7,Machined!C:Z,18,0) = 0, " ", VLOOKUP($C7,Machined!C:Z,18,0))</f>
        <v>#N/A</v>
      </c>
      <c r="K7" s="44" t="e">
        <f>IF(VLOOKUP($C7,Machined!C:Z,19,0) = 0, " ", VLOOKUP($C7,Machined!C:Z,19,0))</f>
        <v>#N/A</v>
      </c>
      <c r="L7" s="44" t="e">
        <f>IF(VLOOKUP($C7,Machined!C:Z,20,0) = 0, " ", VLOOKUP($C7,Machined!C:Z,20,0))</f>
        <v>#N/A</v>
      </c>
      <c r="M7" s="44" t="e">
        <f>IF(VLOOKUP($C7,Machined!C:Z,21,0) = 0, " ", VLOOKUP($C7,Machined!C:Z,21,0))</f>
        <v>#N/A</v>
      </c>
      <c r="N7" s="129" t="e">
        <f>IF(VLOOKUP($C7,Machined!C:Z,22,0) = 0, " ", VLOOKUP($C7,Machined!C:Z,22,0))</f>
        <v>#N/A</v>
      </c>
      <c r="O7" s="45">
        <f ca="1">B7*$L$2</f>
        <v>0</v>
      </c>
      <c r="P7" s="49" t="e">
        <f>VLOOKUP(C7,Machined!C:F,3,0)</f>
        <v>#N/A</v>
      </c>
      <c r="Q7" s="50" t="e">
        <f>B7*P7</f>
        <v>#N/A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97</v>
      </c>
      <c r="D9" s="325" t="str">
        <f>VLOOKUP(C9,Purchased!A:B,2,0)</f>
        <v>Custom Saginaw IO Enclosure</v>
      </c>
      <c r="E9" s="326"/>
      <c r="F9" s="108" t="str">
        <f>IF(VLOOKUP($C9,Purchased!A:Z,11,0) = 0, " ", VLOOKUP($C9,Purchased!A:Z,11,0))</f>
        <v>Saginaw</v>
      </c>
      <c r="G9" s="108" t="str">
        <f>IF(VLOOKUP($C9,Purchased!A:Z,12,0)=0, " ", VLOOKUP($C9,Purchased!A:Z,12,0))</f>
        <v>Saginaw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45415</v>
      </c>
      <c r="K9" s="46">
        <f>IF(VLOOKUP(C9,Purchased!A:R,14,0)=0, " ", VLOOKUP(C9,Purchased!A:R,14,0))</f>
        <v>45415</v>
      </c>
      <c r="L9" s="46">
        <f>IF(VLOOKUP(C9,Purchased!A:R,15,0)=0, " ", VLOOKUP(C9,Purchased!A:R,15,0))</f>
        <v>45415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45485</v>
      </c>
      <c r="O9" s="47">
        <f t="shared" ref="O9:O15" ca="1" si="2">B9*$L$2</f>
        <v>1</v>
      </c>
      <c r="P9" s="51">
        <f>VLOOKUP(C9,Purchased!A:D,3,FALSE)</f>
        <v>509.65</v>
      </c>
      <c r="Q9" s="52">
        <f t="shared" ref="Q9:Q15" si="3">B9*P9</f>
        <v>509.65</v>
      </c>
    </row>
    <row r="10" spans="1:17" s="2" customFormat="1" ht="12" customHeight="1" x14ac:dyDescent="0.25">
      <c r="A10" s="4">
        <v>302</v>
      </c>
      <c r="B10" s="2">
        <v>1</v>
      </c>
      <c r="C10" s="135" t="s">
        <v>98</v>
      </c>
      <c r="D10" s="325" t="str">
        <f>VLOOKUP(C10,Purchased!A:B,2,0)</f>
        <v>Custom Subpanel for NUL1-12EL6010LP Enclosure</v>
      </c>
      <c r="E10" s="326"/>
      <c r="F10" s="108" t="str">
        <f>IF(VLOOKUP($C10,Purchased!A:Z,11,0) = 0, " ", VLOOKUP($C10,Purchased!A:Z,11,0))</f>
        <v>Saginaw</v>
      </c>
      <c r="G10" s="108" t="str">
        <f>IF(VLOOKUP($C10,Purchased!A:Z,12,0)=0, " ", VLOOKUP($C10,Purchased!A:Z,12,0))</f>
        <v>Saginaw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45415</v>
      </c>
      <c r="K10" s="46">
        <f>IF(VLOOKUP(C10,Purchased!A:R,14,0)=0, " ", VLOOKUP(C10,Purchased!A:R,14,0))</f>
        <v>45415</v>
      </c>
      <c r="L10" s="46">
        <f>IF(VLOOKUP(C10,Purchased!A:R,15,0)=0, " ", VLOOKUP(C10,Purchased!A:R,15,0))</f>
        <v>45415</v>
      </c>
      <c r="M10" s="46">
        <f>IF(VLOOKUP(C10,Purchased!A:R,16,0)=0, " ",VLOOKUP(C10,Purchased!A:R,16,0))</f>
        <v>45485</v>
      </c>
      <c r="N10" s="130">
        <f>IF(VLOOKUP(C10,Purchased!A:R,17,0)=0, " ", VLOOKUP(C10,Purchased!A:R,17,0))</f>
        <v>45485</v>
      </c>
      <c r="O10" s="47">
        <f t="shared" ca="1" si="2"/>
        <v>1</v>
      </c>
      <c r="P10" s="51">
        <f>VLOOKUP(C10,Purchased!A:D,3,FALSE)</f>
        <v>94.57</v>
      </c>
      <c r="Q10" s="52">
        <f t="shared" si="3"/>
        <v>94.57</v>
      </c>
    </row>
    <row r="11" spans="1:17" s="2" customFormat="1" ht="12" customHeight="1" x14ac:dyDescent="0.25">
      <c r="A11" s="4">
        <v>303</v>
      </c>
      <c r="B11" s="2">
        <v>8</v>
      </c>
      <c r="C11" s="135" t="s">
        <v>99</v>
      </c>
      <c r="D11" s="325" t="str">
        <f>VLOOKUP(C11,Purchased!A:B,2,0)</f>
        <v>Fitting for Flexible Plastic Conduit, Straight Adapter, 1 Trade Size Female x 1 
NPT Male</v>
      </c>
      <c r="E11" s="326"/>
      <c r="F11" s="108" t="str">
        <f>IF(VLOOKUP($C11,Purchased!A:Z,11,0) = 0, " ", VLOOKUP($C11,Purchased!A:Z,11,0))</f>
        <v>PMA</v>
      </c>
      <c r="G11" s="108" t="str">
        <f>IF(VLOOKUP($C11,Purchased!A:Z,12,0)=0, " ", VLOOKUP($C11,Purchased!A:Z,12,0))</f>
        <v>RS AMERICAS</v>
      </c>
      <c r="H11" s="327" t="str">
        <f>IF(VLOOKUP($C11,Purchased!A:Z,13,0)=0, " ", VLOOKUP($C11,Purchased!A:Z,13,0))</f>
        <v>Use PMA BVND-N069-GT</v>
      </c>
      <c r="I11" s="328"/>
      <c r="J11" s="46">
        <f>IF(VLOOKUP($C11,Purchased!A:Z,14,0)=0, " ", VLOOKUP($C11,Purchased!A:Z,14,0))</f>
        <v>45493</v>
      </c>
      <c r="K11" s="46">
        <f>IF(VLOOKUP(C11,Purchased!A:R,14,0)=0, " ", VLOOKUP(C11,Purchased!A:R,14,0))</f>
        <v>45493</v>
      </c>
      <c r="L11" s="46">
        <f>IF(VLOOKUP(C11,Purchased!A:R,15,0)=0, " ", VLOOKUP(C11,Purchased!A:R,15,0))</f>
        <v>45499</v>
      </c>
      <c r="M11" s="46">
        <f>IF(VLOOKUP(C11,Purchased!A:R,16,0)=0, " ",VLOOKUP(C11,Purchased!A:R,16,0))</f>
        <v>45534</v>
      </c>
      <c r="N11" s="130">
        <f>IF(VLOOKUP(C11,Purchased!A:R,17,0)=0, " ", VLOOKUP(C11,Purchased!A:R,17,0))</f>
        <v>45534</v>
      </c>
      <c r="O11" s="47">
        <f t="shared" ca="1" si="2"/>
        <v>8</v>
      </c>
      <c r="P11" s="51">
        <f>VLOOKUP(C11,Purchased!A:D,3,FALSE)</f>
        <v>13.96</v>
      </c>
      <c r="Q11" s="52">
        <f t="shared" si="3"/>
        <v>111.68</v>
      </c>
    </row>
    <row r="12" spans="1:17" s="2" customFormat="1" ht="12" customHeight="1" x14ac:dyDescent="0.25">
      <c r="A12" s="4">
        <v>304</v>
      </c>
      <c r="B12" s="2">
        <v>4</v>
      </c>
      <c r="C12" s="135">
        <v>51522</v>
      </c>
      <c r="D12" s="325" t="str">
        <f>VLOOKUP(C12,Purchased!A:B,2,0)</f>
        <v>ICOTEK, cable throughway, Prod num KEL-BES-S-24</v>
      </c>
      <c r="E12" s="326"/>
      <c r="F12" s="108" t="str">
        <f>IF(VLOOKUP($C12,Purchased!A:Z,11,0) = 0, " ", VLOOKUP($C12,Purchased!A:Z,11,0))</f>
        <v>ICOTEK</v>
      </c>
      <c r="G12" s="108" t="str">
        <f>IF(VLOOKUP($C12,Purchased!A:Z,12,0)=0, " ", VLOOKUP($C12,Purchased!A:Z,12,0))</f>
        <v>PRO Automat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45456</v>
      </c>
      <c r="K12" s="46">
        <f>IF(VLOOKUP(C12,Purchased!A:R,14,0)=0, " ", VLOOKUP(C12,Purchased!A:R,14,0))</f>
        <v>45456</v>
      </c>
      <c r="L12" s="46">
        <f>IF(VLOOKUP(C12,Purchased!A:R,15,0)=0, " ", VLOOKUP(C12,Purchased!A:R,15,0))</f>
        <v>45504</v>
      </c>
      <c r="M12" s="46">
        <f>IF(VLOOKUP(C12,Purchased!A:R,16,0)=0, " ",VLOOKUP(C12,Purchased!A:R,16,0))</f>
        <v>45534</v>
      </c>
      <c r="N12" s="130">
        <f>IF(VLOOKUP(C12,Purchased!A:R,17,0)=0, " ", VLOOKUP(C12,Purchased!A:R,17,0))</f>
        <v>45534</v>
      </c>
      <c r="O12" s="47">
        <f t="shared" ca="1" si="2"/>
        <v>4</v>
      </c>
      <c r="P12" s="51">
        <f>VLOOKUP(C12,Purchased!A:D,3,FALSE)</f>
        <v>10.199999999999999</v>
      </c>
      <c r="Q12" s="52">
        <f t="shared" si="3"/>
        <v>40.799999999999997</v>
      </c>
    </row>
    <row r="13" spans="1:17" s="2" customFormat="1" ht="12" customHeight="1" x14ac:dyDescent="0.25">
      <c r="A13" s="4">
        <v>305</v>
      </c>
      <c r="B13" s="2">
        <v>3</v>
      </c>
      <c r="C13" s="135">
        <v>42027</v>
      </c>
      <c r="D13" s="325" t="str">
        <f>VLOOKUP(C13,Purchased!A:B,2,0)</f>
        <v>BPM 24 Icotek Blanking Plate</v>
      </c>
      <c r="E13" s="326"/>
      <c r="F13" s="108" t="str">
        <f>IF(VLOOKUP($C13,Purchased!A:Z,11,0) = 0, " ", VLOOKUP($C13,Purchased!A:Z,11,0))</f>
        <v>ICOTEK</v>
      </c>
      <c r="G13" s="108" t="str">
        <f>IF(VLOOKUP($C13,Purchased!A:Z,12,0)=0, " ", VLOOKUP($C13,Purchased!A:Z,12,0))</f>
        <v>PRO Automat</v>
      </c>
      <c r="H13" s="327" t="str">
        <f>IF(VLOOKUP($C13,Purchased!A:Z,13,0)=0, " ", VLOOKUP($C13,Purchased!A:Z,13,0))</f>
        <v>Order 3 pkg 10</v>
      </c>
      <c r="I13" s="328"/>
      <c r="J13" s="46">
        <f>IF(VLOOKUP($C13,Purchased!A:Z,14,0)=0, " ", VLOOKUP($C13,Purchased!A:Z,14,0))</f>
        <v>45456</v>
      </c>
      <c r="K13" s="46">
        <f>IF(VLOOKUP(C13,Purchased!A:R,14,0)=0, " ", VLOOKUP(C13,Purchased!A:R,14,0))</f>
        <v>45456</v>
      </c>
      <c r="L13" s="46">
        <f>IF(VLOOKUP(C13,Purchased!A:R,15,0)=0, " ", VLOOKUP(C13,Purchased!A:R,15,0))</f>
        <v>45504</v>
      </c>
      <c r="M13" s="46">
        <f>IF(VLOOKUP(C13,Purchased!A:R,16,0)=0, " ",VLOOKUP(C13,Purchased!A:R,16,0))</f>
        <v>45534</v>
      </c>
      <c r="N13" s="130">
        <f>IF(VLOOKUP(C13,Purchased!A:R,17,0)=0, " ", VLOOKUP(C13,Purchased!A:R,17,0))</f>
        <v>45534</v>
      </c>
      <c r="O13" s="47">
        <f t="shared" ca="1" si="2"/>
        <v>3</v>
      </c>
      <c r="P13" s="51">
        <f>VLOOKUP(C13,Purchased!A:D,3,FALSE)</f>
        <v>6.72</v>
      </c>
      <c r="Q13" s="52">
        <f t="shared" si="3"/>
        <v>20.16</v>
      </c>
    </row>
    <row r="14" spans="1:17" s="2" customFormat="1" ht="12" customHeight="1" x14ac:dyDescent="0.25">
      <c r="A14" s="4">
        <v>306</v>
      </c>
      <c r="B14" s="2">
        <v>8</v>
      </c>
      <c r="C14" s="135" t="s">
        <v>100</v>
      </c>
      <c r="D14" s="325" t="str">
        <f>VLOOKUP(C14,Purchased!A:B,2,0)</f>
        <v>Snap-in Hole Plug for 1 Trade Size Knockout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>1 Additional Quantity Added to 55697</v>
      </c>
      <c r="I14" s="328"/>
      <c r="J14" s="46">
        <f>IF(VLOOKUP($C14,Purchased!A:Z,14,0)=0, " ", VLOOKUP($C14,Purchased!A:Z,14,0))</f>
        <v>45481</v>
      </c>
      <c r="K14" s="46">
        <f>IF(VLOOKUP(C14,Purchased!A:R,14,0)=0, " ", VLOOKUP(C14,Purchased!A:R,14,0))</f>
        <v>45481</v>
      </c>
      <c r="L14" s="46">
        <f>IF(VLOOKUP(C14,Purchased!A:R,15,0)=0, " ", VLOOKUP(C14,Purchased!A:R,15,0))</f>
        <v>45481</v>
      </c>
      <c r="M14" s="46">
        <f>IF(VLOOKUP(C14,Purchased!A:R,16,0)=0, " ",VLOOKUP(C14,Purchased!A:R,16,0))</f>
        <v>45482</v>
      </c>
      <c r="N14" s="130">
        <f>IF(VLOOKUP(C14,Purchased!A:R,17,0)=0, " ", VLOOKUP(C14,Purchased!A:R,17,0))</f>
        <v>45482</v>
      </c>
      <c r="O14" s="47">
        <f t="shared" ca="1" si="2"/>
        <v>8</v>
      </c>
      <c r="P14" s="51">
        <f>VLOOKUP(C14,Purchased!A:D,3,FALSE)</f>
        <v>13.48</v>
      </c>
      <c r="Q14" s="52">
        <f t="shared" si="3"/>
        <v>107.84</v>
      </c>
    </row>
    <row r="15" spans="1:17" s="2" customFormat="1" ht="12" customHeight="1" x14ac:dyDescent="0.25">
      <c r="A15" s="4">
        <v>307</v>
      </c>
      <c r="C15" s="135"/>
      <c r="D15" s="325" t="e">
        <f>VLOOKUP(C15,Purchased!A:B,2,0)</f>
        <v>#N/A</v>
      </c>
      <c r="E15" s="326"/>
      <c r="F15" s="108" t="e">
        <f>IF(VLOOKUP($C15,Purchased!A:Z,11,0) = 0, " ", VLOOKUP($C15,Purchased!A:Z,11,0))</f>
        <v>#N/A</v>
      </c>
      <c r="G15" s="108" t="e">
        <f>IF(VLOOKUP($C15,Purchased!A:Z,12,0)=0, " ", VLOOKUP($C15,Purchased!A:Z,12,0))</f>
        <v>#N/A</v>
      </c>
      <c r="H15" s="327" t="e">
        <f>IF(VLOOKUP($C15,Purchased!A:Z,13,0)=0, " ", VLOOKUP($C15,Purchased!A:Z,13,0))</f>
        <v>#N/A</v>
      </c>
      <c r="I15" s="328"/>
      <c r="J15" s="46" t="e">
        <f>IF(VLOOKUP($C15,Purchased!A:Z,14,0)=0, " ", VLOOKUP($C15,Purchased!A:Z,14,0))</f>
        <v>#N/A</v>
      </c>
      <c r="K15" s="46" t="e">
        <f>IF(VLOOKUP(C15,Purchased!A:R,14,0)=0, " ", VLOOKUP(C15,Purchased!A:R,14,0))</f>
        <v>#N/A</v>
      </c>
      <c r="L15" s="46" t="e">
        <f>IF(VLOOKUP(C15,Purchased!A:R,15,0)=0, " ", VLOOKUP(C15,Purchased!A:R,15,0))</f>
        <v>#N/A</v>
      </c>
      <c r="M15" s="46" t="e">
        <f>IF(VLOOKUP(C15,Purchased!A:R,16,0)=0, " ",VLOOKUP(C15,Purchased!A:R,16,0))</f>
        <v>#N/A</v>
      </c>
      <c r="N15" s="130" t="e">
        <f>IF(VLOOKUP(C15,Purchased!A:R,17,0)=0, " ", VLOOKUP(C15,Purchased!A:R,17,0))</f>
        <v>#N/A</v>
      </c>
      <c r="O15" s="47">
        <f t="shared" ca="1" si="2"/>
        <v>0</v>
      </c>
      <c r="P15" s="51" t="e">
        <f>VLOOKUP(C15,Purchased!A:D,3,FALSE)</f>
        <v>#N/A</v>
      </c>
      <c r="Q15" s="52" t="e">
        <f t="shared" si="3"/>
        <v>#N/A</v>
      </c>
    </row>
    <row r="16" spans="1:17" s="2" customFormat="1" ht="12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" customHeight="1" x14ac:dyDescent="0.25">
      <c r="A17" s="4">
        <v>501</v>
      </c>
      <c r="C17" s="122"/>
      <c r="D17" s="325"/>
      <c r="E17" s="326"/>
      <c r="F17" s="108" t="e">
        <f>VLOOKUP(C17,Bolts!A:L,5,0)</f>
        <v>#N/A</v>
      </c>
      <c r="G17" s="108" t="e">
        <f>VLOOKUP(C17,Bolts!A:L,6,0)</f>
        <v>#N/A</v>
      </c>
      <c r="H17" s="108" t="e">
        <f>VLOOKUP(C17,Bolts!A:L,7,0)</f>
        <v>#N/A</v>
      </c>
      <c r="I17" s="109"/>
      <c r="J17" s="46" t="e">
        <f>VLOOKUP(C17,Bolts!A:L,8,0)</f>
        <v>#N/A</v>
      </c>
      <c r="K17" s="46" t="e">
        <f>VLOOKUP(C17,Bolts!A:L,9,0)</f>
        <v>#N/A</v>
      </c>
      <c r="L17" s="46" t="e">
        <f>VLOOKUP(C17,Bolts!A:L,10,0)</f>
        <v>#N/A</v>
      </c>
      <c r="M17" s="46" t="e">
        <f>VLOOKUP(C17,Bolts!A:L,11,0)</f>
        <v>#N/A</v>
      </c>
      <c r="N17" s="130" t="e">
        <f>VLOOKUP(C17,Bolts!A:L,12,0)</f>
        <v>#N/A</v>
      </c>
      <c r="O17" s="47">
        <f t="shared" ref="O17:O18" ca="1" si="4">B17*$L$2</f>
        <v>0</v>
      </c>
      <c r="P17" s="51" t="e">
        <f>VLOOKUP(C17,Bolts!A:B,2,FALSE)</f>
        <v>#N/A</v>
      </c>
      <c r="Q17" s="52" t="e">
        <f t="shared" ref="Q17:Q18" si="5">B17*P17</f>
        <v>#N/A</v>
      </c>
    </row>
    <row r="18" spans="1:17" s="2" customFormat="1" ht="12.75" customHeight="1" thickBot="1" x14ac:dyDescent="0.3">
      <c r="A18" s="4">
        <v>502</v>
      </c>
      <c r="C18" s="122"/>
      <c r="D18" s="325"/>
      <c r="E18" s="326"/>
      <c r="F18" s="108" t="e">
        <f>VLOOKUP(C18,Bolts!A:L,5,0)</f>
        <v>#N/A</v>
      </c>
      <c r="G18" s="108" t="e">
        <f>VLOOKUP(C18,Bolts!A:L,6,0)</f>
        <v>#N/A</v>
      </c>
      <c r="H18" s="108" t="e">
        <f>VLOOKUP(C18,Bolts!A:L,7,0)</f>
        <v>#N/A</v>
      </c>
      <c r="I18" s="109"/>
      <c r="J18" s="46" t="e">
        <f>VLOOKUP(C18,Bolts!A:L,8,0)</f>
        <v>#N/A</v>
      </c>
      <c r="K18" s="46" t="e">
        <f>VLOOKUP(C18,Bolts!A:L,9,0)</f>
        <v>#N/A</v>
      </c>
      <c r="L18" s="46" t="e">
        <f>VLOOKUP(C18,Bolts!A:L,10,0)</f>
        <v>#N/A</v>
      </c>
      <c r="M18" s="46" t="e">
        <f>VLOOKUP(C18,Bolts!A:L,11,0)</f>
        <v>#N/A</v>
      </c>
      <c r="N18" s="130" t="e">
        <f>VLOOKUP(C18,Bolts!A:L,12,0)</f>
        <v>#N/A</v>
      </c>
      <c r="O18" s="47">
        <f t="shared" ca="1" si="4"/>
        <v>0</v>
      </c>
      <c r="P18" s="51" t="e">
        <f>VLOOKUP(C18,Bolts!A:B,2,FALSE)</f>
        <v>#N/A</v>
      </c>
      <c r="Q18" s="52" t="e">
        <f t="shared" si="5"/>
        <v>#N/A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SUM(Q8:Q14)</f>
        <v>884.7</v>
      </c>
    </row>
  </sheetData>
  <sheetProtection selectLockedCells="1"/>
  <mergeCells count="31">
    <mergeCell ref="D1:E1"/>
    <mergeCell ref="D4:E4"/>
    <mergeCell ref="H4:I4"/>
    <mergeCell ref="D5:E5"/>
    <mergeCell ref="H5:I5"/>
    <mergeCell ref="D8:E8"/>
    <mergeCell ref="H8:I8"/>
    <mergeCell ref="D9:E9"/>
    <mergeCell ref="H9:I9"/>
    <mergeCell ref="D6:E6"/>
    <mergeCell ref="H6:I6"/>
    <mergeCell ref="D7:E7"/>
    <mergeCell ref="H7:I7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H15:I15"/>
    <mergeCell ref="D19:E19"/>
    <mergeCell ref="H19:I19"/>
    <mergeCell ref="D16:E16"/>
    <mergeCell ref="H16:I16"/>
    <mergeCell ref="D17:E17"/>
    <mergeCell ref="D18:E18"/>
  </mergeCells>
  <conditionalFormatting sqref="M6 M8 M16:M18">
    <cfRule type="cellIs" dxfId="2152" priority="17" stopIfTrue="1" operator="lessThanOrEqual">
      <formula>$L6</formula>
    </cfRule>
    <cfRule type="cellIs" dxfId="2151" priority="18" operator="greaterThan">
      <formula>L6</formula>
    </cfRule>
  </conditionalFormatting>
  <conditionalFormatting sqref="M9">
    <cfRule type="cellIs" dxfId="2150" priority="13" stopIfTrue="1" operator="lessThanOrEqual">
      <formula>$L9</formula>
    </cfRule>
    <cfRule type="cellIs" dxfId="2149" priority="14" operator="greaterThan">
      <formula>L9</formula>
    </cfRule>
  </conditionalFormatting>
  <conditionalFormatting sqref="M10">
    <cfRule type="cellIs" dxfId="2148" priority="11" stopIfTrue="1" operator="lessThanOrEqual">
      <formula>$L10</formula>
    </cfRule>
    <cfRule type="cellIs" dxfId="2147" priority="12" operator="greaterThan">
      <formula>L10</formula>
    </cfRule>
  </conditionalFormatting>
  <conditionalFormatting sqref="M11">
    <cfRule type="cellIs" dxfId="2146" priority="9" stopIfTrue="1" operator="lessThanOrEqual">
      <formula>$L11</formula>
    </cfRule>
    <cfRule type="cellIs" dxfId="2145" priority="10" operator="greaterThan">
      <formula>L11</formula>
    </cfRule>
  </conditionalFormatting>
  <conditionalFormatting sqref="M12">
    <cfRule type="cellIs" dxfId="2144" priority="7" stopIfTrue="1" operator="lessThanOrEqual">
      <formula>$L12</formula>
    </cfRule>
    <cfRule type="cellIs" dxfId="2143" priority="8" operator="greaterThan">
      <formula>L12</formula>
    </cfRule>
  </conditionalFormatting>
  <conditionalFormatting sqref="M13">
    <cfRule type="cellIs" dxfId="2142" priority="5" stopIfTrue="1" operator="lessThanOrEqual">
      <formula>$L13</formula>
    </cfRule>
    <cfRule type="cellIs" dxfId="2141" priority="6" operator="greaterThan">
      <formula>L13</formula>
    </cfRule>
  </conditionalFormatting>
  <conditionalFormatting sqref="M14">
    <cfRule type="cellIs" dxfId="2140" priority="3" stopIfTrue="1" operator="lessThanOrEqual">
      <formula>$L14</formula>
    </cfRule>
    <cfRule type="cellIs" dxfId="2139" priority="4" operator="greaterThan">
      <formula>L14</formula>
    </cfRule>
  </conditionalFormatting>
  <conditionalFormatting sqref="M15">
    <cfRule type="cellIs" dxfId="2138" priority="1" stopIfTrue="1" operator="lessThanOrEqual">
      <formula>$L15</formula>
    </cfRule>
    <cfRule type="cellIs" dxfId="2137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31CEB6-8D8D-45EE-AF81-F38BC0A79858}">
          <x14:formula1>
            <xm:f>Bolts!$A:$A</xm:f>
          </x14:formula1>
          <xm:sqref>C16:C18</xm:sqref>
        </x14:dataValidation>
        <x14:dataValidation type="list" allowBlank="1" showInputMessage="1" showErrorMessage="1" xr:uid="{758BE24E-8E4C-4CAE-809F-1CEC5EDFD3FF}">
          <x14:formula1>
            <xm:f>Assemblies!$E:$E</xm:f>
          </x14:formula1>
          <xm:sqref>C5</xm:sqref>
        </x14:dataValidation>
        <x14:dataValidation type="list" allowBlank="1" showInputMessage="1" showErrorMessage="1" xr:uid="{E6D5A764-B911-498C-AA1D-89B068BBBD65}">
          <x14:formula1>
            <xm:f>Machined!$C:$C</xm:f>
          </x14:formula1>
          <xm:sqref>C6:C7</xm:sqref>
        </x14:dataValidation>
        <x14:dataValidation type="list" allowBlank="1" showInputMessage="1" showErrorMessage="1" xr:uid="{5063D840-68AD-499E-B914-00152A1B50F0}">
          <x14:formula1>
            <xm:f>Purchased!$A:$A</xm:f>
          </x14:formula1>
          <xm:sqref>C8:C15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74398-CA69-4215-88FD-45F95D48F72F}">
  <sheetPr codeName="Sheet11">
    <tabColor theme="0" tint="-0.14999847407452621"/>
  </sheetPr>
  <dimension ref="A1:Q19"/>
  <sheetViews>
    <sheetView zoomScale="115" zoomScaleNormal="115" workbookViewId="0">
      <selection activeCell="C25" sqref="C2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'0.6'!C5</f>
        <v>PG10.0.6.1.0.A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'0.6'!D5</f>
        <v xml:space="preserve">Manifold 8,9 Tube </v>
      </c>
      <c r="D3" s="85" t="s">
        <v>50</v>
      </c>
      <c r="E3" s="86" t="str">
        <f ca="1">MID(CELL("filename",A1),FIND("]",CELL("filename",A1))+1,256)</f>
        <v>0.6.1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thickBot="1" x14ac:dyDescent="0.3">
      <c r="A5" s="4">
        <v>301</v>
      </c>
      <c r="B5" s="2">
        <v>1</v>
      </c>
      <c r="C5" s="135" t="s">
        <v>116</v>
      </c>
      <c r="D5" s="325" t="str">
        <f>VLOOKUP(C5,Purchased!A:B,2,0)</f>
        <v>SS5Y5 Nuline PG10 MANIFOLD 8,9 REV C</v>
      </c>
      <c r="E5" s="326"/>
      <c r="F5" s="108" t="str">
        <f>IF(VLOOKUP($C5,Purchased!A:Z,11,0) = 0, " ", VLOOKUP($C5,Purchased!A:Z,11,0))</f>
        <v>SMC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45495</v>
      </c>
      <c r="K5" s="46">
        <f>IF(VLOOKUP(C5,Purchased!A:R,14,0)=0, " ", VLOOKUP(C5,Purchased!A:R,14,0))</f>
        <v>45495</v>
      </c>
      <c r="L5" s="46">
        <f>IF(VLOOKUP(C5,Purchased!A:R,15,0)=0, " ", VLOOKUP(C5,Purchased!A:R,15,0))</f>
        <v>45497</v>
      </c>
      <c r="M5" s="46">
        <f>IF(VLOOKUP(C5,Purchased!A:R,16,0)=0, " ",VLOOKUP(C5,Purchased!A:R,16,0))</f>
        <v>45526</v>
      </c>
      <c r="N5" s="130">
        <f>IF(VLOOKUP(C5,Purchased!A:R,17,0)=0, " ", VLOOKUP(C5,Purchased!A:R,17,0))</f>
        <v>45526</v>
      </c>
      <c r="O5" s="47">
        <f t="shared" ref="O5" ca="1" si="0">B5*$L$2</f>
        <v>2</v>
      </c>
      <c r="P5" s="51">
        <f>VLOOKUP(C5,Purchased!A:D,3,FALSE)</f>
        <v>1228.4159999999999</v>
      </c>
      <c r="Q5" s="52">
        <f t="shared" ref="Q5" si="1">B5*P5</f>
        <v>1228.4159999999999</v>
      </c>
    </row>
    <row r="6" spans="1:17" s="2" customFormat="1" ht="12" customHeight="1" thickBot="1" x14ac:dyDescent="0.3">
      <c r="A6" s="34"/>
      <c r="B6" s="35"/>
      <c r="C6" s="35"/>
      <c r="D6" s="316"/>
      <c r="E6" s="317"/>
      <c r="F6" s="35"/>
      <c r="G6" s="35"/>
      <c r="H6" s="309"/>
      <c r="I6" s="310"/>
      <c r="J6" s="36"/>
      <c r="K6" s="36"/>
      <c r="L6" s="36"/>
      <c r="M6" s="37"/>
      <c r="N6" s="132"/>
      <c r="O6" s="38"/>
      <c r="P6" s="99" t="s">
        <v>43</v>
      </c>
      <c r="Q6" s="104">
        <v>2456.83</v>
      </c>
    </row>
    <row r="17" spans="4:6" x14ac:dyDescent="0.25">
      <c r="D17" s="19"/>
      <c r="E17" s="19"/>
      <c r="F17" s="133"/>
    </row>
    <row r="18" spans="4:6" x14ac:dyDescent="0.25">
      <c r="D18" s="19"/>
      <c r="E18" s="19"/>
      <c r="F18" s="133"/>
    </row>
    <row r="19" spans="4:6" x14ac:dyDescent="0.25">
      <c r="D19" s="19"/>
      <c r="E19" s="19"/>
      <c r="F19" s="133"/>
    </row>
  </sheetData>
  <mergeCells count="7">
    <mergeCell ref="D6:E6"/>
    <mergeCell ref="H6:I6"/>
    <mergeCell ref="D1:E1"/>
    <mergeCell ref="D4:E4"/>
    <mergeCell ref="H4:I4"/>
    <mergeCell ref="D5:E5"/>
    <mergeCell ref="H5:I5"/>
  </mergeCells>
  <conditionalFormatting sqref="M5">
    <cfRule type="cellIs" dxfId="2136" priority="1" stopIfTrue="1" operator="lessThanOrEqual">
      <formula>$L5</formula>
    </cfRule>
    <cfRule type="cellIs" dxfId="2135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E2741F-0382-485F-BDC3-4336D3F9C70B}">
          <x14:formula1>
            <xm:f>Purchased!$A:$A</xm:f>
          </x14:formula1>
          <xm:sqref>C5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53AB9-B4BD-413B-8553-011D399FF372}">
  <sheetPr codeName="Sheet12">
    <tabColor theme="0" tint="-0.249977111117893"/>
  </sheetPr>
  <dimension ref="A1:Q15"/>
  <sheetViews>
    <sheetView zoomScale="115" zoomScaleNormal="115" workbookViewId="0">
      <selection activeCell="A7" sqref="A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'6'!C5</f>
        <v>PG10.0.6.0.A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'6'!D5</f>
        <v>Tube IO Enclosure</v>
      </c>
      <c r="D3" s="85" t="s">
        <v>50</v>
      </c>
      <c r="E3" s="86" t="str">
        <f ca="1">MID(CELL("filename",A1),FIND("]",CELL("filename",A1))+1,256)</f>
        <v>0.7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/>
      <c r="C5" s="112"/>
      <c r="D5" s="336" t="e">
        <f ca="1">VLOOKUP(C5,Assemblies!E:P,2,0)</f>
        <v>#N/A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0</v>
      </c>
      <c r="P5" s="117"/>
      <c r="Q5" s="118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272">
        <v>1</v>
      </c>
      <c r="B7" s="20"/>
      <c r="C7" s="121"/>
      <c r="D7" s="314" t="e">
        <f>VLOOKUP(C7,Machined!C:X,2,0)</f>
        <v>#N/A</v>
      </c>
      <c r="E7" s="329"/>
      <c r="F7" s="107" t="e">
        <f>VLOOKUP($C7,Machined!C:Z,13,0)</f>
        <v>#N/A</v>
      </c>
      <c r="G7" s="44" t="e">
        <f>IF(VLOOKUP($C7,Machined!C:Z,16,0) = 0, " ", VLOOKUP($C7,Machined!C:Z,16,0))</f>
        <v>#N/A</v>
      </c>
      <c r="H7" s="320" t="e">
        <f>IF(VLOOKUP($C7,Machined!C:Z,17,0) = 0, " ", VLOOKUP($C7,Machined!C:Z,17,0))</f>
        <v>#N/A</v>
      </c>
      <c r="I7" s="321" t="e">
        <f>IF(VLOOKUP($C7,Machined!$C:$Y,13,0) = 0, " ", VLOOKUP($C7,Machined!$C:$Y,13,0))</f>
        <v>#N/A</v>
      </c>
      <c r="J7" s="44" t="e">
        <f>IF(VLOOKUP($C7,Machined!C:Z,18,0) = 0, " ", VLOOKUP($C7,Machined!C:Z,18,0))</f>
        <v>#N/A</v>
      </c>
      <c r="K7" s="44" t="e">
        <f>IF(VLOOKUP($C7,Machined!C:Z,19,0) = 0, " ", VLOOKUP($C7,Machined!C:Z,19,0))</f>
        <v>#N/A</v>
      </c>
      <c r="L7" s="44" t="e">
        <f>IF(VLOOKUP($C7,Machined!C:Z,20,0) = 0, " ", VLOOKUP($C7,Machined!C:Z,20,0))</f>
        <v>#N/A</v>
      </c>
      <c r="M7" s="44" t="e">
        <f>IF(VLOOKUP($C7,Machined!C:Z,21,0) = 0, " ", VLOOKUP($C7,Machined!C:Z,21,0))</f>
        <v>#N/A</v>
      </c>
      <c r="N7" s="129" t="e">
        <f>IF(VLOOKUP($C7,Machined!C:Z,22,0) = 0, " ", VLOOKUP($C7,Machined!C:Z,22,0))</f>
        <v>#N/A</v>
      </c>
      <c r="O7" s="45">
        <f ca="1">B7*$L$2</f>
        <v>0</v>
      </c>
      <c r="P7" s="49" t="e">
        <f>VLOOKUP(C7,Machined!C:F,3,0)</f>
        <v>#N/A</v>
      </c>
      <c r="Q7" s="50" t="e">
        <f>B7*P7</f>
        <v>#N/A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117</v>
      </c>
      <c r="D9" s="325" t="str">
        <f>VLOOKUP(C9,Purchased!A:B,2,0)</f>
        <v>Saginaw WFLP Enclosure 24H X 42W X 12D</v>
      </c>
      <c r="E9" s="326"/>
      <c r="F9" s="108" t="str">
        <f>IF(VLOOKUP($C9,Purchased!A:Z,11,0) = 0, " ", VLOOKUP($C9,Purchased!A:Z,11,0))</f>
        <v>Saginaw</v>
      </c>
      <c r="G9" s="108" t="str">
        <f>IF(VLOOKUP($C9,Purchased!A:Z,12,0)=0, " ", VLOOKUP($C9,Purchased!A:Z,12,0))</f>
        <v>Saginaw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45426</v>
      </c>
      <c r="K9" s="46">
        <f>IF(VLOOKUP(C9,Purchased!A:R,14,0)=0, " ", VLOOKUP(C9,Purchased!A:R,14,0))</f>
        <v>45426</v>
      </c>
      <c r="L9" s="46">
        <f>IF(VLOOKUP(C9,Purchased!A:R,15,0)=0, " ", VLOOKUP(C9,Purchased!A:R,15,0))</f>
        <v>45426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45455</v>
      </c>
      <c r="O9" s="47">
        <f t="shared" ref="O9:O11" ca="1" si="2">B9*$L$2</f>
        <v>1</v>
      </c>
      <c r="P9" s="51">
        <f>VLOOKUP(C9,Purchased!A:D,3,FALSE)</f>
        <v>517.57000000000005</v>
      </c>
      <c r="Q9" s="52">
        <f t="shared" ref="Q9:Q11" si="3">B9*P9</f>
        <v>517.57000000000005</v>
      </c>
    </row>
    <row r="10" spans="1:17" s="2" customFormat="1" ht="12" customHeight="1" x14ac:dyDescent="0.25">
      <c r="A10" s="4">
        <v>302</v>
      </c>
      <c r="B10" s="2">
        <v>1</v>
      </c>
      <c r="C10" s="135" t="s">
        <v>118</v>
      </c>
      <c r="D10" s="325" t="str">
        <f>VLOOKUP(C10,Purchased!A:B,2,0)</f>
        <v>Saginaw Subpanel, Bent Galvanized, 39H X 21W X 0.88D</v>
      </c>
      <c r="E10" s="326"/>
      <c r="F10" s="108" t="str">
        <f>IF(VLOOKUP($C10,Purchased!A:Z,11,0) = 0, " ", VLOOKUP($C10,Purchased!A:Z,11,0))</f>
        <v>Saginaw</v>
      </c>
      <c r="G10" s="108" t="str">
        <f>IF(VLOOKUP($C10,Purchased!A:Z,12,0)=0, " ", VLOOKUP($C10,Purchased!A:Z,12,0))</f>
        <v>Saginaw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45426</v>
      </c>
      <c r="K10" s="46">
        <f>IF(VLOOKUP(C10,Purchased!A:R,14,0)=0, " ", VLOOKUP(C10,Purchased!A:R,14,0))</f>
        <v>45426</v>
      </c>
      <c r="L10" s="46">
        <f>IF(VLOOKUP(C10,Purchased!A:R,15,0)=0, " ", VLOOKUP(C10,Purchased!A:R,15,0))</f>
        <v>45426</v>
      </c>
      <c r="M10" s="46">
        <f>IF(VLOOKUP(C10,Purchased!A:R,16,0)=0, " ",VLOOKUP(C10,Purchased!A:R,16,0))</f>
        <v>45485</v>
      </c>
      <c r="N10" s="130">
        <f>IF(VLOOKUP(C10,Purchased!A:R,17,0)=0, " ", VLOOKUP(C10,Purchased!A:R,17,0))</f>
        <v>45455</v>
      </c>
      <c r="O10" s="47">
        <f t="shared" ca="1" si="2"/>
        <v>1</v>
      </c>
      <c r="P10" s="51">
        <f>VLOOKUP(C10,Purchased!A:D,3,FALSE)</f>
        <v>83.67</v>
      </c>
      <c r="Q10" s="52">
        <f t="shared" si="3"/>
        <v>83.67</v>
      </c>
    </row>
    <row r="11" spans="1:17" s="2" customFormat="1" ht="12" customHeight="1" x14ac:dyDescent="0.25">
      <c r="A11" s="4">
        <v>303</v>
      </c>
      <c r="C11" s="135"/>
      <c r="D11" s="325" t="e">
        <f>VLOOKUP(C11,Purchased!A:B,2,0)</f>
        <v>#N/A</v>
      </c>
      <c r="E11" s="326"/>
      <c r="F11" s="108" t="e">
        <f>IF(VLOOKUP($C11,Purchased!A:Z,11,0) = 0, " ", VLOOKUP($C11,Purchased!A:Z,11,0))</f>
        <v>#N/A</v>
      </c>
      <c r="G11" s="108" t="e">
        <f>IF(VLOOKUP($C11,Purchased!A:Z,12,0)=0, " ", VLOOKUP($C11,Purchased!A:Z,12,0))</f>
        <v>#N/A</v>
      </c>
      <c r="H11" s="327" t="e">
        <f>IF(VLOOKUP($C11,Purchased!A:Z,13,0)=0, " ", VLOOKUP($C11,Purchased!A:Z,13,0))</f>
        <v>#N/A</v>
      </c>
      <c r="I11" s="328"/>
      <c r="J11" s="46" t="e">
        <f>IF(VLOOKUP($C11,Purchased!A:Z,14,0)=0, " ", VLOOKUP($C11,Purchased!A:Z,14,0))</f>
        <v>#N/A</v>
      </c>
      <c r="K11" s="46" t="e">
        <f>IF(VLOOKUP(C11,Purchased!A:R,14,0)=0, " ", VLOOKUP(C11,Purchased!A:R,14,0))</f>
        <v>#N/A</v>
      </c>
      <c r="L11" s="46" t="e">
        <f>IF(VLOOKUP(C11,Purchased!A:R,15,0)=0, " ", VLOOKUP(C11,Purchased!A:R,15,0))</f>
        <v>#N/A</v>
      </c>
      <c r="M11" s="46" t="e">
        <f>IF(VLOOKUP(C11,Purchased!A:R,16,0)=0, " ",VLOOKUP(C11,Purchased!A:R,16,0))</f>
        <v>#N/A</v>
      </c>
      <c r="N11" s="130" t="e">
        <f>IF(VLOOKUP(C11,Purchased!A:R,17,0)=0, " ", VLOOKUP(C11,Purchased!A:R,17,0))</f>
        <v>#N/A</v>
      </c>
      <c r="O11" s="47">
        <f t="shared" ca="1" si="2"/>
        <v>0</v>
      </c>
      <c r="P11" s="51" t="e">
        <f>VLOOKUP(C11,Purchased!A:D,3,FALSE)</f>
        <v>#N/A</v>
      </c>
      <c r="Q11" s="52" t="e">
        <f t="shared" si="3"/>
        <v>#N/A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501</v>
      </c>
      <c r="C13" s="122"/>
      <c r="D13" s="325"/>
      <c r="E13" s="326"/>
      <c r="F13" s="108" t="e">
        <f>VLOOKUP(C13,Bolts!A:L,5,0)</f>
        <v>#N/A</v>
      </c>
      <c r="G13" s="108" t="e">
        <f>VLOOKUP(C13,Bolts!A:L,6,0)</f>
        <v>#N/A</v>
      </c>
      <c r="H13" s="108" t="e">
        <f>VLOOKUP(C13,Bolts!A:L,7,0)</f>
        <v>#N/A</v>
      </c>
      <c r="I13" s="109"/>
      <c r="J13" s="46" t="e">
        <f>VLOOKUP(C13,Bolts!A:L,8,0)</f>
        <v>#N/A</v>
      </c>
      <c r="K13" s="46" t="e">
        <f>VLOOKUP(C13,Bolts!A:L,9,0)</f>
        <v>#N/A</v>
      </c>
      <c r="L13" s="46" t="e">
        <f>VLOOKUP(C13,Bolts!A:L,10,0)</f>
        <v>#N/A</v>
      </c>
      <c r="M13" s="46" t="e">
        <f>VLOOKUP(C13,Bolts!A:L,11,0)</f>
        <v>#N/A</v>
      </c>
      <c r="N13" s="130" t="e">
        <f>VLOOKUP(C13,Bolts!A:L,12,0)</f>
        <v>#N/A</v>
      </c>
      <c r="O13" s="47">
        <f t="shared" ref="O13:O14" ca="1" si="4">B13*$L$2</f>
        <v>0</v>
      </c>
      <c r="P13" s="51" t="e">
        <f>VLOOKUP(C13,Bolts!A:B,2,FALSE)</f>
        <v>#N/A</v>
      </c>
      <c r="Q13" s="52" t="e">
        <f t="shared" ref="Q13:Q14" si="5">B13*P13</f>
        <v>#N/A</v>
      </c>
    </row>
    <row r="14" spans="1:17" s="2" customFormat="1" ht="12" customHeight="1" thickBot="1" x14ac:dyDescent="0.3">
      <c r="A14" s="4">
        <v>502</v>
      </c>
      <c r="C14" s="122"/>
      <c r="D14" s="325"/>
      <c r="E14" s="326"/>
      <c r="F14" s="108" t="e">
        <f>VLOOKUP(C14,Bolts!A:L,5,0)</f>
        <v>#N/A</v>
      </c>
      <c r="G14" s="108" t="e">
        <f>VLOOKUP(C14,Bolts!A:L,6,0)</f>
        <v>#N/A</v>
      </c>
      <c r="H14" s="108" t="e">
        <f>VLOOKUP(C14,Bolts!A:L,7,0)</f>
        <v>#N/A</v>
      </c>
      <c r="I14" s="109"/>
      <c r="J14" s="46" t="e">
        <f>VLOOKUP(C14,Bolts!A:L,8,0)</f>
        <v>#N/A</v>
      </c>
      <c r="K14" s="46" t="e">
        <f>VLOOKUP(C14,Bolts!A:L,9,0)</f>
        <v>#N/A</v>
      </c>
      <c r="L14" s="46" t="e">
        <f>VLOOKUP(C14,Bolts!A:L,10,0)</f>
        <v>#N/A</v>
      </c>
      <c r="M14" s="46" t="e">
        <f>VLOOKUP(C14,Bolts!A:L,11,0)</f>
        <v>#N/A</v>
      </c>
      <c r="N14" s="130" t="e">
        <f>VLOOKUP(C14,Bolts!A:L,12,0)</f>
        <v>#N/A</v>
      </c>
      <c r="O14" s="47">
        <f t="shared" ca="1" si="4"/>
        <v>0</v>
      </c>
      <c r="P14" s="51" t="e">
        <f>VLOOKUP(C14,Bolts!A:B,2,FALSE)</f>
        <v>#N/A</v>
      </c>
      <c r="Q14" s="52" t="e">
        <f t="shared" si="5"/>
        <v>#N/A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SUM(Q9:Q10)</f>
        <v>601.24</v>
      </c>
    </row>
  </sheetData>
  <sheetProtection selectLockedCells="1"/>
  <mergeCells count="23">
    <mergeCell ref="D14:E14"/>
    <mergeCell ref="D15:E15"/>
    <mergeCell ref="H15:I15"/>
    <mergeCell ref="D12:E12"/>
    <mergeCell ref="H12:I12"/>
    <mergeCell ref="D13:E13"/>
    <mergeCell ref="D9:E9"/>
    <mergeCell ref="H9:I9"/>
    <mergeCell ref="D10:E10"/>
    <mergeCell ref="H10:I10"/>
    <mergeCell ref="D11:E11"/>
    <mergeCell ref="H11:I11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6 M8 M12:M14">
    <cfRule type="cellIs" dxfId="2134" priority="9" stopIfTrue="1" operator="lessThanOrEqual">
      <formula>$L6</formula>
    </cfRule>
    <cfRule type="cellIs" dxfId="2133" priority="10" operator="greaterThan">
      <formula>L6</formula>
    </cfRule>
  </conditionalFormatting>
  <conditionalFormatting sqref="M9">
    <cfRule type="cellIs" dxfId="2132" priority="5" stopIfTrue="1" operator="lessThanOrEqual">
      <formula>$L9</formula>
    </cfRule>
    <cfRule type="cellIs" dxfId="2131" priority="6" operator="greaterThan">
      <formula>L9</formula>
    </cfRule>
  </conditionalFormatting>
  <conditionalFormatting sqref="M10">
    <cfRule type="cellIs" dxfId="2130" priority="3" stopIfTrue="1" operator="lessThanOrEqual">
      <formula>$L10</formula>
    </cfRule>
    <cfRule type="cellIs" dxfId="2129" priority="4" operator="greaterThan">
      <formula>L10</formula>
    </cfRule>
  </conditionalFormatting>
  <conditionalFormatting sqref="M11">
    <cfRule type="cellIs" dxfId="2128" priority="1" stopIfTrue="1" operator="lessThanOrEqual">
      <formula>$L11</formula>
    </cfRule>
    <cfRule type="cellIs" dxfId="2127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1581FD-D956-457E-BB21-469C59C81D7C}">
          <x14:formula1>
            <xm:f>Bolts!$A:$A</xm:f>
          </x14:formula1>
          <xm:sqref>C12:C14</xm:sqref>
        </x14:dataValidation>
        <x14:dataValidation type="list" allowBlank="1" showInputMessage="1" showErrorMessage="1" xr:uid="{FD8207E2-018D-4A34-95F1-C7066A3FFA2E}">
          <x14:formula1>
            <xm:f>Assemblies!$E:$E</xm:f>
          </x14:formula1>
          <xm:sqref>C5</xm:sqref>
        </x14:dataValidation>
        <x14:dataValidation type="list" allowBlank="1" showInputMessage="1" showErrorMessage="1" xr:uid="{2D8D731B-2179-49AE-91E1-B6570D9E3897}">
          <x14:formula1>
            <xm:f>Machined!$C:$C</xm:f>
          </x14:formula1>
          <xm:sqref>C6:C7</xm:sqref>
        </x14:dataValidation>
        <x14:dataValidation type="list" allowBlank="1" showInputMessage="1" showErrorMessage="1" xr:uid="{7AC347EE-D80E-456C-AA33-582B8FC6B5B9}">
          <x14:formula1>
            <xm:f>Purchased!$A:$A</xm:f>
          </x14:formula1>
          <xm:sqref>C8:C11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50C23-1A98-4DF5-B9D6-838E7FC77584}">
  <sheetPr codeName="Sheet13">
    <tabColor theme="0" tint="-0.249977111117893"/>
  </sheetPr>
  <dimension ref="A1:Q15"/>
  <sheetViews>
    <sheetView zoomScale="115" zoomScaleNormal="115" workbookViewId="0">
      <selection activeCell="A7" sqref="A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'6'!C5</f>
        <v>PG10.0.6.0.A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'6'!D5</f>
        <v>Tube IO Enclosure</v>
      </c>
      <c r="D3" s="85" t="s">
        <v>50</v>
      </c>
      <c r="E3" s="86" t="str">
        <f ca="1">MID(CELL("filename",A1),FIND("]",CELL("filename",A1))+1,256)</f>
        <v>0.8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/>
      <c r="C5" s="112"/>
      <c r="D5" s="336" t="e">
        <f ca="1">VLOOKUP(C5,Assemblies!E:P,2,0)</f>
        <v>#N/A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0</v>
      </c>
      <c r="P5" s="117"/>
      <c r="Q5" s="118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272">
        <v>1</v>
      </c>
      <c r="B7" s="20"/>
      <c r="C7" s="121"/>
      <c r="D7" s="314" t="e">
        <f>VLOOKUP(C7,Machined!C:X,2,0)</f>
        <v>#N/A</v>
      </c>
      <c r="E7" s="329"/>
      <c r="F7" s="107" t="e">
        <f>VLOOKUP($C7,Machined!C:Z,13,0)</f>
        <v>#N/A</v>
      </c>
      <c r="G7" s="44" t="e">
        <f>IF(VLOOKUP($C7,Machined!C:Z,16,0) = 0, " ", VLOOKUP($C7,Machined!C:Z,16,0))</f>
        <v>#N/A</v>
      </c>
      <c r="H7" s="320" t="e">
        <f>IF(VLOOKUP($C7,Machined!C:Z,17,0) = 0, " ", VLOOKUP($C7,Machined!C:Z,17,0))</f>
        <v>#N/A</v>
      </c>
      <c r="I7" s="321" t="e">
        <f>IF(VLOOKUP($C7,Machined!$C:$Y,13,0) = 0, " ", VLOOKUP($C7,Machined!$C:$Y,13,0))</f>
        <v>#N/A</v>
      </c>
      <c r="J7" s="44" t="e">
        <f>IF(VLOOKUP($C7,Machined!C:Z,18,0) = 0, " ", VLOOKUP($C7,Machined!C:Z,18,0))</f>
        <v>#N/A</v>
      </c>
      <c r="K7" s="44" t="e">
        <f>IF(VLOOKUP($C7,Machined!C:Z,19,0) = 0, " ", VLOOKUP($C7,Machined!C:Z,19,0))</f>
        <v>#N/A</v>
      </c>
      <c r="L7" s="44" t="e">
        <f>IF(VLOOKUP($C7,Machined!C:Z,20,0) = 0, " ", VLOOKUP($C7,Machined!C:Z,20,0))</f>
        <v>#N/A</v>
      </c>
      <c r="M7" s="44" t="e">
        <f>IF(VLOOKUP($C7,Machined!C:Z,21,0) = 0, " ", VLOOKUP($C7,Machined!C:Z,21,0))</f>
        <v>#N/A</v>
      </c>
      <c r="N7" s="129" t="e">
        <f>IF(VLOOKUP($C7,Machined!C:Z,22,0) = 0, " ", VLOOKUP($C7,Machined!C:Z,22,0))</f>
        <v>#N/A</v>
      </c>
      <c r="O7" s="45">
        <f ca="1">B7*$L$2</f>
        <v>0</v>
      </c>
      <c r="P7" s="49" t="e">
        <f>VLOOKUP(C7,Machined!C:F,3,0)</f>
        <v>#N/A</v>
      </c>
      <c r="Q7" s="50" t="e">
        <f>B7*P7</f>
        <v>#N/A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117</v>
      </c>
      <c r="D9" s="325" t="str">
        <f>VLOOKUP(C9,Purchased!A:B,2,0)</f>
        <v>Saginaw WFLP Enclosure 24H X 42W X 12D</v>
      </c>
      <c r="E9" s="326"/>
      <c r="F9" s="108" t="str">
        <f>IF(VLOOKUP($C9,Purchased!A:Z,11,0) = 0, " ", VLOOKUP($C9,Purchased!A:Z,11,0))</f>
        <v>Saginaw</v>
      </c>
      <c r="G9" s="108" t="str">
        <f>IF(VLOOKUP($C9,Purchased!A:Z,12,0)=0, " ", VLOOKUP($C9,Purchased!A:Z,12,0))</f>
        <v>Saginaw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45426</v>
      </c>
      <c r="K9" s="46">
        <f>IF(VLOOKUP(C9,Purchased!A:R,14,0)=0, " ", VLOOKUP(C9,Purchased!A:R,14,0))</f>
        <v>45426</v>
      </c>
      <c r="L9" s="46">
        <f>IF(VLOOKUP(C9,Purchased!A:R,15,0)=0, " ", VLOOKUP(C9,Purchased!A:R,15,0))</f>
        <v>45426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45455</v>
      </c>
      <c r="O9" s="47">
        <f ca="1">B9*$L$2</f>
        <v>1</v>
      </c>
      <c r="P9" s="51">
        <f>VLOOKUP(C9,Purchased!A:D,3,FALSE)</f>
        <v>517.57000000000005</v>
      </c>
      <c r="Q9" s="52">
        <f>B9*P9</f>
        <v>517.57000000000005</v>
      </c>
    </row>
    <row r="10" spans="1:17" s="2" customFormat="1" ht="12" customHeight="1" x14ac:dyDescent="0.25">
      <c r="A10" s="4">
        <v>302</v>
      </c>
      <c r="B10" s="2">
        <v>1</v>
      </c>
      <c r="C10" s="135" t="s">
        <v>118</v>
      </c>
      <c r="D10" s="325" t="str">
        <f>VLOOKUP(C10,Purchased!A:B,2,0)</f>
        <v>Saginaw Subpanel, Bent Galvanized, 39H X 21W X 0.88D</v>
      </c>
      <c r="E10" s="326"/>
      <c r="F10" s="108" t="str">
        <f>IF(VLOOKUP($C10,Purchased!A:Z,11,0) = 0, " ", VLOOKUP($C10,Purchased!A:Z,11,0))</f>
        <v>Saginaw</v>
      </c>
      <c r="G10" s="108" t="str">
        <f>IF(VLOOKUP($C10,Purchased!A:Z,12,0)=0, " ", VLOOKUP($C10,Purchased!A:Z,12,0))</f>
        <v>Saginaw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45426</v>
      </c>
      <c r="K10" s="46">
        <f>IF(VLOOKUP(C10,Purchased!A:R,14,0)=0, " ", VLOOKUP(C10,Purchased!A:R,14,0))</f>
        <v>45426</v>
      </c>
      <c r="L10" s="46">
        <f>IF(VLOOKUP(C10,Purchased!A:R,15,0)=0, " ", VLOOKUP(C10,Purchased!A:R,15,0))</f>
        <v>45426</v>
      </c>
      <c r="M10" s="46">
        <f>IF(VLOOKUP(C10,Purchased!A:R,16,0)=0, " ",VLOOKUP(C10,Purchased!A:R,16,0))</f>
        <v>45485</v>
      </c>
      <c r="N10" s="130">
        <f>IF(VLOOKUP(C10,Purchased!A:R,17,0)=0, " ", VLOOKUP(C10,Purchased!A:R,17,0))</f>
        <v>45455</v>
      </c>
      <c r="O10" s="47">
        <f ca="1">B10*$L$2</f>
        <v>1</v>
      </c>
      <c r="P10" s="51">
        <f>VLOOKUP(C10,Purchased!A:D,3,FALSE)</f>
        <v>83.67</v>
      </c>
      <c r="Q10" s="52">
        <f>B10*P10</f>
        <v>83.67</v>
      </c>
    </row>
    <row r="11" spans="1:17" s="2" customFormat="1" ht="12" customHeight="1" x14ac:dyDescent="0.25">
      <c r="A11" s="4">
        <v>303</v>
      </c>
      <c r="C11" s="135"/>
      <c r="D11" s="325" t="e">
        <f>VLOOKUP(C11,Purchased!A:B,2,0)</f>
        <v>#N/A</v>
      </c>
      <c r="E11" s="326"/>
      <c r="F11" s="108" t="e">
        <f>IF(VLOOKUP($C11,Purchased!A:Z,11,0) = 0, " ", VLOOKUP($C11,Purchased!A:Z,11,0))</f>
        <v>#N/A</v>
      </c>
      <c r="G11" s="108" t="e">
        <f>IF(VLOOKUP($C11,Purchased!A:Z,12,0)=0, " ", VLOOKUP($C11,Purchased!A:Z,12,0))</f>
        <v>#N/A</v>
      </c>
      <c r="H11" s="327" t="e">
        <f>IF(VLOOKUP($C11,Purchased!A:Z,13,0)=0, " ", VLOOKUP($C11,Purchased!A:Z,13,0))</f>
        <v>#N/A</v>
      </c>
      <c r="I11" s="328"/>
      <c r="J11" s="46" t="e">
        <f>IF(VLOOKUP($C11,Purchased!A:Z,14,0)=0, " ", VLOOKUP($C11,Purchased!A:Z,14,0))</f>
        <v>#N/A</v>
      </c>
      <c r="K11" s="46" t="e">
        <f>IF(VLOOKUP(C11,Purchased!A:R,14,0)=0, " ", VLOOKUP(C11,Purchased!A:R,14,0))</f>
        <v>#N/A</v>
      </c>
      <c r="L11" s="46" t="e">
        <f>IF(VLOOKUP(C11,Purchased!A:R,15,0)=0, " ", VLOOKUP(C11,Purchased!A:R,15,0))</f>
        <v>#N/A</v>
      </c>
      <c r="M11" s="46" t="e">
        <f>IF(VLOOKUP(C11,Purchased!A:R,16,0)=0, " ",VLOOKUP(C11,Purchased!A:R,16,0))</f>
        <v>#N/A</v>
      </c>
      <c r="N11" s="130" t="e">
        <f>IF(VLOOKUP(C11,Purchased!A:R,17,0)=0, " ", VLOOKUP(C11,Purchased!A:R,17,0))</f>
        <v>#N/A</v>
      </c>
      <c r="O11" s="47">
        <f t="shared" ref="O11" ca="1" si="2">B11*$L$2</f>
        <v>0</v>
      </c>
      <c r="P11" s="51" t="e">
        <f>VLOOKUP(C11,Purchased!A:D,3,FALSE)</f>
        <v>#N/A</v>
      </c>
      <c r="Q11" s="52" t="e">
        <f t="shared" ref="Q11" si="3">B11*P11</f>
        <v>#N/A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501</v>
      </c>
      <c r="C13" s="122"/>
      <c r="D13" s="325"/>
      <c r="E13" s="326"/>
      <c r="F13" s="108" t="e">
        <f>VLOOKUP(C13,Bolts!A:L,5,0)</f>
        <v>#N/A</v>
      </c>
      <c r="G13" s="108" t="e">
        <f>VLOOKUP(C13,Bolts!A:L,6,0)</f>
        <v>#N/A</v>
      </c>
      <c r="H13" s="108" t="e">
        <f>VLOOKUP(C13,Bolts!A:L,7,0)</f>
        <v>#N/A</v>
      </c>
      <c r="I13" s="109"/>
      <c r="J13" s="46" t="e">
        <f>VLOOKUP(C13,Bolts!A:L,8,0)</f>
        <v>#N/A</v>
      </c>
      <c r="K13" s="46" t="e">
        <f>VLOOKUP(C13,Bolts!A:L,9,0)</f>
        <v>#N/A</v>
      </c>
      <c r="L13" s="46" t="e">
        <f>VLOOKUP(C13,Bolts!A:L,10,0)</f>
        <v>#N/A</v>
      </c>
      <c r="M13" s="46" t="e">
        <f>VLOOKUP(C13,Bolts!A:L,11,0)</f>
        <v>#N/A</v>
      </c>
      <c r="N13" s="130" t="e">
        <f>VLOOKUP(C13,Bolts!A:L,12,0)</f>
        <v>#N/A</v>
      </c>
      <c r="O13" s="47">
        <f t="shared" ref="O13:O14" ca="1" si="4">B13*$L$2</f>
        <v>0</v>
      </c>
      <c r="P13" s="51" t="e">
        <f>VLOOKUP(C13,Bolts!A:B,2,FALSE)</f>
        <v>#N/A</v>
      </c>
      <c r="Q13" s="52" t="e">
        <f t="shared" ref="Q13:Q14" si="5">B13*P13</f>
        <v>#N/A</v>
      </c>
    </row>
    <row r="14" spans="1:17" s="2" customFormat="1" ht="12" customHeight="1" thickBot="1" x14ac:dyDescent="0.3">
      <c r="A14" s="4">
        <v>502</v>
      </c>
      <c r="C14" s="122"/>
      <c r="D14" s="325"/>
      <c r="E14" s="326"/>
      <c r="F14" s="108" t="e">
        <f>VLOOKUP(C14,Bolts!A:L,5,0)</f>
        <v>#N/A</v>
      </c>
      <c r="G14" s="108" t="e">
        <f>VLOOKUP(C14,Bolts!A:L,6,0)</f>
        <v>#N/A</v>
      </c>
      <c r="H14" s="108" t="e">
        <f>VLOOKUP(C14,Bolts!A:L,7,0)</f>
        <v>#N/A</v>
      </c>
      <c r="I14" s="109"/>
      <c r="J14" s="46" t="e">
        <f>VLOOKUP(C14,Bolts!A:L,8,0)</f>
        <v>#N/A</v>
      </c>
      <c r="K14" s="46" t="e">
        <f>VLOOKUP(C14,Bolts!A:L,9,0)</f>
        <v>#N/A</v>
      </c>
      <c r="L14" s="46" t="e">
        <f>VLOOKUP(C14,Bolts!A:L,10,0)</f>
        <v>#N/A</v>
      </c>
      <c r="M14" s="46" t="e">
        <f>VLOOKUP(C14,Bolts!A:L,11,0)</f>
        <v>#N/A</v>
      </c>
      <c r="N14" s="130" t="e">
        <f>VLOOKUP(C14,Bolts!A:L,12,0)</f>
        <v>#N/A</v>
      </c>
      <c r="O14" s="47">
        <f t="shared" ca="1" si="4"/>
        <v>0</v>
      </c>
      <c r="P14" s="51" t="e">
        <f>VLOOKUP(C14,Bolts!A:B,2,FALSE)</f>
        <v>#N/A</v>
      </c>
      <c r="Q14" s="52" t="e">
        <f t="shared" si="5"/>
        <v>#N/A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SUM(Q9:Q10)</f>
        <v>601.24</v>
      </c>
    </row>
  </sheetData>
  <sheetProtection selectLockedCells="1"/>
  <mergeCells count="23">
    <mergeCell ref="D14:E14"/>
    <mergeCell ref="D15:E15"/>
    <mergeCell ref="H15:I15"/>
    <mergeCell ref="D12:E12"/>
    <mergeCell ref="H12:I12"/>
    <mergeCell ref="D13:E13"/>
    <mergeCell ref="D9:E9"/>
    <mergeCell ref="H9:I9"/>
    <mergeCell ref="D10:E10"/>
    <mergeCell ref="H10:I10"/>
    <mergeCell ref="D11:E11"/>
    <mergeCell ref="H11:I11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6 M8 M12:M14">
    <cfRule type="cellIs" dxfId="2126" priority="7" stopIfTrue="1" operator="lessThanOrEqual">
      <formula>$L6</formula>
    </cfRule>
    <cfRule type="cellIs" dxfId="2125" priority="8" operator="greaterThan">
      <formula>L6</formula>
    </cfRule>
  </conditionalFormatting>
  <conditionalFormatting sqref="M9">
    <cfRule type="cellIs" dxfId="2124" priority="3" stopIfTrue="1" operator="lessThanOrEqual">
      <formula>$L9</formula>
    </cfRule>
    <cfRule type="cellIs" dxfId="2123" priority="4" operator="greaterThan">
      <formula>L9</formula>
    </cfRule>
  </conditionalFormatting>
  <conditionalFormatting sqref="M10:M11">
    <cfRule type="cellIs" dxfId="2122" priority="1" stopIfTrue="1" operator="lessThanOrEqual">
      <formula>$L10</formula>
    </cfRule>
    <cfRule type="cellIs" dxfId="2121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7F11BF-5940-42B4-8618-4F8AD4409E06}">
          <x14:formula1>
            <xm:f>Bolts!$A:$A</xm:f>
          </x14:formula1>
          <xm:sqref>C12:C14</xm:sqref>
        </x14:dataValidation>
        <x14:dataValidation type="list" allowBlank="1" showInputMessage="1" showErrorMessage="1" xr:uid="{70200F28-C75E-41EF-972F-1A535C8D6D3E}">
          <x14:formula1>
            <xm:f>Assemblies!$E:$E</xm:f>
          </x14:formula1>
          <xm:sqref>C5</xm:sqref>
        </x14:dataValidation>
        <x14:dataValidation type="list" allowBlank="1" showInputMessage="1" showErrorMessage="1" xr:uid="{ADEAA449-BC68-477E-88F9-AFCA90E3382C}">
          <x14:formula1>
            <xm:f>Machined!$C:$C</xm:f>
          </x14:formula1>
          <xm:sqref>C6:C7</xm:sqref>
        </x14:dataValidation>
        <x14:dataValidation type="list" allowBlank="1" showInputMessage="1" showErrorMessage="1" xr:uid="{CC43A412-6938-426A-B2A2-D83F2A5450B4}">
          <x14:formula1>
            <xm:f>Purchased!$A:$A</xm:f>
          </x14:formula1>
          <xm:sqref>C8:C11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E99CD-8AA3-4BA3-A437-5616C6C96400}">
  <sheetPr codeName="Sheet14">
    <tabColor theme="0" tint="-0.249977111117893"/>
  </sheetPr>
  <dimension ref="A1:Q17"/>
  <sheetViews>
    <sheetView zoomScale="115" zoomScaleNormal="115" workbookViewId="0">
      <selection activeCell="A14" sqref="A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'7'!C13</f>
        <v>PG10.0.9.0.A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'7'!D13</f>
        <v>ZIPPER SEAL IO ENCLOSURE</v>
      </c>
      <c r="D3" s="85" t="s">
        <v>50</v>
      </c>
      <c r="E3" s="86" t="str">
        <f ca="1">MID(CELL("filename",A1),FIND("]",CELL("filename",A1))+1,256)</f>
        <v>0.9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1</v>
      </c>
      <c r="C5" s="135" t="s">
        <v>97</v>
      </c>
      <c r="D5" s="325" t="str">
        <f>VLOOKUP(C5,Purchased!A:B,2,0)</f>
        <v>Custom Saginaw IO Enclosure</v>
      </c>
      <c r="E5" s="326"/>
      <c r="F5" s="108" t="str">
        <f>IF(VLOOKUP($C5,Purchased!A:Z,11,0) = 0, " ", VLOOKUP($C5,Purchased!A:Z,11,0))</f>
        <v>Saginaw</v>
      </c>
      <c r="G5" s="108" t="str">
        <f>IF(VLOOKUP($C5,Purchased!A:Z,12,0)=0, " ", VLOOKUP($C5,Purchased!A:Z,12,0))</f>
        <v>Saginaw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45415</v>
      </c>
      <c r="K5" s="46">
        <f>IF(VLOOKUP(C5,Purchased!A:R,14,0)=0, " ", VLOOKUP(C5,Purchased!A:R,14,0))</f>
        <v>45415</v>
      </c>
      <c r="L5" s="46">
        <f>IF(VLOOKUP(C5,Purchased!A:R,15,0)=0, " ", VLOOKUP(C5,Purchased!A:R,15,0))</f>
        <v>45415</v>
      </c>
      <c r="M5" s="46">
        <f>IF(VLOOKUP(C5,Purchased!A:R,16,0)=0, " ",VLOOKUP(C5,Purchased!A:R,16,0))</f>
        <v>45485</v>
      </c>
      <c r="N5" s="130">
        <f>IF(VLOOKUP(C5,Purchased!A:R,17,0)=0, " ", VLOOKUP(C5,Purchased!A:R,17,0))</f>
        <v>45485</v>
      </c>
      <c r="O5" s="47">
        <f t="shared" ref="O5:O11" ca="1" si="0">B5*$L$2</f>
        <v>1</v>
      </c>
      <c r="P5" s="51">
        <f>VLOOKUP(C5,Purchased!A:D,3,FALSE)</f>
        <v>509.65</v>
      </c>
      <c r="Q5" s="52">
        <f t="shared" ref="Q5:Q11" si="1">B5*P5</f>
        <v>509.65</v>
      </c>
    </row>
    <row r="6" spans="1:17" s="2" customFormat="1" ht="12.75" customHeight="1" x14ac:dyDescent="0.25">
      <c r="A6" s="4">
        <v>302</v>
      </c>
      <c r="B6" s="2">
        <v>1</v>
      </c>
      <c r="C6" s="135" t="s">
        <v>98</v>
      </c>
      <c r="D6" s="325" t="str">
        <f>VLOOKUP(C6,Purchased!A:B,2,0)</f>
        <v>Custom Subpanel for NUL1-12EL6010LP Enclosure</v>
      </c>
      <c r="E6" s="326"/>
      <c r="F6" s="108" t="str">
        <f>IF(VLOOKUP($C6,Purchased!A:Z,11,0) = 0, " ", VLOOKUP($C6,Purchased!A:Z,11,0))</f>
        <v>Saginaw</v>
      </c>
      <c r="G6" s="108" t="str">
        <f>IF(VLOOKUP($C6,Purchased!A:Z,12,0)=0, " ", VLOOKUP($C6,Purchased!A:Z,12,0))</f>
        <v>Saginaw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45415</v>
      </c>
      <c r="K6" s="46">
        <f>IF(VLOOKUP(C6,Purchased!A:R,14,0)=0, " ", VLOOKUP(C6,Purchased!A:R,14,0))</f>
        <v>45415</v>
      </c>
      <c r="L6" s="46">
        <f>IF(VLOOKUP(C6,Purchased!A:R,15,0)=0, " ", VLOOKUP(C6,Purchased!A:R,15,0))</f>
        <v>45415</v>
      </c>
      <c r="M6" s="46">
        <f>IF(VLOOKUP(C6,Purchased!A:R,16,0)=0, " ",VLOOKUP(C6,Purchased!A:R,16,0))</f>
        <v>45485</v>
      </c>
      <c r="N6" s="130">
        <f>IF(VLOOKUP(C6,Purchased!A:R,17,0)=0, " ", VLOOKUP(C6,Purchased!A:R,17,0))</f>
        <v>45485</v>
      </c>
      <c r="O6" s="47">
        <f t="shared" ca="1" si="0"/>
        <v>1</v>
      </c>
      <c r="P6" s="51">
        <f>VLOOKUP(C6,Purchased!A:D,3,FALSE)</f>
        <v>94.57</v>
      </c>
      <c r="Q6" s="52">
        <f t="shared" si="1"/>
        <v>94.57</v>
      </c>
    </row>
    <row r="7" spans="1:17" s="2" customFormat="1" ht="12.75" customHeight="1" x14ac:dyDescent="0.25">
      <c r="A7" s="4">
        <v>303</v>
      </c>
      <c r="B7" s="2">
        <v>8</v>
      </c>
      <c r="C7" s="135" t="s">
        <v>99</v>
      </c>
      <c r="D7" s="325" t="str">
        <f>VLOOKUP(C7,Purchased!A:B,2,0)</f>
        <v>Fitting for Flexible Plastic Conduit, Straight Adapter, 1 Trade Size Female x 1 
NPT Male</v>
      </c>
      <c r="E7" s="326"/>
      <c r="F7" s="108" t="str">
        <f>IF(VLOOKUP($C7,Purchased!A:Z,11,0) = 0, " ", VLOOKUP($C7,Purchased!A:Z,11,0))</f>
        <v>PMA</v>
      </c>
      <c r="G7" s="108" t="str">
        <f>IF(VLOOKUP($C7,Purchased!A:Z,12,0)=0, " ", VLOOKUP($C7,Purchased!A:Z,12,0))</f>
        <v>RS AMERICAS</v>
      </c>
      <c r="H7" s="327" t="str">
        <f>IF(VLOOKUP($C7,Purchased!A:Z,13,0)=0, " ", VLOOKUP($C7,Purchased!A:Z,13,0))</f>
        <v>Use PMA BVND-N069-GT</v>
      </c>
      <c r="I7" s="328"/>
      <c r="J7" s="46">
        <f>IF(VLOOKUP($C7,Purchased!A:Z,14,0)=0, " ", VLOOKUP($C7,Purchased!A:Z,14,0))</f>
        <v>45493</v>
      </c>
      <c r="K7" s="46">
        <f>IF(VLOOKUP(C7,Purchased!A:R,14,0)=0, " ", VLOOKUP(C7,Purchased!A:R,14,0))</f>
        <v>45493</v>
      </c>
      <c r="L7" s="46">
        <f>IF(VLOOKUP(C7,Purchased!A:R,15,0)=0, " ", VLOOKUP(C7,Purchased!A:R,15,0))</f>
        <v>45499</v>
      </c>
      <c r="M7" s="46">
        <f>IF(VLOOKUP(C7,Purchased!A:R,16,0)=0, " ",VLOOKUP(C7,Purchased!A:R,16,0))</f>
        <v>45534</v>
      </c>
      <c r="N7" s="130">
        <f>IF(VLOOKUP(C7,Purchased!A:R,17,0)=0, " ", VLOOKUP(C7,Purchased!A:R,17,0))</f>
        <v>45534</v>
      </c>
      <c r="O7" s="47">
        <f t="shared" ca="1" si="0"/>
        <v>8</v>
      </c>
      <c r="P7" s="51">
        <f>VLOOKUP(C7,Purchased!A:D,3,FALSE)</f>
        <v>13.96</v>
      </c>
      <c r="Q7" s="52">
        <f t="shared" si="1"/>
        <v>111.68</v>
      </c>
    </row>
    <row r="8" spans="1:17" s="2" customFormat="1" ht="12.75" customHeight="1" x14ac:dyDescent="0.25">
      <c r="A8" s="4">
        <v>304</v>
      </c>
      <c r="B8" s="2">
        <v>4</v>
      </c>
      <c r="C8" s="135">
        <v>51522</v>
      </c>
      <c r="D8" s="325" t="str">
        <f>VLOOKUP(C8,Purchased!A:B,2,0)</f>
        <v>ICOTEK, cable throughway, Prod num KEL-BES-S-24</v>
      </c>
      <c r="E8" s="326"/>
      <c r="F8" s="108" t="str">
        <f>IF(VLOOKUP($C8,Purchased!A:Z,11,0) = 0, " ", VLOOKUP($C8,Purchased!A:Z,11,0))</f>
        <v>ICOTEK</v>
      </c>
      <c r="G8" s="108" t="str">
        <f>IF(VLOOKUP($C8,Purchased!A:Z,12,0)=0, " ", VLOOKUP($C8,Purchased!A:Z,12,0))</f>
        <v>PRO Automat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45456</v>
      </c>
      <c r="K8" s="46">
        <f>IF(VLOOKUP(C8,Purchased!A:R,14,0)=0, " ", VLOOKUP(C8,Purchased!A:R,14,0))</f>
        <v>45456</v>
      </c>
      <c r="L8" s="46">
        <f>IF(VLOOKUP(C8,Purchased!A:R,15,0)=0, " ", VLOOKUP(C8,Purchased!A:R,15,0))</f>
        <v>45504</v>
      </c>
      <c r="M8" s="46">
        <f>IF(VLOOKUP(C8,Purchased!A:R,16,0)=0, " ",VLOOKUP(C8,Purchased!A:R,16,0))</f>
        <v>45534</v>
      </c>
      <c r="N8" s="130">
        <f>IF(VLOOKUP(C8,Purchased!A:R,17,0)=0, " ", VLOOKUP(C8,Purchased!A:R,17,0))</f>
        <v>45534</v>
      </c>
      <c r="O8" s="47">
        <f t="shared" ca="1" si="0"/>
        <v>4</v>
      </c>
      <c r="P8" s="51">
        <f>VLOOKUP(C8,Purchased!A:D,3,FALSE)</f>
        <v>10.199999999999999</v>
      </c>
      <c r="Q8" s="52">
        <f t="shared" si="1"/>
        <v>40.799999999999997</v>
      </c>
    </row>
    <row r="9" spans="1:17" s="2" customFormat="1" ht="12.75" customHeight="1" x14ac:dyDescent="0.25">
      <c r="A9" s="4">
        <v>305</v>
      </c>
      <c r="B9" s="2">
        <v>3</v>
      </c>
      <c r="C9" s="135">
        <v>42027</v>
      </c>
      <c r="D9" s="325" t="str">
        <f>VLOOKUP(C9,Purchased!A:B,2,0)</f>
        <v>BPM 24 Icotek Blanking Plate</v>
      </c>
      <c r="E9" s="326"/>
      <c r="F9" s="108" t="str">
        <f>IF(VLOOKUP($C9,Purchased!A:Z,11,0) = 0, " ", VLOOKUP($C9,Purchased!A:Z,11,0))</f>
        <v>ICOTEK</v>
      </c>
      <c r="G9" s="108" t="str">
        <f>IF(VLOOKUP($C9,Purchased!A:Z,12,0)=0, " ", VLOOKUP($C9,Purchased!A:Z,12,0))</f>
        <v>PRO Automat</v>
      </c>
      <c r="H9" s="327" t="str">
        <f>IF(VLOOKUP($C9,Purchased!A:Z,13,0)=0, " ", VLOOKUP($C9,Purchased!A:Z,13,0))</f>
        <v>Order 3 pkg 10</v>
      </c>
      <c r="I9" s="328"/>
      <c r="J9" s="46">
        <f>IF(VLOOKUP($C9,Purchased!A:Z,14,0)=0, " ", VLOOKUP($C9,Purchased!A:Z,14,0))</f>
        <v>45456</v>
      </c>
      <c r="K9" s="46">
        <f>IF(VLOOKUP(C9,Purchased!A:R,14,0)=0, " ", VLOOKUP(C9,Purchased!A:R,14,0))</f>
        <v>45456</v>
      </c>
      <c r="L9" s="46">
        <f>IF(VLOOKUP(C9,Purchased!A:R,15,0)=0, " ", VLOOKUP(C9,Purchased!A:R,15,0))</f>
        <v>45504</v>
      </c>
      <c r="M9" s="46">
        <f>IF(VLOOKUP(C9,Purchased!A:R,16,0)=0, " ",VLOOKUP(C9,Purchased!A:R,16,0))</f>
        <v>45534</v>
      </c>
      <c r="N9" s="130">
        <f>IF(VLOOKUP(C9,Purchased!A:R,17,0)=0, " ", VLOOKUP(C9,Purchased!A:R,17,0))</f>
        <v>45534</v>
      </c>
      <c r="O9" s="47">
        <f t="shared" ca="1" si="0"/>
        <v>3</v>
      </c>
      <c r="P9" s="51">
        <f>VLOOKUP(C9,Purchased!A:D,3,FALSE)</f>
        <v>6.72</v>
      </c>
      <c r="Q9" s="52">
        <f t="shared" si="1"/>
        <v>20.16</v>
      </c>
    </row>
    <row r="10" spans="1:17" s="2" customFormat="1" ht="12.75" customHeight="1" x14ac:dyDescent="0.25">
      <c r="A10" s="4">
        <v>306</v>
      </c>
      <c r="B10" s="2">
        <v>8</v>
      </c>
      <c r="C10" s="135" t="s">
        <v>100</v>
      </c>
      <c r="D10" s="325" t="str">
        <f>VLOOKUP(C10,Purchased!A:B,2,0)</f>
        <v>Snap-in Hole Plug for 1 Trade Size Knockout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>1 Additional Quantity Added to 55697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45482</v>
      </c>
      <c r="N10" s="130">
        <f>IF(VLOOKUP(C10,Purchased!A:R,17,0)=0, " ", VLOOKUP(C10,Purchased!A:R,17,0))</f>
        <v>45482</v>
      </c>
      <c r="O10" s="47">
        <f t="shared" ca="1" si="0"/>
        <v>8</v>
      </c>
      <c r="P10" s="51">
        <f>VLOOKUP(C10,Purchased!A:D,3,FALSE)</f>
        <v>13.48</v>
      </c>
      <c r="Q10" s="52">
        <f t="shared" si="1"/>
        <v>107.84</v>
      </c>
    </row>
    <row r="11" spans="1:17" s="2" customFormat="1" ht="12.75" customHeight="1" x14ac:dyDescent="0.25">
      <c r="A11" s="4">
        <v>307</v>
      </c>
      <c r="B11" s="2">
        <v>8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ca="1" si="0"/>
        <v>8</v>
      </c>
      <c r="P11" s="51">
        <f>VLOOKUP(C11,Purchased!A:D,3,FALSE)</f>
        <v>0.56000000000000005</v>
      </c>
      <c r="Q11" s="52">
        <f t="shared" si="1"/>
        <v>4.4800000000000004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24</v>
      </c>
      <c r="C13" s="122" t="s">
        <v>107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24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8</v>
      </c>
      <c r="C14" s="122" t="s">
        <v>108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8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thickBot="1" x14ac:dyDescent="0.3">
      <c r="A15" s="4">
        <v>503</v>
      </c>
      <c r="B15" s="2">
        <v>8</v>
      </c>
      <c r="C15" s="122" t="s">
        <v>109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8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889.18000000000006</v>
      </c>
    </row>
    <row r="17" spans="4:17" s="2" customFormat="1" ht="12" customHeight="1" x14ac:dyDescent="0.2">
      <c r="D17" s="21"/>
      <c r="E17" s="21"/>
      <c r="J17" s="8"/>
      <c r="K17" s="8"/>
      <c r="L17" s="8"/>
      <c r="M17" s="8"/>
      <c r="N17" s="131"/>
      <c r="O17" s="5"/>
      <c r="P17" s="98"/>
      <c r="Q17" s="105"/>
    </row>
  </sheetData>
  <mergeCells count="24">
    <mergeCell ref="D16:E16"/>
    <mergeCell ref="H16:I16"/>
    <mergeCell ref="D11:E11"/>
    <mergeCell ref="H11:I11"/>
    <mergeCell ref="D12:E12"/>
    <mergeCell ref="H12:I12"/>
    <mergeCell ref="D13:E13"/>
    <mergeCell ref="D14:E14"/>
    <mergeCell ref="D15:E15"/>
    <mergeCell ref="D10:E10"/>
    <mergeCell ref="H10:I10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12:M15">
    <cfRule type="cellIs" dxfId="2120" priority="15" stopIfTrue="1" operator="lessThanOrEqual">
      <formula>$L12</formula>
    </cfRule>
    <cfRule type="cellIs" dxfId="2119" priority="16" operator="greaterThan">
      <formula>L12</formula>
    </cfRule>
  </conditionalFormatting>
  <conditionalFormatting sqref="M5:M11">
    <cfRule type="cellIs" dxfId="2118" priority="1" stopIfTrue="1" operator="lessThanOrEqual">
      <formula>$L5</formula>
    </cfRule>
    <cfRule type="cellIs" dxfId="2117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C17B50C-9A43-42D7-A9FF-13842954CF35}">
          <x14:formula1>
            <xm:f>Bolts!$A:$A</xm:f>
          </x14:formula1>
          <xm:sqref>C13:C15</xm:sqref>
        </x14:dataValidation>
        <x14:dataValidation type="list" allowBlank="1" showInputMessage="1" showErrorMessage="1" xr:uid="{398BC226-89A6-4F17-B8EC-D683EF2431E8}">
          <x14:formula1>
            <xm:f>Purchased!$A:$A</xm:f>
          </x14:formula1>
          <xm:sqref>C5:C11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7F7BF-D4E0-4560-B26B-242E18075360}">
  <sheetPr codeName="Sheet15">
    <tabColor theme="0" tint="-0.249977111117893"/>
  </sheetPr>
  <dimension ref="A1:Q17"/>
  <sheetViews>
    <sheetView zoomScale="115" zoomScaleNormal="115" workbookViewId="0">
      <selection activeCell="C15" sqref="C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'8'!C9</f>
        <v>PG10.0.10.0.A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'8'!D9</f>
        <v>CROSS SEAL IO ENCLOSURE</v>
      </c>
      <c r="D3" s="85" t="s">
        <v>50</v>
      </c>
      <c r="E3" s="86" t="str">
        <f ca="1">MID(CELL("filename",A1),FIND("]",CELL("filename",A1))+1,256)</f>
        <v>0.10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1</v>
      </c>
      <c r="C5" s="135" t="s">
        <v>97</v>
      </c>
      <c r="D5" s="325" t="str">
        <f>VLOOKUP(C5,Purchased!A:B,2,0)</f>
        <v>Custom Saginaw IO Enclosure</v>
      </c>
      <c r="E5" s="326"/>
      <c r="F5" s="108" t="str">
        <f>IF(VLOOKUP($C5,Purchased!A:Z,11,0) = 0, " ", VLOOKUP($C5,Purchased!A:Z,11,0))</f>
        <v>Saginaw</v>
      </c>
      <c r="G5" s="108" t="str">
        <f>IF(VLOOKUP($C5,Purchased!A:Z,12,0)=0, " ", VLOOKUP($C5,Purchased!A:Z,12,0))</f>
        <v>Saginaw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45415</v>
      </c>
      <c r="K5" s="46">
        <f>IF(VLOOKUP(C5,Purchased!A:R,14,0)=0, " ", VLOOKUP(C5,Purchased!A:R,14,0))</f>
        <v>45415</v>
      </c>
      <c r="L5" s="46">
        <f>IF(VLOOKUP(C5,Purchased!A:R,15,0)=0, " ", VLOOKUP(C5,Purchased!A:R,15,0))</f>
        <v>45415</v>
      </c>
      <c r="M5" s="46">
        <f>IF(VLOOKUP(C5,Purchased!A:R,16,0)=0, " ",VLOOKUP(C5,Purchased!A:R,16,0))</f>
        <v>45485</v>
      </c>
      <c r="N5" s="130">
        <f>IF(VLOOKUP(C5,Purchased!A:R,17,0)=0, " ", VLOOKUP(C5,Purchased!A:R,17,0))</f>
        <v>45485</v>
      </c>
      <c r="O5" s="47">
        <f t="shared" ref="O5:O11" ca="1" si="0">B5*$L$2</f>
        <v>1</v>
      </c>
      <c r="P5" s="51">
        <f>VLOOKUP(C5,Purchased!A:D,3,FALSE)</f>
        <v>509.65</v>
      </c>
      <c r="Q5" s="52">
        <f t="shared" ref="Q5:Q11" si="1">B5*P5</f>
        <v>509.65</v>
      </c>
    </row>
    <row r="6" spans="1:17" s="2" customFormat="1" ht="12.75" customHeight="1" x14ac:dyDescent="0.25">
      <c r="A6" s="4">
        <v>302</v>
      </c>
      <c r="B6" s="2">
        <v>1</v>
      </c>
      <c r="C6" s="135" t="s">
        <v>98</v>
      </c>
      <c r="D6" s="325" t="str">
        <f>VLOOKUP(C6,Purchased!A:B,2,0)</f>
        <v>Custom Subpanel for NUL1-12EL6010LP Enclosure</v>
      </c>
      <c r="E6" s="326"/>
      <c r="F6" s="108" t="str">
        <f>IF(VLOOKUP($C6,Purchased!A:Z,11,0) = 0, " ", VLOOKUP($C6,Purchased!A:Z,11,0))</f>
        <v>Saginaw</v>
      </c>
      <c r="G6" s="108" t="str">
        <f>IF(VLOOKUP($C6,Purchased!A:Z,12,0)=0, " ", VLOOKUP($C6,Purchased!A:Z,12,0))</f>
        <v>Saginaw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45415</v>
      </c>
      <c r="K6" s="46">
        <f>IF(VLOOKUP(C6,Purchased!A:R,14,0)=0, " ", VLOOKUP(C6,Purchased!A:R,14,0))</f>
        <v>45415</v>
      </c>
      <c r="L6" s="46">
        <f>IF(VLOOKUP(C6,Purchased!A:R,15,0)=0, " ", VLOOKUP(C6,Purchased!A:R,15,0))</f>
        <v>45415</v>
      </c>
      <c r="M6" s="46">
        <f>IF(VLOOKUP(C6,Purchased!A:R,16,0)=0, " ",VLOOKUP(C6,Purchased!A:R,16,0))</f>
        <v>45485</v>
      </c>
      <c r="N6" s="130">
        <f>IF(VLOOKUP(C6,Purchased!A:R,17,0)=0, " ", VLOOKUP(C6,Purchased!A:R,17,0))</f>
        <v>45485</v>
      </c>
      <c r="O6" s="47">
        <f t="shared" ca="1" si="0"/>
        <v>1</v>
      </c>
      <c r="P6" s="51">
        <f>VLOOKUP(C6,Purchased!A:D,3,FALSE)</f>
        <v>94.57</v>
      </c>
      <c r="Q6" s="52">
        <f t="shared" si="1"/>
        <v>94.57</v>
      </c>
    </row>
    <row r="7" spans="1:17" s="2" customFormat="1" ht="12.75" customHeight="1" x14ac:dyDescent="0.25">
      <c r="A7" s="4">
        <v>303</v>
      </c>
      <c r="B7" s="2">
        <v>8</v>
      </c>
      <c r="C7" s="135" t="s">
        <v>99</v>
      </c>
      <c r="D7" s="325" t="str">
        <f>VLOOKUP(C7,Purchased!A:B,2,0)</f>
        <v>Fitting for Flexible Plastic Conduit, Straight Adapter, 1 Trade Size Female x 1 
NPT Male</v>
      </c>
      <c r="E7" s="326"/>
      <c r="F7" s="108" t="str">
        <f>IF(VLOOKUP($C7,Purchased!A:Z,11,0) = 0, " ", VLOOKUP($C7,Purchased!A:Z,11,0))</f>
        <v>PMA</v>
      </c>
      <c r="G7" s="108" t="str">
        <f>IF(VLOOKUP($C7,Purchased!A:Z,12,0)=0, " ", VLOOKUP($C7,Purchased!A:Z,12,0))</f>
        <v>RS AMERICAS</v>
      </c>
      <c r="H7" s="327" t="str">
        <f>IF(VLOOKUP($C7,Purchased!A:Z,13,0)=0, " ", VLOOKUP($C7,Purchased!A:Z,13,0))</f>
        <v>Use PMA BVND-N069-GT</v>
      </c>
      <c r="I7" s="328"/>
      <c r="J7" s="46">
        <f>IF(VLOOKUP($C7,Purchased!A:Z,14,0)=0, " ", VLOOKUP($C7,Purchased!A:Z,14,0))</f>
        <v>45493</v>
      </c>
      <c r="K7" s="46">
        <f>IF(VLOOKUP(C7,Purchased!A:R,14,0)=0, " ", VLOOKUP(C7,Purchased!A:R,14,0))</f>
        <v>45493</v>
      </c>
      <c r="L7" s="46">
        <f>IF(VLOOKUP(C7,Purchased!A:R,15,0)=0, " ", VLOOKUP(C7,Purchased!A:R,15,0))</f>
        <v>45499</v>
      </c>
      <c r="M7" s="46">
        <f>IF(VLOOKUP(C7,Purchased!A:R,16,0)=0, " ",VLOOKUP(C7,Purchased!A:R,16,0))</f>
        <v>45534</v>
      </c>
      <c r="N7" s="130">
        <f>IF(VLOOKUP(C7,Purchased!A:R,17,0)=0, " ", VLOOKUP(C7,Purchased!A:R,17,0))</f>
        <v>45534</v>
      </c>
      <c r="O7" s="47">
        <f t="shared" ca="1" si="0"/>
        <v>8</v>
      </c>
      <c r="P7" s="51">
        <f>VLOOKUP(C7,Purchased!A:D,3,FALSE)</f>
        <v>13.96</v>
      </c>
      <c r="Q7" s="52">
        <f t="shared" si="1"/>
        <v>111.68</v>
      </c>
    </row>
    <row r="8" spans="1:17" s="2" customFormat="1" ht="12.75" customHeight="1" x14ac:dyDescent="0.25">
      <c r="A8" s="4">
        <v>304</v>
      </c>
      <c r="B8" s="2">
        <v>4</v>
      </c>
      <c r="C8" s="135">
        <v>51522</v>
      </c>
      <c r="D8" s="325" t="str">
        <f>VLOOKUP(C8,Purchased!A:B,2,0)</f>
        <v>ICOTEK, cable throughway, Prod num KEL-BES-S-24</v>
      </c>
      <c r="E8" s="326"/>
      <c r="F8" s="108" t="str">
        <f>IF(VLOOKUP($C8,Purchased!A:Z,11,0) = 0, " ", VLOOKUP($C8,Purchased!A:Z,11,0))</f>
        <v>ICOTEK</v>
      </c>
      <c r="G8" s="108" t="str">
        <f>IF(VLOOKUP($C8,Purchased!A:Z,12,0)=0, " ", VLOOKUP($C8,Purchased!A:Z,12,0))</f>
        <v>PRO Automat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45456</v>
      </c>
      <c r="K8" s="46">
        <f>IF(VLOOKUP(C8,Purchased!A:R,14,0)=0, " ", VLOOKUP(C8,Purchased!A:R,14,0))</f>
        <v>45456</v>
      </c>
      <c r="L8" s="46">
        <f>IF(VLOOKUP(C8,Purchased!A:R,15,0)=0, " ", VLOOKUP(C8,Purchased!A:R,15,0))</f>
        <v>45504</v>
      </c>
      <c r="M8" s="46">
        <f>IF(VLOOKUP(C8,Purchased!A:R,16,0)=0, " ",VLOOKUP(C8,Purchased!A:R,16,0))</f>
        <v>45534</v>
      </c>
      <c r="N8" s="130">
        <f>IF(VLOOKUP(C8,Purchased!A:R,17,0)=0, " ", VLOOKUP(C8,Purchased!A:R,17,0))</f>
        <v>45534</v>
      </c>
      <c r="O8" s="47">
        <f t="shared" ca="1" si="0"/>
        <v>4</v>
      </c>
      <c r="P8" s="51">
        <f>VLOOKUP(C8,Purchased!A:D,3,FALSE)</f>
        <v>10.199999999999999</v>
      </c>
      <c r="Q8" s="52">
        <f t="shared" si="1"/>
        <v>40.799999999999997</v>
      </c>
    </row>
    <row r="9" spans="1:17" s="2" customFormat="1" ht="12.75" customHeight="1" x14ac:dyDescent="0.25">
      <c r="A9" s="4">
        <v>305</v>
      </c>
      <c r="B9" s="2">
        <v>3</v>
      </c>
      <c r="C9" s="135">
        <v>42027</v>
      </c>
      <c r="D9" s="325" t="str">
        <f>VLOOKUP(C9,Purchased!A:B,2,0)</f>
        <v>BPM 24 Icotek Blanking Plate</v>
      </c>
      <c r="E9" s="326"/>
      <c r="F9" s="108" t="str">
        <f>IF(VLOOKUP($C9,Purchased!A:Z,11,0) = 0, " ", VLOOKUP($C9,Purchased!A:Z,11,0))</f>
        <v>ICOTEK</v>
      </c>
      <c r="G9" s="108" t="str">
        <f>IF(VLOOKUP($C9,Purchased!A:Z,12,0)=0, " ", VLOOKUP($C9,Purchased!A:Z,12,0))</f>
        <v>PRO Automat</v>
      </c>
      <c r="H9" s="327" t="str">
        <f>IF(VLOOKUP($C9,Purchased!A:Z,13,0)=0, " ", VLOOKUP($C9,Purchased!A:Z,13,0))</f>
        <v>Order 3 pkg 10</v>
      </c>
      <c r="I9" s="328"/>
      <c r="J9" s="46">
        <f>IF(VLOOKUP($C9,Purchased!A:Z,14,0)=0, " ", VLOOKUP($C9,Purchased!A:Z,14,0))</f>
        <v>45456</v>
      </c>
      <c r="K9" s="46">
        <f>IF(VLOOKUP(C9,Purchased!A:R,14,0)=0, " ", VLOOKUP(C9,Purchased!A:R,14,0))</f>
        <v>45456</v>
      </c>
      <c r="L9" s="46">
        <f>IF(VLOOKUP(C9,Purchased!A:R,15,0)=0, " ", VLOOKUP(C9,Purchased!A:R,15,0))</f>
        <v>45504</v>
      </c>
      <c r="M9" s="46">
        <f>IF(VLOOKUP(C9,Purchased!A:R,16,0)=0, " ",VLOOKUP(C9,Purchased!A:R,16,0))</f>
        <v>45534</v>
      </c>
      <c r="N9" s="130">
        <f>IF(VLOOKUP(C9,Purchased!A:R,17,0)=0, " ", VLOOKUP(C9,Purchased!A:R,17,0))</f>
        <v>45534</v>
      </c>
      <c r="O9" s="47">
        <f t="shared" ca="1" si="0"/>
        <v>3</v>
      </c>
      <c r="P9" s="51">
        <f>VLOOKUP(C9,Purchased!A:D,3,FALSE)</f>
        <v>6.72</v>
      </c>
      <c r="Q9" s="52">
        <f t="shared" si="1"/>
        <v>20.16</v>
      </c>
    </row>
    <row r="10" spans="1:17" s="2" customFormat="1" ht="12.75" customHeight="1" x14ac:dyDescent="0.25">
      <c r="A10" s="4">
        <v>306</v>
      </c>
      <c r="B10" s="2">
        <v>8</v>
      </c>
      <c r="C10" s="135" t="s">
        <v>100</v>
      </c>
      <c r="D10" s="325" t="str">
        <f>VLOOKUP(C10,Purchased!A:B,2,0)</f>
        <v>Snap-in Hole Plug for 1 Trade Size Knockout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>1 Additional Quantity Added to 55697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45482</v>
      </c>
      <c r="N10" s="130">
        <f>IF(VLOOKUP(C10,Purchased!A:R,17,0)=0, " ", VLOOKUP(C10,Purchased!A:R,17,0))</f>
        <v>45482</v>
      </c>
      <c r="O10" s="47">
        <f t="shared" ca="1" si="0"/>
        <v>8</v>
      </c>
      <c r="P10" s="51">
        <f>VLOOKUP(C10,Purchased!A:D,3,FALSE)</f>
        <v>13.48</v>
      </c>
      <c r="Q10" s="52">
        <f t="shared" si="1"/>
        <v>107.84</v>
      </c>
    </row>
    <row r="11" spans="1:17" s="2" customFormat="1" ht="12.75" customHeight="1" x14ac:dyDescent="0.25">
      <c r="A11" s="4">
        <v>307</v>
      </c>
      <c r="B11" s="2">
        <v>8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ca="1" si="0"/>
        <v>8</v>
      </c>
      <c r="P11" s="51">
        <f>VLOOKUP(C11,Purchased!A:D,3,FALSE)</f>
        <v>0.56000000000000005</v>
      </c>
      <c r="Q11" s="52">
        <f t="shared" si="1"/>
        <v>4.4800000000000004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24</v>
      </c>
      <c r="C13" s="122" t="s">
        <v>107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24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8</v>
      </c>
      <c r="C14" s="122" t="s">
        <v>108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8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thickBot="1" x14ac:dyDescent="0.3">
      <c r="A15" s="4">
        <v>503</v>
      </c>
      <c r="B15" s="2">
        <v>8</v>
      </c>
      <c r="C15" s="122" t="s">
        <v>109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8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889.18000000000006</v>
      </c>
    </row>
    <row r="17" spans="4:17" s="2" customFormat="1" ht="12" customHeight="1" x14ac:dyDescent="0.2">
      <c r="D17" s="21"/>
      <c r="E17" s="21"/>
      <c r="J17" s="8"/>
      <c r="K17" s="8"/>
      <c r="L17" s="8"/>
      <c r="M17" s="8"/>
      <c r="N17" s="131"/>
      <c r="O17" s="5"/>
      <c r="P17" s="98"/>
      <c r="Q17" s="105"/>
    </row>
  </sheetData>
  <mergeCells count="24">
    <mergeCell ref="D16:E16"/>
    <mergeCell ref="H16:I16"/>
    <mergeCell ref="D11:E11"/>
    <mergeCell ref="H11:I11"/>
    <mergeCell ref="D12:E12"/>
    <mergeCell ref="H12:I12"/>
    <mergeCell ref="D13:E13"/>
    <mergeCell ref="D14:E14"/>
    <mergeCell ref="D15:E15"/>
    <mergeCell ref="D10:E10"/>
    <mergeCell ref="H10:I10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12:M15">
    <cfRule type="cellIs" dxfId="2116" priority="15" stopIfTrue="1" operator="lessThanOrEqual">
      <formula>$L12</formula>
    </cfRule>
    <cfRule type="cellIs" dxfId="2115" priority="16" operator="greaterThan">
      <formula>L12</formula>
    </cfRule>
  </conditionalFormatting>
  <conditionalFormatting sqref="M5">
    <cfRule type="cellIs" dxfId="2114" priority="13" stopIfTrue="1" operator="lessThanOrEqual">
      <formula>$L5</formula>
    </cfRule>
    <cfRule type="cellIs" dxfId="2113" priority="14" operator="greaterThan">
      <formula>L5</formula>
    </cfRule>
  </conditionalFormatting>
  <conditionalFormatting sqref="M6">
    <cfRule type="cellIs" dxfId="2112" priority="11" stopIfTrue="1" operator="lessThanOrEqual">
      <formula>$L6</formula>
    </cfRule>
    <cfRule type="cellIs" dxfId="2111" priority="12" operator="greaterThan">
      <formula>L6</formula>
    </cfRule>
  </conditionalFormatting>
  <conditionalFormatting sqref="M7">
    <cfRule type="cellIs" dxfId="2110" priority="9" stopIfTrue="1" operator="lessThanOrEqual">
      <formula>$L7</formula>
    </cfRule>
    <cfRule type="cellIs" dxfId="2109" priority="10" operator="greaterThan">
      <formula>L7</formula>
    </cfRule>
  </conditionalFormatting>
  <conditionalFormatting sqref="M8">
    <cfRule type="cellIs" dxfId="2108" priority="7" stopIfTrue="1" operator="lessThanOrEqual">
      <formula>$L8</formula>
    </cfRule>
    <cfRule type="cellIs" dxfId="2107" priority="8" operator="greaterThan">
      <formula>L8</formula>
    </cfRule>
  </conditionalFormatting>
  <conditionalFormatting sqref="M9">
    <cfRule type="cellIs" dxfId="2106" priority="5" stopIfTrue="1" operator="lessThanOrEqual">
      <formula>$L9</formula>
    </cfRule>
    <cfRule type="cellIs" dxfId="2105" priority="6" operator="greaterThan">
      <formula>L9</formula>
    </cfRule>
  </conditionalFormatting>
  <conditionalFormatting sqref="M10">
    <cfRule type="cellIs" dxfId="2104" priority="3" stopIfTrue="1" operator="lessThanOrEqual">
      <formula>$L10</formula>
    </cfRule>
    <cfRule type="cellIs" dxfId="2103" priority="4" operator="greaterThan">
      <formula>L10</formula>
    </cfRule>
  </conditionalFormatting>
  <conditionalFormatting sqref="M11">
    <cfRule type="cellIs" dxfId="2102" priority="1" stopIfTrue="1" operator="lessThanOrEqual">
      <formula>$L11</formula>
    </cfRule>
    <cfRule type="cellIs" dxfId="2101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E4EF2E-7485-4044-BC18-853754BA9317}">
          <x14:formula1>
            <xm:f>Bolts!$A:$A</xm:f>
          </x14:formula1>
          <xm:sqref>C13:C15</xm:sqref>
        </x14:dataValidation>
        <x14:dataValidation type="list" allowBlank="1" showInputMessage="1" showErrorMessage="1" xr:uid="{1850BB3B-27DD-4ED7-AA88-F1D593E2E674}">
          <x14:formula1>
            <xm:f>Purchased!$A:$A</xm:f>
          </x14:formula1>
          <xm:sqref>C5:C11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A546-8722-4323-BBE5-816E2A4BCF15}">
  <sheetPr codeName="Sheet16">
    <tabColor theme="0" tint="-0.249977111117893"/>
  </sheetPr>
  <dimension ref="A1:Q24"/>
  <sheetViews>
    <sheetView zoomScale="115" zoomScaleNormal="115" workbookViewId="0">
      <selection activeCell="D12" sqref="D12:E1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'4'!C13</f>
        <v>PG10.0.11.0.A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'4'!D13</f>
        <v>Main HMI Enclosure</v>
      </c>
      <c r="D3" s="85" t="s">
        <v>50</v>
      </c>
      <c r="E3" s="86" t="str">
        <f ca="1">MID(CELL("filename",A1),FIND("]",CELL("filename",A1))+1,256)</f>
        <v>0.11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272">
        <v>1</v>
      </c>
      <c r="B5" s="20"/>
      <c r="C5" s="121"/>
      <c r="D5" s="314" t="e">
        <f>VLOOKUP(C5,Machined!C:X,2,0)</f>
        <v>#N/A</v>
      </c>
      <c r="E5" s="329"/>
      <c r="F5" s="107" t="e">
        <f>VLOOKUP($C5,Machined!C:Z,13,0)</f>
        <v>#N/A</v>
      </c>
      <c r="G5" s="44" t="e">
        <f>IF(VLOOKUP($C5,Machined!C:Z,16,0) = 0, " ", VLOOKUP($C5,Machined!C:Z,16,0))</f>
        <v>#N/A</v>
      </c>
      <c r="H5" s="320" t="e">
        <f>IF(VLOOKUP($C5,Machined!C:Z,17,0) = 0, " ", VLOOKUP($C5,Machined!C:Z,17,0))</f>
        <v>#N/A</v>
      </c>
      <c r="I5" s="321" t="e">
        <f>IF(VLOOKUP($C5,Machined!$C:$Y,13,0) = 0, " ", VLOOKUP($C5,Machined!$C:$Y,13,0))</f>
        <v>#N/A</v>
      </c>
      <c r="J5" s="44" t="e">
        <f>IF(VLOOKUP($C5,Machined!C:Z,18,0) = 0, " ", VLOOKUP($C5,Machined!C:Z,18,0))</f>
        <v>#N/A</v>
      </c>
      <c r="K5" s="44" t="e">
        <f>IF(VLOOKUP($C5,Machined!C:Z,19,0) = 0, " ", VLOOKUP($C5,Machined!C:Z,19,0))</f>
        <v>#N/A</v>
      </c>
      <c r="L5" s="44" t="e">
        <f>IF(VLOOKUP($C5,Machined!C:Z,20,0) = 0, " ", VLOOKUP($C5,Machined!C:Z,20,0))</f>
        <v>#N/A</v>
      </c>
      <c r="M5" s="44" t="e">
        <f>IF(VLOOKUP($C5,Machined!C:Z,21,0) = 0, " ", VLOOKUP($C5,Machined!C:Z,21,0))</f>
        <v>#N/A</v>
      </c>
      <c r="N5" s="129" t="e">
        <f>IF(VLOOKUP($C5,Machined!C:Z,22,0) = 0, " ", VLOOKUP($C5,Machined!C:Z,22,0))</f>
        <v>#N/A</v>
      </c>
      <c r="O5" s="45">
        <f ca="1">B5*$L$2</f>
        <v>0</v>
      </c>
      <c r="P5" s="49" t="e">
        <f>VLOOKUP(C5,Machined!C:F,3,0)</f>
        <v>#N/A</v>
      </c>
      <c r="Q5" s="50" t="e">
        <f>B5*P5</f>
        <v>#N/A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 t="s">
        <v>85</v>
      </c>
      <c r="D7" s="325" t="str">
        <f>VLOOKUP(C7,Purchased!A:B,2,0)</f>
        <v>Saginaw enclosure box</v>
      </c>
      <c r="E7" s="326"/>
      <c r="F7" s="108" t="str">
        <f>IF(VLOOKUP($C7,Purchased!A:Z,11,0) = 0, " ", VLOOKUP($C7,Purchased!A:Z,11,0))</f>
        <v>Saginaw</v>
      </c>
      <c r="G7" s="108" t="str">
        <f>IF(VLOOKUP($C7,Purchased!A:Z,12,0)=0, " ", VLOOKUP($C7,Purchased!A:Z,12,0))</f>
        <v>Saginaw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45426</v>
      </c>
      <c r="K7" s="46">
        <f>IF(VLOOKUP(C7,Purchased!A:R,14,0)=0, " ", VLOOKUP(C7,Purchased!A:R,14,0))</f>
        <v>45426</v>
      </c>
      <c r="L7" s="46">
        <f>IF(VLOOKUP(C7,Purchased!A:R,15,0)=0, " ", VLOOKUP(C7,Purchased!A:R,15,0))</f>
        <v>45426</v>
      </c>
      <c r="M7" s="46">
        <f>IF(VLOOKUP(C7,Purchased!A:R,16,0)=0, " ",VLOOKUP(C7,Purchased!A:R,16,0))</f>
        <v>45487</v>
      </c>
      <c r="N7" s="130">
        <f>IF(VLOOKUP(C7,Purchased!A:R,17,0)=0, " ", VLOOKUP(C7,Purchased!A:R,17,0))</f>
        <v>45485</v>
      </c>
      <c r="O7" s="47">
        <f t="shared" ref="O7:O16" ca="1" si="0">B7*$L$2</f>
        <v>1</v>
      </c>
      <c r="P7" s="51">
        <f>VLOOKUP(C7,Purchased!A:D,3,FALSE)</f>
        <v>367.49</v>
      </c>
      <c r="Q7" s="52">
        <f t="shared" ref="Q7:Q16" si="1">B7*P7</f>
        <v>367.49</v>
      </c>
    </row>
    <row r="8" spans="1:17" s="2" customFormat="1" ht="12" customHeight="1" x14ac:dyDescent="0.25">
      <c r="A8" s="4">
        <v>302</v>
      </c>
      <c r="B8" s="2">
        <v>1</v>
      </c>
      <c r="C8" s="135" t="s">
        <v>86</v>
      </c>
      <c r="D8" s="325" t="str">
        <f>VLOOKUP(C8,Purchased!A:B,2,0)</f>
        <v>HMI Enclosure backplane</v>
      </c>
      <c r="E8" s="326"/>
      <c r="F8" s="108" t="str">
        <f>IF(VLOOKUP($C8,Purchased!A:Z,11,0) = 0, " ", VLOOKUP($C8,Purchased!A:Z,11,0))</f>
        <v>Saginaw</v>
      </c>
      <c r="G8" s="108" t="str">
        <f>IF(VLOOKUP($C8,Purchased!A:Z,12,0)=0, " ", VLOOKUP($C8,Purchased!A:Z,12,0))</f>
        <v>Saginaw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45426</v>
      </c>
      <c r="K8" s="46">
        <f>IF(VLOOKUP(C8,Purchased!A:R,14,0)=0, " ", VLOOKUP(C8,Purchased!A:R,14,0))</f>
        <v>45426</v>
      </c>
      <c r="L8" s="46">
        <f>IF(VLOOKUP(C8,Purchased!A:R,15,0)=0, " ", VLOOKUP(C8,Purchased!A:R,15,0))</f>
        <v>45426</v>
      </c>
      <c r="M8" s="46">
        <f>IF(VLOOKUP(C8,Purchased!A:R,16,0)=0, " ",VLOOKUP(C8,Purchased!A:R,16,0))</f>
        <v>45485</v>
      </c>
      <c r="N8" s="130">
        <f>IF(VLOOKUP(C8,Purchased!A:R,17,0)=0, " ", VLOOKUP(C8,Purchased!A:R,17,0))</f>
        <v>45455</v>
      </c>
      <c r="O8" s="47">
        <f t="shared" ca="1" si="0"/>
        <v>1</v>
      </c>
      <c r="P8" s="51">
        <f>VLOOKUP(C8,Purchased!A:D,3,FALSE)</f>
        <v>15.98</v>
      </c>
      <c r="Q8" s="52">
        <f t="shared" si="1"/>
        <v>15.98</v>
      </c>
    </row>
    <row r="9" spans="1:17" s="2" customFormat="1" ht="12" customHeight="1" x14ac:dyDescent="0.25">
      <c r="A9" s="4">
        <v>303</v>
      </c>
      <c r="B9" s="2">
        <v>1</v>
      </c>
      <c r="C9" s="135" t="s">
        <v>87</v>
      </c>
      <c r="D9" s="325" t="str">
        <f>VLOOKUP(C9,Purchased!A:B,2,0)</f>
        <v>Saginaw HMI handle</v>
      </c>
      <c r="E9" s="326"/>
      <c r="F9" s="108" t="str">
        <f>IF(VLOOKUP($C9,Purchased!A:Z,11,0) = 0, " ", VLOOKUP($C9,Purchased!A:Z,11,0))</f>
        <v>Saginaw</v>
      </c>
      <c r="G9" s="108" t="str">
        <f>IF(VLOOKUP($C9,Purchased!A:Z,12,0)=0, " ", VLOOKUP($C9,Purchased!A:Z,12,0))</f>
        <v>Saginaw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45426</v>
      </c>
      <c r="K9" s="46">
        <f>IF(VLOOKUP(C9,Purchased!A:R,14,0)=0, " ", VLOOKUP(C9,Purchased!A:R,14,0))</f>
        <v>45426</v>
      </c>
      <c r="L9" s="46">
        <f>IF(VLOOKUP(C9,Purchased!A:R,15,0)=0, " ", VLOOKUP(C9,Purchased!A:R,15,0))</f>
        <v>45426</v>
      </c>
      <c r="M9" s="46">
        <f>IF(VLOOKUP(C9,Purchased!A:R,16,0)=0, " ",VLOOKUP(C9,Purchased!A:R,16,0))</f>
        <v>45487</v>
      </c>
      <c r="N9" s="130">
        <f>IF(VLOOKUP(C9,Purchased!A:R,17,0)=0, " ", VLOOKUP(C9,Purchased!A:R,17,0))</f>
        <v>45485</v>
      </c>
      <c r="O9" s="47">
        <f ca="1">B9*$L$2</f>
        <v>1</v>
      </c>
      <c r="P9" s="51">
        <f>VLOOKUP(C9,Purchased!A:D,3,FALSE)</f>
        <v>32.15</v>
      </c>
      <c r="Q9" s="52">
        <f>B9*P9</f>
        <v>32.15</v>
      </c>
    </row>
    <row r="10" spans="1:17" s="2" customFormat="1" ht="12" customHeight="1" x14ac:dyDescent="0.25">
      <c r="A10" s="4">
        <v>304</v>
      </c>
      <c r="B10" s="2">
        <v>1</v>
      </c>
      <c r="C10" s="135" t="s">
        <v>88</v>
      </c>
      <c r="D10" s="325" t="str">
        <f>VLOOKUP(C10,Purchased!A:B,2,0)</f>
        <v>HMI 15.6” TFT 1366x768, PCAP Touchscreen, 8 GB Flash memory, 3x Ethernet 
ports, JMobile runtime</v>
      </c>
      <c r="E10" s="326"/>
      <c r="F10" s="108" t="str">
        <f>IF(VLOOKUP($C10,Purchased!A:Z,11,0) = 0, " ", VLOOKUP($C10,Purchased!A:Z,11,0))</f>
        <v>EXOR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45426</v>
      </c>
      <c r="K10" s="46">
        <f>IF(VLOOKUP(C10,Purchased!A:R,14,0)=0, " ", VLOOKUP(C10,Purchased!A:R,14,0))</f>
        <v>45426</v>
      </c>
      <c r="L10" s="46">
        <f>IF(VLOOKUP(C10,Purchased!A:R,15,0)=0, " ", VLOOKUP(C10,Purchased!A:R,15,0))</f>
        <v>45427</v>
      </c>
      <c r="M10" s="46">
        <f>IF(VLOOKUP(C10,Purchased!A:R,16,0)=0, " ",VLOOKUP(C10,Purchased!A:R,16,0))</f>
        <v>45492</v>
      </c>
      <c r="N10" s="130">
        <f>IF(VLOOKUP(C10,Purchased!A:R,17,0)=0, " ", VLOOKUP(C10,Purchased!A:R,17,0))</f>
        <v>45493</v>
      </c>
      <c r="O10" s="47">
        <f t="shared" ca="1" si="0"/>
        <v>1</v>
      </c>
      <c r="P10" s="51">
        <f>VLOOKUP(C10,Purchased!A:D,3,FALSE)</f>
        <v>3259.48</v>
      </c>
      <c r="Q10" s="52">
        <f t="shared" si="1"/>
        <v>3259.48</v>
      </c>
    </row>
    <row r="11" spans="1:17" s="2" customFormat="1" ht="12" customHeight="1" x14ac:dyDescent="0.25">
      <c r="A11" s="4">
        <v>305</v>
      </c>
      <c r="B11" s="2">
        <v>1</v>
      </c>
      <c r="C11" s="135" t="s">
        <v>89</v>
      </c>
      <c r="D11" s="325" t="str">
        <f>VLOOKUP(C11,Purchased!A:B,2,0)</f>
        <v>WERMA terminal element, 70mm diameter, cage clamp, base or bracket mount, IP65. Cap and seal included.</v>
      </c>
      <c r="E11" s="326"/>
      <c r="F11" s="108" t="str">
        <f>IF(VLOOKUP($C11,Purchased!A:Z,11,0) = 0, " ", VLOOKUP($C11,Purchased!A:Z,11,0))</f>
        <v>WERMA</v>
      </c>
      <c r="G11" s="108" t="str">
        <f>IF(VLOOKUP($C11,Purchased!A:Z,12,0)=0, " ", VLOOKUP($C11,Purchased!A:Z,12,0))</f>
        <v>AUTO DIRECT</v>
      </c>
      <c r="H11" s="327" t="str">
        <f>IF(VLOOKUP($C11,Purchased!A:Z,13,0)=0, " ", VLOOKUP($C11,Purchased!A:Z,13,0))</f>
        <v xml:space="preserve"> 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0"/>
        <v>1</v>
      </c>
      <c r="P11" s="51">
        <f>VLOOKUP(C11,Purchased!A:D,3,FALSE)</f>
        <v>31.5</v>
      </c>
      <c r="Q11" s="52">
        <f t="shared" si="1"/>
        <v>31.5</v>
      </c>
    </row>
    <row r="12" spans="1:17" s="2" customFormat="1" ht="12" customHeight="1" x14ac:dyDescent="0.25">
      <c r="A12" s="4">
        <v>306</v>
      </c>
      <c r="B12" s="2">
        <v>1</v>
      </c>
      <c r="C12" s="135" t="s">
        <v>90</v>
      </c>
      <c r="D12" s="325" t="str">
        <f>VLOOKUP(C12,Purchased!A:B,2,0)</f>
        <v>WERMA incandescent light element, 70mm diameter, red, permanent light function, 12-240 VAC/VDC, colored lens, IP65. Purchase bulb separately.</v>
      </c>
      <c r="E12" s="326"/>
      <c r="F12" s="108" t="str">
        <f>IF(VLOOKUP($C12,Purchased!A:Z,11,0) = 0, " ", VLOOKUP($C12,Purchased!A:Z,11,0))</f>
        <v>WERMA</v>
      </c>
      <c r="G12" s="108" t="str">
        <f>IF(VLOOKUP($C12,Purchased!A:Z,12,0)=0, " ", VLOOKUP($C12,Purchased!A:Z,12,0))</f>
        <v>AUTO DIRECT</v>
      </c>
      <c r="H12" s="327" t="str">
        <f>IF(VLOOKUP($C12,Purchased!A:Z,13,0)=0, " ", VLOOKUP($C12,Purchased!A:Z,13,0))</f>
        <v xml:space="preserve"> 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 t="str">
        <f>IF(VLOOKUP(C12,Purchased!A:R,15,0)=0, " ", VLOOKUP(C12,Purchased!A:R,15,0))</f>
        <v xml:space="preserve"> </v>
      </c>
      <c r="M12" s="46" t="str">
        <f>IF(VLOOKUP(C12,Purchased!A:R,16,0)=0, " ",VLOOKUP(C12,Purchased!A:R,16,0))</f>
        <v xml:space="preserve"> </v>
      </c>
      <c r="N12" s="130" t="str">
        <f>IF(VLOOKUP(C12,Purchased!A:R,17,0)=0, " ", VLOOKUP(C12,Purchased!A:R,17,0))</f>
        <v xml:space="preserve"> </v>
      </c>
      <c r="O12" s="47">
        <f t="shared" ca="1" si="0"/>
        <v>1</v>
      </c>
      <c r="P12" s="51">
        <f>VLOOKUP(C12,Purchased!A:D,3,FALSE)</f>
        <v>24</v>
      </c>
      <c r="Q12" s="52">
        <f t="shared" si="1"/>
        <v>24</v>
      </c>
    </row>
    <row r="13" spans="1:17" s="2" customFormat="1" ht="12" customHeight="1" x14ac:dyDescent="0.25">
      <c r="A13" s="4">
        <v>307</v>
      </c>
      <c r="B13" s="2">
        <v>1</v>
      </c>
      <c r="C13" s="135" t="s">
        <v>91</v>
      </c>
      <c r="D13" s="325" t="str">
        <f>VLOOKUP(C13,Purchased!A:B,2,0)</f>
        <v>WERMA incandescent light element, 70mm diameter, yellow, permanent light function, 12-240 VAC/VDC, colored lens, IP65. Purchase bulb separately.</v>
      </c>
      <c r="E13" s="326"/>
      <c r="F13" s="108" t="str">
        <f>IF(VLOOKUP($C13,Purchased!A:Z,11,0) = 0, " ", VLOOKUP($C13,Purchased!A:Z,11,0))</f>
        <v>WERMA</v>
      </c>
      <c r="G13" s="108" t="str">
        <f>IF(VLOOKUP($C13,Purchased!A:Z,12,0)=0, " ", VLOOKUP($C13,Purchased!A:Z,12,0))</f>
        <v>AUTO DIRECT</v>
      </c>
      <c r="H13" s="327" t="str">
        <f>IF(VLOOKUP($C13,Purchased!A:Z,13,0)=0, " ", VLOOKUP($C13,Purchased!A:Z,13,0))</f>
        <v xml:space="preserve"> 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 t="str">
        <f>IF(VLOOKUP(C13,Purchased!A:R,15,0)=0, " ", VLOOKUP(C13,Purchased!A:R,15,0))</f>
        <v xml:space="preserve"> </v>
      </c>
      <c r="M13" s="46" t="str">
        <f>IF(VLOOKUP(C13,Purchased!A:R,16,0)=0, " ",VLOOKUP(C13,Purchased!A:R,16,0))</f>
        <v xml:space="preserve"> </v>
      </c>
      <c r="N13" s="130" t="str">
        <f>IF(VLOOKUP(C13,Purchased!A:R,17,0)=0, " ", VLOOKUP(C13,Purchased!A:R,17,0))</f>
        <v xml:space="preserve"> </v>
      </c>
      <c r="O13" s="47">
        <f t="shared" ca="1" si="0"/>
        <v>1</v>
      </c>
      <c r="P13" s="51">
        <f>VLOOKUP(C13,Purchased!A:D,3,FALSE)</f>
        <v>24</v>
      </c>
      <c r="Q13" s="52">
        <f t="shared" si="1"/>
        <v>24</v>
      </c>
    </row>
    <row r="14" spans="1:17" s="2" customFormat="1" ht="12" customHeight="1" x14ac:dyDescent="0.25">
      <c r="A14" s="4">
        <v>308</v>
      </c>
      <c r="B14" s="2">
        <v>1</v>
      </c>
      <c r="C14" s="135" t="s">
        <v>92</v>
      </c>
      <c r="D14" s="325" t="str">
        <f>VLOOKUP(C14,Purchased!A:B,2,0)</f>
        <v>WERMA incandescent light element, 70mm diameter, green, permanent light function, 12-240 VAC/VDC, colored lens, IP65. Purchase bulb separately.</v>
      </c>
      <c r="E14" s="326"/>
      <c r="F14" s="108" t="str">
        <f>IF(VLOOKUP($C14,Purchased!A:Z,11,0) = 0, " ", VLOOKUP($C14,Purchased!A:Z,11,0))</f>
        <v>WERMA</v>
      </c>
      <c r="G14" s="108" t="str">
        <f>IF(VLOOKUP($C14,Purchased!A:Z,12,0)=0, " ", VLOOKUP($C14,Purchased!A:Z,12,0))</f>
        <v>AUTO DIRECT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 t="str">
        <f>IF(VLOOKUP(C14,Purchased!A:R,15,0)=0, " ", VLOOKUP(C14,Purchased!A:R,15,0))</f>
        <v xml:space="preserve"> 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0"/>
        <v>1</v>
      </c>
      <c r="P14" s="51">
        <f>VLOOKUP(C14,Purchased!A:D,3,FALSE)</f>
        <v>24</v>
      </c>
      <c r="Q14" s="52">
        <f t="shared" si="1"/>
        <v>24</v>
      </c>
    </row>
    <row r="15" spans="1:17" s="2" customFormat="1" ht="12" customHeight="1" x14ac:dyDescent="0.25">
      <c r="A15" s="4">
        <v>309</v>
      </c>
      <c r="B15" s="2">
        <v>1</v>
      </c>
      <c r="C15" s="135" t="s">
        <v>93</v>
      </c>
      <c r="D15" s="325" t="str">
        <f>VLOOKUP(C15,Purchased!A:B,2,0)</f>
        <v>WERMA stack light 70mm buzzer element, 85 dB at 1m, continuous or pulse tone(s), 24 VAC/VDC, IP65.</v>
      </c>
      <c r="E15" s="326"/>
      <c r="F15" s="108" t="str">
        <f>IF(VLOOKUP($C15,Purchased!A:Z,11,0) = 0, " ", VLOOKUP($C15,Purchased!A:Z,11,0))</f>
        <v>WERMA</v>
      </c>
      <c r="G15" s="108" t="str">
        <f>IF(VLOOKUP($C15,Purchased!A:Z,12,0)=0, " ", VLOOKUP($C15,Purchased!A:Z,12,0))</f>
        <v>AUTO DIRECT</v>
      </c>
      <c r="H15" s="327" t="str">
        <f>IF(VLOOKUP($C15,Purchased!A:Z,13,0)=0, " ", VLOOKUP($C15,Purchased!A:Z,13,0))</f>
        <v xml:space="preserve"> 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 t="str">
        <f>IF(VLOOKUP(C15,Purchased!A:R,15,0)=0, " ", VLOOKUP(C15,Purchased!A:R,15,0))</f>
        <v xml:space="preserve"> </v>
      </c>
      <c r="M15" s="46" t="str">
        <f>IF(VLOOKUP(C15,Purchased!A:R,16,0)=0, " ",VLOOKUP(C15,Purchased!A:R,16,0))</f>
        <v xml:space="preserve"> </v>
      </c>
      <c r="N15" s="130" t="str">
        <f>IF(VLOOKUP(C15,Purchased!A:R,17,0)=0, " ", VLOOKUP(C15,Purchased!A:R,17,0))</f>
        <v xml:space="preserve"> </v>
      </c>
      <c r="O15" s="47">
        <f t="shared" ca="1" si="0"/>
        <v>1</v>
      </c>
      <c r="P15" s="51">
        <f>VLOOKUP(C15,Purchased!A:D,3,FALSE)</f>
        <v>58</v>
      </c>
      <c r="Q15" s="52">
        <f t="shared" si="1"/>
        <v>58</v>
      </c>
    </row>
    <row r="16" spans="1:17" s="2" customFormat="1" ht="12" customHeight="1" x14ac:dyDescent="0.25">
      <c r="A16" s="4">
        <v>310</v>
      </c>
      <c r="B16" s="2">
        <v>1</v>
      </c>
      <c r="C16" s="135" t="s">
        <v>94</v>
      </c>
      <c r="D16" s="325" t="str">
        <f>VLOOKUP(C16,Purchased!A:B,2,0)</f>
        <v>WERMA mounting bracket, 1-sided mount, black, polyamide.</v>
      </c>
      <c r="E16" s="326"/>
      <c r="F16" s="108" t="str">
        <f>IF(VLOOKUP($C16,Purchased!A:Z,11,0) = 0, " ", VLOOKUP($C16,Purchased!A:Z,11,0))</f>
        <v>WERMA</v>
      </c>
      <c r="G16" s="108" t="str">
        <f>IF(VLOOKUP($C16,Purchased!A:Z,12,0)=0, " ", VLOOKUP($C16,Purchased!A:Z,12,0))</f>
        <v>AUTO DIRECT</v>
      </c>
      <c r="H16" s="327" t="str">
        <f>IF(VLOOKUP($C16,Purchased!A:Z,13,0)=0, " ", VLOOKUP($C16,Purchased!A:Z,13,0))</f>
        <v xml:space="preserve"> 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0"/>
        <v>1</v>
      </c>
      <c r="P16" s="51">
        <f>VLOOKUP(C16,Purchased!A:D,3,FALSE)</f>
        <v>15</v>
      </c>
      <c r="Q16" s="52">
        <f t="shared" si="1"/>
        <v>15</v>
      </c>
    </row>
    <row r="17" spans="1:17" s="2" customFormat="1" ht="12" customHeight="1" x14ac:dyDescent="0.25">
      <c r="A17" s="4">
        <v>314</v>
      </c>
      <c r="C17" s="135"/>
      <c r="D17" s="325" t="e">
        <f>VLOOKUP(C17,Purchased!A:B,2,0)</f>
        <v>#N/A</v>
      </c>
      <c r="E17" s="326"/>
      <c r="F17" s="108" t="e">
        <f>IF(VLOOKUP($C17,Purchased!A:Z,11,0) = 0, " ", VLOOKUP($C17,Purchased!A:Z,11,0))</f>
        <v>#N/A</v>
      </c>
      <c r="G17" s="108" t="e">
        <f>IF(VLOOKUP($C17,Purchased!A:Z,12,0)=0, " ", VLOOKUP($C17,Purchased!A:Z,12,0))</f>
        <v>#N/A</v>
      </c>
      <c r="H17" s="327" t="e">
        <f>IF(VLOOKUP($C17,Purchased!A:Z,13,0)=0, " ", VLOOKUP($C17,Purchased!A:Z,13,0))</f>
        <v>#N/A</v>
      </c>
      <c r="I17" s="328"/>
      <c r="J17" s="46" t="e">
        <f>IF(VLOOKUP($C17,Purchased!A:Z,14,0)=0, " ", VLOOKUP($C17,Purchased!A:Z,14,0))</f>
        <v>#N/A</v>
      </c>
      <c r="K17" s="46" t="e">
        <f>IF(VLOOKUP(C17,Purchased!A:R,14,0)=0, " ", VLOOKUP(C17,Purchased!A:R,14,0))</f>
        <v>#N/A</v>
      </c>
      <c r="L17" s="46" t="e">
        <f>IF(VLOOKUP(C17,Purchased!A:R,15,0)=0, " ", VLOOKUP(C17,Purchased!A:R,15,0))</f>
        <v>#N/A</v>
      </c>
      <c r="M17" s="46" t="e">
        <f>IF(VLOOKUP(C17,Purchased!A:R,16,0)=0, " ",VLOOKUP(C17,Purchased!A:R,16,0))</f>
        <v>#N/A</v>
      </c>
      <c r="N17" s="130" t="e">
        <f>IF(VLOOKUP(C17,Purchased!A:R,17,0)=0, " ", VLOOKUP(C17,Purchased!A:R,17,0))</f>
        <v>#N/A</v>
      </c>
      <c r="O17" s="47">
        <f ca="1">B17*$L$2</f>
        <v>0</v>
      </c>
      <c r="P17" s="51" t="e">
        <f>VLOOKUP(C17,Purchased!A:D,3,FALSE)</f>
        <v>#N/A</v>
      </c>
      <c r="Q17" s="52" t="e">
        <f>B17*P17</f>
        <v>#N/A</v>
      </c>
    </row>
    <row r="18" spans="1:17" s="2" customFormat="1" ht="12" customHeight="1" x14ac:dyDescent="0.25">
      <c r="A18" s="4">
        <v>315</v>
      </c>
      <c r="B18" s="2">
        <v>3</v>
      </c>
      <c r="C18" s="135" t="s">
        <v>3865</v>
      </c>
      <c r="D18" s="325" t="str">
        <f>VLOOKUP(C18,Purchased!A:B,2,0)</f>
        <v>WERMA bulb, incandescent, replacement, 24 VDC, BA15d bayonet, clear/white, 5W</v>
      </c>
      <c r="E18" s="342"/>
      <c r="F18" s="108" t="str">
        <f>IF(VLOOKUP($C18,Purchased!A:Z,11,0) = 0, " ", VLOOKUP($C18,Purchased!A:Z,11,0))</f>
        <v>WERMA</v>
      </c>
      <c r="G18" s="108" t="str">
        <f>IF(VLOOKUP($C18,Purchased!A:Z,12,0)=0, " ", VLOOKUP($C18,Purchased!A:Z,12,0))</f>
        <v>AUTO DIRECT</v>
      </c>
      <c r="H18" s="327" t="str">
        <f>IF(VLOOKUP($C18,Purchased!A:Z,13,0)=0, " ", VLOOKUP($C18,Purchased!A:Z,13,0))</f>
        <v xml:space="preserve"> 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 t="str">
        <f>IF(VLOOKUP(C18,Purchased!A:R,15,0)=0, " ", VLOOKUP(C18,Purchased!A:R,15,0))</f>
        <v xml:space="preserve"> </v>
      </c>
      <c r="M18" s="46" t="str">
        <f>IF(VLOOKUP(C18,Purchased!A:R,16,0)=0, " ",VLOOKUP(C18,Purchased!A:R,16,0))</f>
        <v xml:space="preserve"> </v>
      </c>
      <c r="N18" s="130" t="str">
        <f>IF(VLOOKUP(C18,Purchased!A:R,17,0)=0, " ", VLOOKUP(C18,Purchased!A:R,17,0))</f>
        <v xml:space="preserve"> </v>
      </c>
      <c r="O18" s="47">
        <f ca="1">B18*$L$2</f>
        <v>3</v>
      </c>
      <c r="P18" s="51">
        <f>VLOOKUP(C18,Purchased!A:D,3,FALSE)</f>
        <v>8.75</v>
      </c>
      <c r="Q18" s="52">
        <f>B18*P18</f>
        <v>26.25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.75" customHeight="1" x14ac:dyDescent="0.25">
      <c r="A20" s="4">
        <v>501</v>
      </c>
      <c r="B20" s="2">
        <v>4</v>
      </c>
      <c r="C20" s="122" t="s">
        <v>95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ca="1">B20*$L$2</f>
        <v>4</v>
      </c>
      <c r="P20" s="51">
        <f>VLOOKUP(C20,Bolts!A:B,2,FALSE)</f>
        <v>0</v>
      </c>
      <c r="Q20" s="52">
        <f>B20*P20</f>
        <v>0</v>
      </c>
    </row>
    <row r="21" spans="1:17" s="2" customFormat="1" ht="12" customHeight="1" x14ac:dyDescent="0.25">
      <c r="A21" s="4">
        <v>502</v>
      </c>
      <c r="C21" s="122"/>
      <c r="D21" s="325"/>
      <c r="E21" s="326"/>
      <c r="F21" s="108" t="e">
        <f>VLOOKUP(C21,Bolts!A:L,5,0)</f>
        <v>#N/A</v>
      </c>
      <c r="G21" s="108" t="e">
        <f>VLOOKUP(C21,Bolts!A:L,6,0)</f>
        <v>#N/A</v>
      </c>
      <c r="H21" s="108" t="e">
        <f>VLOOKUP(C21,Bolts!A:L,7,0)</f>
        <v>#N/A</v>
      </c>
      <c r="I21" s="109"/>
      <c r="J21" s="46" t="e">
        <f>VLOOKUP(C21,Bolts!A:L,8,0)</f>
        <v>#N/A</v>
      </c>
      <c r="K21" s="46" t="e">
        <f>VLOOKUP(C21,Bolts!A:L,9,0)</f>
        <v>#N/A</v>
      </c>
      <c r="L21" s="46" t="e">
        <f>VLOOKUP(C21,Bolts!A:L,10,0)</f>
        <v>#N/A</v>
      </c>
      <c r="M21" s="46" t="e">
        <f>VLOOKUP(C21,Bolts!A:L,11,0)</f>
        <v>#N/A</v>
      </c>
      <c r="N21" s="130" t="e">
        <f>VLOOKUP(C21,Bolts!A:L,12,0)</f>
        <v>#N/A</v>
      </c>
      <c r="O21" s="47">
        <f t="shared" ref="O21" ca="1" si="2">B21*$L$2</f>
        <v>0</v>
      </c>
      <c r="P21" s="51" t="e">
        <f>VLOOKUP(C21,Bolts!A:B,2,FALSE)</f>
        <v>#N/A</v>
      </c>
      <c r="Q21" s="52" t="e">
        <f t="shared" ref="Q21" si="3">B21*P21</f>
        <v>#N/A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thickBot="1" x14ac:dyDescent="0.3">
      <c r="A23" s="4">
        <v>701</v>
      </c>
      <c r="C23" s="123"/>
      <c r="D23" s="325" t="e">
        <f>VLOOKUP(C23,Extrusion!B:C,2,0)</f>
        <v>#N/A</v>
      </c>
      <c r="E23" s="326"/>
      <c r="F23" s="108" t="e">
        <f>VLOOKUP(C23,Extrusion!B:N,5,0)</f>
        <v>#N/A</v>
      </c>
      <c r="G23" s="108" t="e">
        <f>VLOOKUP(C23,Extrusion!B:N,6,0)</f>
        <v>#N/A</v>
      </c>
      <c r="H23" s="108" t="e">
        <f>VLOOKUP(C23,Extrusion!B:N,7,0)</f>
        <v>#N/A</v>
      </c>
      <c r="I23" s="109"/>
      <c r="J23" s="46" t="e">
        <f>VLOOKUP(C23,Extrusion!B:N,8,0)</f>
        <v>#N/A</v>
      </c>
      <c r="K23" s="46" t="e">
        <f>VLOOKUP(C23,Extrusion!B:N,9,0)</f>
        <v>#N/A</v>
      </c>
      <c r="L23" s="46" t="e">
        <f>VLOOKUP(C23,Extrusion!B:N,10,0)</f>
        <v>#N/A</v>
      </c>
      <c r="M23" s="46" t="e">
        <f>VLOOKUP(C23,Extrusion!B:N,11,0)</f>
        <v>#N/A</v>
      </c>
      <c r="N23" s="47" t="e">
        <f>VLOOKUP(C23,Extrusion!B:O,12,0)</f>
        <v>#N/A</v>
      </c>
      <c r="O23" s="47">
        <f t="shared" ref="O23" ca="1" si="4">B23*$L$2</f>
        <v>0</v>
      </c>
      <c r="P23" s="51" t="e">
        <f>VLOOKUP(C23,Extrusion!B:G,4,0)</f>
        <v>#N/A</v>
      </c>
      <c r="Q23" s="52" t="e">
        <f t="shared" ref="Q23" si="5">B23*P23</f>
        <v>#N/A</v>
      </c>
    </row>
    <row r="24" spans="1:17" s="2" customFormat="1" ht="12" customHeight="1" thickBot="1" x14ac:dyDescent="0.3">
      <c r="A24" s="34"/>
      <c r="B24" s="35"/>
      <c r="C24" s="35"/>
      <c r="D24" s="316"/>
      <c r="E24" s="317"/>
      <c r="F24" s="35"/>
      <c r="G24" s="35"/>
      <c r="H24" s="309"/>
      <c r="I24" s="310"/>
      <c r="J24" s="36"/>
      <c r="K24" s="36"/>
      <c r="L24" s="36"/>
      <c r="M24" s="37"/>
      <c r="N24" s="132"/>
      <c r="O24" s="38"/>
      <c r="P24" s="99" t="s">
        <v>43</v>
      </c>
      <c r="Q24" s="104" t="e">
        <f>SUM(Q7:Q17)</f>
        <v>#N/A</v>
      </c>
    </row>
  </sheetData>
  <sheetProtection selectLockedCells="1"/>
  <mergeCells count="40">
    <mergeCell ref="D17:E17"/>
    <mergeCell ref="H17:I17"/>
    <mergeCell ref="D24:E24"/>
    <mergeCell ref="H24:I24"/>
    <mergeCell ref="D22:E22"/>
    <mergeCell ref="H22:I22"/>
    <mergeCell ref="D23:E23"/>
    <mergeCell ref="D20:E20"/>
    <mergeCell ref="D21:E21"/>
    <mergeCell ref="D18:E18"/>
    <mergeCell ref="H18:I18"/>
    <mergeCell ref="D19:E19"/>
    <mergeCell ref="H19:I19"/>
    <mergeCell ref="H9:I9"/>
    <mergeCell ref="D16:E16"/>
    <mergeCell ref="H16:I16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9:E9"/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</mergeCells>
  <conditionalFormatting sqref="M6 M19 M21:M23">
    <cfRule type="cellIs" dxfId="2100" priority="33" stopIfTrue="1" operator="lessThanOrEqual">
      <formula>$L6</formula>
    </cfRule>
    <cfRule type="cellIs" dxfId="2099" priority="34" operator="greaterThan">
      <formula>L6</formula>
    </cfRule>
  </conditionalFormatting>
  <conditionalFormatting sqref="M7:M9 M15:M16">
    <cfRule type="cellIs" dxfId="2098" priority="31" stopIfTrue="1" operator="lessThanOrEqual">
      <formula>$L7</formula>
    </cfRule>
    <cfRule type="cellIs" dxfId="2097" priority="32" operator="greaterThan">
      <formula>L7</formula>
    </cfRule>
  </conditionalFormatting>
  <conditionalFormatting sqref="M10">
    <cfRule type="cellIs" dxfId="2096" priority="27" stopIfTrue="1" operator="lessThanOrEqual">
      <formula>$L10</formula>
    </cfRule>
    <cfRule type="cellIs" dxfId="2095" priority="28" operator="greaterThan">
      <formula>L10</formula>
    </cfRule>
  </conditionalFormatting>
  <conditionalFormatting sqref="M11">
    <cfRule type="cellIs" dxfId="2094" priority="25" stopIfTrue="1" operator="lessThanOrEqual">
      <formula>$L11</formula>
    </cfRule>
    <cfRule type="cellIs" dxfId="2093" priority="26" operator="greaterThan">
      <formula>L11</formula>
    </cfRule>
  </conditionalFormatting>
  <conditionalFormatting sqref="M12">
    <cfRule type="cellIs" dxfId="2092" priority="23" stopIfTrue="1" operator="lessThanOrEqual">
      <formula>$L12</formula>
    </cfRule>
    <cfRule type="cellIs" dxfId="2091" priority="24" operator="greaterThan">
      <formula>L12</formula>
    </cfRule>
  </conditionalFormatting>
  <conditionalFormatting sqref="M14">
    <cfRule type="cellIs" dxfId="2090" priority="21" stopIfTrue="1" operator="lessThanOrEqual">
      <formula>$L14</formula>
    </cfRule>
    <cfRule type="cellIs" dxfId="2089" priority="22" operator="greaterThan">
      <formula>L14</formula>
    </cfRule>
  </conditionalFormatting>
  <conditionalFormatting sqref="M13 M17">
    <cfRule type="cellIs" dxfId="2088" priority="9" stopIfTrue="1" operator="lessThanOrEqual">
      <formula>$L13</formula>
    </cfRule>
    <cfRule type="cellIs" dxfId="2087" priority="10" operator="greaterThan">
      <formula>L13</formula>
    </cfRule>
  </conditionalFormatting>
  <conditionalFormatting sqref="M20">
    <cfRule type="cellIs" dxfId="2086" priority="3" stopIfTrue="1" operator="lessThanOrEqual">
      <formula>$L20</formula>
    </cfRule>
    <cfRule type="cellIs" dxfId="2085" priority="4" operator="greaterThan">
      <formula>L20</formula>
    </cfRule>
  </conditionalFormatting>
  <conditionalFormatting sqref="M18">
    <cfRule type="cellIs" dxfId="2084" priority="1" stopIfTrue="1" operator="lessThanOrEqual">
      <formula>$L18</formula>
    </cfRule>
    <cfRule type="cellIs" dxfId="2083" priority="2" operator="greaterThan">
      <formula>L18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6075FFF-37DC-4187-9361-73F65497A1EA}">
          <x14:formula1>
            <xm:f>Extrusion!$B:$B</xm:f>
          </x14:formula1>
          <xm:sqref>C23</xm:sqref>
        </x14:dataValidation>
        <x14:dataValidation type="list" allowBlank="1" showInputMessage="1" showErrorMessage="1" xr:uid="{10BAD721-3654-4774-B180-F1E1F6116513}">
          <x14:formula1>
            <xm:f>Bolts!$A:$A</xm:f>
          </x14:formula1>
          <xm:sqref>C19 C21</xm:sqref>
        </x14:dataValidation>
        <x14:dataValidation type="list" allowBlank="1" showInputMessage="1" showErrorMessage="1" xr:uid="{B3C86756-B9D5-4DD2-A7BC-7490AA99D373}">
          <x14:formula1>
            <xm:f>Machined!$C:$C</xm:f>
          </x14:formula1>
          <xm:sqref>C5</xm:sqref>
        </x14:dataValidation>
        <x14:dataValidation type="list" allowBlank="1" showInputMessage="1" showErrorMessage="1" xr:uid="{BD830AEE-584D-46FB-90FB-8E730B111AB3}">
          <x14:formula1>
            <xm:f>Purchased!$A:$A</xm:f>
          </x14:formula1>
          <xm:sqref>C6:C18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ED25C-FABD-40E5-8938-67ACBF582DAF}">
  <sheetPr codeName="Sheet17">
    <tabColor theme="0" tint="-0.249977111117893"/>
  </sheetPr>
  <dimension ref="A1:Q13"/>
  <sheetViews>
    <sheetView zoomScale="115" zoomScaleNormal="115" workbookViewId="0">
      <selection activeCell="A7" sqref="A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'5'!C14</f>
        <v>PG10.0.12.0.A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'5'!D14</f>
        <v>Cuff IO Secondary Enclosure</v>
      </c>
      <c r="D3" s="85" t="s">
        <v>50</v>
      </c>
      <c r="E3" s="86" t="str">
        <f ca="1">MID(CELL("filename",A1),FIND("]",CELL("filename",A1))+1,256)</f>
        <v>0.12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/>
      <c r="C5" s="112"/>
      <c r="D5" s="336" t="e">
        <f ca="1">VLOOKUP(C5,Assemblies!E:P,2,0)</f>
        <v>#N/A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0</v>
      </c>
      <c r="P5" s="117"/>
      <c r="Q5" s="118">
        <f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272">
        <v>1</v>
      </c>
      <c r="B7" s="20"/>
      <c r="C7" s="121"/>
      <c r="D7" s="314" t="e">
        <f>VLOOKUP(C7,Machined!C:X,2,0)</f>
        <v>#N/A</v>
      </c>
      <c r="E7" s="329"/>
      <c r="F7" s="107" t="e">
        <f>VLOOKUP($C7,Machined!C:Z,13,0)</f>
        <v>#N/A</v>
      </c>
      <c r="G7" s="44" t="e">
        <f>IF(VLOOKUP($C7,Machined!C:Z,16,0) = 0, " ", VLOOKUP($C7,Machined!C:Z,16,0))</f>
        <v>#N/A</v>
      </c>
      <c r="H7" s="320" t="e">
        <f>IF(VLOOKUP($C7,Machined!C:Z,17,0) = 0, " ", VLOOKUP($C7,Machined!C:Z,17,0))</f>
        <v>#N/A</v>
      </c>
      <c r="I7" s="321" t="e">
        <f>IF(VLOOKUP($C7,Machined!$C:$Y,13,0) = 0, " ", VLOOKUP($C7,Machined!$C:$Y,13,0))</f>
        <v>#N/A</v>
      </c>
      <c r="J7" s="44" t="e">
        <f>IF(VLOOKUP($C7,Machined!C:Z,18,0) = 0, " ", VLOOKUP($C7,Machined!C:Z,18,0))</f>
        <v>#N/A</v>
      </c>
      <c r="K7" s="44" t="e">
        <f>IF(VLOOKUP($C7,Machined!C:Z,19,0) = 0, " ", VLOOKUP($C7,Machined!C:Z,19,0))</f>
        <v>#N/A</v>
      </c>
      <c r="L7" s="44" t="e">
        <f>IF(VLOOKUP($C7,Machined!C:Z,20,0) = 0, " ", VLOOKUP($C7,Machined!C:Z,20,0))</f>
        <v>#N/A</v>
      </c>
      <c r="M7" s="44" t="e">
        <f>IF(VLOOKUP($C7,Machined!C:Z,21,0) = 0, " ", VLOOKUP($C7,Machined!C:Z,21,0))</f>
        <v>#N/A</v>
      </c>
      <c r="N7" s="129" t="e">
        <f>IF(VLOOKUP($C7,Machined!C:Z,22,0) = 0, " ", VLOOKUP($C7,Machined!C:Z,22,0))</f>
        <v>#N/A</v>
      </c>
      <c r="O7" s="45">
        <f ca="1">B7*$L$2</f>
        <v>0</v>
      </c>
      <c r="P7" s="49" t="e">
        <f>VLOOKUP(C7,Machined!C:F,3,0)</f>
        <v>#N/A</v>
      </c>
      <c r="Q7" s="50" t="e">
        <f>B7*P7</f>
        <v>#N/A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C9" s="135"/>
      <c r="D9" s="325" t="e">
        <f>VLOOKUP(C9,Purchased!A:B,2,0)</f>
        <v>#N/A</v>
      </c>
      <c r="E9" s="326"/>
      <c r="F9" s="108" t="e">
        <f>IF(VLOOKUP($C9,Purchased!A:Z,11,0) = 0, " ", VLOOKUP($C9,Purchased!A:Z,11,0))</f>
        <v>#N/A</v>
      </c>
      <c r="G9" s="108" t="e">
        <f>IF(VLOOKUP($C9,Purchased!A:Z,12,0)=0, " ", VLOOKUP($C9,Purchased!A:Z,12,0))</f>
        <v>#N/A</v>
      </c>
      <c r="H9" s="327" t="e">
        <f>IF(VLOOKUP($C9,Purchased!A:Z,13,0)=0, " ", VLOOKUP($C9,Purchased!A:Z,13,0))</f>
        <v>#N/A</v>
      </c>
      <c r="I9" s="328"/>
      <c r="J9" s="46" t="e">
        <f>IF(VLOOKUP($C9,Purchased!A:Z,14,0)=0, " ", VLOOKUP($C9,Purchased!A:Z,14,0))</f>
        <v>#N/A</v>
      </c>
      <c r="K9" s="46" t="e">
        <f>IF(VLOOKUP(C9,Purchased!A:R,14,0)=0, " ", VLOOKUP(C9,Purchased!A:R,14,0))</f>
        <v>#N/A</v>
      </c>
      <c r="L9" s="46" t="e">
        <f>IF(VLOOKUP(C9,Purchased!A:R,15,0)=0, " ", VLOOKUP(C9,Purchased!A:R,15,0))</f>
        <v>#N/A</v>
      </c>
      <c r="M9" s="46" t="e">
        <f>IF(VLOOKUP(C9,Purchased!A:R,16,0)=0, " ",VLOOKUP(C9,Purchased!A:R,16,0))</f>
        <v>#N/A</v>
      </c>
      <c r="N9" s="130" t="e">
        <f>IF(VLOOKUP(C9,Purchased!A:R,17,0)=0, " ", VLOOKUP(C9,Purchased!A:R,17,0))</f>
        <v>#N/A</v>
      </c>
      <c r="O9" s="47">
        <f t="shared" ref="O9" ca="1" si="0">B9*$L$2</f>
        <v>0</v>
      </c>
      <c r="P9" s="51" t="e">
        <f>VLOOKUP(C9,Purchased!A:D,3,FALSE)</f>
        <v>#N/A</v>
      </c>
      <c r="Q9" s="52" t="e">
        <f t="shared" ref="Q9" si="1">B9*P9</f>
        <v>#N/A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501</v>
      </c>
      <c r="C11" s="122"/>
      <c r="D11" s="325"/>
      <c r="E11" s="326"/>
      <c r="F11" s="108" t="e">
        <f>VLOOKUP(C11,Bolts!A:L,5,0)</f>
        <v>#N/A</v>
      </c>
      <c r="G11" s="108" t="e">
        <f>VLOOKUP(C11,Bolts!A:L,6,0)</f>
        <v>#N/A</v>
      </c>
      <c r="H11" s="108" t="e">
        <f>VLOOKUP(C11,Bolts!A:L,7,0)</f>
        <v>#N/A</v>
      </c>
      <c r="I11" s="109"/>
      <c r="J11" s="46" t="e">
        <f>VLOOKUP(C11,Bolts!A:L,8,0)</f>
        <v>#N/A</v>
      </c>
      <c r="K11" s="46" t="e">
        <f>VLOOKUP(C11,Bolts!A:L,9,0)</f>
        <v>#N/A</v>
      </c>
      <c r="L11" s="46" t="e">
        <f>VLOOKUP(C11,Bolts!A:L,10,0)</f>
        <v>#N/A</v>
      </c>
      <c r="M11" s="46" t="e">
        <f>VLOOKUP(C11,Bolts!A:L,11,0)</f>
        <v>#N/A</v>
      </c>
      <c r="N11" s="130" t="e">
        <f>VLOOKUP(C11,Bolts!A:L,12,0)</f>
        <v>#N/A</v>
      </c>
      <c r="O11" s="47">
        <f ca="1">B11*$L$2</f>
        <v>0</v>
      </c>
      <c r="P11" s="51" t="e">
        <f>VLOOKUP(C11,Bolts!A:B,2,FALSE)</f>
        <v>#N/A</v>
      </c>
      <c r="Q11" s="52" t="e">
        <f>B11*P11</f>
        <v>#N/A</v>
      </c>
    </row>
    <row r="12" spans="1:17" s="2" customFormat="1" ht="12" customHeight="1" thickBot="1" x14ac:dyDescent="0.3">
      <c r="A12" s="4">
        <v>502</v>
      </c>
      <c r="C12" s="122"/>
      <c r="D12" s="325"/>
      <c r="E12" s="326"/>
      <c r="F12" s="108" t="e">
        <f>VLOOKUP(C12,Bolts!A:L,5,0)</f>
        <v>#N/A</v>
      </c>
      <c r="G12" s="108" t="e">
        <f>VLOOKUP(C12,Bolts!A:L,6,0)</f>
        <v>#N/A</v>
      </c>
      <c r="H12" s="108" t="e">
        <f>VLOOKUP(C12,Bolts!A:L,7,0)</f>
        <v>#N/A</v>
      </c>
      <c r="I12" s="109"/>
      <c r="J12" s="46" t="e">
        <f>VLOOKUP(C12,Bolts!A:L,8,0)</f>
        <v>#N/A</v>
      </c>
      <c r="K12" s="46" t="e">
        <f>VLOOKUP(C12,Bolts!A:L,9,0)</f>
        <v>#N/A</v>
      </c>
      <c r="L12" s="46" t="e">
        <f>VLOOKUP(C12,Bolts!A:L,10,0)</f>
        <v>#N/A</v>
      </c>
      <c r="M12" s="46" t="e">
        <f>VLOOKUP(C12,Bolts!A:L,11,0)</f>
        <v>#N/A</v>
      </c>
      <c r="N12" s="130" t="e">
        <f>VLOOKUP(C12,Bolts!A:L,12,0)</f>
        <v>#N/A</v>
      </c>
      <c r="O12" s="47">
        <f ca="1">B12*$L$2</f>
        <v>0</v>
      </c>
      <c r="P12" s="51" t="e">
        <f>VLOOKUP(C12,Bolts!A:B,2,FALSE)</f>
        <v>#N/A</v>
      </c>
      <c r="Q12" s="52" t="e">
        <f>B12*P12</f>
        <v>#N/A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SUM(R5:R12)</f>
        <v>0</v>
      </c>
    </row>
  </sheetData>
  <mergeCells count="19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D11:E11"/>
    <mergeCell ref="D12:E12"/>
    <mergeCell ref="D13:E13"/>
    <mergeCell ref="H13:I13"/>
    <mergeCell ref="D10:E10"/>
    <mergeCell ref="H10:I10"/>
  </mergeCells>
  <conditionalFormatting sqref="M6 M8 M10:M12">
    <cfRule type="cellIs" dxfId="2082" priority="3" stopIfTrue="1" operator="lessThanOrEqual">
      <formula>$L6</formula>
    </cfRule>
    <cfRule type="cellIs" dxfId="2081" priority="4" operator="greaterThan">
      <formula>L6</formula>
    </cfRule>
  </conditionalFormatting>
  <conditionalFormatting sqref="M9">
    <cfRule type="cellIs" dxfId="2080" priority="1" stopIfTrue="1" operator="lessThanOrEqual">
      <formula>$L9</formula>
    </cfRule>
    <cfRule type="cellIs" dxfId="2079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0CC56F-8CE0-43BD-A193-2973F40D8EC7}">
          <x14:formula1>
            <xm:f>Bolts!$A:$A</xm:f>
          </x14:formula1>
          <xm:sqref>C10:C12</xm:sqref>
        </x14:dataValidation>
        <x14:dataValidation type="list" allowBlank="1" showInputMessage="1" showErrorMessage="1" xr:uid="{DD810631-85EE-4F23-944E-155A074F4BC6}">
          <x14:formula1>
            <xm:f>Assemblies!$E:$E</xm:f>
          </x14:formula1>
          <xm:sqref>C5</xm:sqref>
        </x14:dataValidation>
        <x14:dataValidation type="list" allowBlank="1" showInputMessage="1" showErrorMessage="1" xr:uid="{0CDB9DBC-0933-4B42-9969-9BF73E97EEB7}">
          <x14:formula1>
            <xm:f>Machined!$C:$C</xm:f>
          </x14:formula1>
          <xm:sqref>C6:C7</xm:sqref>
        </x14:dataValidation>
        <x14:dataValidation type="list" allowBlank="1" showInputMessage="1" showErrorMessage="1" xr:uid="{338884FB-5097-4188-B4C0-CB84EE421A70}">
          <x14:formula1>
            <xm:f>Purchased!$A:$A</xm:f>
          </x14:formula1>
          <xm:sqref>C8:C9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5" tint="0.59999389629810485"/>
  </sheetPr>
  <dimension ref="A1:Q15"/>
  <sheetViews>
    <sheetView zoomScale="115" zoomScaleNormal="115" workbookViewId="0">
      <selection activeCell="P13" sqref="P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'0'!C5</f>
        <v>PG10.1.0.A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'0'!D5</f>
        <v>Unwind Assy</v>
      </c>
      <c r="D3" s="85" t="s">
        <v>50</v>
      </c>
      <c r="E3" s="86" t="str">
        <f ca="1">MID(CELL("filename",A1),FIND("]",CELL("filename",A1))+1,256)</f>
        <v>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120</v>
      </c>
      <c r="D5" s="336" t="str">
        <f ca="1">VLOOKUP(C5,Assemblies!E:P,2,0)</f>
        <v>Unwind Frame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1</v>
      </c>
      <c r="P5" s="117">
        <f>'1.1'!Q43</f>
        <v>22698.525199999993</v>
      </c>
      <c r="Q5" s="118">
        <f t="shared" ref="Q5" si="1">B5*P5</f>
        <v>22698.525199999993</v>
      </c>
    </row>
    <row r="6" spans="1:17" s="1" customFormat="1" ht="12.75" customHeight="1" x14ac:dyDescent="0.2">
      <c r="A6" s="150" t="s">
        <v>56</v>
      </c>
      <c r="B6" s="1">
        <v>2</v>
      </c>
      <c r="C6" s="145" t="s">
        <v>121</v>
      </c>
      <c r="D6" s="314" t="str">
        <f ca="1">VLOOKUP(C6,Assemblies!E:P,2,0)</f>
        <v>Unwind Roll Assembly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:O11" ca="1" si="2">B6*$L$2</f>
        <v>2</v>
      </c>
      <c r="P6" s="147">
        <f>'1.2'!Q29</f>
        <v>18411.878999999997</v>
      </c>
      <c r="Q6" s="103">
        <f t="shared" ref="Q6:Q11" si="3">B6*P6</f>
        <v>36823.757999999994</v>
      </c>
    </row>
    <row r="7" spans="1:17" s="1" customFormat="1" ht="12.75" customHeight="1" x14ac:dyDescent="0.2">
      <c r="A7" s="150" t="s">
        <v>58</v>
      </c>
      <c r="B7" s="1">
        <v>2</v>
      </c>
      <c r="C7" s="145" t="s">
        <v>122</v>
      </c>
      <c r="D7" s="314" t="str">
        <f ca="1">VLOOKUP(C7,Assemblies!E:P,2,0)</f>
        <v>Solid Nip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2"/>
        <v>2</v>
      </c>
      <c r="P7" s="147">
        <f>'1.3'!Q53</f>
        <v>13250.032899999997</v>
      </c>
      <c r="Q7" s="103">
        <f t="shared" si="3"/>
        <v>26500.065799999993</v>
      </c>
    </row>
    <row r="8" spans="1:17" s="1" customFormat="1" ht="12.75" customHeight="1" x14ac:dyDescent="0.2">
      <c r="A8" s="150" t="s">
        <v>60</v>
      </c>
      <c r="B8" s="1">
        <v>1</v>
      </c>
      <c r="C8" s="145" t="s">
        <v>123</v>
      </c>
      <c r="D8" s="314" t="str">
        <f ca="1">VLOOKUP(C8,Assemblies!E:P,2,0)</f>
        <v>Door 1 A-Side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2"/>
        <v>1</v>
      </c>
      <c r="P8" s="147">
        <f>'1.4'!Q21</f>
        <v>806.96</v>
      </c>
      <c r="Q8" s="103">
        <f t="shared" si="3"/>
        <v>806.96</v>
      </c>
    </row>
    <row r="9" spans="1:17" s="1" customFormat="1" ht="12.75" customHeight="1" x14ac:dyDescent="0.2">
      <c r="A9" s="150" t="s">
        <v>62</v>
      </c>
      <c r="B9" s="1">
        <v>1</v>
      </c>
      <c r="C9" s="145" t="s">
        <v>124</v>
      </c>
      <c r="D9" s="314" t="str">
        <f ca="1">VLOOKUP(C9,Assemblies!E:P,2,0)</f>
        <v>Door 2 B-Side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2"/>
        <v>1</v>
      </c>
      <c r="P9" s="147">
        <f>'1.5'!Q21</f>
        <v>812.71</v>
      </c>
      <c r="Q9" s="103">
        <f t="shared" si="3"/>
        <v>812.71</v>
      </c>
    </row>
    <row r="10" spans="1:17" s="1" customFormat="1" ht="12.75" customHeight="1" x14ac:dyDescent="0.2">
      <c r="A10" s="150" t="s">
        <v>64</v>
      </c>
      <c r="B10" s="1">
        <v>1</v>
      </c>
      <c r="C10" s="145" t="s">
        <v>125</v>
      </c>
      <c r="D10" s="314" t="str">
        <f ca="1">VLOOKUP(C10,Assemblies!E:P,2,0)</f>
        <v>HMI Pendant Assy</v>
      </c>
      <c r="E10" s="315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ca="1" si="2"/>
        <v>1</v>
      </c>
      <c r="P10" s="147">
        <f>'1.6'!Q17</f>
        <v>925.9799999999999</v>
      </c>
      <c r="Q10" s="103">
        <f t="shared" si="3"/>
        <v>925.9799999999999</v>
      </c>
    </row>
    <row r="11" spans="1:17" s="1" customFormat="1" ht="12.75" customHeight="1" x14ac:dyDescent="0.2">
      <c r="A11" s="150" t="s">
        <v>66</v>
      </c>
      <c r="B11" s="1">
        <v>1</v>
      </c>
      <c r="C11" s="145" t="s">
        <v>126</v>
      </c>
      <c r="D11" s="314" t="str">
        <f ca="1">VLOOKUP(C11,Assemblies!E:P,2,0)</f>
        <v>Unwind Clear Guarding</v>
      </c>
      <c r="E11" s="315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ca="1" si="2"/>
        <v>1</v>
      </c>
      <c r="P11" s="147">
        <f>'1.7'!Q8</f>
        <v>492.88</v>
      </c>
      <c r="Q11" s="103">
        <f t="shared" si="3"/>
        <v>492.88</v>
      </c>
    </row>
    <row r="12" spans="1:17" s="1" customFormat="1" ht="12.75" customHeight="1" x14ac:dyDescent="0.2">
      <c r="A12" s="150" t="s">
        <v>68</v>
      </c>
      <c r="B12" s="1">
        <v>1</v>
      </c>
      <c r="C12" s="145" t="s">
        <v>127</v>
      </c>
      <c r="D12" s="169" t="str">
        <f ca="1">VLOOKUP(C12,Assemblies!E:P,2,0)</f>
        <v>Unwind HMI Enclosure</v>
      </c>
      <c r="E12" s="167"/>
      <c r="F12" s="32"/>
      <c r="G12" s="32"/>
      <c r="H12" s="32"/>
      <c r="I12" s="32"/>
      <c r="J12" s="28"/>
      <c r="K12" s="28"/>
      <c r="L12" s="28"/>
      <c r="M12" s="28"/>
      <c r="N12" s="33"/>
      <c r="O12" s="146">
        <f t="shared" ref="O12:O13" ca="1" si="4">B12*$L$2</f>
        <v>1</v>
      </c>
      <c r="P12" s="147" t="e">
        <f>'0.2'!Q23</f>
        <v>#N/A</v>
      </c>
      <c r="Q12" s="103" t="e">
        <f t="shared" ref="Q12:Q13" si="5">B12*P12</f>
        <v>#N/A</v>
      </c>
    </row>
    <row r="13" spans="1:17" s="1" customFormat="1" ht="12.75" customHeight="1" thickBot="1" x14ac:dyDescent="0.25">
      <c r="A13" s="150" t="s">
        <v>70</v>
      </c>
      <c r="B13" s="1">
        <v>1</v>
      </c>
      <c r="C13" s="145" t="s">
        <v>128</v>
      </c>
      <c r="D13" s="169" t="str">
        <f ca="1">VLOOKUP(C13,Assemblies!E:P,2,0)</f>
        <v>Unwind IO Enclosure</v>
      </c>
      <c r="E13" s="167"/>
      <c r="F13" s="32"/>
      <c r="G13" s="32"/>
      <c r="H13" s="32"/>
      <c r="I13" s="32"/>
      <c r="J13" s="28"/>
      <c r="K13" s="28"/>
      <c r="L13" s="28"/>
      <c r="M13" s="28"/>
      <c r="N13" s="33"/>
      <c r="O13" s="146">
        <f t="shared" ca="1" si="4"/>
        <v>1</v>
      </c>
      <c r="P13" s="147">
        <f>'0.3'!Q23</f>
        <v>2164.6000000000004</v>
      </c>
      <c r="Q13" s="170">
        <f t="shared" si="5"/>
        <v>2164.6000000000004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 t="e">
        <f>SUM(Q5:Q13)</f>
        <v>#N/A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19">
    <mergeCell ref="D1:E1"/>
    <mergeCell ref="D4:E4"/>
    <mergeCell ref="H4:I4"/>
    <mergeCell ref="D11:E11"/>
    <mergeCell ref="H11:I11"/>
    <mergeCell ref="D8:E8"/>
    <mergeCell ref="H8:I8"/>
    <mergeCell ref="D9:E9"/>
    <mergeCell ref="H9:I9"/>
    <mergeCell ref="D10:E10"/>
    <mergeCell ref="H10:I10"/>
    <mergeCell ref="D5:E5"/>
    <mergeCell ref="H5:I5"/>
    <mergeCell ref="D6:E6"/>
    <mergeCell ref="H6:I6"/>
    <mergeCell ref="D7:E7"/>
    <mergeCell ref="H7:I7"/>
    <mergeCell ref="D14:E14"/>
    <mergeCell ref="H14:I14"/>
  </mergeCells>
  <phoneticPr fontId="8" type="noConversion"/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DCD639-9C40-4BEA-A90F-6A5B46C9F85B}">
          <x14:formula1>
            <xm:f>Assemblies!$E:$E</xm:f>
          </x14:formula1>
          <xm:sqref>C5:C13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1C586-327A-4813-B8F8-D89A392E54E4}">
  <sheetPr codeName="Sheet19">
    <tabColor theme="9" tint="0.59999389629810485"/>
  </sheetPr>
  <dimension ref="A1:Q44"/>
  <sheetViews>
    <sheetView zoomScale="115" zoomScaleNormal="115" workbookViewId="0">
      <selection activeCell="R22" sqref="R2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'1'!C5</f>
        <v>PG10.1.1.0.A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'1'!D5</f>
        <v>Unwind Frame</v>
      </c>
      <c r="D3" s="85" t="s">
        <v>50</v>
      </c>
      <c r="E3" s="86" t="str">
        <f ca="1">MID(CELL("filename",A1),FIND("]",CELL("filename",A1))+1,256)</f>
        <v>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129</v>
      </c>
      <c r="D5" s="336" t="str">
        <f ca="1">VLOOKUP(C5,Assemblies!E:P,2,0)</f>
        <v>M8 Leveling Foot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>
        <f>'1.1.1'!Q12</f>
        <v>67.819999999999993</v>
      </c>
      <c r="Q5" s="118">
        <f t="shared" ref="Q5:Q8" si="0">B5*P5</f>
        <v>678.19999999999993</v>
      </c>
    </row>
    <row r="6" spans="1:17" s="1" customFormat="1" ht="12.75" customHeight="1" x14ac:dyDescent="0.2">
      <c r="A6" s="150" t="s">
        <v>56</v>
      </c>
      <c r="B6" s="1">
        <v>10</v>
      </c>
      <c r="C6" s="145" t="s">
        <v>130</v>
      </c>
      <c r="D6" s="314" t="str">
        <f ca="1">VLOOKUP(C6,Assemblies!E:P,2,0)</f>
        <v>Single Web Roller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:O19" ca="1" si="1">B6*$L$2</f>
        <v>10</v>
      </c>
      <c r="P6" s="147">
        <f>'1.1.2'!Q15</f>
        <v>159.01000000000002</v>
      </c>
      <c r="Q6" s="103">
        <f t="shared" si="0"/>
        <v>1590.1000000000001</v>
      </c>
    </row>
    <row r="7" spans="1:17" s="1" customFormat="1" ht="12.75" customHeight="1" x14ac:dyDescent="0.2">
      <c r="A7" s="150" t="s">
        <v>58</v>
      </c>
      <c r="B7" s="1">
        <v>16</v>
      </c>
      <c r="C7" s="145" t="s">
        <v>131</v>
      </c>
      <c r="D7" s="314" t="str">
        <f ca="1">VLOOKUP(C7,Assemblies!E:P,2,0)</f>
        <v>Frame Gusset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1"/>
        <v>16</v>
      </c>
      <c r="P7" s="147">
        <f>'1.1.3'!Q10</f>
        <v>21.919999999999998</v>
      </c>
      <c r="Q7" s="103">
        <f t="shared" si="0"/>
        <v>350.71999999999997</v>
      </c>
    </row>
    <row r="8" spans="1:17" s="1" customFormat="1" ht="12.75" customHeight="1" x14ac:dyDescent="0.2">
      <c r="A8" s="150" t="s">
        <v>60</v>
      </c>
      <c r="B8" s="1">
        <v>12</v>
      </c>
      <c r="C8" s="145" t="s">
        <v>132</v>
      </c>
      <c r="D8" s="314" t="str">
        <f ca="1">VLOOKUP(C8,Assemblies!E:P,2,0)</f>
        <v>Unwind Rail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1"/>
        <v>12</v>
      </c>
      <c r="P8" s="147">
        <f>'1.1.4'!Q13</f>
        <v>208.50400000000002</v>
      </c>
      <c r="Q8" s="103">
        <f t="shared" si="0"/>
        <v>2502.0480000000002</v>
      </c>
    </row>
    <row r="9" spans="1:17" s="1" customFormat="1" ht="12.75" customHeight="1" x14ac:dyDescent="0.2">
      <c r="A9" s="150" t="s">
        <v>62</v>
      </c>
      <c r="B9" s="1">
        <v>2</v>
      </c>
      <c r="C9" s="145" t="s">
        <v>133</v>
      </c>
      <c r="D9" s="314" t="str">
        <f ca="1">VLOOKUP(C9,Assemblies!E:P,2,0)</f>
        <v>Edge Guide Actuator Assy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1"/>
        <v>2</v>
      </c>
      <c r="P9" s="147">
        <f>'1.1.5'!Q16</f>
        <v>1460.4</v>
      </c>
      <c r="Q9" s="103">
        <f t="shared" ref="Q9:Q12" si="2">B9*P9</f>
        <v>2920.8</v>
      </c>
    </row>
    <row r="10" spans="1:17" s="1" customFormat="1" ht="12.75" customHeight="1" x14ac:dyDescent="0.2">
      <c r="A10" s="150" t="s">
        <v>64</v>
      </c>
      <c r="B10" s="1">
        <v>2</v>
      </c>
      <c r="C10" s="145" t="s">
        <v>134</v>
      </c>
      <c r="D10" s="314" t="str">
        <f ca="1">VLOOKUP(C10,Assemblies!E:P,2,0)</f>
        <v>Edge Guide Eye Assy</v>
      </c>
      <c r="E10" s="315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ca="1" si="1"/>
        <v>2</v>
      </c>
      <c r="P10" s="147">
        <f>'1.1.6'!Q19</f>
        <v>774.8900000000001</v>
      </c>
      <c r="Q10" s="103">
        <f t="shared" si="2"/>
        <v>1549.7800000000002</v>
      </c>
    </row>
    <row r="11" spans="1:17" s="1" customFormat="1" ht="12.75" customHeight="1" x14ac:dyDescent="0.2">
      <c r="A11" s="150" t="s">
        <v>66</v>
      </c>
      <c r="B11" s="1">
        <v>2</v>
      </c>
      <c r="C11" s="145" t="s">
        <v>135</v>
      </c>
      <c r="D11" s="314" t="str">
        <f ca="1">VLOOKUP(C11,Assemblies!E:P,2,0)</f>
        <v>Static Dancer Roller Assy</v>
      </c>
      <c r="E11" s="315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ca="1" si="1"/>
        <v>2</v>
      </c>
      <c r="P11" s="147">
        <f>'1.1.7'!Q17</f>
        <v>746.36</v>
      </c>
      <c r="Q11" s="103">
        <f t="shared" si="2"/>
        <v>1492.72</v>
      </c>
    </row>
    <row r="12" spans="1:17" s="1" customFormat="1" ht="12.75" customHeight="1" x14ac:dyDescent="0.2">
      <c r="A12" s="150" t="s">
        <v>68</v>
      </c>
      <c r="B12" s="1">
        <v>2</v>
      </c>
      <c r="C12" s="145" t="s">
        <v>136</v>
      </c>
      <c r="D12" s="314" t="str">
        <f ca="1">VLOOKUP(C12,Assemblies!E:P,2,0)</f>
        <v>Actuated Dancer Roller Assy</v>
      </c>
      <c r="E12" s="315"/>
      <c r="F12" s="32"/>
      <c r="G12" s="32"/>
      <c r="H12" s="303"/>
      <c r="I12" s="303"/>
      <c r="J12" s="28"/>
      <c r="K12" s="28"/>
      <c r="L12" s="28"/>
      <c r="M12" s="28"/>
      <c r="N12" s="33"/>
      <c r="O12" s="146">
        <f t="shared" ca="1" si="1"/>
        <v>2</v>
      </c>
      <c r="P12" s="147">
        <f>'1.1.8'!Q32</f>
        <v>2153.0099999999998</v>
      </c>
      <c r="Q12" s="103">
        <f t="shared" si="2"/>
        <v>4306.0199999999995</v>
      </c>
    </row>
    <row r="13" spans="1:17" s="1" customFormat="1" ht="12.75" customHeight="1" x14ac:dyDescent="0.2">
      <c r="A13" s="150" t="s">
        <v>70</v>
      </c>
      <c r="B13" s="1">
        <v>4</v>
      </c>
      <c r="C13" s="145" t="s">
        <v>137</v>
      </c>
      <c r="D13" s="314" t="str">
        <f ca="1">VLOOKUP(C13,Assemblies!E:P,2,0)</f>
        <v>Dancer Bumper Assem</v>
      </c>
      <c r="E13" s="315"/>
      <c r="F13" s="32"/>
      <c r="G13" s="32"/>
      <c r="H13" s="303"/>
      <c r="I13" s="303"/>
      <c r="J13" s="28"/>
      <c r="K13" s="28"/>
      <c r="L13" s="28"/>
      <c r="M13" s="28"/>
      <c r="N13" s="33"/>
      <c r="O13" s="146">
        <f t="shared" ca="1" si="1"/>
        <v>4</v>
      </c>
      <c r="P13" s="147">
        <f>'1.1.9'!Q9</f>
        <v>10.9</v>
      </c>
      <c r="Q13" s="103">
        <f t="shared" ref="Q13:Q18" si="3">B13*P13</f>
        <v>43.6</v>
      </c>
    </row>
    <row r="14" spans="1:17" s="1" customFormat="1" ht="12.75" customHeight="1" x14ac:dyDescent="0.2">
      <c r="A14" s="150" t="s">
        <v>72</v>
      </c>
      <c r="B14" s="1">
        <v>2</v>
      </c>
      <c r="C14" s="145" t="s">
        <v>138</v>
      </c>
      <c r="D14" s="314" t="str">
        <f ca="1">VLOOKUP(C14,Assemblies!E:P,2,0)</f>
        <v>Dancer Fittings Assy</v>
      </c>
      <c r="E14" s="315"/>
      <c r="F14" s="32"/>
      <c r="G14" s="32"/>
      <c r="H14" s="303"/>
      <c r="I14" s="303"/>
      <c r="J14" s="28"/>
      <c r="K14" s="28"/>
      <c r="L14" s="28"/>
      <c r="M14" s="28"/>
      <c r="N14" s="33"/>
      <c r="O14" s="146">
        <f t="shared" ca="1" si="1"/>
        <v>2</v>
      </c>
      <c r="P14" s="147">
        <f>'1.1.10'!Q13</f>
        <v>95.69</v>
      </c>
      <c r="Q14" s="103">
        <f t="shared" ref="Q14" si="4">B14*P14</f>
        <v>191.38</v>
      </c>
    </row>
    <row r="15" spans="1:17" s="1" customFormat="1" ht="12.75" customHeight="1" x14ac:dyDescent="0.2">
      <c r="A15" s="150" t="s">
        <v>74</v>
      </c>
      <c r="B15" s="1">
        <v>1</v>
      </c>
      <c r="C15" s="145" t="s">
        <v>139</v>
      </c>
      <c r="D15" s="314" t="str">
        <f ca="1">VLOOKUP(C15,Assemblies!E:P,2,0)</f>
        <v>Thin Wall Top Guard 1</v>
      </c>
      <c r="E15" s="315"/>
      <c r="F15" s="32"/>
      <c r="G15" s="32"/>
      <c r="H15" s="303"/>
      <c r="I15" s="303"/>
      <c r="J15" s="28"/>
      <c r="K15" s="28"/>
      <c r="L15" s="28"/>
      <c r="M15" s="28"/>
      <c r="N15" s="33"/>
      <c r="O15" s="146">
        <f t="shared" ref="O15:O18" ca="1" si="5">B15*$L$2</f>
        <v>1</v>
      </c>
      <c r="P15" s="147">
        <f>'1.1.11'!Q10</f>
        <v>170.34</v>
      </c>
      <c r="Q15" s="103">
        <f t="shared" si="3"/>
        <v>170.34</v>
      </c>
    </row>
    <row r="16" spans="1:17" s="1" customFormat="1" ht="12.75" customHeight="1" x14ac:dyDescent="0.2">
      <c r="A16" s="150" t="s">
        <v>76</v>
      </c>
      <c r="B16" s="1">
        <v>1</v>
      </c>
      <c r="C16" s="145" t="s">
        <v>140</v>
      </c>
      <c r="D16" s="314" t="str">
        <f ca="1">VLOOKUP(C16,Assemblies!E:P,2,0)</f>
        <v>Upper Dancer Guard</v>
      </c>
      <c r="E16" s="315"/>
      <c r="F16" s="32"/>
      <c r="G16" s="32"/>
      <c r="H16" s="303"/>
      <c r="I16" s="303"/>
      <c r="J16" s="28"/>
      <c r="K16" s="28"/>
      <c r="L16" s="28"/>
      <c r="M16" s="28"/>
      <c r="N16" s="33"/>
      <c r="O16" s="146">
        <f t="shared" ref="O16" ca="1" si="6">B16*$L$2</f>
        <v>1</v>
      </c>
      <c r="P16" s="147">
        <f>'1.1.13'!Q8</f>
        <v>201.95999999999998</v>
      </c>
      <c r="Q16" s="103">
        <f t="shared" ref="Q16" si="7">B16*P16</f>
        <v>201.95999999999998</v>
      </c>
    </row>
    <row r="17" spans="1:17" s="1" customFormat="1" ht="12.75" customHeight="1" x14ac:dyDescent="0.2">
      <c r="A17" s="150" t="s">
        <v>78</v>
      </c>
      <c r="B17" s="1">
        <v>1</v>
      </c>
      <c r="C17" s="145" t="s">
        <v>141</v>
      </c>
      <c r="D17" s="314" t="str">
        <f ca="1">VLOOKUP(C17,Assemblies!E:P,2,0)</f>
        <v>Center Dancer Guard</v>
      </c>
      <c r="E17" s="315"/>
      <c r="F17" s="32"/>
      <c r="G17" s="32"/>
      <c r="H17" s="303"/>
      <c r="I17" s="303"/>
      <c r="J17" s="28"/>
      <c r="K17" s="28"/>
      <c r="L17" s="28"/>
      <c r="M17" s="28"/>
      <c r="N17" s="33"/>
      <c r="O17" s="146">
        <f t="shared" ca="1" si="5"/>
        <v>1</v>
      </c>
      <c r="P17" s="147">
        <f>'1.1.14'!Q8</f>
        <v>223.32</v>
      </c>
      <c r="Q17" s="103">
        <f t="shared" si="3"/>
        <v>223.32</v>
      </c>
    </row>
    <row r="18" spans="1:17" s="1" customFormat="1" ht="12.75" customHeight="1" x14ac:dyDescent="0.2">
      <c r="A18" s="150" t="s">
        <v>142</v>
      </c>
      <c r="B18" s="1">
        <v>1</v>
      </c>
      <c r="C18" s="145" t="s">
        <v>143</v>
      </c>
      <c r="D18" s="314" t="str">
        <f ca="1">VLOOKUP(C18,Assemblies!E:P,2,0)</f>
        <v>Lower Dancer Guard</v>
      </c>
      <c r="E18" s="315"/>
      <c r="F18" s="32"/>
      <c r="G18" s="32"/>
      <c r="H18" s="303"/>
      <c r="I18" s="303"/>
      <c r="J18" s="28"/>
      <c r="K18" s="28"/>
      <c r="L18" s="28"/>
      <c r="M18" s="28"/>
      <c r="N18" s="33"/>
      <c r="O18" s="146">
        <f t="shared" ca="1" si="5"/>
        <v>1</v>
      </c>
      <c r="P18" s="147">
        <f>'1.1.15'!Q8</f>
        <v>258.91999999999996</v>
      </c>
      <c r="Q18" s="103">
        <f t="shared" si="3"/>
        <v>258.91999999999996</v>
      </c>
    </row>
    <row r="19" spans="1:17" s="1" customFormat="1" ht="12.75" customHeight="1" x14ac:dyDescent="0.2">
      <c r="A19" s="150" t="s">
        <v>144</v>
      </c>
      <c r="B19" s="1">
        <v>2</v>
      </c>
      <c r="C19" s="145" t="s">
        <v>145</v>
      </c>
      <c r="D19" s="314" t="str">
        <f ca="1">VLOOKUP(C19,Assemblies!E:P,2,0)</f>
        <v>Key Station No Reset</v>
      </c>
      <c r="E19" s="315"/>
      <c r="F19" s="32"/>
      <c r="G19" s="32"/>
      <c r="H19" s="303"/>
      <c r="I19" s="303"/>
      <c r="J19" s="28"/>
      <c r="K19" s="28"/>
      <c r="L19" s="28"/>
      <c r="M19" s="28"/>
      <c r="N19" s="33"/>
      <c r="O19" s="146">
        <f t="shared" ca="1" si="1"/>
        <v>2</v>
      </c>
      <c r="P19" s="147">
        <f>'1.1.16'!Q14</f>
        <v>1162.8735999999999</v>
      </c>
      <c r="Q19" s="103">
        <f t="shared" ref="Q19" si="8">B19*P19</f>
        <v>2325.7471999999998</v>
      </c>
    </row>
    <row r="20" spans="1:17" s="1" customFormat="1" ht="12.75" customHeight="1" x14ac:dyDescent="0.2">
      <c r="A20" s="150" t="s">
        <v>146</v>
      </c>
      <c r="B20" s="1">
        <v>2</v>
      </c>
      <c r="C20" s="145" t="s">
        <v>147</v>
      </c>
      <c r="D20" s="314" t="str">
        <f ca="1">VLOOKUP(C20,Assemblies!E:P,2,0)</f>
        <v>UW Static Mitigation Assy</v>
      </c>
      <c r="E20" s="315"/>
      <c r="F20" s="32"/>
      <c r="G20" s="32"/>
      <c r="H20" s="303"/>
      <c r="I20" s="303"/>
      <c r="J20" s="28"/>
      <c r="K20" s="28"/>
      <c r="L20" s="28"/>
      <c r="M20" s="28"/>
      <c r="N20" s="33"/>
      <c r="O20" s="146">
        <f t="shared" ref="O20" ca="1" si="9">B20*$L$2</f>
        <v>2</v>
      </c>
      <c r="P20" s="147">
        <f>'1.1.17'!Q13</f>
        <v>1191.68</v>
      </c>
      <c r="Q20" s="103">
        <f t="shared" ref="Q20" si="10">B20*P20</f>
        <v>2383.36</v>
      </c>
    </row>
    <row r="21" spans="1:17" s="2" customFormat="1" ht="12.75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.75" customHeight="1" x14ac:dyDescent="0.25">
      <c r="A22" s="272">
        <v>1</v>
      </c>
      <c r="B22" s="20">
        <v>2</v>
      </c>
      <c r="C22" s="121" t="s">
        <v>148</v>
      </c>
      <c r="D22" s="314" t="str">
        <f>VLOOKUP(C22,Machined!C:X,2,0)</f>
        <v>MODIFIED BRX 90X90 -I- 3410mm</v>
      </c>
      <c r="E22" s="329"/>
      <c r="F22" s="107" t="str">
        <f>VLOOKUP($C22,Machined!C:Z,13,0)</f>
        <v>6061-T6 ALUMINUM LIGHT EXTRUTION</v>
      </c>
      <c r="G22" s="44" t="str">
        <f>IF(VLOOKUP($C22,Machined!C:Z,16,0) = 0, " ", VLOOKUP($C22,Machined!C:Z,16,0))</f>
        <v>Nuline</v>
      </c>
      <c r="H22" s="320" t="str">
        <f>IF(VLOOKUP($C22,Machined!C:Z,17,0) = 0, " ", VLOOKUP($C22,Machined!C:Z,17,0))</f>
        <v xml:space="preserve"> </v>
      </c>
      <c r="I22" s="321" t="str">
        <f>IF(VLOOKUP($C22,Machined!$C:$Y,13,0) = 0, " ", VLOOKUP($C22,Machined!$C:$Y,13,0))</f>
        <v>6061-T6 ALUMINUM LIGHT EXTRUTION</v>
      </c>
      <c r="J22" s="44" t="str">
        <f>IF(VLOOKUP($C22,Machined!C:Z,18,0) = 0, " ", VLOOKUP($C22,Machined!C:Z,18,0))</f>
        <v xml:space="preserve"> </v>
      </c>
      <c r="K22" s="44" t="str">
        <f>IF(VLOOKUP($C22,Machined!C:Z,19,0) = 0, " ", VLOOKUP($C22,Machined!C:Z,19,0))</f>
        <v xml:space="preserve"> </v>
      </c>
      <c r="L22" s="44" t="str">
        <f>IF(VLOOKUP($C22,Machined!C:Z,20,0) = 0, " ", VLOOKUP($C22,Machined!C:Z,20,0))</f>
        <v xml:space="preserve"> </v>
      </c>
      <c r="M22" s="44" t="str">
        <f>IF(VLOOKUP($C22,Machined!C:Z,21,0) = 0, " ", VLOOKUP($C22,Machined!C:Z,21,0))</f>
        <v xml:space="preserve"> </v>
      </c>
      <c r="N22" s="129" t="str">
        <f>IF(VLOOKUP($C22,Machined!C:Z,22,0) = 0, " ", VLOOKUP($C22,Machined!C:Z,22,0))</f>
        <v xml:space="preserve"> </v>
      </c>
      <c r="O22" s="45">
        <f ca="1">B22*$L$2</f>
        <v>2</v>
      </c>
      <c r="P22" s="49">
        <f>VLOOKUP(C22,Machined!C:F,3,0)</f>
        <v>0</v>
      </c>
      <c r="Q22" s="50">
        <f>B22*P22</f>
        <v>0</v>
      </c>
    </row>
    <row r="23" spans="1:17" s="2" customFormat="1" ht="12.75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.75" customHeight="1" x14ac:dyDescent="0.25">
      <c r="A24" s="4">
        <v>301</v>
      </c>
      <c r="B24" s="2">
        <v>106</v>
      </c>
      <c r="C24" s="135">
        <v>3842535466</v>
      </c>
      <c r="D24" s="325" t="str">
        <f>VLOOKUP(C24,Purchased!A:B,2,0)</f>
        <v>BRX GOTO QUICK CONNECTOR N10 90°</v>
      </c>
      <c r="E24" s="326"/>
      <c r="F24" s="108" t="str">
        <f>IF(VLOOKUP($C24,Purchased!A:Z,11,0) = 0, " ", VLOOKUP($C24,Purchased!A:Z,11,0))</f>
        <v>T-SLOTS</v>
      </c>
      <c r="G24" s="108" t="str">
        <f>IF(VLOOKUP($C24,Purchased!A:Z,12,0)=0, " ", VLOOKUP($C24,Purchased!A:Z,12,0))</f>
        <v>Process Tech</v>
      </c>
      <c r="H24" s="327" t="str">
        <f>IF(VLOOKUP($C24,Purchased!A:Z,13,0)=0, " ", VLOOKUP($C24,Purchased!A:Z,13,0))</f>
        <v>Ordered 300 8/29/24 JP</v>
      </c>
      <c r="I24" s="328"/>
      <c r="J24" s="46" t="str">
        <f>IF(VLOOKUP($C24,Purchased!A:Z,14,0)=0, " ", VLOOKUP($C24,Purchased!A:Z,14,0))</f>
        <v>N/A</v>
      </c>
      <c r="K24" s="46" t="str">
        <f>IF(VLOOKUP(C24,Purchased!A:R,14,0)=0, " ", VLOOKUP(C24,Purchased!A:R,14,0))</f>
        <v>N/A</v>
      </c>
      <c r="L24" s="46">
        <f>IF(VLOOKUP(C24,Purchased!A:R,15,0)=0, " ", VLOOKUP(C24,Purchased!A:R,15,0))</f>
        <v>45533</v>
      </c>
      <c r="M24" s="46">
        <f>IF(VLOOKUP(C24,Purchased!A:R,16,0)=0, " ",VLOOKUP(C24,Purchased!A:R,16,0))</f>
        <v>45540</v>
      </c>
      <c r="N24" s="130" t="str">
        <f>IF(VLOOKUP(C24,Purchased!A:R,17,0)=0, " ", VLOOKUP(C24,Purchased!A:R,17,0))</f>
        <v xml:space="preserve"> </v>
      </c>
      <c r="O24" s="47">
        <f t="shared" ref="O24:O25" ca="1" si="11">B24*$L$2</f>
        <v>106</v>
      </c>
      <c r="P24" s="51">
        <f>VLOOKUP(C24,Purchased!A:D,3,FALSE)</f>
        <v>4.17</v>
      </c>
      <c r="Q24" s="52">
        <f t="shared" ref="Q24:Q25" si="12">B24*P24</f>
        <v>442.02</v>
      </c>
    </row>
    <row r="25" spans="1:17" s="2" customFormat="1" ht="12.75" customHeight="1" x14ac:dyDescent="0.25">
      <c r="A25" s="4">
        <v>302</v>
      </c>
      <c r="B25" s="2">
        <v>127</v>
      </c>
      <c r="C25" s="135" t="s">
        <v>149</v>
      </c>
      <c r="D25" s="325" t="str">
        <f>VLOOKUP(C25,Purchased!A:B,2,0)</f>
        <v>BRX GOTO QUICK CONNECTOR N10 0°</v>
      </c>
      <c r="E25" s="326"/>
      <c r="F25" s="108" t="str">
        <f>IF(VLOOKUP($C25,Purchased!A:Z,11,0) = 0, " ", VLOOKUP($C25,Purchased!A:Z,11,0))</f>
        <v>T-SLOTS</v>
      </c>
      <c r="G25" s="108" t="str">
        <f>IF(VLOOKUP($C25,Purchased!A:Z,12,0)=0, " ", VLOOKUP($C25,Purchased!A:Z,12,0))</f>
        <v>Process Tech</v>
      </c>
      <c r="H25" s="327" t="str">
        <f>IF(VLOOKUP($C25,Purchased!A:Z,13,0)=0, " ", VLOOKUP($C25,Purchased!A:Z,13,0))</f>
        <v>500 More on P.O. #55639 Part# 659730</v>
      </c>
      <c r="I25" s="328"/>
      <c r="J25" s="46" t="str">
        <f>IF(VLOOKUP($C25,Purchased!A:Z,14,0)=0, " ", VLOOKUP($C25,Purchased!A:Z,14,0))</f>
        <v>N/A</v>
      </c>
      <c r="K25" s="46" t="str">
        <f>IF(VLOOKUP(C25,Purchased!A:R,14,0)=0, " ", VLOOKUP(C25,Purchased!A:R,14,0))</f>
        <v>N/A</v>
      </c>
      <c r="L25" s="46">
        <f>IF(VLOOKUP(C25,Purchased!A:R,15,0)=0, " ", VLOOKUP(C25,Purchased!A:R,15,0))</f>
        <v>45362</v>
      </c>
      <c r="M25" s="46">
        <f>IF(VLOOKUP(C25,Purchased!A:R,16,0)=0, " ",VLOOKUP(C25,Purchased!A:R,16,0))</f>
        <v>45378</v>
      </c>
      <c r="N25" s="130">
        <f>IF(VLOOKUP(C25,Purchased!A:R,17,0)=0, " ", VLOOKUP(C25,Purchased!A:R,17,0))</f>
        <v>45378</v>
      </c>
      <c r="O25" s="47">
        <f t="shared" ca="1" si="11"/>
        <v>127</v>
      </c>
      <c r="P25" s="51">
        <f>VLOOKUP(C25,Purchased!A:D,3,FALSE)</f>
        <v>4.17</v>
      </c>
      <c r="Q25" s="52">
        <f t="shared" si="12"/>
        <v>529.59</v>
      </c>
    </row>
    <row r="26" spans="1:17" s="2" customFormat="1" ht="12.75" customHeight="1" x14ac:dyDescent="0.25">
      <c r="A26" s="4">
        <v>303</v>
      </c>
      <c r="B26" s="2">
        <v>10</v>
      </c>
      <c r="C26" s="135">
        <v>3842548758</v>
      </c>
      <c r="D26" s="325" t="str">
        <f>VLOOKUP(C26,Purchased!A:B,2,0)</f>
        <v>BRX 3842548758 Cover Cap 90x90 Grey</v>
      </c>
      <c r="E26" s="326"/>
      <c r="F26" s="108" t="str">
        <f>IF(VLOOKUP($C26,Purchased!A:Z,11,0) = 0, " ", VLOOKUP($C26,Purchased!A:Z,11,0))</f>
        <v>BRX</v>
      </c>
      <c r="G26" s="108" t="str">
        <f>IF(VLOOKUP($C26,Purchased!A:Z,12,0)=0, " ", VLOOKUP($C26,Purchased!A:Z,12,0))</f>
        <v>AAP</v>
      </c>
      <c r="H26" s="327" t="str">
        <f>IF(VLOOKUP($C26,Purchased!A:Z,13,0)=0, " ", VLOOKUP($C26,Purchased!A:Z,13,0))</f>
        <v xml:space="preserve"> </v>
      </c>
      <c r="I26" s="328"/>
      <c r="J26" s="46" t="str">
        <f>IF(VLOOKUP($C26,Purchased!A:Z,14,0)=0, " ", VLOOKUP($C26,Purchased!A:Z,14,0))</f>
        <v>N/A</v>
      </c>
      <c r="K26" s="46" t="str">
        <f>IF(VLOOKUP(C26,Purchased!A:R,14,0)=0, " ", VLOOKUP(C26,Purchased!A:R,14,0))</f>
        <v>N/A</v>
      </c>
      <c r="L26" s="46">
        <f>IF(VLOOKUP(C26,Purchased!A:R,15,0)=0, " ", VLOOKUP(C26,Purchased!A:R,15,0))</f>
        <v>45524</v>
      </c>
      <c r="M26" s="46">
        <f>IF(VLOOKUP(C26,Purchased!A:R,16,0)=0, " ",VLOOKUP(C26,Purchased!A:R,16,0))</f>
        <v>45547</v>
      </c>
      <c r="N26" s="130" t="str">
        <f>IF(VLOOKUP(C26,Purchased!A:R,17,0)=0, " ", VLOOKUP(C26,Purchased!A:R,17,0))</f>
        <v xml:space="preserve"> </v>
      </c>
      <c r="O26" s="47">
        <f ca="1">B26*$L$2</f>
        <v>10</v>
      </c>
      <c r="P26" s="51">
        <f>VLOOKUP(C26,Purchased!A:D,3,FALSE)</f>
        <v>2.83</v>
      </c>
      <c r="Q26" s="52">
        <f>B26*P26</f>
        <v>28.3</v>
      </c>
    </row>
    <row r="27" spans="1:17" s="2" customFormat="1" ht="12.75" customHeight="1" x14ac:dyDescent="0.25">
      <c r="A27" s="4">
        <v>304</v>
      </c>
      <c r="B27" s="2">
        <v>4</v>
      </c>
      <c r="C27" s="135" t="s">
        <v>150</v>
      </c>
      <c r="D27" s="325" t="str">
        <f>VLOOKUP(C27,Purchased!A:B,2,0)</f>
        <v>BRX 45X45 GREY END CAP</v>
      </c>
      <c r="E27" s="326"/>
      <c r="F27" s="108" t="str">
        <f>IF(VLOOKUP($C27,Purchased!A:Z,11,0) = 0, " ", VLOOKUP($C27,Purchased!A:Z,11,0))</f>
        <v>BRX</v>
      </c>
      <c r="G27" s="108" t="str">
        <f>IF(VLOOKUP($C27,Purchased!A:Z,12,0)=0, " ", VLOOKUP($C27,Purchased!A:Z,12,0))</f>
        <v>AAP</v>
      </c>
      <c r="H27" s="327" t="str">
        <f>IF(VLOOKUP($C27,Purchased!A:Z,13,0)=0, " ", VLOOKUP($C27,Purchased!A:Z,13,0))</f>
        <v xml:space="preserve"> </v>
      </c>
      <c r="I27" s="328"/>
      <c r="J27" s="46" t="str">
        <f>IF(VLOOKUP($C27,Purchased!A:Z,14,0)=0, " ", VLOOKUP($C27,Purchased!A:Z,14,0))</f>
        <v>N/A</v>
      </c>
      <c r="K27" s="46" t="str">
        <f>IF(VLOOKUP(C27,Purchased!A:R,14,0)=0, " ", VLOOKUP(C27,Purchased!A:R,14,0))</f>
        <v>N/A</v>
      </c>
      <c r="L27" s="46">
        <f>IF(VLOOKUP(C27,Purchased!A:R,15,0)=0, " ", VLOOKUP(C27,Purchased!A:R,15,0))</f>
        <v>45524</v>
      </c>
      <c r="M27" s="46">
        <f>IF(VLOOKUP(C27,Purchased!A:R,16,0)=0, " ",VLOOKUP(C27,Purchased!A:R,16,0))</f>
        <v>45547</v>
      </c>
      <c r="N27" s="130" t="str">
        <f>IF(VLOOKUP(C27,Purchased!A:R,17,0)=0, " ", VLOOKUP(C27,Purchased!A:R,17,0))</f>
        <v xml:space="preserve"> </v>
      </c>
      <c r="O27" s="47">
        <f ca="1">B27*$L$2</f>
        <v>4</v>
      </c>
      <c r="P27" s="51">
        <f>VLOOKUP(C27,Purchased!A:D,3,FALSE)</f>
        <v>0.9</v>
      </c>
      <c r="Q27" s="52">
        <f>B27*P27</f>
        <v>3.6</v>
      </c>
    </row>
    <row r="28" spans="1:17" s="2" customFormat="1" ht="12.75" customHeight="1" x14ac:dyDescent="0.25">
      <c r="A28" s="25"/>
      <c r="B28" s="26"/>
      <c r="C28" s="26"/>
      <c r="D28" s="332"/>
      <c r="E28" s="333"/>
      <c r="F28" s="26"/>
      <c r="G28" s="26"/>
      <c r="H28" s="322"/>
      <c r="I28" s="323"/>
      <c r="J28" s="27"/>
      <c r="K28" s="27"/>
      <c r="L28" s="27"/>
      <c r="M28" s="28"/>
      <c r="N28" s="29"/>
      <c r="O28" s="29"/>
      <c r="P28" s="148"/>
      <c r="Q28" s="149"/>
    </row>
    <row r="29" spans="1:17" s="2" customFormat="1" ht="12.75" customHeight="1" x14ac:dyDescent="0.25">
      <c r="A29" s="4">
        <v>701</v>
      </c>
      <c r="B29" s="2">
        <v>4</v>
      </c>
      <c r="C29" s="123" t="s">
        <v>151</v>
      </c>
      <c r="D29" s="325">
        <f>VLOOKUP(C29,Extrusion!B:C,2,0)</f>
        <v>0</v>
      </c>
      <c r="E29" s="326"/>
      <c r="F29" s="108" t="str">
        <f ca="1">VLOOKUP(C29,Extrusion!B:N,5,0)</f>
        <v/>
      </c>
      <c r="G29" s="108">
        <f>VLOOKUP(C29,Extrusion!B:N,6,0)</f>
        <v>1</v>
      </c>
      <c r="H29" s="108">
        <f>VLOOKUP(C29,Extrusion!B:N,7,0)</f>
        <v>0</v>
      </c>
      <c r="I29" s="109"/>
      <c r="J29" s="46" t="str">
        <f>VLOOKUP(C29,Extrusion!B:N,8,0)</f>
        <v>T-Slots</v>
      </c>
      <c r="K29" s="46">
        <f>VLOOKUP(C29,Extrusion!B:N,9,0)</f>
        <v>0</v>
      </c>
      <c r="L29" s="46">
        <f>VLOOKUP(C29,Extrusion!B:N,10,0)</f>
        <v>3</v>
      </c>
      <c r="M29" s="46">
        <f>VLOOKUP(C29,Extrusion!B:N,11,0)</f>
        <v>4</v>
      </c>
      <c r="N29" s="47">
        <f>VLOOKUP(C29,Extrusion!B:O,12,0)</f>
        <v>5</v>
      </c>
      <c r="O29" s="47">
        <f t="shared" ref="O29:O31" ca="1" si="13">B29*$L$2</f>
        <v>4</v>
      </c>
      <c r="P29" s="51">
        <f>VLOOKUP(C29,Extrusion!B:G,4,0)</f>
        <v>4</v>
      </c>
      <c r="Q29" s="52">
        <f t="shared" ref="Q29:Q40" si="14">B29*P29</f>
        <v>16</v>
      </c>
    </row>
    <row r="30" spans="1:17" s="2" customFormat="1" ht="12.75" customHeight="1" x14ac:dyDescent="0.25">
      <c r="A30" s="4">
        <v>702</v>
      </c>
      <c r="B30" s="2">
        <v>3</v>
      </c>
      <c r="C30" s="123" t="s">
        <v>152</v>
      </c>
      <c r="D30" s="325">
        <f>VLOOKUP(C30,Extrusion!B:C,2,0)</f>
        <v>0</v>
      </c>
      <c r="E30" s="326"/>
      <c r="F30" s="108" t="str">
        <f ca="1">VLOOKUP(C30,Extrusion!B:N,5,0)</f>
        <v/>
      </c>
      <c r="G30" s="108">
        <f>VLOOKUP(C30,Extrusion!B:N,6,0)</f>
        <v>1</v>
      </c>
      <c r="H30" s="108">
        <f>VLOOKUP(C30,Extrusion!B:N,7,0)</f>
        <v>0</v>
      </c>
      <c r="I30" s="109"/>
      <c r="J30" s="46" t="str">
        <f>VLOOKUP(C30,Extrusion!B:N,8,0)</f>
        <v>T-Slots</v>
      </c>
      <c r="K30" s="46">
        <f>VLOOKUP(C30,Extrusion!B:N,9,0)</f>
        <v>0</v>
      </c>
      <c r="L30" s="46">
        <f>VLOOKUP(C30,Extrusion!B:N,10,0)</f>
        <v>0</v>
      </c>
      <c r="M30" s="46">
        <f>VLOOKUP(C30,Extrusion!B:N,11,0)</f>
        <v>0</v>
      </c>
      <c r="N30" s="47">
        <f>VLOOKUP(C30,Extrusion!B:O,12,0)</f>
        <v>0</v>
      </c>
      <c r="O30" s="47">
        <f t="shared" ca="1" si="13"/>
        <v>3</v>
      </c>
      <c r="P30" s="51">
        <f>VLOOKUP(C30,Extrusion!B:G,4,0)</f>
        <v>3</v>
      </c>
      <c r="Q30" s="52">
        <f t="shared" si="14"/>
        <v>9</v>
      </c>
    </row>
    <row r="31" spans="1:17" s="2" customFormat="1" ht="12.75" customHeight="1" x14ac:dyDescent="0.25">
      <c r="A31" s="4">
        <v>703</v>
      </c>
      <c r="B31" s="2">
        <v>8</v>
      </c>
      <c r="C31" s="123" t="s">
        <v>153</v>
      </c>
      <c r="D31" s="325">
        <f>VLOOKUP(C31,Extrusion!B:C,2,0)</f>
        <v>0</v>
      </c>
      <c r="E31" s="326"/>
      <c r="F31" s="108" t="str">
        <f ca="1">VLOOKUP(C31,Extrusion!B:N,5,0)</f>
        <v/>
      </c>
      <c r="G31" s="108">
        <f>VLOOKUP(C31,Extrusion!B:N,6,0)</f>
        <v>1</v>
      </c>
      <c r="H31" s="108">
        <f>VLOOKUP(C31,Extrusion!B:N,7,0)</f>
        <v>0</v>
      </c>
      <c r="I31" s="109"/>
      <c r="J31" s="46" t="str">
        <f>VLOOKUP(C31,Extrusion!B:N,8,0)</f>
        <v>T-Slots</v>
      </c>
      <c r="K31" s="46">
        <f>VLOOKUP(C31,Extrusion!B:N,9,0)</f>
        <v>0</v>
      </c>
      <c r="L31" s="46">
        <f>VLOOKUP(C31,Extrusion!B:N,10,0)</f>
        <v>0</v>
      </c>
      <c r="M31" s="46">
        <f>VLOOKUP(C31,Extrusion!B:N,11,0)</f>
        <v>0</v>
      </c>
      <c r="N31" s="47">
        <f>VLOOKUP(C31,Extrusion!B:O,12,0)</f>
        <v>0</v>
      </c>
      <c r="O31" s="47">
        <f t="shared" ca="1" si="13"/>
        <v>8</v>
      </c>
      <c r="P31" s="51">
        <f>VLOOKUP(C31,Extrusion!B:G,4,0)</f>
        <v>8</v>
      </c>
      <c r="Q31" s="52">
        <f t="shared" si="14"/>
        <v>64</v>
      </c>
    </row>
    <row r="32" spans="1:17" s="2" customFormat="1" ht="12.75" customHeight="1" x14ac:dyDescent="0.25">
      <c r="A32" s="4">
        <v>704</v>
      </c>
      <c r="B32" s="2">
        <v>6</v>
      </c>
      <c r="C32" s="123" t="s">
        <v>154</v>
      </c>
      <c r="D32" s="325">
        <f>VLOOKUP(C32,Extrusion!B:C,2,0)</f>
        <v>0</v>
      </c>
      <c r="E32" s="326"/>
      <c r="F32" s="108" t="str">
        <f ca="1">VLOOKUP(C32,Extrusion!B:N,5,0)</f>
        <v/>
      </c>
      <c r="G32" s="108">
        <f>VLOOKUP(C32,Extrusion!B:N,6,0)</f>
        <v>1</v>
      </c>
      <c r="H32" s="108">
        <f>VLOOKUP(C32,Extrusion!B:N,7,0)</f>
        <v>0</v>
      </c>
      <c r="I32" s="109"/>
      <c r="J32" s="46" t="str">
        <f>VLOOKUP(C32,Extrusion!B:N,8,0)</f>
        <v>T-Slots</v>
      </c>
      <c r="K32" s="46">
        <f>VLOOKUP(C32,Extrusion!B:N,9,0)</f>
        <v>0</v>
      </c>
      <c r="L32" s="46">
        <f>VLOOKUP(C32,Extrusion!B:N,10,0)</f>
        <v>0</v>
      </c>
      <c r="M32" s="46">
        <f>VLOOKUP(C32,Extrusion!B:N,11,0)</f>
        <v>0</v>
      </c>
      <c r="N32" s="47">
        <f>VLOOKUP(C32,Extrusion!B:O,12,0)</f>
        <v>0</v>
      </c>
      <c r="O32" s="47">
        <f t="shared" ref="O32:O34" ca="1" si="15">B32*$L$2</f>
        <v>6</v>
      </c>
      <c r="P32" s="51">
        <f>VLOOKUP(C32,Extrusion!B:G,4,0)</f>
        <v>6</v>
      </c>
      <c r="Q32" s="52">
        <f t="shared" si="14"/>
        <v>36</v>
      </c>
    </row>
    <row r="33" spans="1:17" s="2" customFormat="1" ht="12.75" customHeight="1" x14ac:dyDescent="0.25">
      <c r="A33" s="4">
        <v>705</v>
      </c>
      <c r="B33" s="2">
        <v>2</v>
      </c>
      <c r="C33" s="123" t="s">
        <v>155</v>
      </c>
      <c r="D33" s="325">
        <f>VLOOKUP(C33,Extrusion!B:C,2,0)</f>
        <v>0</v>
      </c>
      <c r="E33" s="326"/>
      <c r="F33" s="108" t="str">
        <f ca="1">VLOOKUP(C33,Extrusion!B:N,5,0)</f>
        <v/>
      </c>
      <c r="G33" s="108">
        <f>VLOOKUP(C33,Extrusion!B:N,6,0)</f>
        <v>1</v>
      </c>
      <c r="H33" s="108">
        <f>VLOOKUP(C33,Extrusion!B:N,7,0)</f>
        <v>0</v>
      </c>
      <c r="I33" s="109"/>
      <c r="J33" s="46" t="str">
        <f>VLOOKUP(C33,Extrusion!B:N,8,0)</f>
        <v>T-Slots</v>
      </c>
      <c r="K33" s="46">
        <f>VLOOKUP(C33,Extrusion!B:N,9,0)</f>
        <v>0</v>
      </c>
      <c r="L33" s="46">
        <f>VLOOKUP(C33,Extrusion!B:N,10,0)</f>
        <v>0</v>
      </c>
      <c r="M33" s="46">
        <f>VLOOKUP(C33,Extrusion!B:N,11,0)</f>
        <v>0</v>
      </c>
      <c r="N33" s="47">
        <f>VLOOKUP(C33,Extrusion!B:O,12,0)</f>
        <v>0</v>
      </c>
      <c r="O33" s="47">
        <f t="shared" ca="1" si="15"/>
        <v>2</v>
      </c>
      <c r="P33" s="51">
        <f>VLOOKUP(C33,Extrusion!B:G,4,0)</f>
        <v>2</v>
      </c>
      <c r="Q33" s="52">
        <f t="shared" si="14"/>
        <v>4</v>
      </c>
    </row>
    <row r="34" spans="1:17" s="2" customFormat="1" ht="12.75" customHeight="1" x14ac:dyDescent="0.25">
      <c r="A34" s="4">
        <v>706</v>
      </c>
      <c r="B34" s="2">
        <v>3</v>
      </c>
      <c r="C34" s="123" t="s">
        <v>156</v>
      </c>
      <c r="D34" s="325" t="str">
        <f>VLOOKUP(C34,Extrusion!B:C,2,0)</f>
        <v>APPROVED EL 8/1</v>
      </c>
      <c r="E34" s="326"/>
      <c r="F34" s="108" t="str">
        <f ca="1">VLOOKUP(C34,Extrusion!B:N,5,0)</f>
        <v/>
      </c>
      <c r="G34" s="108">
        <f>VLOOKUP(C34,Extrusion!B:N,6,0)</f>
        <v>1</v>
      </c>
      <c r="H34" s="108">
        <f>VLOOKUP(C34,Extrusion!B:N,7,0)</f>
        <v>0</v>
      </c>
      <c r="I34" s="109"/>
      <c r="J34" s="46" t="str">
        <f>VLOOKUP(C34,Extrusion!B:N,8,0)</f>
        <v>T-Slots</v>
      </c>
      <c r="K34" s="46" t="str">
        <f>VLOOKUP(C34,Extrusion!B:N,9,0)</f>
        <v>1 not acounted for, added 8/14/2024 tj</v>
      </c>
      <c r="L34" s="46">
        <f>VLOOKUP(C34,Extrusion!B:N,10,0)</f>
        <v>0</v>
      </c>
      <c r="M34" s="46">
        <f>VLOOKUP(C34,Extrusion!B:N,11,0)</f>
        <v>0</v>
      </c>
      <c r="N34" s="47">
        <f>VLOOKUP(C34,Extrusion!B:O,12,0)</f>
        <v>0</v>
      </c>
      <c r="O34" s="47">
        <f t="shared" ca="1" si="15"/>
        <v>3</v>
      </c>
      <c r="P34" s="51">
        <f>VLOOKUP(C34,Extrusion!B:G,4,0)</f>
        <v>18</v>
      </c>
      <c r="Q34" s="52">
        <f t="shared" si="14"/>
        <v>54</v>
      </c>
    </row>
    <row r="35" spans="1:17" s="2" customFormat="1" ht="12.75" customHeight="1" x14ac:dyDescent="0.25">
      <c r="A35" s="4">
        <v>707</v>
      </c>
      <c r="B35" s="2">
        <v>2</v>
      </c>
      <c r="C35" s="123" t="s">
        <v>157</v>
      </c>
      <c r="D35" s="325" t="str">
        <f>VLOOKUP(C35,Extrusion!B:C,2,0)</f>
        <v>APPROVED EL 8/1</v>
      </c>
      <c r="E35" s="326"/>
      <c r="F35" s="108" t="str">
        <f ca="1">VLOOKUP(C35,Extrusion!B:N,5,0)</f>
        <v/>
      </c>
      <c r="G35" s="108">
        <f>VLOOKUP(C35,Extrusion!B:N,6,0)</f>
        <v>1</v>
      </c>
      <c r="H35" s="108">
        <f>VLOOKUP(C35,Extrusion!B:N,7,0)</f>
        <v>0</v>
      </c>
      <c r="I35" s="109"/>
      <c r="J35" s="46" t="str">
        <f>VLOOKUP(C35,Extrusion!B:N,8,0)</f>
        <v>T-Slots</v>
      </c>
      <c r="K35" s="46">
        <f>VLOOKUP(C35,Extrusion!B:N,9,0)</f>
        <v>0</v>
      </c>
      <c r="L35" s="46">
        <f>VLOOKUP(C35,Extrusion!B:N,10,0)</f>
        <v>0</v>
      </c>
      <c r="M35" s="46">
        <f>VLOOKUP(C35,Extrusion!B:N,11,0)</f>
        <v>0</v>
      </c>
      <c r="N35" s="47">
        <f>VLOOKUP(C35,Extrusion!B:O,12,0)</f>
        <v>0</v>
      </c>
      <c r="O35" s="47">
        <f t="shared" ref="O35:O37" ca="1" si="16">B35*$L$2</f>
        <v>2</v>
      </c>
      <c r="P35" s="51">
        <f>VLOOKUP(C35,Extrusion!B:G,4,0)</f>
        <v>14</v>
      </c>
      <c r="Q35" s="52">
        <f t="shared" si="14"/>
        <v>28</v>
      </c>
    </row>
    <row r="36" spans="1:17" s="2" customFormat="1" ht="12.75" customHeight="1" x14ac:dyDescent="0.25">
      <c r="A36" s="4">
        <v>708</v>
      </c>
      <c r="B36" s="2">
        <v>2</v>
      </c>
      <c r="C36" s="123" t="s">
        <v>158</v>
      </c>
      <c r="D36" s="325">
        <f>VLOOKUP(C36,Extrusion!B:C,2,0)</f>
        <v>0</v>
      </c>
      <c r="E36" s="326"/>
      <c r="F36" s="108" t="str">
        <f ca="1">VLOOKUP(C36,Extrusion!B:N,5,0)</f>
        <v/>
      </c>
      <c r="G36" s="108">
        <f>VLOOKUP(C36,Extrusion!B:N,6,0)</f>
        <v>1</v>
      </c>
      <c r="H36" s="108">
        <f>VLOOKUP(C36,Extrusion!B:N,7,0)</f>
        <v>0</v>
      </c>
      <c r="I36" s="109"/>
      <c r="J36" s="46" t="str">
        <f>VLOOKUP(C36,Extrusion!B:N,8,0)</f>
        <v>T-Slots</v>
      </c>
      <c r="K36" s="46">
        <f>VLOOKUP(C36,Extrusion!B:N,9,0)</f>
        <v>0</v>
      </c>
      <c r="L36" s="46">
        <f>VLOOKUP(C36,Extrusion!B:N,10,0)</f>
        <v>0</v>
      </c>
      <c r="M36" s="46">
        <f>VLOOKUP(C36,Extrusion!B:N,11,0)</f>
        <v>0</v>
      </c>
      <c r="N36" s="47">
        <f>VLOOKUP(C36,Extrusion!B:O,12,0)</f>
        <v>0</v>
      </c>
      <c r="O36" s="47">
        <f t="shared" ca="1" si="16"/>
        <v>2</v>
      </c>
      <c r="P36" s="51">
        <f>VLOOKUP(C36,Extrusion!B:G,4,0)</f>
        <v>2</v>
      </c>
      <c r="Q36" s="52">
        <f t="shared" si="14"/>
        <v>4</v>
      </c>
    </row>
    <row r="37" spans="1:17" s="2" customFormat="1" ht="12.75" customHeight="1" x14ac:dyDescent="0.25">
      <c r="A37" s="4">
        <v>709</v>
      </c>
      <c r="B37" s="2">
        <v>2</v>
      </c>
      <c r="C37" s="123" t="s">
        <v>159</v>
      </c>
      <c r="D37" s="325">
        <f>VLOOKUP(C37,Extrusion!B:C,2,0)</f>
        <v>0</v>
      </c>
      <c r="E37" s="326"/>
      <c r="F37" s="108" t="str">
        <f ca="1">VLOOKUP(C37,Extrusion!B:N,5,0)</f>
        <v/>
      </c>
      <c r="G37" s="108">
        <f>VLOOKUP(C37,Extrusion!B:N,6,0)</f>
        <v>1</v>
      </c>
      <c r="H37" s="108">
        <f>VLOOKUP(C37,Extrusion!B:N,7,0)</f>
        <v>0</v>
      </c>
      <c r="I37" s="109"/>
      <c r="J37" s="46" t="str">
        <f>VLOOKUP(C37,Extrusion!B:N,8,0)</f>
        <v>T-Slots</v>
      </c>
      <c r="K37" s="46">
        <f>VLOOKUP(C37,Extrusion!B:N,9,0)</f>
        <v>0</v>
      </c>
      <c r="L37" s="46">
        <f>VLOOKUP(C37,Extrusion!B:N,10,0)</f>
        <v>0</v>
      </c>
      <c r="M37" s="46">
        <f>VLOOKUP(C37,Extrusion!B:N,11,0)</f>
        <v>0</v>
      </c>
      <c r="N37" s="47">
        <f>VLOOKUP(C37,Extrusion!B:O,12,0)</f>
        <v>0</v>
      </c>
      <c r="O37" s="47">
        <f t="shared" ca="1" si="16"/>
        <v>2</v>
      </c>
      <c r="P37" s="51">
        <f>VLOOKUP(C37,Extrusion!B:G,4,0)</f>
        <v>2</v>
      </c>
      <c r="Q37" s="52">
        <f t="shared" si="14"/>
        <v>4</v>
      </c>
    </row>
    <row r="38" spans="1:17" s="2" customFormat="1" ht="12.75" customHeight="1" x14ac:dyDescent="0.25">
      <c r="A38" s="4">
        <v>710</v>
      </c>
      <c r="B38" s="2">
        <v>7</v>
      </c>
      <c r="C38" s="123" t="s">
        <v>160</v>
      </c>
      <c r="D38" s="325" t="str">
        <f>VLOOKUP(C38,Extrusion!B:C,2,0)</f>
        <v>APPROVED EL 8/1</v>
      </c>
      <c r="E38" s="326"/>
      <c r="F38" s="108" t="str">
        <f ca="1">VLOOKUP(C38,Extrusion!B:N,5,0)</f>
        <v/>
      </c>
      <c r="G38" s="108">
        <f>VLOOKUP(C38,Extrusion!B:N,6,0)</f>
        <v>1</v>
      </c>
      <c r="H38" s="108">
        <f>VLOOKUP(C38,Extrusion!B:N,7,0)</f>
        <v>0</v>
      </c>
      <c r="I38" s="109"/>
      <c r="J38" s="46" t="str">
        <f>VLOOKUP(C38,Extrusion!B:N,8,0)</f>
        <v>T-Slots</v>
      </c>
      <c r="K38" s="46">
        <f>VLOOKUP(C38,Extrusion!B:N,9,0)</f>
        <v>0</v>
      </c>
      <c r="L38" s="46">
        <f>VLOOKUP(C38,Extrusion!B:N,10,0)</f>
        <v>0</v>
      </c>
      <c r="M38" s="46">
        <f>VLOOKUP(C38,Extrusion!B:N,11,0)</f>
        <v>0</v>
      </c>
      <c r="N38" s="47">
        <f>VLOOKUP(C38,Extrusion!B:O,12,0)</f>
        <v>0</v>
      </c>
      <c r="O38" s="47">
        <f t="shared" ref="O38:O40" ca="1" si="17">B38*$L$2</f>
        <v>7</v>
      </c>
      <c r="P38" s="51">
        <f>VLOOKUP(C38,Extrusion!B:G,4,0)</f>
        <v>34</v>
      </c>
      <c r="Q38" s="52">
        <f t="shared" si="14"/>
        <v>238</v>
      </c>
    </row>
    <row r="39" spans="1:17" s="2" customFormat="1" ht="12.75" customHeight="1" x14ac:dyDescent="0.25">
      <c r="A39" s="4">
        <v>711</v>
      </c>
      <c r="B39" s="2">
        <v>6</v>
      </c>
      <c r="C39" s="123" t="s">
        <v>161</v>
      </c>
      <c r="D39" s="325" t="str">
        <f>VLOOKUP(C39,Extrusion!B:C,2,0)</f>
        <v>APPROVED EL 8/1</v>
      </c>
      <c r="E39" s="326"/>
      <c r="F39" s="108" t="str">
        <f ca="1">VLOOKUP(C39,Extrusion!B:N,5,0)</f>
        <v/>
      </c>
      <c r="G39" s="108">
        <f>VLOOKUP(C39,Extrusion!B:N,6,0)</f>
        <v>1</v>
      </c>
      <c r="H39" s="108">
        <f>VLOOKUP(C39,Extrusion!B:N,7,0)</f>
        <v>0</v>
      </c>
      <c r="I39" s="109"/>
      <c r="J39" s="46" t="str">
        <f>VLOOKUP(C39,Extrusion!B:N,8,0)</f>
        <v>T-Slots</v>
      </c>
      <c r="K39" s="46">
        <f>VLOOKUP(C39,Extrusion!B:N,9,0)</f>
        <v>0</v>
      </c>
      <c r="L39" s="46">
        <f>VLOOKUP(C39,Extrusion!B:N,10,0)</f>
        <v>0</v>
      </c>
      <c r="M39" s="46">
        <f>VLOOKUP(C39,Extrusion!B:N,11,0)</f>
        <v>0</v>
      </c>
      <c r="N39" s="47">
        <f>VLOOKUP(C39,Extrusion!B:O,12,0)</f>
        <v>0</v>
      </c>
      <c r="O39" s="47">
        <f t="shared" ca="1" si="17"/>
        <v>6</v>
      </c>
      <c r="P39" s="51">
        <f>VLOOKUP(C39,Extrusion!B:G,4,0)</f>
        <v>8</v>
      </c>
      <c r="Q39" s="52">
        <f t="shared" si="14"/>
        <v>48</v>
      </c>
    </row>
    <row r="40" spans="1:17" s="2" customFormat="1" ht="12.75" customHeight="1" x14ac:dyDescent="0.25">
      <c r="A40" s="4">
        <v>712</v>
      </c>
      <c r="B40" s="2">
        <v>1</v>
      </c>
      <c r="C40" s="123" t="s">
        <v>162</v>
      </c>
      <c r="D40" s="325">
        <f>VLOOKUP(C40,Extrusion!B:C,2,0)</f>
        <v>0</v>
      </c>
      <c r="E40" s="326"/>
      <c r="F40" s="108" t="str">
        <f ca="1">VLOOKUP(C40,Extrusion!B:N,5,0)</f>
        <v/>
      </c>
      <c r="G40" s="108">
        <f>VLOOKUP(C40,Extrusion!B:N,6,0)</f>
        <v>1</v>
      </c>
      <c r="H40" s="108">
        <f>VLOOKUP(C40,Extrusion!B:N,7,0)</f>
        <v>0</v>
      </c>
      <c r="I40" s="109"/>
      <c r="J40" s="46" t="str">
        <f>VLOOKUP(C40,Extrusion!B:N,8,0)</f>
        <v>T-Slots</v>
      </c>
      <c r="K40" s="46">
        <f>VLOOKUP(C40,Extrusion!B:N,9,0)</f>
        <v>0</v>
      </c>
      <c r="L40" s="46">
        <f>VLOOKUP(C40,Extrusion!B:N,10,0)</f>
        <v>0</v>
      </c>
      <c r="M40" s="46">
        <f>VLOOKUP(C40,Extrusion!B:N,11,0)</f>
        <v>0</v>
      </c>
      <c r="N40" s="47">
        <f>VLOOKUP(C40,Extrusion!B:O,12,0)</f>
        <v>0</v>
      </c>
      <c r="O40" s="47">
        <f t="shared" ca="1" si="17"/>
        <v>1</v>
      </c>
      <c r="P40" s="51">
        <f>VLOOKUP(C40,Extrusion!B:G,4,0)</f>
        <v>1</v>
      </c>
      <c r="Q40" s="52">
        <f t="shared" si="14"/>
        <v>1</v>
      </c>
    </row>
    <row r="41" spans="1:17" s="2" customFormat="1" ht="12.75" customHeight="1" x14ac:dyDescent="0.25">
      <c r="A41" s="4">
        <v>713</v>
      </c>
      <c r="B41" s="192">
        <v>4</v>
      </c>
      <c r="C41" s="123" t="s">
        <v>163</v>
      </c>
      <c r="D41" s="325" t="str">
        <f>VLOOKUP(C41,Extrusion!B:C,2,0)</f>
        <v>APPROVED EL 8/1</v>
      </c>
      <c r="E41" s="326"/>
      <c r="F41" s="108" t="str">
        <f ca="1">VLOOKUP(C41,Extrusion!B:N,5,0)</f>
        <v>YES</v>
      </c>
      <c r="G41" s="108">
        <f>VLOOKUP(C41,Extrusion!B:N,6,0)</f>
        <v>1</v>
      </c>
      <c r="H41" s="108">
        <f>VLOOKUP(C41,Extrusion!B:N,7,0)</f>
        <v>0</v>
      </c>
      <c r="I41" s="109"/>
      <c r="J41" s="46" t="str">
        <f>VLOOKUP(C41,Extrusion!B:N,8,0)</f>
        <v>T-Slots</v>
      </c>
      <c r="K41" s="46">
        <f>VLOOKUP(C41,Extrusion!B:N,9,0)</f>
        <v>0</v>
      </c>
      <c r="L41" s="46">
        <f>VLOOKUP(C41,Extrusion!B:N,10,0)</f>
        <v>0</v>
      </c>
      <c r="M41" s="46">
        <f>VLOOKUP(C41,Extrusion!B:N,11,0)</f>
        <v>0</v>
      </c>
      <c r="N41" s="47">
        <f>VLOOKUP(C41,Extrusion!B:O,12,0)</f>
        <v>0</v>
      </c>
      <c r="O41" s="47">
        <f t="shared" ref="O41:O42" ca="1" si="18">B41*$L$2</f>
        <v>4</v>
      </c>
      <c r="P41" s="51">
        <f>VLOOKUP(C41,Extrusion!B:G,4,0)</f>
        <v>0</v>
      </c>
      <c r="Q41" s="52">
        <f t="shared" ref="Q41:Q42" si="19">B41*P41</f>
        <v>0</v>
      </c>
    </row>
    <row r="42" spans="1:17" s="2" customFormat="1" ht="12.75" customHeight="1" thickBot="1" x14ac:dyDescent="0.3">
      <c r="A42" s="4">
        <v>714</v>
      </c>
      <c r="B42" s="192">
        <v>2</v>
      </c>
      <c r="C42" s="123" t="s">
        <v>164</v>
      </c>
      <c r="D42" s="325" t="str">
        <f>VLOOKUP(C42,Extrusion!B:C,2,0)</f>
        <v>APPROVED EL 8/1</v>
      </c>
      <c r="E42" s="326"/>
      <c r="F42" s="108" t="str">
        <f ca="1">VLOOKUP(C42,Extrusion!B:N,5,0)</f>
        <v>YES</v>
      </c>
      <c r="G42" s="108">
        <f>VLOOKUP(C42,Extrusion!B:N,6,0)</f>
        <v>1</v>
      </c>
      <c r="H42" s="108">
        <f>VLOOKUP(C42,Extrusion!B:N,7,0)</f>
        <v>0</v>
      </c>
      <c r="I42" s="109"/>
      <c r="J42" s="46" t="str">
        <f>VLOOKUP(C42,Extrusion!B:N,8,0)</f>
        <v>T-Slots</v>
      </c>
      <c r="K42" s="46">
        <f>VLOOKUP(C42,Extrusion!B:N,9,0)</f>
        <v>0</v>
      </c>
      <c r="L42" s="46">
        <f>VLOOKUP(C42,Extrusion!B:N,10,0)</f>
        <v>0</v>
      </c>
      <c r="M42" s="46">
        <f>VLOOKUP(C42,Extrusion!B:N,11,0)</f>
        <v>0</v>
      </c>
      <c r="N42" s="47">
        <f>VLOOKUP(C42,Extrusion!B:O,12,0)</f>
        <v>0</v>
      </c>
      <c r="O42" s="47">
        <f t="shared" ca="1" si="18"/>
        <v>2</v>
      </c>
      <c r="P42" s="51">
        <f>VLOOKUP(C42,Extrusion!B:G,4,0)</f>
        <v>0</v>
      </c>
      <c r="Q42" s="52">
        <f t="shared" si="19"/>
        <v>0</v>
      </c>
    </row>
    <row r="43" spans="1:17" s="2" customFormat="1" ht="12" customHeight="1" thickBot="1" x14ac:dyDescent="0.3">
      <c r="A43" s="34"/>
      <c r="B43" s="35"/>
      <c r="C43" s="35"/>
      <c r="D43" s="316"/>
      <c r="E43" s="317"/>
      <c r="F43" s="35"/>
      <c r="G43" s="35"/>
      <c r="H43" s="309"/>
      <c r="I43" s="310"/>
      <c r="J43" s="36"/>
      <c r="K43" s="36"/>
      <c r="L43" s="36"/>
      <c r="M43" s="37"/>
      <c r="N43" s="132"/>
      <c r="O43" s="38"/>
      <c r="P43" s="99" t="s">
        <v>43</v>
      </c>
      <c r="Q43" s="104">
        <f>SUM(Q5:Q42)</f>
        <v>22698.525199999993</v>
      </c>
    </row>
    <row r="44" spans="1:17" s="2" customFormat="1" ht="12" customHeight="1" x14ac:dyDescent="0.2">
      <c r="D44" s="21"/>
      <c r="E44" s="21"/>
      <c r="J44" s="8"/>
      <c r="K44" s="8"/>
      <c r="L44" s="8"/>
      <c r="M44" s="8"/>
      <c r="N44" s="131"/>
      <c r="O44" s="5"/>
      <c r="P44" s="98"/>
      <c r="Q44" s="105"/>
    </row>
  </sheetData>
  <sheetProtection selectLockedCells="1"/>
  <mergeCells count="67">
    <mergeCell ref="D41:E41"/>
    <mergeCell ref="D42:E42"/>
    <mergeCell ref="D20:E20"/>
    <mergeCell ref="D9:E9"/>
    <mergeCell ref="D16:E16"/>
    <mergeCell ref="D17:E17"/>
    <mergeCell ref="D18:E18"/>
    <mergeCell ref="D19:E19"/>
    <mergeCell ref="D21:E21"/>
    <mergeCell ref="D23:E23"/>
    <mergeCell ref="D43:E43"/>
    <mergeCell ref="H43:I43"/>
    <mergeCell ref="D26:E26"/>
    <mergeCell ref="H26:I26"/>
    <mergeCell ref="D28:E28"/>
    <mergeCell ref="H28:I28"/>
    <mergeCell ref="D38:E38"/>
    <mergeCell ref="D39:E39"/>
    <mergeCell ref="D40:E40"/>
    <mergeCell ref="D35:E35"/>
    <mergeCell ref="D36:E36"/>
    <mergeCell ref="D37:E37"/>
    <mergeCell ref="D33:E33"/>
    <mergeCell ref="D34:E34"/>
    <mergeCell ref="D32:E32"/>
    <mergeCell ref="D27:E27"/>
    <mergeCell ref="D1:E1"/>
    <mergeCell ref="D4:E4"/>
    <mergeCell ref="H14:I14"/>
    <mergeCell ref="H17:I17"/>
    <mergeCell ref="H16:I16"/>
    <mergeCell ref="H4:I4"/>
    <mergeCell ref="H19:I19"/>
    <mergeCell ref="D5:E5"/>
    <mergeCell ref="H5:I5"/>
    <mergeCell ref="D6:E6"/>
    <mergeCell ref="H6:I6"/>
    <mergeCell ref="D7:E7"/>
    <mergeCell ref="H7:I7"/>
    <mergeCell ref="H8:I8"/>
    <mergeCell ref="D11:E11"/>
    <mergeCell ref="H11:I11"/>
    <mergeCell ref="D8:E8"/>
    <mergeCell ref="H18:I18"/>
    <mergeCell ref="H21:I21"/>
    <mergeCell ref="D31:E31"/>
    <mergeCell ref="H9:I9"/>
    <mergeCell ref="D10:E10"/>
    <mergeCell ref="H10:I10"/>
    <mergeCell ref="D12:E12"/>
    <mergeCell ref="H12:I12"/>
    <mergeCell ref="H20:I20"/>
    <mergeCell ref="D22:E22"/>
    <mergeCell ref="H22:I22"/>
    <mergeCell ref="D13:E13"/>
    <mergeCell ref="H13:I13"/>
    <mergeCell ref="D15:E15"/>
    <mergeCell ref="H15:I15"/>
    <mergeCell ref="D14:E14"/>
    <mergeCell ref="D29:E29"/>
    <mergeCell ref="H27:I27"/>
    <mergeCell ref="D30:E30"/>
    <mergeCell ref="H23:I23"/>
    <mergeCell ref="D24:E24"/>
    <mergeCell ref="H24:I24"/>
    <mergeCell ref="D25:E25"/>
    <mergeCell ref="H25:I25"/>
  </mergeCells>
  <conditionalFormatting sqref="M21 M23 M28:M42">
    <cfRule type="cellIs" dxfId="2078" priority="9" stopIfTrue="1" operator="lessThanOrEqual">
      <formula>$L21</formula>
    </cfRule>
    <cfRule type="cellIs" dxfId="2077" priority="10" operator="greaterThan">
      <formula>L21</formula>
    </cfRule>
  </conditionalFormatting>
  <conditionalFormatting sqref="M24">
    <cfRule type="cellIs" dxfId="2076" priority="5" stopIfTrue="1" operator="lessThanOrEqual">
      <formula>$L24</formula>
    </cfRule>
    <cfRule type="cellIs" dxfId="2075" priority="6" operator="greaterThan">
      <formula>L24</formula>
    </cfRule>
  </conditionalFormatting>
  <conditionalFormatting sqref="M25:M27">
    <cfRule type="cellIs" dxfId="2074" priority="1" stopIfTrue="1" operator="lessThanOrEqual">
      <formula>$L25</formula>
    </cfRule>
    <cfRule type="cellIs" dxfId="2073" priority="2" operator="greaterThan">
      <formula>L25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9A8584A-18D3-4A7E-936A-A615D202B19F}">
          <x14:formula1>
            <xm:f>Extrusion!$B:$B</xm:f>
          </x14:formula1>
          <xm:sqref>C29:C42</xm:sqref>
        </x14:dataValidation>
        <x14:dataValidation type="list" allowBlank="1" showInputMessage="1" showErrorMessage="1" xr:uid="{E491E530-0FF7-479C-B282-D784DE01EE57}">
          <x14:formula1>
            <xm:f>Assemblies!$E:$E</xm:f>
          </x14:formula1>
          <xm:sqref>C5:C20</xm:sqref>
        </x14:dataValidation>
        <x14:dataValidation type="list" allowBlank="1" showInputMessage="1" showErrorMessage="1" xr:uid="{63B06DA9-7E3C-4796-9595-0A8C939BCE4E}">
          <x14:formula1>
            <xm:f>Machined!$C:$C</xm:f>
          </x14:formula1>
          <xm:sqref>C22</xm:sqref>
        </x14:dataValidation>
        <x14:dataValidation type="list" allowBlank="1" showInputMessage="1" showErrorMessage="1" xr:uid="{8D3A91E2-5B73-44AC-BB5B-BD19FCCFB33F}">
          <x14:formula1>
            <xm:f>Purchased!$A:$A</xm:f>
          </x14:formula1>
          <xm:sqref>C24:C27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7C92-6038-4331-8268-008BCB76BC99}">
  <sheetPr codeName="Sheet20">
    <tabColor theme="6" tint="0.59999389629810485"/>
  </sheetPr>
  <dimension ref="A1:Q13"/>
  <sheetViews>
    <sheetView zoomScale="115" zoomScaleNormal="115" workbookViewId="0">
      <selection activeCell="C8" sqref="C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'1.1'!C5</f>
        <v>PG10.1.1.1.0.A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38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'1.1'!D5</f>
        <v>M8 Leveling Foot Assy</v>
      </c>
      <c r="D3" s="85" t="s">
        <v>50</v>
      </c>
      <c r="E3" s="86" t="str">
        <f ca="1">MID(CELL("filename",A1),FIND("]",CELL("filename",A1))+1,256)</f>
        <v>1.1.1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272">
        <v>1</v>
      </c>
      <c r="B5" s="20">
        <v>1</v>
      </c>
      <c r="C5" s="121" t="s">
        <v>165</v>
      </c>
      <c r="D5" s="314" t="str">
        <f>VLOOKUP(C5,Machined!C:X,2,0)</f>
        <v>M8 Leveling Foot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45435</v>
      </c>
      <c r="K5" s="44">
        <f>IF(VLOOKUP($C5,Machined!C:Z,19,0) = 0, " ", VLOOKUP($C5,Machined!C:Z,19,0))</f>
        <v>45453</v>
      </c>
      <c r="L5" s="44">
        <f>IF(VLOOKUP($C5,Machined!C:Z,20,0) = 0, " ", VLOOKUP($C5,Machined!C:Z,20,0))</f>
        <v>45490</v>
      </c>
      <c r="M5" s="44">
        <f>IF(VLOOKUP($C5,Machined!C:Z,21,0) = 0, " ", VLOOKUP($C5,Machined!C:Z,21,0))</f>
        <v>45490</v>
      </c>
      <c r="N5" s="129">
        <f>IF(VLOOKUP($C5,Machined!C:Z,22,0) = 0, " ", VLOOKUP($C5,Machined!C:Z,22,0))</f>
        <v>55545</v>
      </c>
      <c r="O5" s="45">
        <f ca="1">B5*$L$2</f>
        <v>38</v>
      </c>
      <c r="P5" s="49">
        <f>VLOOKUP(C5,Machined!C:F,3,0)</f>
        <v>36.65</v>
      </c>
      <c r="Q5" s="50">
        <f>B5*P5</f>
        <v>36.65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4</v>
      </c>
      <c r="C7" s="135" t="s">
        <v>104</v>
      </c>
      <c r="D7" s="325" t="str">
        <f>VLOOKUP(C7,Purchased!A:B,2,0)</f>
        <v>BRX GOTO T-NUT 10 M8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400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8" ca="1" si="0">B7*$L$2</f>
        <v>152</v>
      </c>
      <c r="P7" s="51">
        <f>VLOOKUP(C7,Purchased!A:D,3,FALSE)</f>
        <v>0.56000000000000005</v>
      </c>
      <c r="Q7" s="52">
        <f t="shared" ref="Q7:Q8" si="1">B7*P7</f>
        <v>2.2400000000000002</v>
      </c>
    </row>
    <row r="8" spans="1:17" s="2" customFormat="1" ht="12.75" customHeight="1" x14ac:dyDescent="0.25">
      <c r="A8" s="4">
        <v>302</v>
      </c>
      <c r="B8" s="2">
        <v>1</v>
      </c>
      <c r="C8" s="135">
        <v>1004039</v>
      </c>
      <c r="D8" s="325" t="str">
        <f>VLOOKUP(C8,Purchased!A:B,2,0)</f>
        <v>M16 Leveling foot - HX081, Black NBR-HX16150_139_139(2.00), SW2+0, AISI 304_Shell</v>
      </c>
      <c r="E8" s="342"/>
      <c r="F8" s="108" t="str">
        <f>IF(VLOOKUP($C8,Purchased!A:Z,11,0) = 0, " ", VLOOKUP($C8,Purchased!A:Z,11,0))</f>
        <v>NGI</v>
      </c>
      <c r="G8" s="108" t="str">
        <f>IF(VLOOKUP($C8,Purchased!A:Z,12,0)=0, " ", VLOOKUP($C8,Purchased!A:Z,12,0))</f>
        <v>NGI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45413</v>
      </c>
      <c r="K8" s="46">
        <f>IF(VLOOKUP(C8,Purchased!A:R,14,0)=0, " ", VLOOKUP(C8,Purchased!A:R,14,0))</f>
        <v>45413</v>
      </c>
      <c r="L8" s="46">
        <f>IF(VLOOKUP(C8,Purchased!A:R,15,0)=0, " ", VLOOKUP(C8,Purchased!A:R,15,0))</f>
        <v>45453</v>
      </c>
      <c r="M8" s="46">
        <f>IF(VLOOKUP(C8,Purchased!A:R,16,0)=0, " ",VLOOKUP(C8,Purchased!A:R,16,0))</f>
        <v>45467</v>
      </c>
      <c r="N8" s="130">
        <f>IF(VLOOKUP(C8,Purchased!A:R,17,0)=0, " ", VLOOKUP(C8,Purchased!A:R,17,0))</f>
        <v>45467</v>
      </c>
      <c r="O8" s="47">
        <f t="shared" ca="1" si="0"/>
        <v>38</v>
      </c>
      <c r="P8" s="51">
        <f>VLOOKUP(C8,Purchased!A:D,3,FALSE)</f>
        <v>18.63</v>
      </c>
      <c r="Q8" s="52">
        <f t="shared" si="1"/>
        <v>18.63</v>
      </c>
    </row>
    <row r="9" spans="1:17" s="2" customFormat="1" ht="12.75" customHeight="1" x14ac:dyDescent="0.25">
      <c r="A9" s="4">
        <v>303</v>
      </c>
      <c r="B9" s="2">
        <v>1</v>
      </c>
      <c r="C9" s="135" t="s">
        <v>166</v>
      </c>
      <c r="D9" s="325" t="str">
        <f>VLOOKUP(C9,Purchased!A:B,2,0)</f>
        <v>Zinc-Plated Steel Hex Nut Medium-Strength, Class 8, M16 x 2 mm Thread</v>
      </c>
      <c r="E9" s="342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45503</v>
      </c>
      <c r="K9" s="46">
        <f>IF(VLOOKUP(C9,Purchased!A:R,14,0)=0, " ", VLOOKUP(C9,Purchased!A:R,14,0))</f>
        <v>45503</v>
      </c>
      <c r="L9" s="46">
        <f>IF(VLOOKUP(C9,Purchased!A:R,15,0)=0, " ", VLOOKUP(C9,Purchased!A:R,15,0))</f>
        <v>45503</v>
      </c>
      <c r="M9" s="46">
        <f>IF(VLOOKUP(C9,Purchased!A:R,16,0)=0, " ",VLOOKUP(C9,Purchased!A:R,16,0))</f>
        <v>45504</v>
      </c>
      <c r="N9" s="130">
        <f>IF(VLOOKUP(C9,Purchased!A:R,17,0)=0, " ", VLOOKUP(C9,Purchased!A:R,17,0))</f>
        <v>45504</v>
      </c>
      <c r="O9" s="47">
        <f ca="1">B9*$L$2</f>
        <v>38</v>
      </c>
      <c r="P9" s="51">
        <f>VLOOKUP(C9,Purchased!A:D,3,FALSE)</f>
        <v>10.3</v>
      </c>
      <c r="Q9" s="52">
        <f>B9*P9</f>
        <v>10.3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thickBot="1" x14ac:dyDescent="0.3">
      <c r="A11" s="4">
        <v>501</v>
      </c>
      <c r="B11" s="2">
        <v>4</v>
      </c>
      <c r="C11" s="122" t="s">
        <v>109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152</v>
      </c>
      <c r="P11" s="51">
        <f>VLOOKUP(C11,Bolts!A:B,2,FALSE)</f>
        <v>0</v>
      </c>
      <c r="Q11" s="52">
        <f>B11*P11</f>
        <v>0</v>
      </c>
    </row>
    <row r="12" spans="1:17" s="2" customFormat="1" ht="12" customHeight="1" thickBot="1" x14ac:dyDescent="0.3">
      <c r="A12" s="34"/>
      <c r="B12" s="35"/>
      <c r="C12" s="35"/>
      <c r="D12" s="316"/>
      <c r="E12" s="317"/>
      <c r="F12" s="35"/>
      <c r="G12" s="35"/>
      <c r="H12" s="309"/>
      <c r="I12" s="310"/>
      <c r="J12" s="36"/>
      <c r="K12" s="36"/>
      <c r="L12" s="36"/>
      <c r="M12" s="37"/>
      <c r="N12" s="132"/>
      <c r="O12" s="38"/>
      <c r="P12" s="99" t="s">
        <v>43</v>
      </c>
      <c r="Q12" s="104">
        <f>SUM(Q5:Q11)</f>
        <v>67.819999999999993</v>
      </c>
    </row>
    <row r="13" spans="1:17" s="2" customFormat="1" ht="12" customHeight="1" x14ac:dyDescent="0.2">
      <c r="D13" s="21"/>
      <c r="E13" s="21"/>
      <c r="J13" s="8"/>
      <c r="K13" s="8"/>
      <c r="L13" s="8"/>
      <c r="M13" s="8"/>
      <c r="N13" s="131"/>
      <c r="O13" s="5"/>
      <c r="P13" s="98"/>
      <c r="Q13" s="105"/>
    </row>
  </sheetData>
  <sheetProtection selectLockedCells="1"/>
  <mergeCells count="18">
    <mergeCell ref="D9:E9"/>
    <mergeCell ref="H9:I9"/>
    <mergeCell ref="D12:E12"/>
    <mergeCell ref="H12:I12"/>
    <mergeCell ref="D10:E10"/>
    <mergeCell ref="H10:I10"/>
    <mergeCell ref="D11:E11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6 M10:M11">
    <cfRule type="cellIs" dxfId="2072" priority="5" stopIfTrue="1" operator="lessThanOrEqual">
      <formula>$L6</formula>
    </cfRule>
    <cfRule type="cellIs" dxfId="2071" priority="6" operator="greaterThan">
      <formula>L6</formula>
    </cfRule>
  </conditionalFormatting>
  <conditionalFormatting sqref="M8:M9">
    <cfRule type="cellIs" dxfId="2070" priority="3" stopIfTrue="1" operator="lessThanOrEqual">
      <formula>$L8</formula>
    </cfRule>
    <cfRule type="cellIs" dxfId="2069" priority="4" operator="greaterThan">
      <formula>L8</formula>
    </cfRule>
  </conditionalFormatting>
  <conditionalFormatting sqref="M7">
    <cfRule type="cellIs" dxfId="2068" priority="1" stopIfTrue="1" operator="lessThanOrEqual">
      <formula>$L7</formula>
    </cfRule>
    <cfRule type="cellIs" dxfId="2067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30067AB-4C9C-43E5-8F4F-9AD1EEE0FA28}">
          <x14:formula1>
            <xm:f>Bolts!$A:$A</xm:f>
          </x14:formula1>
          <xm:sqref>C11</xm:sqref>
        </x14:dataValidation>
        <x14:dataValidation type="list" allowBlank="1" showInputMessage="1" showErrorMessage="1" xr:uid="{EC80DB4C-D97A-427A-9854-83F65409B2D3}">
          <x14:formula1>
            <xm:f>Machined!$C:$C</xm:f>
          </x14:formula1>
          <xm:sqref>C5</xm:sqref>
        </x14:dataValidation>
        <x14:dataValidation type="list" allowBlank="1" showInputMessage="1" showErrorMessage="1" xr:uid="{233B5FB0-E930-44B4-A3C8-E260F85DCD91}">
          <x14:formula1>
            <xm:f>Purchased!$A:$A</xm:f>
          </x14:formula1>
          <xm:sqref>C7:C9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9947F-B14E-468D-A7B1-FC59CA9AC8E2}">
  <sheetPr codeName="Sheet21">
    <tabColor theme="6" tint="0.59999389629810485"/>
  </sheetPr>
  <dimension ref="A1:Q16"/>
  <sheetViews>
    <sheetView zoomScale="115" zoomScaleNormal="115" workbookViewId="0">
      <selection activeCell="A5" sqref="A5:A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'1.1'!C6</f>
        <v>PG10.1.1.2.0.A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'1.1'!D6</f>
        <v>Single Web Roller Assy</v>
      </c>
      <c r="D3" s="85" t="s">
        <v>50</v>
      </c>
      <c r="E3" s="86" t="str">
        <f ca="1">MID(CELL("filename",A1),FIND("]",CELL("filename",A1))+1,256)</f>
        <v>1.1.2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272">
        <v>1</v>
      </c>
      <c r="B5" s="20">
        <v>1</v>
      </c>
      <c r="C5" s="121" t="s">
        <v>167</v>
      </c>
      <c r="D5" s="314" t="str">
        <f>VLOOKUP(C5,Machined!C:X,2,0)</f>
        <v>BONNELL EXTRUDED ROLLER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 xml:space="preserve"> </v>
      </c>
      <c r="H5" s="320" t="str">
        <f>IF(VLOOKUP($C5,Machined!C:Z,17,0) = 0, " ", VLOOKUP($C5,Machined!C:Z,17,0))</f>
        <v>42 from GF12</v>
      </c>
      <c r="I5" s="321" t="str">
        <f>IF(VLOOKUP($C5,Machined!$C:$Y,13,0) = 0, " ", VLOOKUP($C5,Machined!$C:$Y,13,0))</f>
        <v>6061-T6 ALUMINUM</v>
      </c>
      <c r="J5" s="44" t="str">
        <f>IF(VLOOKUP($C5,Machined!C:Z,18,0) = 0, " ", VLOOKUP($C5,Machined!C:Z,18,0))</f>
        <v xml:space="preserve"> </v>
      </c>
      <c r="K5" s="44" t="str">
        <f>IF(VLOOKUP($C5,Machined!C:Z,19,0) = 0, " ", VLOOKUP($C5,Machined!C:Z,19,0))</f>
        <v xml:space="preserve"> </v>
      </c>
      <c r="L5" s="44" t="str">
        <f>IF(VLOOKUP($C5,Machined!C:Z,20,0) = 0, " ", VLOOKUP($C5,Machined!C:Z,20,0))</f>
        <v xml:space="preserve"> </v>
      </c>
      <c r="M5" s="44" t="str">
        <f>IF(VLOOKUP($C5,Machined!C:Z,21,0) = 0, " ", VLOOKUP($C5,Machined!C:Z,21,0))</f>
        <v xml:space="preserve"> </v>
      </c>
      <c r="N5" s="129" t="str">
        <f>IF(VLOOKUP($C5,Machined!C:Z,22,0) = 0, " ", VLOOKUP($C5,Machined!C:Z,22,0))</f>
        <v xml:space="preserve"> </v>
      </c>
      <c r="O5" s="45">
        <f ca="1">B5*$L$2</f>
        <v>14</v>
      </c>
      <c r="P5" s="49">
        <f>VLOOKUP(C5,Machined!C:F,3,0)</f>
        <v>54.27</v>
      </c>
      <c r="Q5" s="50">
        <f>B5*P5</f>
        <v>54.27</v>
      </c>
    </row>
    <row r="6" spans="1:17" s="2" customFormat="1" ht="12.75" customHeight="1" x14ac:dyDescent="0.25">
      <c r="A6" s="272">
        <v>2</v>
      </c>
      <c r="B6" s="20">
        <v>1</v>
      </c>
      <c r="C6" s="121" t="s">
        <v>168</v>
      </c>
      <c r="D6" s="314" t="str">
        <f>VLOOKUP(C6,Machined!C:X,2,0)</f>
        <v>ROLLER SHAFT</v>
      </c>
      <c r="E6" s="329"/>
      <c r="F6" s="107" t="str">
        <f>VLOOKUP($C6,Machined!C:Z,13,0)</f>
        <v>303 TG&amp;P, ROUND STOCK, -0.0005</v>
      </c>
      <c r="G6" s="44" t="str">
        <f>IF(VLOOKUP($C6,Machined!C:Z,16,0) = 0, " ", VLOOKUP($C6,Machined!C:Z,16,0))</f>
        <v>Nuline</v>
      </c>
      <c r="H6" s="320" t="str">
        <f>IF(VLOOKUP($C6,Machined!C:Z,17,0) = 0, " ", VLOOKUP($C6,Machined!C:Z,17,0))</f>
        <v>Material P.O. 55555</v>
      </c>
      <c r="I6" s="321" t="str">
        <f>IF(VLOOKUP($C6,Machined!$C:$Y,13,0) = 0, " ", VLOOKUP($C6,Machined!$C:$Y,13,0))</f>
        <v>303 TG&amp;P, ROUND STOCK, -0.0005</v>
      </c>
      <c r="J6" s="44" t="str">
        <f>IF(VLOOKUP($C6,Machined!C:Z,18,0) = 0, " ", VLOOKUP($C6,Machined!C:Z,18,0))</f>
        <v xml:space="preserve"> </v>
      </c>
      <c r="K6" s="44" t="str">
        <f>IF(VLOOKUP($C6,Machined!C:Z,19,0) = 0, " ", VLOOKUP($C6,Machined!C:Z,19,0))</f>
        <v xml:space="preserve"> </v>
      </c>
      <c r="L6" s="44">
        <f>IF(VLOOKUP($C6,Machined!C:Z,20,0) = 0, " ", VLOOKUP($C6,Machined!C:Z,20,0))</f>
        <v>45520</v>
      </c>
      <c r="M6" s="44" t="str">
        <f>IF(VLOOKUP($C6,Machined!C:Z,21,0) = 0, " ", VLOOKUP($C6,Machined!C:Z,21,0))</f>
        <v xml:space="preserve"> </v>
      </c>
      <c r="N6" s="129">
        <f>IF(VLOOKUP($C6,Machined!C:Z,22,0) = 0, " ", VLOOKUP($C6,Machined!C:Z,22,0))</f>
        <v>55555</v>
      </c>
      <c r="O6" s="45">
        <f t="shared" ref="O6:O9" ca="1" si="0">B6*$L$2</f>
        <v>14</v>
      </c>
      <c r="P6" s="49">
        <f>VLOOKUP(C6,Machined!C:F,3,0)</f>
        <v>0</v>
      </c>
      <c r="Q6" s="50">
        <f t="shared" ref="Q6:Q9" si="1">B6*P6</f>
        <v>0</v>
      </c>
    </row>
    <row r="7" spans="1:17" s="2" customFormat="1" ht="12.75" customHeight="1" x14ac:dyDescent="0.25">
      <c r="A7" s="272">
        <v>3</v>
      </c>
      <c r="B7" s="20">
        <v>2</v>
      </c>
      <c r="C7" s="121" t="s">
        <v>169</v>
      </c>
      <c r="D7" s="314" t="str">
        <f>VLOOKUP(C7,Machined!C:X,2,0)</f>
        <v>ROLLER CAP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WescoBHT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45483</v>
      </c>
      <c r="L7" s="44">
        <f>IF(VLOOKUP($C7,Machined!C:Z,20,0) = 0, " ", VLOOKUP($C7,Machined!C:Z,20,0))</f>
        <v>45513</v>
      </c>
      <c r="M7" s="44">
        <f>IF(VLOOKUP($C7,Machined!C:Z,21,0) = 0, " ", VLOOKUP($C7,Machined!C:Z,21,0))</f>
        <v>45513</v>
      </c>
      <c r="N7" s="129">
        <f>IF(VLOOKUP($C7,Machined!C:Z,22,0) = 0, " ", VLOOKUP($C7,Machined!C:Z,22,0))</f>
        <v>55593</v>
      </c>
      <c r="O7" s="45">
        <f t="shared" ca="1" si="0"/>
        <v>28</v>
      </c>
      <c r="P7" s="49">
        <f>VLOOKUP(C7,Machined!C:F,3,0)</f>
        <v>4.8</v>
      </c>
      <c r="Q7" s="50">
        <f t="shared" si="1"/>
        <v>9.6</v>
      </c>
    </row>
    <row r="8" spans="1:17" s="2" customFormat="1" ht="12.75" customHeight="1" x14ac:dyDescent="0.25">
      <c r="A8" s="272">
        <v>4</v>
      </c>
      <c r="B8" s="20">
        <v>2</v>
      </c>
      <c r="C8" s="121" t="s">
        <v>170</v>
      </c>
      <c r="D8" s="314" t="str">
        <f>VLOOKUP(C8,Machined!C:X,2,0)</f>
        <v>SINGLE ROLLER BRACKET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Frontier Mach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45435</v>
      </c>
      <c r="K8" s="44">
        <f>IF(VLOOKUP($C8,Machined!C:Z,19,0) = 0, " ", VLOOKUP($C8,Machined!C:Z,19,0))</f>
        <v>45446</v>
      </c>
      <c r="L8" s="44">
        <f>IF(VLOOKUP($C8,Machined!C:Z,20,0) = 0, " ", VLOOKUP($C8,Machined!C:Z,20,0))</f>
        <v>45481</v>
      </c>
      <c r="M8" s="44">
        <f>IF(VLOOKUP($C8,Machined!C:Z,21,0) = 0, " ", VLOOKUP($C8,Machined!C:Z,21,0))</f>
        <v>45481</v>
      </c>
      <c r="N8" s="129">
        <f>IF(VLOOKUP($C8,Machined!C:Z,22,0) = 0, " ", VLOOKUP($C8,Machined!C:Z,22,0))</f>
        <v>55532</v>
      </c>
      <c r="O8" s="45">
        <f t="shared" ref="O8" ca="1" si="2">B8*$L$2</f>
        <v>28</v>
      </c>
      <c r="P8" s="49">
        <f>VLOOKUP(C8,Machined!C:F,3,0)</f>
        <v>30.25</v>
      </c>
      <c r="Q8" s="50">
        <f t="shared" ref="Q8" si="3">B8*P8</f>
        <v>60.5</v>
      </c>
    </row>
    <row r="9" spans="1:17" s="2" customFormat="1" ht="12.75" customHeight="1" x14ac:dyDescent="0.25">
      <c r="A9" s="272">
        <v>5</v>
      </c>
      <c r="B9" s="20">
        <v>2</v>
      </c>
      <c r="C9" s="121" t="s">
        <v>171</v>
      </c>
      <c r="D9" s="314" t="str">
        <f>VLOOKUP(C9,Machined!C:X,2,0)</f>
        <v>SINGLE ROLLER BRACKET CLAMP</v>
      </c>
      <c r="E9" s="329"/>
      <c r="F9" s="107" t="str">
        <f>VLOOKUP($C9,Machined!C:Z,13,0)</f>
        <v>1018 COLD ROLLED STEEL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1018 COLD ROLLED STEEL</v>
      </c>
      <c r="J9" s="44">
        <f>IF(VLOOKUP($C9,Machined!C:Z,18,0) = 0, " ", VLOOKUP($C9,Machined!C:Z,18,0))</f>
        <v>45435</v>
      </c>
      <c r="K9" s="44">
        <f>IF(VLOOKUP($C9,Machined!C:Z,19,0) = 0, " ", VLOOKUP($C9,Machined!C:Z,19,0))</f>
        <v>45446</v>
      </c>
      <c r="L9" s="44">
        <f>IF(VLOOKUP($C9,Machined!C:Z,20,0) = 0, " ", VLOOKUP($C9,Machined!C:Z,20,0))</f>
        <v>45481</v>
      </c>
      <c r="M9" s="44">
        <f>IF(VLOOKUP($C9,Machined!C:Z,21,0) = 0, " ", VLOOKUP($C9,Machined!C:Z,21,0))</f>
        <v>45481</v>
      </c>
      <c r="N9" s="129">
        <f>IF(VLOOKUP($C9,Machined!C:Z,22,0) = 0, " ", VLOOKUP($C9,Machined!C:Z,22,0))</f>
        <v>55532</v>
      </c>
      <c r="O9" s="45">
        <f t="shared" ca="1" si="0"/>
        <v>28</v>
      </c>
      <c r="P9" s="49">
        <f>VLOOKUP(C9,Machined!C:F,3,0)</f>
        <v>16.2</v>
      </c>
      <c r="Q9" s="50">
        <f t="shared" si="1"/>
        <v>32.4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4</v>
      </c>
      <c r="C11" s="135" t="s">
        <v>172</v>
      </c>
      <c r="D11" s="325" t="str">
        <f>VLOOKUP(C11,Purchased!A:B,2,0)</f>
        <v>BRX GOTO T-NUT 10 M6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:O12" ca="1" si="4">B11*$L$2</f>
        <v>56</v>
      </c>
      <c r="P11" s="51">
        <f>VLOOKUP(C11,Purchased!A:D,3,FALSE)</f>
        <v>0.56000000000000005</v>
      </c>
      <c r="Q11" s="52">
        <f t="shared" ref="Q11:Q12" si="5">B11*P11</f>
        <v>2.2400000000000002</v>
      </c>
    </row>
    <row r="12" spans="1:17" s="2" customFormat="1" ht="12.75" customHeight="1" x14ac:dyDescent="0.25">
      <c r="A12" s="4">
        <v>302</v>
      </c>
      <c r="B12" s="2">
        <v>2</v>
      </c>
      <c r="C12" s="135" t="s">
        <v>173</v>
      </c>
      <c r="D12" s="325" t="str">
        <f>VLOOKUP(C12,Purchased!A:B,2,0)</f>
        <v>0.75in ID 1.75 OD sealed ball bearing with shaft collar</v>
      </c>
      <c r="E12" s="342"/>
      <c r="F12" s="108" t="str">
        <f>IF(VLOOKUP($C12,Purchased!A:Z,11,0) = 0, " ", VLOOKUP($C12,Purchased!A:Z,11,0))</f>
        <v>Quality Brg</v>
      </c>
      <c r="G12" s="108" t="str">
        <f>IF(VLOOKUP($C12,Purchased!A:Z,12,0)=0, " ", VLOOKUP($C12,Purchased!A:Z,12,0))</f>
        <v>Quality Brg</v>
      </c>
      <c r="H12" s="327" t="str">
        <f>IF(VLOOKUP($C12,Purchased!A:Z,13,0)=0, " ", VLOOKUP($C12,Purchased!A:Z,13,0))</f>
        <v>Have 29 in stock - JP 6/6/24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45448</v>
      </c>
      <c r="M12" s="46">
        <f>IF(VLOOKUP(C12,Purchased!A:R,16,0)=0, " ",VLOOKUP(C12,Purchased!A:R,16,0))</f>
        <v>45478</v>
      </c>
      <c r="N12" s="130">
        <f>IF(VLOOKUP(C12,Purchased!A:R,17,0)=0, " ", VLOOKUP(C12,Purchased!A:R,17,0))</f>
        <v>45478</v>
      </c>
      <c r="O12" s="47">
        <f t="shared" ca="1" si="4"/>
        <v>28</v>
      </c>
      <c r="P12" s="51">
        <f>VLOOKUP(C12,Purchased!A:D,3,FALSE)</f>
        <v>0</v>
      </c>
      <c r="Q12" s="52">
        <f t="shared" si="5"/>
        <v>0</v>
      </c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.75" customHeight="1" thickBot="1" x14ac:dyDescent="0.3">
      <c r="A14" s="4">
        <v>501</v>
      </c>
      <c r="B14" s="2">
        <v>4</v>
      </c>
      <c r="C14" s="122" t="s">
        <v>174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56</v>
      </c>
      <c r="P14" s="51">
        <f>VLOOKUP(C14,Bolts!A:B,2,FALSE)</f>
        <v>0</v>
      </c>
      <c r="Q14" s="52">
        <f>B14*P14</f>
        <v>0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159.01000000000002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sheetProtection selectLockedCells="1"/>
  <mergeCells count="24">
    <mergeCell ref="D11:E11"/>
    <mergeCell ref="H11:I11"/>
    <mergeCell ref="D12:E12"/>
    <mergeCell ref="H12:I12"/>
    <mergeCell ref="D15:E15"/>
    <mergeCell ref="H15:I15"/>
    <mergeCell ref="D13:E13"/>
    <mergeCell ref="H13:I13"/>
    <mergeCell ref="D14:E14"/>
    <mergeCell ref="D1:E1"/>
    <mergeCell ref="D4:E4"/>
    <mergeCell ref="H4:I4"/>
    <mergeCell ref="D5:E5"/>
    <mergeCell ref="H5:I5"/>
    <mergeCell ref="D6:E6"/>
    <mergeCell ref="H6:I6"/>
    <mergeCell ref="D9:E9"/>
    <mergeCell ref="H9:I9"/>
    <mergeCell ref="D10:E10"/>
    <mergeCell ref="H10:I10"/>
    <mergeCell ref="D8:E8"/>
    <mergeCell ref="H8:I8"/>
    <mergeCell ref="D7:E7"/>
    <mergeCell ref="H7:I7"/>
  </mergeCells>
  <phoneticPr fontId="8" type="noConversion"/>
  <conditionalFormatting sqref="M10 M13:M14">
    <cfRule type="cellIs" dxfId="2066" priority="5" stopIfTrue="1" operator="lessThanOrEqual">
      <formula>$L10</formula>
    </cfRule>
    <cfRule type="cellIs" dxfId="2065" priority="6" operator="greaterThan">
      <formula>L10</formula>
    </cfRule>
  </conditionalFormatting>
  <conditionalFormatting sqref="M11">
    <cfRule type="cellIs" dxfId="2064" priority="3" stopIfTrue="1" operator="lessThanOrEqual">
      <formula>$L11</formula>
    </cfRule>
    <cfRule type="cellIs" dxfId="2063" priority="4" operator="greaterThan">
      <formula>L11</formula>
    </cfRule>
  </conditionalFormatting>
  <conditionalFormatting sqref="M12">
    <cfRule type="cellIs" dxfId="2062" priority="1" stopIfTrue="1" operator="lessThanOrEqual">
      <formula>$L12</formula>
    </cfRule>
    <cfRule type="cellIs" dxfId="2061" priority="2" operator="greaterThan">
      <formula>L12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E469D1F-BDE3-4335-9E73-EA0DB3C44039}">
          <x14:formula1>
            <xm:f>Bolts!$A:$A</xm:f>
          </x14:formula1>
          <xm:sqref>C13</xm:sqref>
        </x14:dataValidation>
        <x14:dataValidation type="list" allowBlank="1" showInputMessage="1" showErrorMessage="1" xr:uid="{73538901-1984-4979-AF40-1A2871C2B2A6}">
          <x14:formula1>
            <xm:f>Machined!$C:$C</xm:f>
          </x14:formula1>
          <xm:sqref>C5:C9</xm:sqref>
        </x14:dataValidation>
        <x14:dataValidation type="list" allowBlank="1" showInputMessage="1" showErrorMessage="1" xr:uid="{510B2A1A-D4E6-45F5-8C33-EC188E4F123F}">
          <x14:formula1>
            <xm:f>Purchased!$A:$A</xm:f>
          </x14:formula1>
          <xm:sqref>C11:C12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BD6B6-123F-4139-BF75-3AE67D29C30F}">
  <sheetPr codeName="Sheet22">
    <tabColor theme="6" tint="0.59999389629810485"/>
  </sheetPr>
  <dimension ref="A1:Q11"/>
  <sheetViews>
    <sheetView zoomScale="115" zoomScaleNormal="115" workbookViewId="0">
      <selection activeCell="A5" sqref="A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'1.1'!C7</f>
        <v>PG10.1.1.3.0.A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80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'1.1'!D7</f>
        <v>Frame Gusset</v>
      </c>
      <c r="D3" s="85" t="s">
        <v>50</v>
      </c>
      <c r="E3" s="86" t="str">
        <f ca="1">MID(CELL("filename",A1),FIND("]",CELL("filename",A1))+1,256)</f>
        <v>1.1.3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272">
        <v>1</v>
      </c>
      <c r="B5" s="20">
        <v>1</v>
      </c>
      <c r="C5" s="121" t="s">
        <v>175</v>
      </c>
      <c r="D5" s="314" t="str">
        <f>VLOOKUP(C5,Machined!C:X,2,0)</f>
        <v>FRAME GUSSET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WescoBHT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45483</v>
      </c>
      <c r="L5" s="44">
        <f>IF(VLOOKUP($C5,Machined!C:Z,20,0) = 0, " ", VLOOKUP($C5,Machined!C:Z,20,0))</f>
        <v>45513</v>
      </c>
      <c r="M5" s="44">
        <f>IF(VLOOKUP($C5,Machined!C:Z,21,0) = 0, " ", VLOOKUP($C5,Machined!C:Z,21,0))</f>
        <v>45513</v>
      </c>
      <c r="N5" s="129">
        <f>IF(VLOOKUP($C5,Machined!C:Z,22,0) = 0, " ", VLOOKUP($C5,Machined!C:Z,22,0))</f>
        <v>55593</v>
      </c>
      <c r="O5" s="45">
        <f ca="1">B5*$L$2</f>
        <v>80</v>
      </c>
      <c r="P5" s="49">
        <f>VLOOKUP(C5,Machined!C:F,3,0)</f>
        <v>17.899999999999999</v>
      </c>
      <c r="Q5" s="50">
        <f>B5*P5</f>
        <v>17.899999999999999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6</v>
      </c>
      <c r="C7" s="135">
        <v>3842528718</v>
      </c>
      <c r="D7" s="325" t="str">
        <f>VLOOKUP(C7,Purchased!A:B,2,0)</f>
        <v>BRX GOTO T-HEAD BOLT HS10-M8X25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200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" ca="1" si="0">B7*$L$2</f>
        <v>480</v>
      </c>
      <c r="P7" s="51">
        <f>VLOOKUP(C7,Purchased!A:D,3,FALSE)</f>
        <v>0.67</v>
      </c>
      <c r="Q7" s="52">
        <f t="shared" ref="Q7" si="1">B7*P7</f>
        <v>4.0200000000000005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thickBot="1" x14ac:dyDescent="0.3">
      <c r="A9" s="4">
        <v>501</v>
      </c>
      <c r="B9" s="2">
        <v>6</v>
      </c>
      <c r="C9" s="122" t="s">
        <v>176</v>
      </c>
      <c r="D9" s="325"/>
      <c r="E9" s="326"/>
      <c r="F9" s="108" t="str">
        <f>VLOOKUP(C9,Bolts!A:L,5,0)</f>
        <v xml:space="preserve"> </v>
      </c>
      <c r="G9" s="108" t="str">
        <f>VLOOKUP(C9,Bolts!A:L,6,0)</f>
        <v xml:space="preserve"> </v>
      </c>
      <c r="H9" s="108">
        <f>VLOOKUP(C9,Bolts!A:L,7,0)</f>
        <v>0</v>
      </c>
      <c r="I9" s="109"/>
      <c r="J9" s="46">
        <f>VLOOKUP(C9,Bolts!A:L,8,0)</f>
        <v>0</v>
      </c>
      <c r="K9" s="46">
        <f>VLOOKUP(C9,Bolts!A:L,9,0)</f>
        <v>0</v>
      </c>
      <c r="L9" s="46">
        <f>VLOOKUP(C9,Bolts!A:L,10,0)</f>
        <v>0</v>
      </c>
      <c r="M9" s="46">
        <f>VLOOKUP(C9,Bolts!A:L,11,0)</f>
        <v>0</v>
      </c>
      <c r="N9" s="130">
        <f>VLOOKUP(C9,Bolts!A:L,12,0)</f>
        <v>0</v>
      </c>
      <c r="O9" s="47">
        <f ca="1">B9*$L$2</f>
        <v>480</v>
      </c>
      <c r="P9" s="51">
        <f>VLOOKUP(C9,Bolts!A:B,2,FALSE)</f>
        <v>0</v>
      </c>
      <c r="Q9" s="52">
        <f>B9*P9</f>
        <v>0</v>
      </c>
    </row>
    <row r="10" spans="1:17" s="2" customFormat="1" ht="12" customHeight="1" thickBot="1" x14ac:dyDescent="0.3">
      <c r="A10" s="34"/>
      <c r="B10" s="35"/>
      <c r="C10" s="35"/>
      <c r="D10" s="316"/>
      <c r="E10" s="317"/>
      <c r="F10" s="35"/>
      <c r="G10" s="35"/>
      <c r="H10" s="309"/>
      <c r="I10" s="310"/>
      <c r="J10" s="36"/>
      <c r="K10" s="36"/>
      <c r="L10" s="36"/>
      <c r="M10" s="37"/>
      <c r="N10" s="132"/>
      <c r="O10" s="38"/>
      <c r="P10" s="99" t="s">
        <v>43</v>
      </c>
      <c r="Q10" s="104">
        <f>SUM(Q5:Q9)</f>
        <v>21.919999999999998</v>
      </c>
    </row>
    <row r="11" spans="1:17" s="2" customFormat="1" ht="12" customHeight="1" x14ac:dyDescent="0.2">
      <c r="D11" s="21"/>
      <c r="E11" s="21"/>
      <c r="J11" s="8"/>
      <c r="K11" s="8"/>
      <c r="L11" s="8"/>
      <c r="M11" s="8"/>
      <c r="N11" s="131"/>
      <c r="O11" s="5"/>
      <c r="P11" s="98"/>
      <c r="Q11" s="105"/>
    </row>
  </sheetData>
  <sheetProtection selectLockedCells="1"/>
  <mergeCells count="14">
    <mergeCell ref="D10:E10"/>
    <mergeCell ref="H10:I10"/>
    <mergeCell ref="D8:E8"/>
    <mergeCell ref="H8:I8"/>
    <mergeCell ref="D9:E9"/>
    <mergeCell ref="D6:E6"/>
    <mergeCell ref="H6:I6"/>
    <mergeCell ref="D7:E7"/>
    <mergeCell ref="H7:I7"/>
    <mergeCell ref="D1:E1"/>
    <mergeCell ref="D4:E4"/>
    <mergeCell ref="H4:I4"/>
    <mergeCell ref="D5:E5"/>
    <mergeCell ref="H5:I5"/>
  </mergeCells>
  <conditionalFormatting sqref="M6 M8:M9">
    <cfRule type="cellIs" dxfId="2060" priority="3" stopIfTrue="1" operator="lessThanOrEqual">
      <formula>$L6</formula>
    </cfRule>
    <cfRule type="cellIs" dxfId="2059" priority="4" operator="greaterThan">
      <formula>L6</formula>
    </cfRule>
  </conditionalFormatting>
  <conditionalFormatting sqref="M7">
    <cfRule type="cellIs" dxfId="2058" priority="1" stopIfTrue="1" operator="lessThanOrEqual">
      <formula>$L7</formula>
    </cfRule>
    <cfRule type="cellIs" dxfId="2057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85E1F3-0EBD-4AEB-BF4C-6060AE460C77}">
          <x14:formula1>
            <xm:f>Bolts!$A:$A</xm:f>
          </x14:formula1>
          <xm:sqref>C9</xm:sqref>
        </x14:dataValidation>
        <x14:dataValidation type="list" allowBlank="1" showInputMessage="1" showErrorMessage="1" xr:uid="{86B7DD1D-9048-4B31-BB77-B6A6CDB947DB}">
          <x14:formula1>
            <xm:f>Machined!$C:$C</xm:f>
          </x14:formula1>
          <xm:sqref>C5</xm:sqref>
        </x14:dataValidation>
        <x14:dataValidation type="list" allowBlank="1" showInputMessage="1" showErrorMessage="1" xr:uid="{ACB47CEA-C02C-4D81-8275-3B50E3BE5449}">
          <x14:formula1>
            <xm:f>Purchased!$A:$A</xm:f>
          </x14:formula1>
          <xm:sqref>C7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A2649-6D4A-4594-A22B-BEF91DE7559A}">
  <sheetPr codeName="Sheet23">
    <tabColor theme="6" tint="0.59999389629810485"/>
  </sheetPr>
  <dimension ref="A1:Q14"/>
  <sheetViews>
    <sheetView topLeftCell="B1" zoomScale="115" zoomScaleNormal="115" workbookViewId="0">
      <selection activeCell="D7" sqref="D7:E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'1.1'!C8</f>
        <v>PG10.1.1.4.0.A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'1.1'!D8</f>
        <v>Unwind Rail Assy</v>
      </c>
      <c r="D3" s="85" t="s">
        <v>50</v>
      </c>
      <c r="E3" s="86" t="str">
        <f ca="1">MID(CELL("filename",A1),FIND("]",CELL("filename",A1))+1,256)</f>
        <v>1.1.4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272">
        <v>1</v>
      </c>
      <c r="B5" s="20">
        <v>1</v>
      </c>
      <c r="C5" s="121" t="s">
        <v>177</v>
      </c>
      <c r="D5" s="314" t="str">
        <f>VLOOKUP(C5,Machined!C:X,2,0)</f>
        <v>Unwind Rail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12</v>
      </c>
      <c r="P5" s="49">
        <f>VLOOKUP(C5,Machined!C:F,3,0)</f>
        <v>72.5</v>
      </c>
      <c r="Q5" s="50">
        <f>B5*P5</f>
        <v>72.5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3</v>
      </c>
      <c r="C7" s="135" t="s">
        <v>172</v>
      </c>
      <c r="D7" s="325" t="str">
        <f>VLOOKUP(C7,Purchased!A:B,2,0)</f>
        <v>BRX GOTO T-NUT 10 M6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9" ca="1" si="0">B7*$L$2</f>
        <v>36</v>
      </c>
      <c r="P7" s="51">
        <f>VLOOKUP(C7,Purchased!A:D,3,FALSE)</f>
        <v>0.56000000000000005</v>
      </c>
      <c r="Q7" s="52">
        <f t="shared" ref="Q7:Q9" si="1">B7*P7</f>
        <v>1.6800000000000002</v>
      </c>
    </row>
    <row r="8" spans="1:17" s="2" customFormat="1" ht="12.75" customHeight="1" x14ac:dyDescent="0.25">
      <c r="A8" s="4">
        <v>302</v>
      </c>
      <c r="B8" s="2">
        <v>1</v>
      </c>
      <c r="C8" s="135" t="s">
        <v>3840</v>
      </c>
      <c r="D8" s="325" t="str">
        <f>VLOOKUP(C8,Purchased!A:B,2,0)</f>
        <v>Rexroth ball rail guide 25mm width 236mm L</v>
      </c>
      <c r="E8" s="326"/>
      <c r="F8" s="108" t="str">
        <f>IF(VLOOKUP($C8,Purchased!A:Z,11,0) = 0, " ", VLOOKUP($C8,Purchased!A:Z,11,0))</f>
        <v>Rexroth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>R160520131 L-236mm  T-28mm from GF12</v>
      </c>
      <c r="I8" s="328"/>
      <c r="J8" s="46">
        <f>IF(VLOOKUP($C8,Purchased!A:Z,14,0)=0, " ", VLOOKUP($C8,Purchased!A:Z,14,0))</f>
        <v>45456</v>
      </c>
      <c r="K8" s="46">
        <f>IF(VLOOKUP(C8,Purchased!A:R,14,0)=0, " ", VLOOKUP(C8,Purchased!A:R,14,0))</f>
        <v>45456</v>
      </c>
      <c r="L8" s="46">
        <f>IF(VLOOKUP(C8,Purchased!A:R,15,0)=0, " ", VLOOKUP(C8,Purchased!A:R,15,0))</f>
        <v>45456</v>
      </c>
      <c r="M8" s="46">
        <f>IF(VLOOKUP(C8,Purchased!A:R,16,0)=0, " ",VLOOKUP(C8,Purchased!A:R,16,0))</f>
        <v>45502</v>
      </c>
      <c r="N8" s="130">
        <f>IF(VLOOKUP(C8,Purchased!A:R,17,0)=0, " ", VLOOKUP(C8,Purchased!A:R,17,0))</f>
        <v>45505</v>
      </c>
      <c r="O8" s="47">
        <f t="shared" ca="1" si="0"/>
        <v>12</v>
      </c>
      <c r="P8" s="51">
        <f>VLOOKUP(C8,Purchased!A:D,3,FALSE)</f>
        <v>113.184</v>
      </c>
      <c r="Q8" s="52">
        <f t="shared" si="1"/>
        <v>113.184</v>
      </c>
    </row>
    <row r="9" spans="1:17" s="2" customFormat="1" ht="12.75" customHeight="1" x14ac:dyDescent="0.25">
      <c r="A9" s="4">
        <v>303</v>
      </c>
      <c r="B9" s="2">
        <v>2</v>
      </c>
      <c r="C9" s="135" t="s">
        <v>178</v>
      </c>
      <c r="D9" s="325" t="str">
        <f>VLOOKUP(C9,Purchased!A:B,2,0)</f>
        <v>10mm Dia 20mm L Steel Dowel Pin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>3 Additional Quantity Added to 55697</v>
      </c>
      <c r="I9" s="328"/>
      <c r="J9" s="46">
        <f>IF(VLOOKUP($C9,Purchased!A:Z,14,0)=0, " ", VLOOKUP($C9,Purchased!A:Z,14,0))</f>
        <v>45481</v>
      </c>
      <c r="K9" s="46">
        <f>IF(VLOOKUP(C9,Purchased!A:R,14,0)=0, " ", VLOOKUP(C9,Purchased!A:R,14,0))</f>
        <v>45481</v>
      </c>
      <c r="L9" s="46">
        <f>IF(VLOOKUP(C9,Purchased!A:R,15,0)=0, " ", VLOOKUP(C9,Purchased!A:R,15,0))</f>
        <v>45481</v>
      </c>
      <c r="M9" s="46">
        <f>IF(VLOOKUP(C9,Purchased!A:R,16,0)=0, " ",VLOOKUP(C9,Purchased!A:R,16,0))</f>
        <v>45482</v>
      </c>
      <c r="N9" s="130">
        <f>IF(VLOOKUP(C9,Purchased!A:R,17,0)=0, " ", VLOOKUP(C9,Purchased!A:R,17,0))</f>
        <v>45482</v>
      </c>
      <c r="O9" s="47">
        <f t="shared" ca="1" si="0"/>
        <v>24</v>
      </c>
      <c r="P9" s="51">
        <f>VLOOKUP(C9,Purchased!A:D,3,FALSE)</f>
        <v>10.57</v>
      </c>
      <c r="Q9" s="52">
        <f t="shared" si="1"/>
        <v>21.14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501</v>
      </c>
      <c r="B11" s="2">
        <v>3</v>
      </c>
      <c r="C11" s="122" t="s">
        <v>179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36</v>
      </c>
      <c r="P11" s="51">
        <f>VLOOKUP(C11,Bolts!A:B,2,FALSE)</f>
        <v>0</v>
      </c>
      <c r="Q11" s="52">
        <f>B11*P11</f>
        <v>0</v>
      </c>
    </row>
    <row r="12" spans="1:17" s="2" customFormat="1" ht="12.75" customHeight="1" thickBot="1" x14ac:dyDescent="0.3">
      <c r="A12" s="4">
        <v>502</v>
      </c>
      <c r="B12" s="2">
        <v>4</v>
      </c>
      <c r="C12" s="122" t="s">
        <v>180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48</v>
      </c>
      <c r="P12" s="51">
        <f>VLOOKUP(C12,Bolts!A:B,2,FALSE)</f>
        <v>0</v>
      </c>
      <c r="Q12" s="52">
        <f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208.50400000000002</v>
      </c>
    </row>
    <row r="14" spans="1:17" s="2" customFormat="1" ht="12" customHeight="1" x14ac:dyDescent="0.2">
      <c r="D14" s="21"/>
      <c r="E14" s="21"/>
      <c r="J14" s="8"/>
      <c r="K14" s="8"/>
      <c r="L14" s="8"/>
      <c r="M14" s="8"/>
      <c r="N14" s="131"/>
      <c r="O14" s="5"/>
      <c r="P14" s="98"/>
      <c r="Q14" s="105"/>
    </row>
  </sheetData>
  <sheetProtection selectLockedCells="1"/>
  <mergeCells count="19">
    <mergeCell ref="D13:E13"/>
    <mergeCell ref="H13:I13"/>
    <mergeCell ref="D9:E9"/>
    <mergeCell ref="H9:I9"/>
    <mergeCell ref="D10:E10"/>
    <mergeCell ref="H10:I10"/>
    <mergeCell ref="D11:E11"/>
    <mergeCell ref="D12:E12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6 M10:M12">
    <cfRule type="cellIs" dxfId="2056" priority="7" stopIfTrue="1" operator="lessThanOrEqual">
      <formula>$L6</formula>
    </cfRule>
    <cfRule type="cellIs" dxfId="2055" priority="8" operator="greaterThan">
      <formula>L6</formula>
    </cfRule>
  </conditionalFormatting>
  <conditionalFormatting sqref="M7">
    <cfRule type="cellIs" dxfId="2054" priority="5" stopIfTrue="1" operator="lessThanOrEqual">
      <formula>$L7</formula>
    </cfRule>
    <cfRule type="cellIs" dxfId="2053" priority="6" operator="greaterThan">
      <formula>L7</formula>
    </cfRule>
  </conditionalFormatting>
  <conditionalFormatting sqref="M8:M9">
    <cfRule type="cellIs" dxfId="2052" priority="1" stopIfTrue="1" operator="lessThanOrEqual">
      <formula>$L8</formula>
    </cfRule>
    <cfRule type="cellIs" dxfId="2051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2F2D5E-3A11-40E2-A3CE-E82AE35E477C}">
          <x14:formula1>
            <xm:f>Bolts!$A:$A</xm:f>
          </x14:formula1>
          <xm:sqref>C11:C12</xm:sqref>
        </x14:dataValidation>
        <x14:dataValidation type="list" allowBlank="1" showInputMessage="1" showErrorMessage="1" xr:uid="{CCD454E0-31F0-4D2F-BE80-4B473037DF0F}">
          <x14:formula1>
            <xm:f>Machined!$C:$C</xm:f>
          </x14:formula1>
          <xm:sqref>C5</xm:sqref>
        </x14:dataValidation>
        <x14:dataValidation type="list" allowBlank="1" showInputMessage="1" showErrorMessage="1" xr:uid="{BEFF6090-AC95-4FE9-BEA6-6BC4E9458953}">
          <x14:formula1>
            <xm:f>Purchased!$A:$A</xm:f>
          </x14:formula1>
          <xm:sqref>C7:C9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26CD-24C6-49B1-8381-7418A354AA94}">
  <sheetPr codeName="Sheet24">
    <tabColor theme="6" tint="0.59999389629810485"/>
    <pageSetUpPr fitToPage="1"/>
  </sheetPr>
  <dimension ref="A1:Q17"/>
  <sheetViews>
    <sheetView zoomScale="114" zoomScaleNormal="115" workbookViewId="0">
      <selection activeCell="D24" sqref="D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'1.1'!C9</f>
        <v>PG10.1.1.5.0.A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'1.1'!D9</f>
        <v>Edge Guide Actuator Assy</v>
      </c>
      <c r="D3" s="85" t="s">
        <v>50</v>
      </c>
      <c r="E3" s="86" t="str">
        <f ca="1">MID(CELL("filename",A1),FIND("]",CELL("filename",A1))+1,256)</f>
        <v>1.1.5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272">
        <v>1</v>
      </c>
      <c r="B5" s="20">
        <v>1</v>
      </c>
      <c r="C5" s="121" t="s">
        <v>181</v>
      </c>
      <c r="D5" s="314" t="str">
        <f>VLOOKUP(C5,Machined!C:X,2,0)</f>
        <v>Edge Guide Actuator Mount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2</v>
      </c>
      <c r="P5" s="49">
        <f>VLOOKUP(C5,Machined!C:F,3,0)</f>
        <v>135</v>
      </c>
      <c r="Q5" s="50">
        <f>B5*P5</f>
        <v>135</v>
      </c>
    </row>
    <row r="6" spans="1:17" s="2" customFormat="1" ht="12.75" customHeight="1" x14ac:dyDescent="0.25">
      <c r="A6" s="272">
        <v>2</v>
      </c>
      <c r="B6" s="20">
        <v>1</v>
      </c>
      <c r="C6" s="121" t="s">
        <v>182</v>
      </c>
      <c r="D6" s="314" t="str">
        <f>VLOOKUP(C6,Machined!C:X,2,0)</f>
        <v>Edge Guide Actuator Spacer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Big Sky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45434</v>
      </c>
      <c r="K6" s="44">
        <f>IF(VLOOKUP($C6,Machined!C:Z,19,0) = 0, " ", VLOOKUP($C6,Machined!C:Z,19,0))</f>
        <v>45435</v>
      </c>
      <c r="L6" s="44">
        <f>IF(VLOOKUP($C6,Machined!C:Z,20,0) = 0, " ", VLOOKUP($C6,Machined!C:Z,20,0))</f>
        <v>45467</v>
      </c>
      <c r="M6" s="44">
        <f>IF(VLOOKUP($C6,Machined!C:Z,21,0) = 0, " ", VLOOKUP($C6,Machined!C:Z,21,0))</f>
        <v>45467</v>
      </c>
      <c r="N6" s="129">
        <f>IF(VLOOKUP($C6,Machined!C:Z,22,0) = 0, " ", VLOOKUP($C6,Machined!C:Z,22,0))</f>
        <v>55523</v>
      </c>
      <c r="O6" s="45">
        <f t="shared" ref="O6" ca="1" si="0">B6*$L$2</f>
        <v>2</v>
      </c>
      <c r="P6" s="49">
        <f>VLOOKUP(C6,Machined!C:F,3,0)</f>
        <v>98</v>
      </c>
      <c r="Q6" s="50">
        <f t="shared" ref="Q6" si="1">B6*P6</f>
        <v>98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4">
        <v>301</v>
      </c>
      <c r="B8" s="2">
        <v>4</v>
      </c>
      <c r="C8" s="135">
        <v>3842528735</v>
      </c>
      <c r="D8" s="325" t="str">
        <f>VLOOKUP(C8,Purchased!A:B,2,0)</f>
        <v>T-SLOT STONE 10 M8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 t="str">
        <f>IF(VLOOKUP($C8,Purchased!A:Z,14,0)=0, " ", VLOOKUP($C8,Purchased!A:Z,14,0))</f>
        <v>N/A</v>
      </c>
      <c r="K8" s="46" t="str">
        <f>IF(VLOOKUP(C8,Purchased!A:R,14,0)=0, " ", VLOOKUP(C8,Purchased!A:R,14,0))</f>
        <v>N/A</v>
      </c>
      <c r="L8" s="46">
        <f>IF(VLOOKUP(C8,Purchased!A:R,15,0)=0, " ", VLOOKUP(C8,Purchased!A:R,15,0))</f>
        <v>45532</v>
      </c>
      <c r="M8" s="46">
        <f>IF(VLOOKUP(C8,Purchased!A:R,16,0)=0, " ",VLOOKUP(C8,Purchased!A:R,16,0))</f>
        <v>45561</v>
      </c>
      <c r="N8" s="130" t="str">
        <f>IF(VLOOKUP(C8,Purchased!A:R,17,0)=0, " ", VLOOKUP(C8,Purchased!A:R,17,0))</f>
        <v xml:space="preserve"> </v>
      </c>
      <c r="O8" s="47">
        <f t="shared" ref="O8:O10" ca="1" si="2">B8*$L$2</f>
        <v>8</v>
      </c>
      <c r="P8" s="51">
        <f>VLOOKUP(C8,Purchased!A:D,3,FALSE)</f>
        <v>0.86</v>
      </c>
      <c r="Q8" s="52">
        <f t="shared" ref="Q8:Q10" si="3">B8*P8</f>
        <v>3.44</v>
      </c>
    </row>
    <row r="9" spans="1:17" s="2" customFormat="1" ht="12.75" customHeight="1" x14ac:dyDescent="0.25">
      <c r="A9" s="4">
        <v>302</v>
      </c>
      <c r="B9" s="2">
        <v>2</v>
      </c>
      <c r="C9" s="135" t="s">
        <v>183</v>
      </c>
      <c r="D9" s="325" t="str">
        <f>VLOOKUP(C9,Purchased!A:B,2,0)</f>
        <v>12 mm Shoulder Diameter, 35 mm Shoulder Length, M10 x 1.5 mm Thread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45460</v>
      </c>
      <c r="K9" s="46">
        <f>IF(VLOOKUP(C9,Purchased!A:R,14,0)=0, " ", VLOOKUP(C9,Purchased!A:R,14,0))</f>
        <v>45460</v>
      </c>
      <c r="L9" s="46">
        <f>IF(VLOOKUP(C9,Purchased!A:R,15,0)=0, " ", VLOOKUP(C9,Purchased!A:R,15,0))</f>
        <v>45460</v>
      </c>
      <c r="M9" s="46">
        <f>IF(VLOOKUP(C9,Purchased!A:R,16,0)=0, " ",VLOOKUP(C9,Purchased!A:R,16,0))</f>
        <v>45462</v>
      </c>
      <c r="N9" s="130">
        <f>IF(VLOOKUP(C9,Purchased!A:R,17,0)=0, " ", VLOOKUP(C9,Purchased!A:R,17,0))</f>
        <v>45462</v>
      </c>
      <c r="O9" s="47">
        <f t="shared" ca="1" si="2"/>
        <v>4</v>
      </c>
      <c r="P9" s="51">
        <f>VLOOKUP(C9,Purchased!A:D,3,FALSE)</f>
        <v>4.07</v>
      </c>
      <c r="Q9" s="52">
        <f t="shared" si="3"/>
        <v>8.14</v>
      </c>
    </row>
    <row r="10" spans="1:17" s="2" customFormat="1" ht="12.75" customHeight="1" x14ac:dyDescent="0.25">
      <c r="A10" s="4">
        <v>303</v>
      </c>
      <c r="B10" s="2">
        <v>1</v>
      </c>
      <c r="C10" s="135" t="s">
        <v>184</v>
      </c>
      <c r="D10" s="325" t="str">
        <f>VLOOKUP(C10,Purchased!A:B,2,0)</f>
        <v>Actuator, Electrak HD, 24 Vdc, Dynamic Load: ball screw, 16 kN (3584 lbs), 
Max Stroke Length: 100 mm, Control: EXX + low-level signal motor switching1.5 
m long cables with flying leads</v>
      </c>
      <c r="E10" s="326"/>
      <c r="F10" s="108" t="str">
        <f>IF(VLOOKUP($C10,Purchased!A:Z,11,0) = 0, " ", VLOOKUP($C10,Purchased!A:Z,11,0))</f>
        <v>Thomson</v>
      </c>
      <c r="G10" s="108" t="str">
        <f>IF(VLOOKUP($C10,Purchased!A:Z,12,0)=0, " ", VLOOKUP($C10,Purchased!A:Z,12,0))</f>
        <v xml:space="preserve">Fiero 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45456</v>
      </c>
      <c r="K10" s="46">
        <f>IF(VLOOKUP(C10,Purchased!A:R,14,0)=0, " ", VLOOKUP(C10,Purchased!A:R,14,0))</f>
        <v>45456</v>
      </c>
      <c r="L10" s="46">
        <f>IF(VLOOKUP(C10,Purchased!A:R,15,0)=0, " ", VLOOKUP(C10,Purchased!A:R,15,0))</f>
        <v>45456</v>
      </c>
      <c r="M10" s="46">
        <f>IF(VLOOKUP(C10,Purchased!A:R,16,0)=0, " ",VLOOKUP(C10,Purchased!A:R,16,0))</f>
        <v>45498</v>
      </c>
      <c r="N10" s="130">
        <f>IF(VLOOKUP(C10,Purchased!A:R,17,0)=0, " ", VLOOKUP(C10,Purchased!A:R,17,0))</f>
        <v>45498</v>
      </c>
      <c r="O10" s="47">
        <f t="shared" ca="1" si="2"/>
        <v>2</v>
      </c>
      <c r="P10" s="51">
        <f>VLOOKUP(C10,Purchased!A:D,3,FALSE)</f>
        <v>1214.6600000000001</v>
      </c>
      <c r="Q10" s="52">
        <f t="shared" si="3"/>
        <v>1214.6600000000001</v>
      </c>
    </row>
    <row r="11" spans="1:17" s="2" customFormat="1" ht="12.75" customHeight="1" x14ac:dyDescent="0.25">
      <c r="A11" s="4">
        <v>304</v>
      </c>
      <c r="B11" s="2">
        <v>1</v>
      </c>
      <c r="C11" s="135" t="s">
        <v>185</v>
      </c>
      <c r="D11" s="325" t="str">
        <f>VLOOKUP(C11,Purchased!A:B,2,0)</f>
        <v>Aluminum Unthreaded Spacer 13 mm OD, 13 mm Long, for M5 Screw Size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45526</v>
      </c>
      <c r="K11" s="46">
        <f>IF(VLOOKUP(C11,Purchased!A:R,14,0)=0, " ", VLOOKUP(C11,Purchased!A:R,14,0))</f>
        <v>45526</v>
      </c>
      <c r="L11" s="46">
        <f>IF(VLOOKUP(C11,Purchased!A:R,15,0)=0, " ", VLOOKUP(C11,Purchased!A:R,15,0))</f>
        <v>45526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ca="1">B11*$L$2</f>
        <v>2</v>
      </c>
      <c r="P11" s="51">
        <f>VLOOKUP(C11,Purchased!A:D,3,FALSE)</f>
        <v>1.1599999999999999</v>
      </c>
      <c r="Q11" s="52">
        <f>B11*P11</f>
        <v>1.1599999999999999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4</v>
      </c>
      <c r="C13" s="122" t="s">
        <v>186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8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1</v>
      </c>
      <c r="C14" s="122" t="s">
        <v>187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2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thickBot="1" x14ac:dyDescent="0.3">
      <c r="A15" s="4">
        <v>503</v>
      </c>
      <c r="B15" s="2">
        <v>1</v>
      </c>
      <c r="C15" s="122" t="s">
        <v>188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2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1460.4</v>
      </c>
    </row>
    <row r="17" spans="4:5" s="2" customFormat="1" ht="12" customHeight="1" x14ac:dyDescent="0.2">
      <c r="D17" s="21"/>
      <c r="E17" s="21"/>
    </row>
  </sheetData>
  <sheetProtection selectLockedCells="1"/>
  <mergeCells count="24">
    <mergeCell ref="D16:E16"/>
    <mergeCell ref="H16:I16"/>
    <mergeCell ref="D10:E10"/>
    <mergeCell ref="H10:I10"/>
    <mergeCell ref="D12:E12"/>
    <mergeCell ref="H12:I12"/>
    <mergeCell ref="D13:E13"/>
    <mergeCell ref="D15:E15"/>
    <mergeCell ref="D14:E14"/>
    <mergeCell ref="D11:E11"/>
    <mergeCell ref="H11:I11"/>
    <mergeCell ref="D8:E8"/>
    <mergeCell ref="H8:I8"/>
    <mergeCell ref="D9:E9"/>
    <mergeCell ref="H9:I9"/>
    <mergeCell ref="D1:E1"/>
    <mergeCell ref="D4:E4"/>
    <mergeCell ref="H4:I4"/>
    <mergeCell ref="D5:E5"/>
    <mergeCell ref="H5:I5"/>
    <mergeCell ref="D6:E6"/>
    <mergeCell ref="H6:I6"/>
    <mergeCell ref="D7:E7"/>
    <mergeCell ref="H7:I7"/>
  </mergeCells>
  <conditionalFormatting sqref="M7 M12:M15">
    <cfRule type="cellIs" dxfId="2050" priority="7" stopIfTrue="1" operator="lessThanOrEqual">
      <formula>$L7</formula>
    </cfRule>
    <cfRule type="cellIs" dxfId="2049" priority="8" operator="greaterThan">
      <formula>L7</formula>
    </cfRule>
  </conditionalFormatting>
  <conditionalFormatting sqref="M8:M11">
    <cfRule type="cellIs" dxfId="2048" priority="1" stopIfTrue="1" operator="lessThanOrEqual">
      <formula>$L8</formula>
    </cfRule>
    <cfRule type="cellIs" dxfId="2047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9C8968F-799D-426C-B44D-74896A33E7CB}">
          <x14:formula1>
            <xm:f>Bolts!$A:$A</xm:f>
          </x14:formula1>
          <xm:sqref>C13:C15</xm:sqref>
        </x14:dataValidation>
        <x14:dataValidation type="list" allowBlank="1" showInputMessage="1" showErrorMessage="1" xr:uid="{A7F75415-13CC-4DB7-BC22-EBD1C081281E}">
          <x14:formula1>
            <xm:f>Machined!$C:$C</xm:f>
          </x14:formula1>
          <xm:sqref>C5:C6</xm:sqref>
        </x14:dataValidation>
        <x14:dataValidation type="list" allowBlank="1" showInputMessage="1" showErrorMessage="1" xr:uid="{0C607EAC-0066-48C3-B529-58B72CC9D40D}">
          <x14:formula1>
            <xm:f>Purchased!$A:$A</xm:f>
          </x14:formula1>
          <xm:sqref>C8:C11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360EA-9C73-46F6-A0E4-78CD5E7348DB}">
  <sheetPr codeName="Sheet25">
    <tabColor theme="6" tint="0.59999389629810485"/>
  </sheetPr>
  <dimension ref="A1:Q21"/>
  <sheetViews>
    <sheetView zoomScale="112" zoomScaleNormal="115" workbookViewId="0">
      <selection activeCell="E27" sqref="E2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0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'1.1'!C10</f>
        <v>PG10.1.1.6.0.A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'1.1'!D10</f>
        <v>Edge Guide Eye Assy</v>
      </c>
      <c r="D3" s="85" t="s">
        <v>50</v>
      </c>
      <c r="E3" s="86" t="str">
        <f ca="1">MID(CELL("filename",A1),FIND("]",CELL("filename",A1))+1,256)</f>
        <v>1.1.6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25">
      <c r="A4" s="90" t="s">
        <v>13</v>
      </c>
      <c r="B4" s="91" t="s">
        <v>14</v>
      </c>
      <c r="C4" s="91" t="s">
        <v>15</v>
      </c>
      <c r="D4" s="338" t="s">
        <v>16</v>
      </c>
      <c r="E4" s="338"/>
      <c r="F4" s="119" t="s">
        <v>17</v>
      </c>
      <c r="G4" s="91" t="s">
        <v>18</v>
      </c>
      <c r="H4" s="340" t="s">
        <v>19</v>
      </c>
      <c r="I4" s="340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272">
        <v>1</v>
      </c>
      <c r="B5" s="20">
        <v>1</v>
      </c>
      <c r="C5" s="121" t="s">
        <v>189</v>
      </c>
      <c r="D5" s="336" t="str">
        <f>VLOOKUP(C5,Machined!C:X,2,0)</f>
        <v>Sensor Mount</v>
      </c>
      <c r="E5" s="337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45435</v>
      </c>
      <c r="K5" s="44">
        <f>IF(VLOOKUP($C5,Machined!C:Z,19,0) = 0, " ", VLOOKUP($C5,Machined!C:Z,19,0))</f>
        <v>45453</v>
      </c>
      <c r="L5" s="44">
        <f>IF(VLOOKUP($C5,Machined!C:Z,20,0) = 0, " ", VLOOKUP($C5,Machined!C:Z,20,0))</f>
        <v>45490</v>
      </c>
      <c r="M5" s="44">
        <f>IF(VLOOKUP($C5,Machined!C:Z,21,0) = 0, " ", VLOOKUP($C5,Machined!C:Z,21,0))</f>
        <v>45490</v>
      </c>
      <c r="N5" s="129">
        <f>IF(VLOOKUP($C5,Machined!C:Z,22,0) = 0, " ", VLOOKUP($C5,Machined!C:Z,22,0))</f>
        <v>55545</v>
      </c>
      <c r="O5" s="45">
        <f ca="1">B5*$L$2</f>
        <v>2</v>
      </c>
      <c r="P5" s="49">
        <f>VLOOKUP(C5,Machined!C:F,3,0)</f>
        <v>139.30000000000001</v>
      </c>
      <c r="Q5" s="50">
        <f>B5*P5</f>
        <v>139.30000000000001</v>
      </c>
    </row>
    <row r="6" spans="1:17" s="2" customFormat="1" ht="12.75" customHeight="1" x14ac:dyDescent="0.25">
      <c r="A6" s="272">
        <v>2</v>
      </c>
      <c r="B6" s="20">
        <v>1</v>
      </c>
      <c r="C6" s="121" t="s">
        <v>190</v>
      </c>
      <c r="D6" s="314" t="str">
        <f>VLOOKUP(C6,Machined!C:X,2,0)</f>
        <v>Sensor Mount Plate</v>
      </c>
      <c r="E6" s="315"/>
      <c r="F6" s="107" t="str">
        <f>VLOOKUP($C6,Machined!C:Z,13,0)</f>
        <v>6061-T6 ALUMINUM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45435</v>
      </c>
      <c r="K6" s="44">
        <f>IF(VLOOKUP($C6,Machined!C:Z,19,0) = 0, " ", VLOOKUP($C6,Machined!C:Z,19,0))</f>
        <v>45453</v>
      </c>
      <c r="L6" s="44">
        <f>IF(VLOOKUP($C6,Machined!C:Z,20,0) = 0, " ", VLOOKUP($C6,Machined!C:Z,20,0))</f>
        <v>45490</v>
      </c>
      <c r="M6" s="44">
        <f>IF(VLOOKUP($C6,Machined!C:Z,21,0) = 0, " ", VLOOKUP($C6,Machined!C:Z,21,0))</f>
        <v>45490</v>
      </c>
      <c r="N6" s="129">
        <f>IF(VLOOKUP($C6,Machined!C:Z,22,0) = 0, " ", VLOOKUP($C6,Machined!C:Z,22,0))</f>
        <v>55545</v>
      </c>
      <c r="O6" s="45">
        <f t="shared" ref="O6:O7" ca="1" si="0">B6*$L$2</f>
        <v>2</v>
      </c>
      <c r="P6" s="49">
        <f>VLOOKUP(C6,Machined!C:F,3,0)</f>
        <v>97.3</v>
      </c>
      <c r="Q6" s="50">
        <f t="shared" ref="Q6:Q7" si="1">B6*P6</f>
        <v>97.3</v>
      </c>
    </row>
    <row r="7" spans="1:17" s="2" customFormat="1" ht="12.75" customHeight="1" x14ac:dyDescent="0.25">
      <c r="A7" s="272">
        <v>3</v>
      </c>
      <c r="B7" s="20">
        <v>1</v>
      </c>
      <c r="C7" s="121" t="s">
        <v>191</v>
      </c>
      <c r="D7" s="314" t="str">
        <f>VLOOKUP(C7,Machined!C:X,2,0)</f>
        <v>Sensor Mount Gussy</v>
      </c>
      <c r="E7" s="315"/>
      <c r="F7" s="107" t="str">
        <f>VLOOKUP($C7,Machined!C:Z,13,0)</f>
        <v>6061-T6 ALUMINUM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45435</v>
      </c>
      <c r="K7" s="44">
        <f>IF(VLOOKUP($C7,Machined!C:Z,19,0) = 0, " ", VLOOKUP($C7,Machined!C:Z,19,0))</f>
        <v>45453</v>
      </c>
      <c r="L7" s="44">
        <f>IF(VLOOKUP($C7,Machined!C:Z,20,0) = 0, " ", VLOOKUP($C7,Machined!C:Z,20,0))</f>
        <v>45490</v>
      </c>
      <c r="M7" s="44">
        <f>IF(VLOOKUP($C7,Machined!C:Z,21,0) = 0, " ", VLOOKUP($C7,Machined!C:Z,21,0))</f>
        <v>45490</v>
      </c>
      <c r="N7" s="129">
        <f>IF(VLOOKUP($C7,Machined!C:Z,22,0) = 0, " ", VLOOKUP($C7,Machined!C:Z,22,0))</f>
        <v>55545</v>
      </c>
      <c r="O7" s="45">
        <f t="shared" ca="1" si="0"/>
        <v>2</v>
      </c>
      <c r="P7" s="49">
        <f>VLOOKUP(C7,Machined!C:F,3,0)</f>
        <v>115.85</v>
      </c>
      <c r="Q7" s="50">
        <f t="shared" si="1"/>
        <v>115.85</v>
      </c>
    </row>
    <row r="8" spans="1:17" s="2" customFormat="1" ht="12.75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4">
        <v>301</v>
      </c>
      <c r="B9" s="2">
        <v>1</v>
      </c>
      <c r="C9" s="135" t="s">
        <v>192</v>
      </c>
      <c r="D9" s="325" t="str">
        <f>VLOOKUP(C9,Purchased!A:B,2,0)</f>
        <v>BRX GOTO T-SLOT STONE 10 M6</v>
      </c>
      <c r="E9" s="342"/>
      <c r="F9" s="108" t="str">
        <f>IF(VLOOKUP($C9,Purchased!A:Z,11,0) = 0, " ", VLOOKUP($C9,Purchased!A:Z,11,0))</f>
        <v>BRX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 t="str">
        <f>IF(VLOOKUP($C9,Purchased!A:Z,14,0)=0, " ", VLOOKUP($C9,Purchased!A:Z,14,0))</f>
        <v>N/A</v>
      </c>
      <c r="K9" s="46" t="str">
        <f>IF(VLOOKUP(C9,Purchased!A:R,14,0)=0, " ", VLOOKUP(C9,Purchased!A:R,14,0))</f>
        <v>N/A</v>
      </c>
      <c r="L9" s="46">
        <f>IF(VLOOKUP(C9,Purchased!A:R,15,0)=0, " ", VLOOKUP(C9,Purchased!A:R,15,0))</f>
        <v>45532</v>
      </c>
      <c r="M9" s="46">
        <f>IF(VLOOKUP(C9,Purchased!A:R,16,0)=0, " ",VLOOKUP(C9,Purchased!A:R,16,0))</f>
        <v>45561</v>
      </c>
      <c r="N9" s="130" t="str">
        <f>IF(VLOOKUP(C9,Purchased!A:R,17,0)=0, " ", VLOOKUP(C9,Purchased!A:R,17,0))</f>
        <v xml:space="preserve"> </v>
      </c>
      <c r="O9" s="47">
        <f t="shared" ref="O9:O11" ca="1" si="2">B9*$L$2</f>
        <v>2</v>
      </c>
      <c r="P9" s="51">
        <f>VLOOKUP(C9,Purchased!A:D,3,FALSE)</f>
        <v>0.86</v>
      </c>
      <c r="Q9" s="52">
        <f t="shared" ref="Q9:Q11" si="3">B9*P9</f>
        <v>0.86</v>
      </c>
    </row>
    <row r="10" spans="1:17" s="2" customFormat="1" ht="12.75" customHeight="1" x14ac:dyDescent="0.25">
      <c r="A10" s="4">
        <v>302</v>
      </c>
      <c r="B10" s="2">
        <v>1</v>
      </c>
      <c r="C10" s="135" t="s">
        <v>193</v>
      </c>
      <c r="D10" s="325" t="str">
        <f>VLOOKUP(C10,Purchased!A:B,2,0)</f>
        <v>GN 300.1-45-M6-16-SW M6 adjustable handle w threaded bolt</v>
      </c>
      <c r="E10" s="342"/>
      <c r="F10" s="108" t="str">
        <f>IF(VLOOKUP($C10,Purchased!A:Z,11,0) = 0, " ", VLOOKUP($C10,Purchased!A:Z,11,0))</f>
        <v>ELESA</v>
      </c>
      <c r="G10" s="108" t="str">
        <f>IF(VLOOKUP($C10,Purchased!A:Z,12,0)=0, " ", VLOOKUP($C10,Purchased!A:Z,12,0))</f>
        <v>ELESA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45506</v>
      </c>
      <c r="K10" s="46">
        <f>IF(VLOOKUP(C10,Purchased!A:R,14,0)=0, " ", VLOOKUP(C10,Purchased!A:R,14,0))</f>
        <v>45506</v>
      </c>
      <c r="L10" s="46">
        <f>IF(VLOOKUP(C10,Purchased!A:R,15,0)=0, " ", VLOOKUP(C10,Purchased!A:R,15,0))</f>
        <v>45526</v>
      </c>
      <c r="M10" s="46">
        <f>IF(VLOOKUP(C10,Purchased!A:R,16,0)=0, " ",VLOOKUP(C10,Purchased!A:R,16,0))</f>
        <v>45551</v>
      </c>
      <c r="N10" s="130">
        <f>IF(VLOOKUP(C10,Purchased!A:R,17,0)=0, " ", VLOOKUP(C10,Purchased!A:R,17,0))</f>
        <v>45551</v>
      </c>
      <c r="O10" s="47">
        <f t="shared" ca="1" si="2"/>
        <v>2</v>
      </c>
      <c r="P10" s="51">
        <f>VLOOKUP(C10,Purchased!A:D,3,FALSE)</f>
        <v>8.58</v>
      </c>
      <c r="Q10" s="52">
        <f t="shared" si="3"/>
        <v>8.58</v>
      </c>
    </row>
    <row r="11" spans="1:17" s="2" customFormat="1" ht="12.75" customHeight="1" x14ac:dyDescent="0.25">
      <c r="A11" s="4">
        <v>303</v>
      </c>
      <c r="B11" s="2">
        <v>1</v>
      </c>
      <c r="C11" s="135" t="s">
        <v>194</v>
      </c>
      <c r="D11" s="325" t="str">
        <f>VLOOKUP(C11,Purchased!A:B,2,0)</f>
        <v>Keyence Sensor head, Retro-reflective model, Area type Magnified beam, long-
distance area</v>
      </c>
      <c r="E11" s="342"/>
      <c r="F11" s="108" t="str">
        <f>IF(VLOOKUP($C11,Purchased!A:Z,11,0) = 0, " ", VLOOKUP($C11,Purchased!A:Z,11,0))</f>
        <v>KEYENCE</v>
      </c>
      <c r="G11" s="108" t="str">
        <f>IF(VLOOKUP($C11,Purchased!A:Z,12,0)=0, " ", VLOOKUP($C11,Purchased!A:Z,12,0))</f>
        <v>KEYENCE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45516</v>
      </c>
      <c r="K11" s="46">
        <f>IF(VLOOKUP(C11,Purchased!A:R,14,0)=0, " ", VLOOKUP(C11,Purchased!A:R,14,0))</f>
        <v>45516</v>
      </c>
      <c r="L11" s="46">
        <f>IF(VLOOKUP(C11,Purchased!A:R,15,0)=0, " ", VLOOKUP(C11,Purchased!A:R,15,0))</f>
        <v>45518</v>
      </c>
      <c r="M11" s="46">
        <f>IF(VLOOKUP(C11,Purchased!A:R,16,0)=0, " ",VLOOKUP(C11,Purchased!A:R,16,0))</f>
        <v>45526</v>
      </c>
      <c r="N11" s="130">
        <f>IF(VLOOKUP(C11,Purchased!A:R,17,0)=0, " ", VLOOKUP(C11,Purchased!A:R,17,0))</f>
        <v>45526</v>
      </c>
      <c r="O11" s="47">
        <f t="shared" ca="1" si="2"/>
        <v>2</v>
      </c>
      <c r="P11" s="51">
        <f>VLOOKUP(C11,Purchased!A:D,3,FALSE)</f>
        <v>353</v>
      </c>
      <c r="Q11" s="52">
        <f t="shared" si="3"/>
        <v>353</v>
      </c>
    </row>
    <row r="12" spans="1:17" s="2" customFormat="1" ht="12.75" customHeight="1" x14ac:dyDescent="0.25">
      <c r="A12" s="4">
        <v>304</v>
      </c>
      <c r="B12" s="2">
        <v>1</v>
      </c>
      <c r="C12" s="135" t="s">
        <v>195</v>
      </c>
      <c r="D12" s="343" t="str">
        <f>VLOOKUP(C12,Purchased!A:B,2,0)</f>
        <v>Keyence Individually purchased retro-reflector</v>
      </c>
      <c r="E12" s="345"/>
      <c r="F12" s="108" t="str">
        <f>IF(VLOOKUP($C12,Purchased!A:Z,11,0) = 0, " ", VLOOKUP($C12,Purchased!A:Z,11,0))</f>
        <v>KEYENCE</v>
      </c>
      <c r="G12" s="108" t="str">
        <f>IF(VLOOKUP($C12,Purchased!A:Z,12,0)=0, " ", VLOOKUP($C12,Purchased!A:Z,12,0))</f>
        <v>KEYENCE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45516</v>
      </c>
      <c r="K12" s="46">
        <f>IF(VLOOKUP(C12,Purchased!A:R,14,0)=0, " ", VLOOKUP(C12,Purchased!A:R,14,0))</f>
        <v>45516</v>
      </c>
      <c r="L12" s="46">
        <f>IF(VLOOKUP(C12,Purchased!A:R,15,0)=0, " ", VLOOKUP(C12,Purchased!A:R,15,0))</f>
        <v>45518</v>
      </c>
      <c r="M12" s="46">
        <f>IF(VLOOKUP(C12,Purchased!A:R,16,0)=0, " ",VLOOKUP(C12,Purchased!A:R,16,0))</f>
        <v>45526</v>
      </c>
      <c r="N12" s="130">
        <f>IF(VLOOKUP(C12,Purchased!A:R,17,0)=0, " ", VLOOKUP(C12,Purchased!A:R,17,0))</f>
        <v>45526</v>
      </c>
      <c r="O12" s="47">
        <f t="shared" ref="O12" ca="1" si="4">B12*$L$2</f>
        <v>2</v>
      </c>
      <c r="P12" s="51">
        <f>VLOOKUP(C12,Purchased!A:D,3,FALSE)</f>
        <v>60</v>
      </c>
      <c r="Q12" s="52">
        <f t="shared" ref="Q12" si="5">B12*P12</f>
        <v>60</v>
      </c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.75" customHeight="1" x14ac:dyDescent="0.25">
      <c r="A14" s="4">
        <v>501</v>
      </c>
      <c r="B14" s="2">
        <v>2</v>
      </c>
      <c r="C14" s="122" t="s">
        <v>180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4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x14ac:dyDescent="0.25">
      <c r="A15" s="4">
        <v>502</v>
      </c>
      <c r="B15" s="2">
        <v>5</v>
      </c>
      <c r="C15" s="122" t="s">
        <v>196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ref="O15:O17" ca="1" si="6">B15*$L$2</f>
        <v>10</v>
      </c>
      <c r="P15" s="51">
        <f>VLOOKUP(C15,Bolts!A:B,2,FALSE)</f>
        <v>0</v>
      </c>
      <c r="Q15" s="52">
        <f t="shared" ref="Q15:Q17" si="7">B15*P15</f>
        <v>0</v>
      </c>
    </row>
    <row r="16" spans="1:17" s="2" customFormat="1" ht="12.75" customHeight="1" x14ac:dyDescent="0.25">
      <c r="A16" s="4">
        <v>503</v>
      </c>
      <c r="B16" s="2">
        <v>2</v>
      </c>
      <c r="C16" s="122" t="s">
        <v>197</v>
      </c>
      <c r="D16" s="158"/>
      <c r="E16" s="159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ca="1" si="6"/>
        <v>4</v>
      </c>
      <c r="P16" s="51">
        <f>VLOOKUP(C16,Bolts!A:B,2,FALSE)</f>
        <v>0</v>
      </c>
      <c r="Q16" s="52">
        <f t="shared" si="7"/>
        <v>0</v>
      </c>
    </row>
    <row r="17" spans="1:17" s="2" customFormat="1" ht="12.75" customHeight="1" x14ac:dyDescent="0.25">
      <c r="A17" s="4">
        <v>504</v>
      </c>
      <c r="B17" s="2">
        <v>2</v>
      </c>
      <c r="C17" s="122" t="s">
        <v>198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6"/>
        <v>4</v>
      </c>
      <c r="P17" s="51">
        <f>VLOOKUP(C17,Bolts!A:B,2,FALSE)</f>
        <v>0</v>
      </c>
      <c r="Q17" s="52">
        <f t="shared" si="7"/>
        <v>0</v>
      </c>
    </row>
    <row r="18" spans="1:17" s="2" customFormat="1" ht="12.75" customHeight="1" thickBot="1" x14ac:dyDescent="0.3">
      <c r="A18" s="4">
        <v>505</v>
      </c>
      <c r="B18" s="2">
        <v>3</v>
      </c>
      <c r="C18" s="122" t="s">
        <v>199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6</v>
      </c>
      <c r="P18" s="51">
        <f>VLOOKUP(C18,Bolts!A:B,2,FALSE)</f>
        <v>0</v>
      </c>
      <c r="Q18" s="52">
        <f>B18*P18</f>
        <v>0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SUM(Q5:Q18)</f>
        <v>774.8900000000001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  <row r="21" spans="1:17" x14ac:dyDescent="0.25">
      <c r="C21" s="122" t="s">
        <v>200</v>
      </c>
    </row>
  </sheetData>
  <sheetProtection selectLockedCells="1"/>
  <mergeCells count="25">
    <mergeCell ref="D19:E19"/>
    <mergeCell ref="H19:I19"/>
    <mergeCell ref="D11:E11"/>
    <mergeCell ref="H11:I11"/>
    <mergeCell ref="D13:E13"/>
    <mergeCell ref="H13:I13"/>
    <mergeCell ref="D14:E14"/>
    <mergeCell ref="D18:E18"/>
    <mergeCell ref="D12:E12"/>
    <mergeCell ref="H12:I12"/>
    <mergeCell ref="D9:E9"/>
    <mergeCell ref="H9:I9"/>
    <mergeCell ref="D10:E10"/>
    <mergeCell ref="H10:I10"/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</mergeCells>
  <conditionalFormatting sqref="M8 M13:M18">
    <cfRule type="cellIs" dxfId="2046" priority="9" stopIfTrue="1" operator="lessThanOrEqual">
      <formula>$L8</formula>
    </cfRule>
    <cfRule type="cellIs" dxfId="2045" priority="10" operator="greaterThan">
      <formula>L8</formula>
    </cfRule>
  </conditionalFormatting>
  <conditionalFormatting sqref="M9:M12">
    <cfRule type="cellIs" dxfId="2044" priority="1" stopIfTrue="1" operator="lessThanOrEqual">
      <formula>$L9</formula>
    </cfRule>
    <cfRule type="cellIs" dxfId="2043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5D23646-E475-4715-9BAE-F17714D19FFE}">
          <x14:formula1>
            <xm:f>Bolts!$A:$A</xm:f>
          </x14:formula1>
          <xm:sqref>C12:C13</xm:sqref>
        </x14:dataValidation>
        <x14:dataValidation type="list" allowBlank="1" showInputMessage="1" showErrorMessage="1" xr:uid="{B89A2694-7C94-4911-9EBD-0D3ED9ED4282}">
          <x14:formula1>
            <xm:f>Machined!$C:$C</xm:f>
          </x14:formula1>
          <xm:sqref>C5:C7</xm:sqref>
        </x14:dataValidation>
        <x14:dataValidation type="list" allowBlank="1" showInputMessage="1" showErrorMessage="1" xr:uid="{D207DC8A-71DB-4751-A23C-97C6B9496A85}">
          <x14:formula1>
            <xm:f>Purchased!$A:$A</xm:f>
          </x14:formula1>
          <xm:sqref>C9:C12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F99DD-E7EC-4D3C-86A1-5015248C042C}">
  <sheetPr codeName="Sheet26">
    <tabColor theme="6" tint="0.59999389629810485"/>
  </sheetPr>
  <dimension ref="A1:Q19"/>
  <sheetViews>
    <sheetView zoomScale="115" zoomScaleNormal="115" workbookViewId="0">
      <selection activeCell="E24" sqref="E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'1.1'!C11</f>
        <v>PG10.1.1.7.0.A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'1.1'!D11</f>
        <v>Static Dancer Roller Assy</v>
      </c>
      <c r="D3" s="85" t="s">
        <v>50</v>
      </c>
      <c r="E3" s="86" t="str">
        <f ca="1">MID(CELL("filename",A1),FIND("]",CELL("filename",A1))+1,256)</f>
        <v>1.1.7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201</v>
      </c>
      <c r="D5" s="314" t="str">
        <f>VLOOKUP(C5,Machined!C:X,2,0)</f>
        <v>Unwind Roller Upper Bracket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4</v>
      </c>
      <c r="P5" s="49">
        <f>VLOOKUP(C5,Machined!C:F,3,0)</f>
        <v>155</v>
      </c>
      <c r="Q5" s="50">
        <f>B5*P5</f>
        <v>310</v>
      </c>
    </row>
    <row r="6" spans="1:17" s="2" customFormat="1" ht="12.75" customHeight="1" x14ac:dyDescent="0.25">
      <c r="A6" s="77">
        <v>2</v>
      </c>
      <c r="B6" s="20">
        <v>2</v>
      </c>
      <c r="C6" s="121" t="s">
        <v>202</v>
      </c>
      <c r="D6" s="314" t="str">
        <f>VLOOKUP(C6,Machined!C:X,2,0)</f>
        <v>Unwind Roller Clamp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MtnStatesAuto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55569</v>
      </c>
      <c r="O6" s="45">
        <f t="shared" ref="O6:O7" ca="1" si="0">B6*$L$2</f>
        <v>4</v>
      </c>
      <c r="P6" s="49">
        <f>VLOOKUP(C6,Machined!C:F,3,0)</f>
        <v>88.2</v>
      </c>
      <c r="Q6" s="50">
        <f t="shared" ref="Q6:Q7" si="1">B6*P6</f>
        <v>176.4</v>
      </c>
    </row>
    <row r="7" spans="1:17" s="2" customFormat="1" ht="12.75" customHeight="1" x14ac:dyDescent="0.25">
      <c r="A7" s="77">
        <v>3</v>
      </c>
      <c r="B7" s="20">
        <v>4</v>
      </c>
      <c r="C7" s="121" t="s">
        <v>167</v>
      </c>
      <c r="D7" s="314" t="str">
        <f>VLOOKUP(C7,Machined!C:X,2,0)</f>
        <v>BONNELL EXTRUDED ROLLER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 xml:space="preserve"> </v>
      </c>
      <c r="H7" s="320" t="str">
        <f>IF(VLOOKUP($C7,Machined!C:Z,17,0) = 0, " ", VLOOKUP($C7,Machined!C:Z,17,0))</f>
        <v>42 from GF12</v>
      </c>
      <c r="I7" s="321" t="str">
        <f>IF(VLOOKUP($C7,Machined!$C:$Y,13,0) = 0, " ", VLOOKUP($C7,Machined!$C:$Y,13,0))</f>
        <v>6061-T6 ALUMINUM</v>
      </c>
      <c r="J7" s="44" t="str">
        <f>IF(VLOOKUP($C7,Machined!C:Z,18,0) = 0, " ", VLOOKUP($C7,Machined!C:Z,18,0))</f>
        <v xml:space="preserve"> 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t="shared" ca="1" si="0"/>
        <v>8</v>
      </c>
      <c r="P7" s="49">
        <f>VLOOKUP(C7,Machined!C:F,3,0)</f>
        <v>54.27</v>
      </c>
      <c r="Q7" s="50">
        <f t="shared" si="1"/>
        <v>217.08</v>
      </c>
    </row>
    <row r="8" spans="1:17" s="2" customFormat="1" ht="12.75" customHeight="1" x14ac:dyDescent="0.25">
      <c r="A8" s="77">
        <v>4</v>
      </c>
      <c r="B8" s="20">
        <v>4</v>
      </c>
      <c r="C8" s="121" t="s">
        <v>168</v>
      </c>
      <c r="D8" s="314" t="str">
        <f>VLOOKUP(C8,Machined!C:X,2,0)</f>
        <v>ROLLER SHAFT</v>
      </c>
      <c r="E8" s="329"/>
      <c r="F8" s="107" t="str">
        <f>VLOOKUP($C8,Machined!C:Z,13,0)</f>
        <v>303 TG&amp;P, ROUND STOCK, -0.0005</v>
      </c>
      <c r="G8" s="44" t="str">
        <f>IF(VLOOKUP($C8,Machined!C:Z,16,0) = 0, " ", VLOOKUP($C8,Machined!C:Z,16,0))</f>
        <v>Nuline</v>
      </c>
      <c r="H8" s="320" t="str">
        <f>IF(VLOOKUP($C8,Machined!C:Z,17,0) = 0, " ", VLOOKUP($C8,Machined!C:Z,17,0))</f>
        <v>Material P.O. 55555</v>
      </c>
      <c r="I8" s="321" t="str">
        <f>IF(VLOOKUP($C8,Machined!$C:$Y,13,0) = 0, " ", VLOOKUP($C8,Machined!$C:$Y,13,0))</f>
        <v>303 TG&amp;P, ROUND STOCK, -0.0005</v>
      </c>
      <c r="J8" s="44" t="str">
        <f>IF(VLOOKUP($C8,Machined!C:Z,18,0) = 0, " ", VLOOKUP($C8,Machined!C:Z,18,0))</f>
        <v xml:space="preserve"> </v>
      </c>
      <c r="K8" s="44" t="str">
        <f>IF(VLOOKUP($C8,Machined!C:Z,19,0) = 0, " ", VLOOKUP($C8,Machined!C:Z,19,0))</f>
        <v xml:space="preserve"> </v>
      </c>
      <c r="L8" s="44">
        <f>IF(VLOOKUP($C8,Machined!C:Z,20,0) = 0, " ", VLOOKUP($C8,Machined!C:Z,20,0))</f>
        <v>45520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55555</v>
      </c>
      <c r="O8" s="45">
        <f t="shared" ref="O8:O9" ca="1" si="2">B8*$L$2</f>
        <v>8</v>
      </c>
      <c r="P8" s="49">
        <f>VLOOKUP(C8,Machined!C:F,3,0)</f>
        <v>0</v>
      </c>
      <c r="Q8" s="50">
        <f t="shared" ref="Q8:Q9" si="3">B8*P8</f>
        <v>0</v>
      </c>
    </row>
    <row r="9" spans="1:17" s="2" customFormat="1" ht="12.75" customHeight="1" x14ac:dyDescent="0.25">
      <c r="A9" s="77">
        <v>5</v>
      </c>
      <c r="B9" s="20">
        <v>8</v>
      </c>
      <c r="C9" s="121" t="s">
        <v>169</v>
      </c>
      <c r="D9" s="314" t="str">
        <f>VLOOKUP(C9,Machined!C:X,2,0)</f>
        <v>ROLLER CAP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WescoBHT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45463</v>
      </c>
      <c r="K9" s="44">
        <f>IF(VLOOKUP($C9,Machined!C:Z,19,0) = 0, " ", VLOOKUP($C9,Machined!C:Z,19,0))</f>
        <v>45483</v>
      </c>
      <c r="L9" s="44">
        <f>IF(VLOOKUP($C9,Machined!C:Z,20,0) = 0, " ", VLOOKUP($C9,Machined!C:Z,20,0))</f>
        <v>45513</v>
      </c>
      <c r="M9" s="44">
        <f>IF(VLOOKUP($C9,Machined!C:Z,21,0) = 0, " ", VLOOKUP($C9,Machined!C:Z,21,0))</f>
        <v>45513</v>
      </c>
      <c r="N9" s="129">
        <f>IF(VLOOKUP($C9,Machined!C:Z,22,0) = 0, " ", VLOOKUP($C9,Machined!C:Z,22,0))</f>
        <v>55593</v>
      </c>
      <c r="O9" s="45">
        <f t="shared" ca="1" si="2"/>
        <v>16</v>
      </c>
      <c r="P9" s="49">
        <f>VLOOKUP(C9,Machined!C:F,3,0)</f>
        <v>4.8</v>
      </c>
      <c r="Q9" s="50">
        <f t="shared" si="3"/>
        <v>38.4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:O12" ca="1" si="4">B11*$L$2</f>
        <v>16</v>
      </c>
      <c r="P11" s="51">
        <f>VLOOKUP(C11,Purchased!A:D,3,FALSE)</f>
        <v>0.56000000000000005</v>
      </c>
      <c r="Q11" s="52">
        <f t="shared" ref="Q11:Q12" si="5">B11*P11</f>
        <v>4.4800000000000004</v>
      </c>
    </row>
    <row r="12" spans="1:17" s="2" customFormat="1" ht="12.75" customHeight="1" x14ac:dyDescent="0.25">
      <c r="A12" s="4">
        <v>302</v>
      </c>
      <c r="B12" s="2">
        <v>8</v>
      </c>
      <c r="C12" s="135" t="s">
        <v>173</v>
      </c>
      <c r="D12" s="325" t="str">
        <f>VLOOKUP(C12,Purchased!A:B,2,0)</f>
        <v>0.75in ID 1.75 OD sealed ball bearing with shaft collar</v>
      </c>
      <c r="E12" s="326"/>
      <c r="F12" s="108" t="str">
        <f>IF(VLOOKUP($C12,Purchased!A:Z,11,0) = 0, " ", VLOOKUP($C12,Purchased!A:Z,11,0))</f>
        <v>Quality Brg</v>
      </c>
      <c r="G12" s="108" t="str">
        <f>IF(VLOOKUP($C12,Purchased!A:Z,12,0)=0, " ", VLOOKUP($C12,Purchased!A:Z,12,0))</f>
        <v>Quality Brg</v>
      </c>
      <c r="H12" s="327" t="str">
        <f>IF(VLOOKUP($C12,Purchased!A:Z,13,0)=0, " ", VLOOKUP($C12,Purchased!A:Z,13,0))</f>
        <v>Have 29 in stock - JP 6/6/24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45448</v>
      </c>
      <c r="M12" s="46">
        <f>IF(VLOOKUP(C12,Purchased!A:R,16,0)=0, " ",VLOOKUP(C12,Purchased!A:R,16,0))</f>
        <v>45478</v>
      </c>
      <c r="N12" s="130">
        <f>IF(VLOOKUP(C12,Purchased!A:R,17,0)=0, " ", VLOOKUP(C12,Purchased!A:R,17,0))</f>
        <v>45478</v>
      </c>
      <c r="O12" s="47">
        <f t="shared" ca="1" si="4"/>
        <v>16</v>
      </c>
      <c r="P12" s="51">
        <f>VLOOKUP(C12,Purchased!A:D,3,FALSE)</f>
        <v>0</v>
      </c>
      <c r="Q12" s="52">
        <f t="shared" si="5"/>
        <v>0</v>
      </c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.75" customHeight="1" x14ac:dyDescent="0.25">
      <c r="A14" s="4">
        <v>501</v>
      </c>
      <c r="B14" s="2">
        <v>8</v>
      </c>
      <c r="C14" s="122" t="s">
        <v>108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16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x14ac:dyDescent="0.25">
      <c r="A15" s="4">
        <v>502</v>
      </c>
      <c r="B15" s="2">
        <v>8</v>
      </c>
      <c r="C15" s="122" t="s">
        <v>203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16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thickBot="1" x14ac:dyDescent="0.3">
      <c r="A16" s="4">
        <v>503</v>
      </c>
      <c r="B16" s="2">
        <v>10</v>
      </c>
      <c r="C16" s="122" t="s">
        <v>180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20</v>
      </c>
      <c r="P16" s="51">
        <f>VLOOKUP(C16,Bolts!A:B,2,FALSE)</f>
        <v>0</v>
      </c>
      <c r="Q16" s="52">
        <f>B16*P16</f>
        <v>0</v>
      </c>
    </row>
    <row r="17" spans="1:17" s="2" customFormat="1" ht="12" customHeight="1" thickBot="1" x14ac:dyDescent="0.3">
      <c r="A17" s="34"/>
      <c r="B17" s="35"/>
      <c r="C17" s="35"/>
      <c r="D17" s="316"/>
      <c r="E17" s="317"/>
      <c r="F17" s="35"/>
      <c r="G17" s="35"/>
      <c r="H17" s="309"/>
      <c r="I17" s="310"/>
      <c r="J17" s="36"/>
      <c r="K17" s="36"/>
      <c r="L17" s="36"/>
      <c r="M17" s="37"/>
      <c r="N17" s="132"/>
      <c r="O17" s="38"/>
      <c r="P17" s="99" t="s">
        <v>43</v>
      </c>
      <c r="Q17" s="104">
        <f>SUM(Q5:Q16)</f>
        <v>746.36</v>
      </c>
    </row>
    <row r="18" spans="1:17" s="2" customFormat="1" ht="12" customHeight="1" x14ac:dyDescent="0.2">
      <c r="D18" s="21"/>
      <c r="E18" s="21"/>
      <c r="J18" s="8"/>
      <c r="K18" s="8"/>
      <c r="L18" s="8"/>
      <c r="M18" s="8"/>
      <c r="N18" s="131"/>
      <c r="O18" s="5"/>
      <c r="P18" s="98"/>
      <c r="Q18" s="105"/>
    </row>
    <row r="19" spans="1:17" x14ac:dyDescent="0.25">
      <c r="C19" s="2" t="s">
        <v>204</v>
      </c>
    </row>
  </sheetData>
  <sheetProtection selectLockedCells="1"/>
  <mergeCells count="26">
    <mergeCell ref="D12:E12"/>
    <mergeCell ref="H12:I12"/>
    <mergeCell ref="D8:E8"/>
    <mergeCell ref="H8:I8"/>
    <mergeCell ref="D9:E9"/>
    <mergeCell ref="H9:I9"/>
    <mergeCell ref="D10:E10"/>
    <mergeCell ref="H10:I10"/>
    <mergeCell ref="D6:E6"/>
    <mergeCell ref="H6:I6"/>
    <mergeCell ref="D7:E7"/>
    <mergeCell ref="H7:I7"/>
    <mergeCell ref="D11:E11"/>
    <mergeCell ref="H11:I11"/>
    <mergeCell ref="D17:E17"/>
    <mergeCell ref="H17:I17"/>
    <mergeCell ref="D13:E13"/>
    <mergeCell ref="H13:I13"/>
    <mergeCell ref="D14:E14"/>
    <mergeCell ref="D16:E16"/>
    <mergeCell ref="D15:E15"/>
    <mergeCell ref="D1:E1"/>
    <mergeCell ref="D4:E4"/>
    <mergeCell ref="H4:I4"/>
    <mergeCell ref="D5:E5"/>
    <mergeCell ref="H5:I5"/>
  </mergeCells>
  <phoneticPr fontId="8" type="noConversion"/>
  <conditionalFormatting sqref="M10 M13:M16">
    <cfRule type="cellIs" dxfId="2042" priority="5" stopIfTrue="1" operator="lessThanOrEqual">
      <formula>$L10</formula>
    </cfRule>
    <cfRule type="cellIs" dxfId="2041" priority="6" operator="greaterThan">
      <formula>L10</formula>
    </cfRule>
  </conditionalFormatting>
  <conditionalFormatting sqref="M11">
    <cfRule type="cellIs" dxfId="2040" priority="3" stopIfTrue="1" operator="lessThanOrEqual">
      <formula>$L11</formula>
    </cfRule>
    <cfRule type="cellIs" dxfId="2039" priority="4" operator="greaterThan">
      <formula>L11</formula>
    </cfRule>
  </conditionalFormatting>
  <conditionalFormatting sqref="M12">
    <cfRule type="cellIs" dxfId="2038" priority="1" stopIfTrue="1" operator="lessThanOrEqual">
      <formula>$L12</formula>
    </cfRule>
    <cfRule type="cellIs" dxfId="2037" priority="2" operator="greaterThan">
      <formula>L12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1A6BACA-3CE5-432D-9247-7BDAEAE95121}">
          <x14:formula1>
            <xm:f>Bolts!$A:$A</xm:f>
          </x14:formula1>
          <xm:sqref>C14:C16</xm:sqref>
        </x14:dataValidation>
        <x14:dataValidation type="list" allowBlank="1" showInputMessage="1" showErrorMessage="1" xr:uid="{330E4DEA-6859-46AB-82F9-D1483EFA1458}">
          <x14:formula1>
            <xm:f>Machined!$C:$C</xm:f>
          </x14:formula1>
          <xm:sqref>C5:C9</xm:sqref>
        </x14:dataValidation>
        <x14:dataValidation type="list" allowBlank="1" showInputMessage="1" showErrorMessage="1" xr:uid="{57DD3248-9D1A-46AA-877F-91A02BA21A7D}">
          <x14:formula1>
            <xm:f>Purchased!$A:$A</xm:f>
          </x14:formula1>
          <xm:sqref>C11:C12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1E5B9-A232-4D6F-9484-F396EB2D6DBA}">
  <sheetPr codeName="Sheet27">
    <tabColor theme="6" tint="0.59999389629810485"/>
  </sheetPr>
  <dimension ref="A1:Q36"/>
  <sheetViews>
    <sheetView zoomScale="115" zoomScaleNormal="115" workbookViewId="0">
      <selection activeCell="C24" sqref="C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'1.1'!C12</f>
        <v>PG10.1.1.8.0.A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'1.1'!D12</f>
        <v>Actuated Dancer Roller Assy</v>
      </c>
      <c r="D3" s="85" t="s">
        <v>50</v>
      </c>
      <c r="E3" s="86" t="str">
        <f ca="1">MID(CELL("filename",A1),FIND("]",CELL("filename",A1))+1,256)</f>
        <v>1.1.8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205</v>
      </c>
      <c r="D5" s="314" t="str">
        <f>VLOOKUP(C5,Machined!C:X,2,0)</f>
        <v>Dancer Arm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4</v>
      </c>
      <c r="P5" s="49">
        <f>VLOOKUP(C5,Machined!C:F,3,0)</f>
        <v>210</v>
      </c>
      <c r="Q5" s="50">
        <f>B5*P5</f>
        <v>420</v>
      </c>
    </row>
    <row r="6" spans="1:17" s="2" customFormat="1" ht="12.75" customHeight="1" x14ac:dyDescent="0.25">
      <c r="A6" s="77">
        <v>2</v>
      </c>
      <c r="B6" s="20">
        <v>2</v>
      </c>
      <c r="C6" s="121" t="s">
        <v>206</v>
      </c>
      <c r="D6" s="314" t="str">
        <f>VLOOKUP(C6,Machined!C:X,2,0)</f>
        <v>Dancer Arm Clamp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Big Sky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45434</v>
      </c>
      <c r="K6" s="44">
        <f>IF(VLOOKUP($C6,Machined!C:Z,19,0) = 0, " ", VLOOKUP($C6,Machined!C:Z,19,0))</f>
        <v>45435</v>
      </c>
      <c r="L6" s="44">
        <f>IF(VLOOKUP($C6,Machined!C:Z,20,0) = 0, " ", VLOOKUP($C6,Machined!C:Z,20,0))</f>
        <v>45467</v>
      </c>
      <c r="M6" s="44">
        <f>IF(VLOOKUP($C6,Machined!C:Z,21,0) = 0, " ", VLOOKUP($C6,Machined!C:Z,21,0))</f>
        <v>45467</v>
      </c>
      <c r="N6" s="129">
        <f>IF(VLOOKUP($C6,Machined!C:Z,22,0) = 0, " ", VLOOKUP($C6,Machined!C:Z,22,0))</f>
        <v>55523</v>
      </c>
      <c r="O6" s="45">
        <f t="shared" ref="O6:O7" ca="1" si="0">B6*$L$2</f>
        <v>4</v>
      </c>
      <c r="P6" s="49">
        <f>VLOOKUP(C6,Machined!C:F,3,0)</f>
        <v>65</v>
      </c>
      <c r="Q6" s="50">
        <f t="shared" ref="Q6:Q7" si="1">B6*P6</f>
        <v>130</v>
      </c>
    </row>
    <row r="7" spans="1:17" s="2" customFormat="1" ht="12.75" customHeight="1" x14ac:dyDescent="0.25">
      <c r="A7" s="77">
        <v>3</v>
      </c>
      <c r="B7" s="20">
        <v>2</v>
      </c>
      <c r="C7" s="121" t="s">
        <v>207</v>
      </c>
      <c r="D7" s="314" t="str">
        <f>VLOOKUP(C7,Machined!C:X,2,0)</f>
        <v>CLEVIS MOUNT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Big Sky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45434</v>
      </c>
      <c r="K7" s="44">
        <f>IF(VLOOKUP($C7,Machined!C:Z,19,0) = 0, " ", VLOOKUP($C7,Machined!C:Z,19,0))</f>
        <v>45435</v>
      </c>
      <c r="L7" s="44">
        <f>IF(VLOOKUP($C7,Machined!C:Z,20,0) = 0, " ", VLOOKUP($C7,Machined!C:Z,20,0))</f>
        <v>45467</v>
      </c>
      <c r="M7" s="44">
        <f>IF(VLOOKUP($C7,Machined!C:Z,21,0) = 0, " ", VLOOKUP($C7,Machined!C:Z,21,0))</f>
        <v>45467</v>
      </c>
      <c r="N7" s="129">
        <f>IF(VLOOKUP($C7,Machined!C:Z,22,0) = 0, " ", VLOOKUP($C7,Machined!C:Z,22,0))</f>
        <v>55523</v>
      </c>
      <c r="O7" s="45">
        <f t="shared" ca="1" si="0"/>
        <v>4</v>
      </c>
      <c r="P7" s="49">
        <f>VLOOKUP(C7,Machined!C:F,3,0)</f>
        <v>185</v>
      </c>
      <c r="Q7" s="50">
        <f t="shared" si="1"/>
        <v>370</v>
      </c>
    </row>
    <row r="8" spans="1:17" s="2" customFormat="1" ht="12.75" customHeight="1" x14ac:dyDescent="0.25">
      <c r="A8" s="77">
        <v>4</v>
      </c>
      <c r="B8" s="20">
        <v>1</v>
      </c>
      <c r="C8" s="121" t="s">
        <v>208</v>
      </c>
      <c r="D8" s="314" t="str">
        <f>VLOOKUP(C8,Machined!C:X,2,0)</f>
        <v>Dancer Shaft</v>
      </c>
      <c r="E8" s="329"/>
      <c r="F8" s="107" t="str">
        <f>VLOOKUP($C8,Machined!C:Z,13,0)</f>
        <v>303 TG&amp;P, ROUND STOCK, -0.0005</v>
      </c>
      <c r="G8" s="44" t="str">
        <f>IF(VLOOKUP($C8,Machined!C:Z,16,0) = 0, " ", VLOOKUP($C8,Machined!C:Z,16,0))</f>
        <v>Nuline</v>
      </c>
      <c r="H8" s="320" t="str">
        <f>IF(VLOOKUP($C8,Machined!C:Z,17,0) = 0, " ", VLOOKUP($C8,Machined!C:Z,17,0))</f>
        <v>Material P.O. 55555</v>
      </c>
      <c r="I8" s="321" t="str">
        <f>IF(VLOOKUP($C8,Machined!$C:$Y,13,0) = 0, " ", VLOOKUP($C8,Machined!$C:$Y,13,0))</f>
        <v>303 TG&amp;P, ROUND STOCK, -0.0005</v>
      </c>
      <c r="J8" s="44" t="str">
        <f>IF(VLOOKUP($C8,Machined!C:Z,18,0) = 0, " ", VLOOKUP($C8,Machined!C:Z,18,0))</f>
        <v xml:space="preserve"> </v>
      </c>
      <c r="K8" s="44" t="str">
        <f>IF(VLOOKUP($C8,Machined!C:Z,19,0) = 0, " ", VLOOKUP($C8,Machined!C:Z,19,0))</f>
        <v xml:space="preserve"> </v>
      </c>
      <c r="L8" s="44">
        <f>IF(VLOOKUP($C8,Machined!C:Z,20,0) = 0, " ", VLOOKUP($C8,Machined!C:Z,20,0))</f>
        <v>45520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55555</v>
      </c>
      <c r="O8" s="45">
        <f ca="1">B8*$L$2</f>
        <v>2</v>
      </c>
      <c r="P8" s="49">
        <f>VLOOKUP(C8,Machined!C:F,3,0)</f>
        <v>0</v>
      </c>
      <c r="Q8" s="50">
        <f>B8*P8</f>
        <v>0</v>
      </c>
    </row>
    <row r="9" spans="1:17" s="2" customFormat="1" ht="12.75" customHeight="1" x14ac:dyDescent="0.25">
      <c r="A9" s="77">
        <v>5</v>
      </c>
      <c r="B9" s="20">
        <v>2</v>
      </c>
      <c r="C9" s="121" t="s">
        <v>209</v>
      </c>
      <c r="D9" s="314" t="str">
        <f>VLOOKUP(C9,Machined!C:X,2,0)</f>
        <v>DANCER ROLLER BRACKET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45435</v>
      </c>
      <c r="K9" s="44">
        <f>IF(VLOOKUP($C9,Machined!C:Z,19,0) = 0, " ", VLOOKUP($C9,Machined!C:Z,19,0))</f>
        <v>45446</v>
      </c>
      <c r="L9" s="44">
        <f>IF(VLOOKUP($C9,Machined!C:Z,20,0) = 0, " ", VLOOKUP($C9,Machined!C:Z,20,0))</f>
        <v>45481</v>
      </c>
      <c r="M9" s="44">
        <f>IF(VLOOKUP($C9,Machined!C:Z,21,0) = 0, " ", VLOOKUP($C9,Machined!C:Z,21,0))</f>
        <v>45481</v>
      </c>
      <c r="N9" s="129">
        <f>IF(VLOOKUP($C9,Machined!C:Z,22,0) = 0, " ", VLOOKUP($C9,Machined!C:Z,22,0))</f>
        <v>55532</v>
      </c>
      <c r="O9" s="45">
        <f t="shared" ref="O9:O10" ca="1" si="2">B9*$L$2</f>
        <v>4</v>
      </c>
      <c r="P9" s="49">
        <f>VLOOKUP(C9,Machined!C:F,3,0)</f>
        <v>42.75</v>
      </c>
      <c r="Q9" s="50">
        <f t="shared" ref="Q9:Q10" si="3">B9*P9</f>
        <v>85.5</v>
      </c>
    </row>
    <row r="10" spans="1:17" s="2" customFormat="1" ht="12.75" customHeight="1" x14ac:dyDescent="0.25">
      <c r="A10" s="77">
        <v>6</v>
      </c>
      <c r="B10" s="20">
        <v>2</v>
      </c>
      <c r="C10" s="121" t="s">
        <v>210</v>
      </c>
      <c r="D10" s="314" t="str">
        <f>VLOOKUP(C10,Machined!C:X,2,0)</f>
        <v>DANCER ROLLER BRACKET CLAMP</v>
      </c>
      <c r="E10" s="329"/>
      <c r="F10" s="107" t="str">
        <f>VLOOKUP($C10,Machined!C:Z,13,0)</f>
        <v>1018 COLD ROLLED STEEL</v>
      </c>
      <c r="G10" s="44" t="str">
        <f>IF(VLOOKUP($C10,Machined!C:Z,16,0) = 0, " ", VLOOKUP($C10,Machined!C:Z,16,0))</f>
        <v>Frontier Mach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1018 COLD ROLLED STEEL</v>
      </c>
      <c r="J10" s="44">
        <f>IF(VLOOKUP($C10,Machined!C:Z,18,0) = 0, " ", VLOOKUP($C10,Machined!C:Z,18,0))</f>
        <v>45435</v>
      </c>
      <c r="K10" s="44">
        <f>IF(VLOOKUP($C10,Machined!C:Z,19,0) = 0, " ", VLOOKUP($C10,Machined!C:Z,19,0))</f>
        <v>45446</v>
      </c>
      <c r="L10" s="44">
        <f>IF(VLOOKUP($C10,Machined!C:Z,20,0) = 0, " ", VLOOKUP($C10,Machined!C:Z,20,0))</f>
        <v>45481</v>
      </c>
      <c r="M10" s="44">
        <f>IF(VLOOKUP($C10,Machined!C:Z,21,0) = 0, " ", VLOOKUP($C10,Machined!C:Z,21,0))</f>
        <v>45481</v>
      </c>
      <c r="N10" s="129">
        <f>IF(VLOOKUP($C10,Machined!C:Z,22,0) = 0, " ", VLOOKUP($C10,Machined!C:Z,22,0))</f>
        <v>55532</v>
      </c>
      <c r="O10" s="45">
        <f t="shared" ca="1" si="2"/>
        <v>4</v>
      </c>
      <c r="P10" s="49">
        <f>VLOOKUP(C10,Machined!C:F,3,0)</f>
        <v>56.25</v>
      </c>
      <c r="Q10" s="50">
        <f t="shared" si="3"/>
        <v>112.5</v>
      </c>
    </row>
    <row r="11" spans="1:17" s="2" customFormat="1" ht="12.75" customHeight="1" x14ac:dyDescent="0.25">
      <c r="A11" s="77">
        <v>7</v>
      </c>
      <c r="B11" s="20">
        <v>3</v>
      </c>
      <c r="C11" s="121" t="s">
        <v>211</v>
      </c>
      <c r="D11" s="314" t="str">
        <f>VLOOKUP(C11,Machined!C:X,2,0)</f>
        <v>DANCER ROLLER SHAFT</v>
      </c>
      <c r="E11" s="329"/>
      <c r="F11" s="107" t="str">
        <f>VLOOKUP($C11,Machined!C:Z,13,0)</f>
        <v>303 TG&amp;P, ROUND STOCK, -0.0005</v>
      </c>
      <c r="G11" s="44" t="str">
        <f>IF(VLOOKUP($C11,Machined!C:Z,16,0) = 0, " ", VLOOKUP($C11,Machined!C:Z,16,0))</f>
        <v>Nuline</v>
      </c>
      <c r="H11" s="320" t="str">
        <f>IF(VLOOKUP($C11,Machined!C:Z,17,0) = 0, " ", VLOOKUP($C11,Machined!C:Z,17,0))</f>
        <v>Material P.O. 55555</v>
      </c>
      <c r="I11" s="321" t="str">
        <f>IF(VLOOKUP($C11,Machined!$C:$Y,13,0) = 0, " ", VLOOKUP($C11,Machined!$C:$Y,13,0))</f>
        <v>303 TG&amp;P, ROUND STOCK, -0.0005</v>
      </c>
      <c r="J11" s="44" t="str">
        <f>IF(VLOOKUP($C11,Machined!C:Z,18,0) = 0, " ", VLOOKUP($C11,Machined!C:Z,18,0))</f>
        <v xml:space="preserve"> </v>
      </c>
      <c r="K11" s="44" t="str">
        <f>IF(VLOOKUP($C11,Machined!C:Z,19,0) = 0, " ", VLOOKUP($C11,Machined!C:Z,19,0))</f>
        <v xml:space="preserve"> </v>
      </c>
      <c r="L11" s="44">
        <f>IF(VLOOKUP($C11,Machined!C:Z,20,0) = 0, " ", VLOOKUP($C11,Machined!C:Z,20,0))</f>
        <v>45520</v>
      </c>
      <c r="M11" s="44" t="str">
        <f>IF(VLOOKUP($C11,Machined!C:Z,21,0) = 0, " ", VLOOKUP($C11,Machined!C:Z,21,0))</f>
        <v xml:space="preserve"> </v>
      </c>
      <c r="N11" s="129">
        <f>IF(VLOOKUP($C11,Machined!C:Z,22,0) = 0, " ", VLOOKUP($C11,Machined!C:Z,22,0))</f>
        <v>55555</v>
      </c>
      <c r="O11" s="45">
        <f ca="1">B11*$L$2</f>
        <v>6</v>
      </c>
      <c r="P11" s="49">
        <f>VLOOKUP(C11,Machined!C:F,3,0)</f>
        <v>0</v>
      </c>
      <c r="Q11" s="50">
        <f>B11*P11</f>
        <v>0</v>
      </c>
    </row>
    <row r="12" spans="1:17" s="2" customFormat="1" ht="12.75" customHeight="1" x14ac:dyDescent="0.25">
      <c r="A12" s="77">
        <v>8</v>
      </c>
      <c r="B12" s="20">
        <v>3</v>
      </c>
      <c r="C12" s="121" t="s">
        <v>167</v>
      </c>
      <c r="D12" s="314" t="str">
        <f>VLOOKUP(C12,Machined!C:X,2,0)</f>
        <v>BONNELL EXTRUDED ROLLER</v>
      </c>
      <c r="E12" s="329"/>
      <c r="F12" s="107" t="str">
        <f>VLOOKUP($C12,Machined!C:Z,13,0)</f>
        <v>6061-T6 ALUMINUM</v>
      </c>
      <c r="G12" s="44" t="str">
        <f>IF(VLOOKUP($C12,Machined!C:Z,16,0) = 0, " ", VLOOKUP($C12,Machined!C:Z,16,0))</f>
        <v xml:space="preserve"> </v>
      </c>
      <c r="H12" s="320" t="str">
        <f>IF(VLOOKUP($C12,Machined!C:Z,17,0) = 0, " ", VLOOKUP($C12,Machined!C:Z,17,0))</f>
        <v>42 from GF12</v>
      </c>
      <c r="I12" s="321" t="str">
        <f>IF(VLOOKUP($C12,Machined!$C:$Y,13,0) = 0, " ", VLOOKUP($C12,Machined!$C:$Y,13,0))</f>
        <v>6061-T6 ALUMINUM</v>
      </c>
      <c r="J12" s="44" t="str">
        <f>IF(VLOOKUP($C12,Machined!C:Z,18,0) = 0, " ", VLOOKUP($C12,Machined!C:Z,18,0))</f>
        <v xml:space="preserve"> </v>
      </c>
      <c r="K12" s="44" t="str">
        <f>IF(VLOOKUP($C12,Machined!C:Z,19,0) = 0, " ", VLOOKUP($C12,Machined!C:Z,19,0))</f>
        <v xml:space="preserve"> </v>
      </c>
      <c r="L12" s="44" t="str">
        <f>IF(VLOOKUP($C12,Machined!C:Z,20,0) = 0, " ", VLOOKUP($C12,Machined!C:Z,20,0))</f>
        <v xml:space="preserve"> </v>
      </c>
      <c r="M12" s="44" t="str">
        <f>IF(VLOOKUP($C12,Machined!C:Z,21,0) = 0, " ", VLOOKUP($C12,Machined!C:Z,21,0))</f>
        <v xml:space="preserve"> </v>
      </c>
      <c r="N12" s="129" t="str">
        <f>IF(VLOOKUP($C12,Machined!C:Z,22,0) = 0, " ", VLOOKUP($C12,Machined!C:Z,22,0))</f>
        <v xml:space="preserve"> </v>
      </c>
      <c r="O12" s="45">
        <f t="shared" ref="O12:O13" ca="1" si="4">B12*$L$2</f>
        <v>6</v>
      </c>
      <c r="P12" s="49">
        <f>VLOOKUP(C12,Machined!C:F,3,0)</f>
        <v>54.27</v>
      </c>
      <c r="Q12" s="50">
        <f t="shared" ref="Q12:Q13" si="5">B12*P12</f>
        <v>162.81</v>
      </c>
    </row>
    <row r="13" spans="1:17" s="2" customFormat="1" ht="12.75" customHeight="1" x14ac:dyDescent="0.25">
      <c r="A13" s="77">
        <v>9</v>
      </c>
      <c r="B13" s="20">
        <v>6</v>
      </c>
      <c r="C13" s="121" t="s">
        <v>169</v>
      </c>
      <c r="D13" s="314" t="str">
        <f>VLOOKUP(C13,Machined!C:X,2,0)</f>
        <v>ROLLER CAP</v>
      </c>
      <c r="E13" s="329"/>
      <c r="F13" s="107" t="str">
        <f>VLOOKUP($C13,Machined!C:Z,13,0)</f>
        <v>304 STAINLESS STEEL</v>
      </c>
      <c r="G13" s="44" t="str">
        <f>IF(VLOOKUP($C13,Machined!C:Z,16,0) = 0, " ", VLOOKUP($C13,Machined!C:Z,16,0))</f>
        <v>WescoBHT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304 STAINLESS STEEL</v>
      </c>
      <c r="J13" s="44">
        <f>IF(VLOOKUP($C13,Machined!C:Z,18,0) = 0, " ", VLOOKUP($C13,Machined!C:Z,18,0))</f>
        <v>45463</v>
      </c>
      <c r="K13" s="44">
        <f>IF(VLOOKUP($C13,Machined!C:Z,19,0) = 0, " ", VLOOKUP($C13,Machined!C:Z,19,0))</f>
        <v>45483</v>
      </c>
      <c r="L13" s="44">
        <f>IF(VLOOKUP($C13,Machined!C:Z,20,0) = 0, " ", VLOOKUP($C13,Machined!C:Z,20,0))</f>
        <v>45513</v>
      </c>
      <c r="M13" s="44">
        <f>IF(VLOOKUP($C13,Machined!C:Z,21,0) = 0, " ", VLOOKUP($C13,Machined!C:Z,21,0))</f>
        <v>45513</v>
      </c>
      <c r="N13" s="129">
        <f>IF(VLOOKUP($C13,Machined!C:Z,22,0) = 0, " ", VLOOKUP($C13,Machined!C:Z,22,0))</f>
        <v>55593</v>
      </c>
      <c r="O13" s="45">
        <f t="shared" ca="1" si="4"/>
        <v>12</v>
      </c>
      <c r="P13" s="49">
        <f>VLOOKUP(C13,Machined!C:F,3,0)</f>
        <v>4.8</v>
      </c>
      <c r="Q13" s="50">
        <f t="shared" si="5"/>
        <v>28.799999999999997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301</v>
      </c>
      <c r="B15" s="2">
        <v>4</v>
      </c>
      <c r="C15" s="135" t="s">
        <v>104</v>
      </c>
      <c r="D15" s="325" t="str">
        <f>VLOOKUP(C15,Purchased!A:B,2,0)</f>
        <v>BRX GOTO T-NUT 10 M8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400 additional quantity added to 55710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45463</v>
      </c>
      <c r="M15" s="46">
        <f>IF(VLOOKUP(C15,Purchased!A:R,16,0)=0, " ",VLOOKUP(C15,Purchased!A:R,16,0))</f>
        <v>45481</v>
      </c>
      <c r="N15" s="130">
        <f>IF(VLOOKUP(C15,Purchased!A:R,17,0)=0, " ", VLOOKUP(C15,Purchased!A:R,17,0))</f>
        <v>45481</v>
      </c>
      <c r="O15" s="47">
        <f t="shared" ref="O15:O17" ca="1" si="6">B15*$L$2</f>
        <v>8</v>
      </c>
      <c r="P15" s="51">
        <f>VLOOKUP(C15,Purchased!A:D,3,FALSE)</f>
        <v>0.56000000000000005</v>
      </c>
      <c r="Q15" s="52">
        <f t="shared" ref="Q15:Q17" si="7">B15*P15</f>
        <v>2.2400000000000002</v>
      </c>
    </row>
    <row r="16" spans="1:17" s="2" customFormat="1" ht="12.75" customHeight="1" x14ac:dyDescent="0.25">
      <c r="A16" s="4">
        <v>302</v>
      </c>
      <c r="B16" s="2">
        <v>4</v>
      </c>
      <c r="C16" s="135" t="s">
        <v>172</v>
      </c>
      <c r="D16" s="325" t="str">
        <f>VLOOKUP(C16,Purchased!A:B,2,0)</f>
        <v>BRX GOTO T-NUT 10 M6</v>
      </c>
      <c r="E16" s="326"/>
      <c r="F16" s="108" t="str">
        <f>IF(VLOOKUP($C16,Purchased!A:Z,11,0) = 0, " ", VLOOKUP($C16,Purchased!A:Z,11,0))</f>
        <v>BRX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45463</v>
      </c>
      <c r="K16" s="46">
        <f>IF(VLOOKUP(C16,Purchased!A:R,14,0)=0, " ", VLOOKUP(C16,Purchased!A:R,14,0))</f>
        <v>45463</v>
      </c>
      <c r="L16" s="46">
        <f>IF(VLOOKUP(C16,Purchased!A:R,15,0)=0, " ", VLOOKUP(C16,Purchased!A:R,15,0))</f>
        <v>45463</v>
      </c>
      <c r="M16" s="46">
        <f>IF(VLOOKUP(C16,Purchased!A:R,16,0)=0, " ",VLOOKUP(C16,Purchased!A:R,16,0))</f>
        <v>45481</v>
      </c>
      <c r="N16" s="130">
        <f>IF(VLOOKUP(C16,Purchased!A:R,17,0)=0, " ", VLOOKUP(C16,Purchased!A:R,17,0))</f>
        <v>45481</v>
      </c>
      <c r="O16" s="47">
        <f t="shared" ca="1" si="6"/>
        <v>8</v>
      </c>
      <c r="P16" s="51">
        <f>VLOOKUP(C16,Purchased!A:D,3,FALSE)</f>
        <v>0.56000000000000005</v>
      </c>
      <c r="Q16" s="52">
        <f t="shared" si="7"/>
        <v>2.2400000000000002</v>
      </c>
    </row>
    <row r="17" spans="1:17" s="2" customFormat="1" ht="12.75" customHeight="1" x14ac:dyDescent="0.25">
      <c r="A17" s="4">
        <v>303</v>
      </c>
      <c r="B17" s="2">
        <v>2</v>
      </c>
      <c r="C17" s="135" t="s">
        <v>212</v>
      </c>
      <c r="D17" s="325" t="str">
        <f>VLOOKUP(C17,Purchased!A:B,2,0)</f>
        <v>Steel Hex Head Shoulder Screw, 9mm Shoulder Diameter, 28mm Shoulder 
Length, M8 x 1.25mm Thread</v>
      </c>
      <c r="E17" s="326"/>
      <c r="F17" s="108" t="str">
        <f>IF(VLOOKUP($C17,Purchased!A:Z,11,0) = 0, " ", VLOOKUP($C17,Purchased!A:Z,11,0))</f>
        <v>MCM</v>
      </c>
      <c r="G17" s="108" t="str">
        <f>IF(VLOOKUP($C17,Purchased!A:Z,12,0)=0, " ", VLOOKUP($C17,Purchased!A:Z,12,0))</f>
        <v>MCM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45460</v>
      </c>
      <c r="K17" s="46">
        <f>IF(VLOOKUP(C17,Purchased!A:R,14,0)=0, " ", VLOOKUP(C17,Purchased!A:R,14,0))</f>
        <v>45460</v>
      </c>
      <c r="L17" s="46">
        <f>IF(VLOOKUP(C17,Purchased!A:R,15,0)=0, " ", VLOOKUP(C17,Purchased!A:R,15,0))</f>
        <v>45460</v>
      </c>
      <c r="M17" s="46">
        <f>IF(VLOOKUP(C17,Purchased!A:R,16,0)=0, " ",VLOOKUP(C17,Purchased!A:R,16,0))</f>
        <v>45462</v>
      </c>
      <c r="N17" s="130">
        <f>IF(VLOOKUP(C17,Purchased!A:R,17,0)=0, " ", VLOOKUP(C17,Purchased!A:R,17,0))</f>
        <v>45462</v>
      </c>
      <c r="O17" s="47">
        <f t="shared" ca="1" si="6"/>
        <v>4</v>
      </c>
      <c r="P17" s="51">
        <f>VLOOKUP(C17,Purchased!A:D,3,FALSE)</f>
        <v>2.41</v>
      </c>
      <c r="Q17" s="52">
        <f t="shared" si="7"/>
        <v>4.82</v>
      </c>
    </row>
    <row r="18" spans="1:17" s="2" customFormat="1" ht="12.75" customHeight="1" x14ac:dyDescent="0.25">
      <c r="A18" s="4">
        <v>304</v>
      </c>
      <c r="B18" s="2">
        <v>2</v>
      </c>
      <c r="C18" s="135" t="s">
        <v>213</v>
      </c>
      <c r="D18" s="325" t="str">
        <f>VLOOKUP(C18,Purchased!A:B,2,0)</f>
        <v>Lubrication-Free Ball Joint Rod End, Carbon Fiber Insert, 3/8"-24 Thread</v>
      </c>
      <c r="E18" s="326"/>
      <c r="F18" s="108" t="str">
        <f>IF(VLOOKUP($C18,Purchased!A:Z,11,0) = 0, " ", VLOOKUP($C18,Purchased!A:Z,11,0))</f>
        <v>MCM</v>
      </c>
      <c r="G18" s="108" t="str">
        <f>IF(VLOOKUP($C18,Purchased!A:Z,12,0)=0, " ", VLOOKUP($C18,Purchased!A:Z,12,0))</f>
        <v>MCM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45460</v>
      </c>
      <c r="K18" s="46">
        <f>IF(VLOOKUP(C18,Purchased!A:R,14,0)=0, " ", VLOOKUP(C18,Purchased!A:R,14,0))</f>
        <v>45460</v>
      </c>
      <c r="L18" s="46">
        <f>IF(VLOOKUP(C18,Purchased!A:R,15,0)=0, " ", VLOOKUP(C18,Purchased!A:R,15,0))</f>
        <v>45460</v>
      </c>
      <c r="M18" s="46">
        <f>IF(VLOOKUP(C18,Purchased!A:R,16,0)=0, " ",VLOOKUP(C18,Purchased!A:R,16,0))</f>
        <v>45462</v>
      </c>
      <c r="N18" s="130">
        <f>IF(VLOOKUP(C18,Purchased!A:R,17,0)=0, " ", VLOOKUP(C18,Purchased!A:R,17,0))</f>
        <v>45462</v>
      </c>
      <c r="O18" s="47">
        <f t="shared" ref="O18:O20" ca="1" si="8">B18*$L$2</f>
        <v>4</v>
      </c>
      <c r="P18" s="51">
        <f>VLOOKUP(C18,Purchased!A:D,3,FALSE)</f>
        <v>34.64</v>
      </c>
      <c r="Q18" s="52">
        <f t="shared" ref="Q18:Q20" si="9">B18*P18</f>
        <v>69.28</v>
      </c>
    </row>
    <row r="19" spans="1:17" s="2" customFormat="1" ht="12.75" customHeight="1" x14ac:dyDescent="0.25">
      <c r="A19" s="4">
        <v>305</v>
      </c>
      <c r="B19" s="2">
        <v>2</v>
      </c>
      <c r="C19" s="135" t="s">
        <v>214</v>
      </c>
      <c r="D19" s="325" t="str">
        <f>VLOOKUP(C19,Purchased!A:B,2,0)</f>
        <v>Same-Size Thread 18-8 Stainless Steel Shoulder Screw, 10mm Shoulder 
Diameter, 45mm Shoulder Length, M10 x 1.50mm Thread</v>
      </c>
      <c r="E19" s="326"/>
      <c r="F19" s="108" t="str">
        <f>IF(VLOOKUP($C19,Purchased!A:Z,11,0) = 0, " ", VLOOKUP($C19,Purchased!A:Z,11,0))</f>
        <v>MCM</v>
      </c>
      <c r="G19" s="108" t="str">
        <f>IF(VLOOKUP($C19,Purchased!A:Z,12,0)=0, " ", VLOOKUP($C19,Purchased!A:Z,12,0))</f>
        <v>MCM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45460</v>
      </c>
      <c r="K19" s="46">
        <f>IF(VLOOKUP(C19,Purchased!A:R,14,0)=0, " ", VLOOKUP(C19,Purchased!A:R,14,0))</f>
        <v>45460</v>
      </c>
      <c r="L19" s="46">
        <f>IF(VLOOKUP(C19,Purchased!A:R,15,0)=0, " ", VLOOKUP(C19,Purchased!A:R,15,0))</f>
        <v>45460</v>
      </c>
      <c r="M19" s="46">
        <f>IF(VLOOKUP(C19,Purchased!A:R,16,0)=0, " ",VLOOKUP(C19,Purchased!A:R,16,0))</f>
        <v>45462</v>
      </c>
      <c r="N19" s="130">
        <f>IF(VLOOKUP(C19,Purchased!A:R,17,0)=0, " ", VLOOKUP(C19,Purchased!A:R,17,0))</f>
        <v>45462</v>
      </c>
      <c r="O19" s="47">
        <f t="shared" ca="1" si="8"/>
        <v>4</v>
      </c>
      <c r="P19" s="51">
        <f>VLOOKUP(C19,Purchased!A:D,3,FALSE)</f>
        <v>11.97</v>
      </c>
      <c r="Q19" s="52">
        <f t="shared" si="9"/>
        <v>23.94</v>
      </c>
    </row>
    <row r="20" spans="1:17" s="2" customFormat="1" ht="12.75" customHeight="1" x14ac:dyDescent="0.25">
      <c r="A20" s="4">
        <v>306</v>
      </c>
      <c r="B20" s="2">
        <v>2</v>
      </c>
      <c r="C20" s="135" t="s">
        <v>215</v>
      </c>
      <c r="D20" s="325" t="str">
        <f>VLOOKUP(C20,Purchased!A:B,2,0)</f>
        <v>Ring Shims, 5052 Aluminum, 0.0630" Thick, 1" ID</v>
      </c>
      <c r="E20" s="326"/>
      <c r="F20" s="108" t="str">
        <f>IF(VLOOKUP($C20,Purchased!A:Z,11,0) = 0, " ", VLOOKUP($C20,Purchased!A:Z,11,0))</f>
        <v>MCM</v>
      </c>
      <c r="G20" s="108" t="str">
        <f>IF(VLOOKUP($C20,Purchased!A:Z,12,0)=0, " ", VLOOKUP($C20,Purchased!A:Z,12,0))</f>
        <v>MCM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45460</v>
      </c>
      <c r="K20" s="46">
        <f>IF(VLOOKUP(C20,Purchased!A:R,14,0)=0, " ", VLOOKUP(C20,Purchased!A:R,14,0))</f>
        <v>45460</v>
      </c>
      <c r="L20" s="46">
        <f>IF(VLOOKUP(C20,Purchased!A:R,15,0)=0, " ", VLOOKUP(C20,Purchased!A:R,15,0))</f>
        <v>45460</v>
      </c>
      <c r="M20" s="46">
        <f>IF(VLOOKUP(C20,Purchased!A:R,16,0)=0, " ",VLOOKUP(C20,Purchased!A:R,16,0))</f>
        <v>45462</v>
      </c>
      <c r="N20" s="130">
        <f>IF(VLOOKUP(C20,Purchased!A:R,17,0)=0, " ", VLOOKUP(C20,Purchased!A:R,17,0))</f>
        <v>45462</v>
      </c>
      <c r="O20" s="47">
        <f t="shared" ca="1" si="8"/>
        <v>4</v>
      </c>
      <c r="P20" s="51">
        <f>VLOOKUP(C20,Purchased!A:D,3,FALSE)</f>
        <v>18.72</v>
      </c>
      <c r="Q20" s="52">
        <f t="shared" si="9"/>
        <v>37.44</v>
      </c>
    </row>
    <row r="21" spans="1:17" s="2" customFormat="1" ht="12.75" customHeight="1" x14ac:dyDescent="0.25">
      <c r="A21" s="4">
        <v>307</v>
      </c>
      <c r="B21" s="2">
        <v>2</v>
      </c>
      <c r="C21" s="135" t="s">
        <v>216</v>
      </c>
      <c r="D21" s="325" t="str">
        <f>VLOOKUP(C21,Purchased!A:B,2,0)</f>
        <v>Sealed with Extended Inner Ring, for 1" Shaft Diameter</v>
      </c>
      <c r="E21" s="326"/>
      <c r="F21" s="108" t="str">
        <f>IF(VLOOKUP($C21,Purchased!A:Z,11,0) = 0, " ", VLOOKUP($C21,Purchased!A:Z,11,0))</f>
        <v>MCM</v>
      </c>
      <c r="G21" s="108" t="str">
        <f>IF(VLOOKUP($C21,Purchased!A:Z,12,0)=0, " ", VLOOKUP($C21,Purchased!A:Z,12,0))</f>
        <v>MCM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45460</v>
      </c>
      <c r="K21" s="46">
        <f>IF(VLOOKUP(C21,Purchased!A:R,14,0)=0, " ", VLOOKUP(C21,Purchased!A:R,14,0))</f>
        <v>45460</v>
      </c>
      <c r="L21" s="46">
        <f>IF(VLOOKUP(C21,Purchased!A:R,15,0)=0, " ", VLOOKUP(C21,Purchased!A:R,15,0))</f>
        <v>45460</v>
      </c>
      <c r="M21" s="46">
        <f>IF(VLOOKUP(C21,Purchased!A:R,16,0)=0, " ",VLOOKUP(C21,Purchased!A:R,16,0))</f>
        <v>45462</v>
      </c>
      <c r="N21" s="130">
        <f>IF(VLOOKUP(C21,Purchased!A:R,17,0)=0, " ", VLOOKUP(C21,Purchased!A:R,17,0))</f>
        <v>45462</v>
      </c>
      <c r="O21" s="47">
        <f t="shared" ref="O21:O23" ca="1" si="10">B21*$L$2</f>
        <v>4</v>
      </c>
      <c r="P21" s="51">
        <f>VLOOKUP(C21,Purchased!A:D,3,FALSE)</f>
        <v>33.130000000000003</v>
      </c>
      <c r="Q21" s="52">
        <f t="shared" ref="Q21:Q23" si="11">B21*P21</f>
        <v>66.260000000000005</v>
      </c>
    </row>
    <row r="22" spans="1:17" s="2" customFormat="1" ht="12.75" customHeight="1" x14ac:dyDescent="0.25">
      <c r="A22" s="4">
        <v>308</v>
      </c>
      <c r="B22" s="2">
        <v>2</v>
      </c>
      <c r="C22" s="135" t="s">
        <v>173</v>
      </c>
      <c r="D22" s="325" t="str">
        <f>VLOOKUP(C22,Purchased!A:B,2,0)</f>
        <v>0.75in ID 1.75 OD sealed ball bearing with shaft collar</v>
      </c>
      <c r="E22" s="326"/>
      <c r="F22" s="108" t="str">
        <f>IF(VLOOKUP($C22,Purchased!A:Z,11,0) = 0, " ", VLOOKUP($C22,Purchased!A:Z,11,0))</f>
        <v>Quality Brg</v>
      </c>
      <c r="G22" s="108" t="str">
        <f>IF(VLOOKUP($C22,Purchased!A:Z,12,0)=0, " ", VLOOKUP($C22,Purchased!A:Z,12,0))</f>
        <v>Quality Brg</v>
      </c>
      <c r="H22" s="327" t="str">
        <f>IF(VLOOKUP($C22,Purchased!A:Z,13,0)=0, " ", VLOOKUP($C22,Purchased!A:Z,13,0))</f>
        <v>Have 29 in stock - JP 6/6/24</v>
      </c>
      <c r="I22" s="328"/>
      <c r="J22" s="46" t="str">
        <f>IF(VLOOKUP($C22,Purchased!A:Z,14,0)=0, " ", VLOOKUP($C22,Purchased!A:Z,14,0))</f>
        <v>N/A</v>
      </c>
      <c r="K22" s="46" t="str">
        <f>IF(VLOOKUP(C22,Purchased!A:R,14,0)=0, " ", VLOOKUP(C22,Purchased!A:R,14,0))</f>
        <v>N/A</v>
      </c>
      <c r="L22" s="46">
        <f>IF(VLOOKUP(C22,Purchased!A:R,15,0)=0, " ", VLOOKUP(C22,Purchased!A:R,15,0))</f>
        <v>45448</v>
      </c>
      <c r="M22" s="46">
        <f>IF(VLOOKUP(C22,Purchased!A:R,16,0)=0, " ",VLOOKUP(C22,Purchased!A:R,16,0))</f>
        <v>45478</v>
      </c>
      <c r="N22" s="130">
        <f>IF(VLOOKUP(C22,Purchased!A:R,17,0)=0, " ", VLOOKUP(C22,Purchased!A:R,17,0))</f>
        <v>45478</v>
      </c>
      <c r="O22" s="47">
        <f t="shared" ca="1" si="10"/>
        <v>4</v>
      </c>
      <c r="P22" s="51">
        <f>VLOOKUP(C22,Purchased!A:D,3,FALSE)</f>
        <v>0</v>
      </c>
      <c r="Q22" s="52">
        <f t="shared" si="11"/>
        <v>0</v>
      </c>
    </row>
    <row r="23" spans="1:17" s="2" customFormat="1" ht="12.75" customHeight="1" x14ac:dyDescent="0.25">
      <c r="A23" s="4">
        <v>309</v>
      </c>
      <c r="B23" s="2">
        <v>2</v>
      </c>
      <c r="C23" s="135" t="s">
        <v>217</v>
      </c>
      <c r="D23" s="325" t="str">
        <f>VLOOKUP(C23,Purchased!A:B,2,0)</f>
        <v>Straight Spacer 16mm OD 10mm ID 33mm L</v>
      </c>
      <c r="E23" s="326"/>
      <c r="F23" s="108" t="str">
        <f>IF(VLOOKUP($C23,Purchased!A:Z,11,0) = 0, " ", VLOOKUP($C23,Purchased!A:Z,11,0))</f>
        <v>MISUMI</v>
      </c>
      <c r="G23" s="108" t="str">
        <f>IF(VLOOKUP($C23,Purchased!A:Z,12,0)=0, " ", VLOOKUP($C23,Purchased!A:Z,12,0))</f>
        <v>MISUMI</v>
      </c>
      <c r="H23" s="327" t="str">
        <f>IF(VLOOKUP($C23,Purchased!A:Z,13,0)=0, " ", VLOOKUP($C23,Purchased!A:Z,13,0))</f>
        <v xml:space="preserve"> </v>
      </c>
      <c r="I23" s="328"/>
      <c r="J23" s="46">
        <f>IF(VLOOKUP($C23,Purchased!A:Z,14,0)=0, " ", VLOOKUP($C23,Purchased!A:Z,14,0))</f>
        <v>45483</v>
      </c>
      <c r="K23" s="46">
        <f>IF(VLOOKUP(C23,Purchased!A:R,14,0)=0, " ", VLOOKUP(C23,Purchased!A:R,14,0))</f>
        <v>45483</v>
      </c>
      <c r="L23" s="46">
        <f>IF(VLOOKUP(C23,Purchased!A:R,15,0)=0, " ", VLOOKUP(C23,Purchased!A:R,15,0))</f>
        <v>45483</v>
      </c>
      <c r="M23" s="46">
        <f>IF(VLOOKUP(C23,Purchased!A:R,16,0)=0, " ",VLOOKUP(C23,Purchased!A:R,16,0))</f>
        <v>45512</v>
      </c>
      <c r="N23" s="130">
        <f>IF(VLOOKUP(C23,Purchased!A:R,17,0)=0, " ", VLOOKUP(C23,Purchased!A:R,17,0))</f>
        <v>45512</v>
      </c>
      <c r="O23" s="47">
        <f t="shared" ca="1" si="10"/>
        <v>4</v>
      </c>
      <c r="P23" s="51">
        <f>VLOOKUP(C23,Purchased!A:D,3,FALSE)</f>
        <v>14.73</v>
      </c>
      <c r="Q23" s="52">
        <f t="shared" si="11"/>
        <v>29.46</v>
      </c>
    </row>
    <row r="24" spans="1:17" s="2" customFormat="1" ht="12.75" customHeight="1" x14ac:dyDescent="0.25">
      <c r="A24" s="4">
        <v>310</v>
      </c>
      <c r="B24" s="2">
        <v>1</v>
      </c>
      <c r="C24" s="135">
        <v>1059450</v>
      </c>
      <c r="D24" s="325" t="str">
        <f>VLOOKUP(C24,Purchased!A:B,2,0)</f>
        <v>MPA 251TSTP0 Cylinder Sensor 251mm L</v>
      </c>
      <c r="E24" s="326"/>
      <c r="F24" s="108" t="str">
        <f>IF(VLOOKUP($C24,Purchased!A:Z,11,0) = 0, " ", VLOOKUP($C24,Purchased!A:Z,11,0))</f>
        <v>SICK</v>
      </c>
      <c r="G24" s="108" t="str">
        <f>IF(VLOOKUP($C24,Purchased!A:Z,12,0)=0, " ", VLOOKUP($C24,Purchased!A:Z,12,0))</f>
        <v>AAP</v>
      </c>
      <c r="H24" s="327" t="str">
        <f>IF(VLOOKUP($C24,Purchased!A:Z,13,0)=0, " ", VLOOKUP($C24,Purchased!A:Z,13,0))</f>
        <v xml:space="preserve"> </v>
      </c>
      <c r="I24" s="328"/>
      <c r="J24" s="46">
        <f>IF(VLOOKUP($C24,Purchased!A:Z,14,0)=0, " ", VLOOKUP($C24,Purchased!A:Z,14,0))</f>
        <v>45456</v>
      </c>
      <c r="K24" s="46">
        <f>IF(VLOOKUP(C24,Purchased!A:R,14,0)=0, " ", VLOOKUP(C24,Purchased!A:R,14,0))</f>
        <v>45456</v>
      </c>
      <c r="L24" s="46">
        <f>IF(VLOOKUP(C24,Purchased!A:R,15,0)=0, " ", VLOOKUP(C24,Purchased!A:R,15,0))</f>
        <v>45456</v>
      </c>
      <c r="M24" s="46">
        <f>IF(VLOOKUP(C24,Purchased!A:R,16,0)=0, " ",VLOOKUP(C24,Purchased!A:R,16,0))</f>
        <v>45502</v>
      </c>
      <c r="N24" s="130">
        <f>IF(VLOOKUP(C24,Purchased!A:R,17,0)=0, " ", VLOOKUP(C24,Purchased!A:R,17,0))</f>
        <v>45505</v>
      </c>
      <c r="O24" s="47">
        <f t="shared" ref="O24:O26" ca="1" si="12">B24*$L$2</f>
        <v>2</v>
      </c>
      <c r="P24" s="51">
        <f>VLOOKUP(C24,Purchased!A:D,3,FALSE)</f>
        <v>464</v>
      </c>
      <c r="Q24" s="52">
        <f t="shared" ref="Q24:Q26" si="13">B24*P24</f>
        <v>464</v>
      </c>
    </row>
    <row r="25" spans="1:17" s="2" customFormat="1" ht="12.75" customHeight="1" x14ac:dyDescent="0.25">
      <c r="A25" s="4">
        <v>311</v>
      </c>
      <c r="B25" s="2">
        <v>2</v>
      </c>
      <c r="C25" s="135" t="s">
        <v>218</v>
      </c>
      <c r="D25" s="325" t="str">
        <f>VLOOKUP(C25,Purchased!A:B,2,0)</f>
        <v>Double acting single rod air cylinder 32mm bore 250mm L</v>
      </c>
      <c r="E25" s="326"/>
      <c r="F25" s="108" t="str">
        <f>IF(VLOOKUP($C25,Purchased!A:Z,11,0) = 0, " ", VLOOKUP($C25,Purchased!A:Z,11,0))</f>
        <v>SMC</v>
      </c>
      <c r="G25" s="108" t="str">
        <f>IF(VLOOKUP($C25,Purchased!A:Z,12,0)=0, " ", VLOOKUP($C25,Purchased!A:Z,12,0))</f>
        <v>AAP</v>
      </c>
      <c r="H25" s="327" t="str">
        <f>IF(VLOOKUP($C25,Purchased!A:Z,13,0)=0, " ", VLOOKUP($C25,Purchased!A:Z,13,0))</f>
        <v xml:space="preserve"> </v>
      </c>
      <c r="I25" s="328"/>
      <c r="J25" s="46">
        <f>IF(VLOOKUP($C25,Purchased!A:Z,14,0)=0, " ", VLOOKUP($C25,Purchased!A:Z,14,0))</f>
        <v>45456</v>
      </c>
      <c r="K25" s="46">
        <f>IF(VLOOKUP(C25,Purchased!A:R,14,0)=0, " ", VLOOKUP(C25,Purchased!A:R,14,0))</f>
        <v>45456</v>
      </c>
      <c r="L25" s="46">
        <f>IF(VLOOKUP(C25,Purchased!A:R,15,0)=0, " ", VLOOKUP(C25,Purchased!A:R,15,0))</f>
        <v>45456</v>
      </c>
      <c r="M25" s="46">
        <f>IF(VLOOKUP(C25,Purchased!A:R,16,0)=0, " ",VLOOKUP(C25,Purchased!A:R,16,0))</f>
        <v>45502</v>
      </c>
      <c r="N25" s="130">
        <f>IF(VLOOKUP(C25,Purchased!A:R,17,0)=0, " ", VLOOKUP(C25,Purchased!A:R,17,0))</f>
        <v>45527</v>
      </c>
      <c r="O25" s="47">
        <f t="shared" ca="1" si="12"/>
        <v>4</v>
      </c>
      <c r="P25" s="51">
        <f>VLOOKUP(C25,Purchased!A:D,3,FALSE)</f>
        <v>69.099999999999994</v>
      </c>
      <c r="Q25" s="52">
        <f t="shared" si="13"/>
        <v>138.19999999999999</v>
      </c>
    </row>
    <row r="26" spans="1:17" s="2" customFormat="1" ht="12.75" customHeight="1" x14ac:dyDescent="0.25">
      <c r="A26" s="4">
        <v>312</v>
      </c>
      <c r="B26" s="2">
        <v>4</v>
      </c>
      <c r="C26" s="135" t="s">
        <v>219</v>
      </c>
      <c r="D26" s="325" t="str">
        <f>VLOOKUP(C26,Purchased!A:B,2,0)</f>
        <v>KQ2 unifit, one touch fitting, 4mm D to 1/8in port male elbow</v>
      </c>
      <c r="E26" s="326"/>
      <c r="F26" s="108" t="str">
        <f>IF(VLOOKUP($C26,Purchased!A:Z,11,0) = 0, " ", VLOOKUP($C26,Purchased!A:Z,11,0))</f>
        <v>SMC</v>
      </c>
      <c r="G26" s="108" t="str">
        <f>IF(VLOOKUP($C26,Purchased!A:Z,12,0)=0, " ", VLOOKUP($C26,Purchased!A:Z,12,0))</f>
        <v>AAP</v>
      </c>
      <c r="H26" s="327" t="str">
        <f>IF(VLOOKUP($C26,Purchased!A:Z,13,0)=0, " ", VLOOKUP($C26,Purchased!A:Z,13,0))</f>
        <v xml:space="preserve"> </v>
      </c>
      <c r="I26" s="328"/>
      <c r="J26" s="46">
        <f>IF(VLOOKUP($C26,Purchased!A:Z,14,0)=0, " ", VLOOKUP($C26,Purchased!A:Z,14,0))</f>
        <v>45489</v>
      </c>
      <c r="K26" s="46">
        <f>IF(VLOOKUP(C26,Purchased!A:R,14,0)=0, " ", VLOOKUP(C26,Purchased!A:R,14,0))</f>
        <v>45489</v>
      </c>
      <c r="L26" s="46">
        <f>IF(VLOOKUP(C26,Purchased!A:R,15,0)=0, " ", VLOOKUP(C26,Purchased!A:R,15,0))</f>
        <v>45491</v>
      </c>
      <c r="M26" s="46">
        <f>IF(VLOOKUP(C26,Purchased!A:R,16,0)=0, " ",VLOOKUP(C26,Purchased!A:R,16,0))</f>
        <v>45520</v>
      </c>
      <c r="N26" s="130">
        <f>IF(VLOOKUP(C26,Purchased!A:R,17,0)=0, " ", VLOOKUP(C26,Purchased!A:R,17,0))</f>
        <v>45511</v>
      </c>
      <c r="O26" s="47">
        <f t="shared" ca="1" si="12"/>
        <v>8</v>
      </c>
      <c r="P26" s="51">
        <f>VLOOKUP(C26,Purchased!A:D,3,FALSE)</f>
        <v>1.38</v>
      </c>
      <c r="Q26" s="52">
        <f t="shared" si="13"/>
        <v>5.52</v>
      </c>
    </row>
    <row r="27" spans="1:17" s="2" customFormat="1" ht="12.75" customHeight="1" x14ac:dyDescent="0.25">
      <c r="A27" s="4">
        <v>313</v>
      </c>
      <c r="B27" s="2">
        <v>1</v>
      </c>
      <c r="C27" s="135" t="s">
        <v>220</v>
      </c>
      <c r="D27" s="325" t="str">
        <f>VLOOKUP(C27,Purchased!A:B,2,0)</f>
        <v>M8 4PIN TO FLYING LEAD 7.5M CABLE</v>
      </c>
      <c r="E27" s="326"/>
      <c r="F27" s="108" t="str">
        <f>IF(VLOOKUP($C27,Purchased!A:Z,11,0) = 0, " ", VLOOKUP($C27,Purchased!A:Z,11,0))</f>
        <v>MURR</v>
      </c>
      <c r="G27" s="108" t="str">
        <f>IF(VLOOKUP($C27,Purchased!A:Z,12,0)=0, " ", VLOOKUP($C27,Purchased!A:Z,12,0))</f>
        <v>MURR</v>
      </c>
      <c r="H27" s="327" t="str">
        <f>IF(VLOOKUP($C27,Purchased!A:Z,13,0)=0, " ", VLOOKUP($C27,Purchased!A:Z,13,0))</f>
        <v xml:space="preserve"> </v>
      </c>
      <c r="I27" s="328"/>
      <c r="J27" s="46">
        <f>IF(VLOOKUP($C27,Purchased!A:Z,14,0)=0, " ", VLOOKUP($C27,Purchased!A:Z,14,0))</f>
        <v>45506</v>
      </c>
      <c r="K27" s="46">
        <f>IF(VLOOKUP(C27,Purchased!A:R,14,0)=0, " ", VLOOKUP(C27,Purchased!A:R,14,0))</f>
        <v>45506</v>
      </c>
      <c r="L27" s="46" t="str">
        <f>IF(VLOOKUP(C27,Purchased!A:R,15,0)=0, " ", VLOOKUP(C27,Purchased!A:R,15,0))</f>
        <v xml:space="preserve"> </v>
      </c>
      <c r="M27" s="46" t="str">
        <f>IF(VLOOKUP(C27,Purchased!A:R,16,0)=0, " ",VLOOKUP(C27,Purchased!A:R,16,0))</f>
        <v xml:space="preserve"> </v>
      </c>
      <c r="N27" s="130" t="str">
        <f>IF(VLOOKUP(C27,Purchased!A:R,17,0)=0, " ", VLOOKUP(C27,Purchased!A:R,17,0))</f>
        <v xml:space="preserve"> </v>
      </c>
      <c r="O27" s="47">
        <f ca="1">B27*$L$2</f>
        <v>2</v>
      </c>
      <c r="P27" s="51">
        <f>VLOOKUP(C27,Purchased!A:D,3,FALSE)</f>
        <v>0</v>
      </c>
      <c r="Q27" s="52">
        <f>B27*P27</f>
        <v>0</v>
      </c>
    </row>
    <row r="28" spans="1:17" s="2" customFormat="1" ht="12.75" customHeight="1" x14ac:dyDescent="0.25">
      <c r="A28" s="25"/>
      <c r="B28" s="26"/>
      <c r="C28" s="26"/>
      <c r="D28" s="332"/>
      <c r="E28" s="333"/>
      <c r="F28" s="26"/>
      <c r="G28" s="26"/>
      <c r="H28" s="322"/>
      <c r="I28" s="323"/>
      <c r="J28" s="27"/>
      <c r="K28" s="27"/>
      <c r="L28" s="27"/>
      <c r="M28" s="28"/>
      <c r="N28" s="29"/>
      <c r="O28" s="29"/>
      <c r="P28" s="148"/>
      <c r="Q28" s="149"/>
    </row>
    <row r="29" spans="1:17" s="2" customFormat="1" ht="12.75" customHeight="1" x14ac:dyDescent="0.25">
      <c r="A29" s="4">
        <v>501</v>
      </c>
      <c r="B29" s="2">
        <v>4</v>
      </c>
      <c r="C29" s="122" t="s">
        <v>108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ca="1">B29*$L$2</f>
        <v>8</v>
      </c>
      <c r="P29" s="51">
        <f>VLOOKUP(C29,Bolts!A:B,2,FALSE)</f>
        <v>0</v>
      </c>
      <c r="Q29" s="52">
        <f>B29*P29</f>
        <v>0</v>
      </c>
    </row>
    <row r="30" spans="1:17" s="2" customFormat="1" ht="12.75" customHeight="1" x14ac:dyDescent="0.25">
      <c r="A30" s="4">
        <v>502</v>
      </c>
      <c r="B30" s="2">
        <v>16</v>
      </c>
      <c r="C30" s="122" t="s">
        <v>174</v>
      </c>
      <c r="D30" s="325"/>
      <c r="E30" s="326"/>
      <c r="F30" s="108">
        <f>VLOOKUP(C30,Bolts!A:L,5,0)</f>
        <v>0</v>
      </c>
      <c r="G30" s="108">
        <f>VLOOKUP(C30,Bolts!A:L,6,0)</f>
        <v>0</v>
      </c>
      <c r="H30" s="108">
        <f>VLOOKUP(C30,Bolts!A:L,7,0)</f>
        <v>0</v>
      </c>
      <c r="I30" s="109"/>
      <c r="J30" s="46">
        <f>VLOOKUP(C30,Bolts!A:L,8,0)</f>
        <v>0</v>
      </c>
      <c r="K30" s="46">
        <f>VLOOKUP(C30,Bolts!A:L,9,0)</f>
        <v>0</v>
      </c>
      <c r="L30" s="46">
        <f>VLOOKUP(C30,Bolts!A:L,10,0)</f>
        <v>0</v>
      </c>
      <c r="M30" s="46">
        <f>VLOOKUP(C30,Bolts!A:L,11,0)</f>
        <v>0</v>
      </c>
      <c r="N30" s="130">
        <f>VLOOKUP(C30,Bolts!A:L,12,0)</f>
        <v>0</v>
      </c>
      <c r="O30" s="47">
        <f ca="1">B30*$L$2</f>
        <v>32</v>
      </c>
      <c r="P30" s="51">
        <f>VLOOKUP(C30,Bolts!A:B,2,FALSE)</f>
        <v>0</v>
      </c>
      <c r="Q30" s="52">
        <f>B30*P30</f>
        <v>0</v>
      </c>
    </row>
    <row r="31" spans="1:17" s="2" customFormat="1" ht="12.75" customHeight="1" thickBot="1" x14ac:dyDescent="0.3">
      <c r="A31" s="4">
        <v>503</v>
      </c>
      <c r="B31" s="2">
        <v>4</v>
      </c>
      <c r="C31" s="122" t="s">
        <v>186</v>
      </c>
      <c r="D31" s="325"/>
      <c r="E31" s="326"/>
      <c r="F31" s="108">
        <f>VLOOKUP(C31,Bolts!A:L,5,0)</f>
        <v>0</v>
      </c>
      <c r="G31" s="108">
        <f>VLOOKUP(C31,Bolts!A:L,6,0)</f>
        <v>0</v>
      </c>
      <c r="H31" s="108">
        <f>VLOOKUP(C31,Bolts!A:L,7,0)</f>
        <v>0</v>
      </c>
      <c r="I31" s="109"/>
      <c r="J31" s="46">
        <f>VLOOKUP(C31,Bolts!A:L,8,0)</f>
        <v>0</v>
      </c>
      <c r="K31" s="46">
        <f>VLOOKUP(C31,Bolts!A:L,9,0)</f>
        <v>0</v>
      </c>
      <c r="L31" s="46">
        <f>VLOOKUP(C31,Bolts!A:L,10,0)</f>
        <v>0</v>
      </c>
      <c r="M31" s="46">
        <f>VLOOKUP(C31,Bolts!A:L,11,0)</f>
        <v>0</v>
      </c>
      <c r="N31" s="130">
        <f>VLOOKUP(C31,Bolts!A:L,12,0)</f>
        <v>0</v>
      </c>
      <c r="O31" s="47">
        <f ca="1">B31*$L$2</f>
        <v>8</v>
      </c>
      <c r="P31" s="51">
        <f>VLOOKUP(C31,Bolts!A:B,2,FALSE)</f>
        <v>0</v>
      </c>
      <c r="Q31" s="52">
        <f>B31*P31</f>
        <v>0</v>
      </c>
    </row>
    <row r="32" spans="1:17" s="2" customFormat="1" ht="12" customHeight="1" thickBot="1" x14ac:dyDescent="0.3">
      <c r="A32" s="34"/>
      <c r="B32" s="35"/>
      <c r="C32" s="35"/>
      <c r="D32" s="316"/>
      <c r="E32" s="317"/>
      <c r="F32" s="35"/>
      <c r="G32" s="35"/>
      <c r="H32" s="309"/>
      <c r="I32" s="310"/>
      <c r="J32" s="36"/>
      <c r="K32" s="36"/>
      <c r="L32" s="36"/>
      <c r="M32" s="37"/>
      <c r="N32" s="132"/>
      <c r="O32" s="38"/>
      <c r="P32" s="99" t="s">
        <v>43</v>
      </c>
      <c r="Q32" s="104">
        <f>SUM(Q5:Q31)</f>
        <v>2153.0099999999998</v>
      </c>
    </row>
    <row r="33" spans="3:17" s="2" customFormat="1" ht="12" customHeight="1" x14ac:dyDescent="0.2">
      <c r="D33" s="21"/>
      <c r="E33" s="21"/>
      <c r="J33" s="8"/>
      <c r="K33" s="8"/>
      <c r="L33" s="8"/>
      <c r="M33" s="8"/>
      <c r="N33" s="131"/>
      <c r="O33" s="5"/>
      <c r="P33" s="98"/>
      <c r="Q33" s="105"/>
    </row>
    <row r="34" spans="3:17" x14ac:dyDescent="0.25">
      <c r="C34" s="2" t="s">
        <v>221</v>
      </c>
    </row>
    <row r="35" spans="3:17" x14ac:dyDescent="0.25">
      <c r="C35" s="2" t="s">
        <v>222</v>
      </c>
    </row>
    <row r="36" spans="3:17" x14ac:dyDescent="0.25">
      <c r="C36" s="2" t="s">
        <v>223</v>
      </c>
    </row>
  </sheetData>
  <sheetProtection selectLockedCells="1"/>
  <mergeCells count="56">
    <mergeCell ref="D15:E15"/>
    <mergeCell ref="H15:I15"/>
    <mergeCell ref="D16:E16"/>
    <mergeCell ref="H16:I16"/>
    <mergeCell ref="D17:E17"/>
    <mergeCell ref="H17:I17"/>
    <mergeCell ref="H23:I23"/>
    <mergeCell ref="D18:E18"/>
    <mergeCell ref="H18:I18"/>
    <mergeCell ref="D19:E19"/>
    <mergeCell ref="H19:I19"/>
    <mergeCell ref="D20:E20"/>
    <mergeCell ref="H20:I20"/>
    <mergeCell ref="H10:I10"/>
    <mergeCell ref="D24:E24"/>
    <mergeCell ref="H24:I24"/>
    <mergeCell ref="D25:E25"/>
    <mergeCell ref="H25:I25"/>
    <mergeCell ref="D12:E12"/>
    <mergeCell ref="H12:I12"/>
    <mergeCell ref="D13:E13"/>
    <mergeCell ref="H13:I13"/>
    <mergeCell ref="D14:E14"/>
    <mergeCell ref="H14:I14"/>
    <mergeCell ref="D21:E21"/>
    <mergeCell ref="H21:I21"/>
    <mergeCell ref="D22:E22"/>
    <mergeCell ref="H22:I22"/>
    <mergeCell ref="D23:E23"/>
    <mergeCell ref="D32:E32"/>
    <mergeCell ref="H32:I32"/>
    <mergeCell ref="D26:E26"/>
    <mergeCell ref="H26:I26"/>
    <mergeCell ref="D28:E28"/>
    <mergeCell ref="H28:I28"/>
    <mergeCell ref="D29:E29"/>
    <mergeCell ref="D31:E31"/>
    <mergeCell ref="D30:E30"/>
    <mergeCell ref="D27:E27"/>
    <mergeCell ref="H27:I27"/>
    <mergeCell ref="D1:E1"/>
    <mergeCell ref="D4:E4"/>
    <mergeCell ref="H4:I4"/>
    <mergeCell ref="D11:E11"/>
    <mergeCell ref="H11:I11"/>
    <mergeCell ref="D5:E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</mergeCells>
  <phoneticPr fontId="8" type="noConversion"/>
  <conditionalFormatting sqref="M14 M28:M31">
    <cfRule type="cellIs" dxfId="2036" priority="27" stopIfTrue="1" operator="lessThanOrEqual">
      <formula>$L14</formula>
    </cfRule>
    <cfRule type="cellIs" dxfId="2035" priority="28" operator="greaterThan">
      <formula>L14</formula>
    </cfRule>
  </conditionalFormatting>
  <conditionalFormatting sqref="M15">
    <cfRule type="cellIs" dxfId="2034" priority="25" stopIfTrue="1" operator="lessThanOrEqual">
      <formula>$L15</formula>
    </cfRule>
    <cfRule type="cellIs" dxfId="2033" priority="26" operator="greaterThan">
      <formula>L15</formula>
    </cfRule>
  </conditionalFormatting>
  <conditionalFormatting sqref="M16">
    <cfRule type="cellIs" dxfId="2032" priority="23" stopIfTrue="1" operator="lessThanOrEqual">
      <formula>$L16</formula>
    </cfRule>
    <cfRule type="cellIs" dxfId="2031" priority="24" operator="greaterThan">
      <formula>L16</formula>
    </cfRule>
  </conditionalFormatting>
  <conditionalFormatting sqref="M17">
    <cfRule type="cellIs" dxfId="2030" priority="21" stopIfTrue="1" operator="lessThanOrEqual">
      <formula>$L17</formula>
    </cfRule>
    <cfRule type="cellIs" dxfId="2029" priority="22" operator="greaterThan">
      <formula>L17</formula>
    </cfRule>
  </conditionalFormatting>
  <conditionalFormatting sqref="M18">
    <cfRule type="cellIs" dxfId="2028" priority="19" stopIfTrue="1" operator="lessThanOrEqual">
      <formula>$L18</formula>
    </cfRule>
    <cfRule type="cellIs" dxfId="2027" priority="20" operator="greaterThan">
      <formula>L18</formula>
    </cfRule>
  </conditionalFormatting>
  <conditionalFormatting sqref="M19">
    <cfRule type="cellIs" dxfId="2026" priority="17" stopIfTrue="1" operator="lessThanOrEqual">
      <formula>$L19</formula>
    </cfRule>
    <cfRule type="cellIs" dxfId="2025" priority="18" operator="greaterThan">
      <formula>L19</formula>
    </cfRule>
  </conditionalFormatting>
  <conditionalFormatting sqref="M20">
    <cfRule type="cellIs" dxfId="2024" priority="15" stopIfTrue="1" operator="lessThanOrEqual">
      <formula>$L20</formula>
    </cfRule>
    <cfRule type="cellIs" dxfId="2023" priority="16" operator="greaterThan">
      <formula>L20</formula>
    </cfRule>
  </conditionalFormatting>
  <conditionalFormatting sqref="M21">
    <cfRule type="cellIs" dxfId="2022" priority="13" stopIfTrue="1" operator="lessThanOrEqual">
      <formula>$L21</formula>
    </cfRule>
    <cfRule type="cellIs" dxfId="2021" priority="14" operator="greaterThan">
      <formula>L21</formula>
    </cfRule>
  </conditionalFormatting>
  <conditionalFormatting sqref="M22">
    <cfRule type="cellIs" dxfId="2020" priority="11" stopIfTrue="1" operator="lessThanOrEqual">
      <formula>$L22</formula>
    </cfRule>
    <cfRule type="cellIs" dxfId="2019" priority="12" operator="greaterThan">
      <formula>L22</formula>
    </cfRule>
  </conditionalFormatting>
  <conditionalFormatting sqref="M23">
    <cfRule type="cellIs" dxfId="2018" priority="9" stopIfTrue="1" operator="lessThanOrEqual">
      <formula>$L23</formula>
    </cfRule>
    <cfRule type="cellIs" dxfId="2017" priority="10" operator="greaterThan">
      <formula>L23</formula>
    </cfRule>
  </conditionalFormatting>
  <conditionalFormatting sqref="M24">
    <cfRule type="cellIs" dxfId="2016" priority="7" stopIfTrue="1" operator="lessThanOrEqual">
      <formula>$L24</formula>
    </cfRule>
    <cfRule type="cellIs" dxfId="2015" priority="8" operator="greaterThan">
      <formula>L24</formula>
    </cfRule>
  </conditionalFormatting>
  <conditionalFormatting sqref="M25">
    <cfRule type="cellIs" dxfId="2014" priority="5" stopIfTrue="1" operator="lessThanOrEqual">
      <formula>$L25</formula>
    </cfRule>
    <cfRule type="cellIs" dxfId="2013" priority="6" operator="greaterThan">
      <formula>L25</formula>
    </cfRule>
  </conditionalFormatting>
  <conditionalFormatting sqref="M26">
    <cfRule type="cellIs" dxfId="2012" priority="3" stopIfTrue="1" operator="lessThanOrEqual">
      <formula>$L26</formula>
    </cfRule>
    <cfRule type="cellIs" dxfId="2011" priority="4" operator="greaterThan">
      <formula>L26</formula>
    </cfRule>
  </conditionalFormatting>
  <conditionalFormatting sqref="M27">
    <cfRule type="cellIs" dxfId="2010" priority="1" stopIfTrue="1" operator="lessThanOrEqual">
      <formula>$L27</formula>
    </cfRule>
    <cfRule type="cellIs" dxfId="2009" priority="2" operator="greaterThan">
      <formula>L27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976C7AB-853E-4B84-8EBC-2017078B7FA1}">
          <x14:formula1>
            <xm:f>Bolts!$A:$A</xm:f>
          </x14:formula1>
          <xm:sqref>C29:C31</xm:sqref>
        </x14:dataValidation>
        <x14:dataValidation type="list" allowBlank="1" showInputMessage="1" showErrorMessage="1" xr:uid="{8EECE5D7-90E8-4D83-ABC1-4F914F3F5A0E}">
          <x14:formula1>
            <xm:f>Machined!$C:$C</xm:f>
          </x14:formula1>
          <xm:sqref>C5:C13</xm:sqref>
        </x14:dataValidation>
        <x14:dataValidation type="list" allowBlank="1" showInputMessage="1" showErrorMessage="1" xr:uid="{90C6460F-40E0-403E-8173-E52A8E374E5D}">
          <x14:formula1>
            <xm:f>Purchased!$A:$A</xm:f>
          </x14:formula1>
          <xm:sqref>C15:C27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86FEC-7F78-4076-A700-145BAA2D9891}">
  <sheetPr codeName="Sheet28">
    <tabColor theme="6" tint="0.59999389629810485"/>
  </sheetPr>
  <dimension ref="A1:Q10"/>
  <sheetViews>
    <sheetView zoomScale="115" zoomScaleNormal="115" workbookViewId="0">
      <selection activeCell="C3" sqref="C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'1.1'!C13</f>
        <v>PG10.1.1.9.0.A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'1.1'!D13</f>
        <v>Dancer Bumper Assem</v>
      </c>
      <c r="D3" s="85" t="s">
        <v>50</v>
      </c>
      <c r="E3" s="86" t="str">
        <f ca="1">MID(CELL("filename",A1),FIND("]",CELL("filename",A1))+1,256)</f>
        <v>1.1.9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1</v>
      </c>
      <c r="C5" s="135">
        <v>3842530283</v>
      </c>
      <c r="D5" s="325" t="str">
        <f>VLOOKUP(C5,Purchased!A:B,2,0)</f>
        <v>BRX GOTO T-NUT 10 M5</v>
      </c>
      <c r="E5" s="326"/>
      <c r="F5" s="108" t="str">
        <f>IF(VLOOKUP($C5,Purchased!A:Z,11,0) = 0, " ", VLOOKUP($C5,Purchased!A:Z,11,0))</f>
        <v>BRX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>100 additional quantity added to 55710</v>
      </c>
      <c r="I5" s="328"/>
      <c r="J5" s="46">
        <f>IF(VLOOKUP($C5,Purchased!A:Z,14,0)=0, " ", VLOOKUP($C5,Purchased!A:Z,14,0))</f>
        <v>45463</v>
      </c>
      <c r="K5" s="46">
        <f>IF(VLOOKUP(C5,Purchased!A:R,14,0)=0, " ", VLOOKUP(C5,Purchased!A:R,14,0))</f>
        <v>45463</v>
      </c>
      <c r="L5" s="46">
        <f>IF(VLOOKUP(C5,Purchased!A:R,15,0)=0, " ", VLOOKUP(C5,Purchased!A:R,15,0))</f>
        <v>45463</v>
      </c>
      <c r="M5" s="46">
        <f>IF(VLOOKUP(C5,Purchased!A:R,16,0)=0, " ",VLOOKUP(C5,Purchased!A:R,16,0))</f>
        <v>45481</v>
      </c>
      <c r="N5" s="130">
        <f>IF(VLOOKUP(C5,Purchased!A:R,17,0)=0, " ", VLOOKUP(C5,Purchased!A:R,17,0))</f>
        <v>45481</v>
      </c>
      <c r="O5" s="47">
        <f ca="1">B5*$L$2</f>
        <v>4</v>
      </c>
      <c r="P5" s="51">
        <f>VLOOKUP(C5,Purchased!A:D,3,FALSE)</f>
        <v>0.56000000000000005</v>
      </c>
      <c r="Q5" s="52">
        <f>B5*P5</f>
        <v>0.56000000000000005</v>
      </c>
    </row>
    <row r="6" spans="1:17" s="2" customFormat="1" ht="12.75" customHeight="1" x14ac:dyDescent="0.25">
      <c r="A6" s="4">
        <v>302</v>
      </c>
      <c r="B6" s="2">
        <v>1</v>
      </c>
      <c r="C6" s="135" t="s">
        <v>224</v>
      </c>
      <c r="D6" s="325" t="str">
        <f>VLOOKUP(C6,Purchased!A:B,2,0)</f>
        <v>Unthreaded Bumper, SBR Rubber, 1-1/2" OD, 5/8" High, 1/2" Counterbore 
Diameter</v>
      </c>
      <c r="E6" s="326"/>
      <c r="F6" s="108" t="str">
        <f>IF(VLOOKUP($C6,Purchased!A:Z,11,0) = 0, " ", VLOOKUP($C6,Purchased!A:Z,11,0))</f>
        <v>MCM</v>
      </c>
      <c r="G6" s="108" t="str">
        <f>IF(VLOOKUP($C6,Purchased!A:Z,12,0)=0, " ", VLOOKUP($C6,Purchased!A:Z,12,0))</f>
        <v>MCM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45460</v>
      </c>
      <c r="K6" s="46">
        <f>IF(VLOOKUP(C6,Purchased!A:R,14,0)=0, " ", VLOOKUP(C6,Purchased!A:R,14,0))</f>
        <v>45460</v>
      </c>
      <c r="L6" s="46">
        <f>IF(VLOOKUP(C6,Purchased!A:R,15,0)=0, " ", VLOOKUP(C6,Purchased!A:R,15,0))</f>
        <v>45460</v>
      </c>
      <c r="M6" s="46">
        <f>IF(VLOOKUP(C6,Purchased!A:R,16,0)=0, " ",VLOOKUP(C6,Purchased!A:R,16,0))</f>
        <v>45462</v>
      </c>
      <c r="N6" s="130">
        <f>IF(VLOOKUP(C6,Purchased!A:R,17,0)=0, " ", VLOOKUP(C6,Purchased!A:R,17,0))</f>
        <v>45462</v>
      </c>
      <c r="O6" s="47">
        <f t="shared" ref="O6" ca="1" si="0">B6*$L$2</f>
        <v>4</v>
      </c>
      <c r="P6" s="51">
        <f>VLOOKUP(C6,Purchased!A:D,3,FALSE)</f>
        <v>10.34</v>
      </c>
      <c r="Q6" s="52">
        <f t="shared" ref="Q6" si="1">B6*P6</f>
        <v>10.34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thickBot="1" x14ac:dyDescent="0.3">
      <c r="A8" s="4">
        <v>501</v>
      </c>
      <c r="B8" s="2">
        <v>1</v>
      </c>
      <c r="C8" s="122" t="s">
        <v>225</v>
      </c>
      <c r="D8" s="325"/>
      <c r="E8" s="326"/>
      <c r="F8" s="108">
        <f>VLOOKUP(C8,Bolts!A:L,5,0)</f>
        <v>0</v>
      </c>
      <c r="G8" s="108">
        <f>VLOOKUP(C8,Bolts!A:L,6,0)</f>
        <v>0</v>
      </c>
      <c r="H8" s="108">
        <f>VLOOKUP(C8,Bolts!A:L,7,0)</f>
        <v>0</v>
      </c>
      <c r="I8" s="109"/>
      <c r="J8" s="46">
        <f>VLOOKUP(C8,Bolts!A:L,8,0)</f>
        <v>0</v>
      </c>
      <c r="K8" s="46">
        <f>VLOOKUP(C8,Bolts!A:L,9,0)</f>
        <v>0</v>
      </c>
      <c r="L8" s="46">
        <f>VLOOKUP(C8,Bolts!A:L,10,0)</f>
        <v>0</v>
      </c>
      <c r="M8" s="46">
        <f>VLOOKUP(C8,Bolts!A:L,11,0)</f>
        <v>0</v>
      </c>
      <c r="N8" s="130">
        <f>VLOOKUP(C8,Bolts!A:L,12,0)</f>
        <v>0</v>
      </c>
      <c r="O8" s="47">
        <f ca="1">B8*$L$2</f>
        <v>4</v>
      </c>
      <c r="P8" s="51">
        <f>VLOOKUP(C8,Bolts!A:B,2,FALSE)</f>
        <v>0</v>
      </c>
      <c r="Q8" s="52">
        <f>B8*P8</f>
        <v>0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10.9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sheetProtection selectLockedCells="1"/>
  <mergeCells count="12">
    <mergeCell ref="D9:E9"/>
    <mergeCell ref="H9:I9"/>
    <mergeCell ref="D7:E7"/>
    <mergeCell ref="H7:I7"/>
    <mergeCell ref="D8:E8"/>
    <mergeCell ref="D5:E5"/>
    <mergeCell ref="H5:I5"/>
    <mergeCell ref="D6:E6"/>
    <mergeCell ref="H6:I6"/>
    <mergeCell ref="D1:E1"/>
    <mergeCell ref="D4:E4"/>
    <mergeCell ref="H4:I4"/>
  </mergeCells>
  <conditionalFormatting sqref="M7:M8">
    <cfRule type="cellIs" dxfId="2008" priority="5" stopIfTrue="1" operator="lessThanOrEqual">
      <formula>$L7</formula>
    </cfRule>
    <cfRule type="cellIs" dxfId="2007" priority="6" operator="greaterThan">
      <formula>L7</formula>
    </cfRule>
  </conditionalFormatting>
  <conditionalFormatting sqref="M5:M6">
    <cfRule type="cellIs" dxfId="2006" priority="1" stopIfTrue="1" operator="lessThanOrEqual">
      <formula>$L5</formula>
    </cfRule>
    <cfRule type="cellIs" dxfId="2005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BDF2C6-A709-42EA-AF85-B1683B4F013D}">
          <x14:formula1>
            <xm:f>Bolts!$A:$A</xm:f>
          </x14:formula1>
          <xm:sqref>C8</xm:sqref>
        </x14:dataValidation>
        <x14:dataValidation type="list" allowBlank="1" showInputMessage="1" showErrorMessage="1" xr:uid="{05F2BDB9-51BE-4324-A052-7F4F9C74DD12}">
          <x14:formula1>
            <xm:f>Purchased!$A:$A</xm:f>
          </x14:formula1>
          <xm:sqref>C5:C6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9AF02-9AD9-4AE1-AA94-1A62CE8E7878}">
  <sheetPr codeName="Sheet29">
    <tabColor theme="6" tint="0.59999389629810485"/>
  </sheetPr>
  <dimension ref="A1:Q14"/>
  <sheetViews>
    <sheetView zoomScale="115" zoomScaleNormal="115" workbookViewId="0">
      <selection activeCell="A7" sqref="A6:XFD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'1.1'!C14</f>
        <v>PG10.1.1.10.0.A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'1.1'!D14</f>
        <v>Dancer Fittings Assy</v>
      </c>
      <c r="D3" s="85" t="s">
        <v>50</v>
      </c>
      <c r="E3" s="86" t="str">
        <f ca="1">MID(CELL("filename",A1),FIND("]",CELL("filename",A1))+1,256)</f>
        <v>1.1.10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226</v>
      </c>
      <c r="D5" s="314" t="str">
        <f>VLOOKUP(C5,Machined!C:X,2,0)</f>
        <v>ACTUATED DANCER FITTINGS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2</v>
      </c>
      <c r="P5" s="49">
        <f>VLOOKUP(C5,Machined!C:F,3,0)</f>
        <v>62.5</v>
      </c>
      <c r="Q5" s="50">
        <f>B5*P5</f>
        <v>62.5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2</v>
      </c>
      <c r="C7" s="135">
        <v>3842530281</v>
      </c>
      <c r="D7" s="325" t="str">
        <f>VLOOKUP(C7,Purchased!A:B,2,0)</f>
        <v>BRX GOTO T-NUT 10 M4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100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ca="1">B7*$L$2</f>
        <v>4</v>
      </c>
      <c r="P7" s="51">
        <f>VLOOKUP(C7,Purchased!A:D,3,FALSE)</f>
        <v>0.56000000000000005</v>
      </c>
      <c r="Q7" s="52">
        <f>B7*P7</f>
        <v>1.1200000000000001</v>
      </c>
    </row>
    <row r="8" spans="1:17" s="2" customFormat="1" ht="12.75" customHeight="1" x14ac:dyDescent="0.25">
      <c r="A8" s="4">
        <v>302</v>
      </c>
      <c r="B8" s="2">
        <v>2</v>
      </c>
      <c r="C8" s="135" t="s">
        <v>227</v>
      </c>
      <c r="D8" s="325" t="str">
        <f>VLOOKUP(C8,Purchased!A:B,2,0)</f>
        <v>KQ2 one touch fitting, 8mm D elbow</v>
      </c>
      <c r="E8" s="326"/>
      <c r="F8" s="108" t="str">
        <f>IF(VLOOKUP($C8,Purchased!A:Z,11,0) = 0, " ", VLOOKUP($C8,Purchased!A:Z,11,0))</f>
        <v>SMC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45489</v>
      </c>
      <c r="K8" s="46">
        <f>IF(VLOOKUP(C8,Purchased!A:R,14,0)=0, " ", VLOOKUP(C8,Purchased!A:R,14,0))</f>
        <v>45489</v>
      </c>
      <c r="L8" s="46">
        <f>IF(VLOOKUP(C8,Purchased!A:R,15,0)=0, " ", VLOOKUP(C8,Purchased!A:R,15,0))</f>
        <v>45491</v>
      </c>
      <c r="M8" s="46">
        <f>IF(VLOOKUP(C8,Purchased!A:R,16,0)=0, " ",VLOOKUP(C8,Purchased!A:R,16,0))</f>
        <v>45520</v>
      </c>
      <c r="N8" s="130">
        <f>IF(VLOOKUP(C8,Purchased!A:R,17,0)=0, " ", VLOOKUP(C8,Purchased!A:R,17,0))</f>
        <v>45511</v>
      </c>
      <c r="O8" s="47">
        <f t="shared" ref="O8:O10" ca="1" si="0">B8*$L$2</f>
        <v>4</v>
      </c>
      <c r="P8" s="51">
        <f>VLOOKUP(C8,Purchased!A:D,3,FALSE)</f>
        <v>1.86</v>
      </c>
      <c r="Q8" s="52">
        <f t="shared" ref="Q8:Q10" si="1">B8*P8</f>
        <v>3.72</v>
      </c>
    </row>
    <row r="9" spans="1:17" s="2" customFormat="1" ht="12.75" customHeight="1" x14ac:dyDescent="0.25">
      <c r="A9" s="4">
        <v>303</v>
      </c>
      <c r="B9" s="2">
        <v>2</v>
      </c>
      <c r="C9" s="135" t="s">
        <v>228</v>
      </c>
      <c r="D9" s="325" t="str">
        <f>VLOOKUP(C9,Purchased!A:B,2,0)</f>
        <v>KQ2 one touch fitting, 6mm to 8mm D T</v>
      </c>
      <c r="E9" s="326"/>
      <c r="F9" s="108" t="str">
        <f>IF(VLOOKUP($C9,Purchased!A:Z,11,0) = 0, " ", VLOOKUP($C9,Purchased!A:Z,11,0))</f>
        <v>SMC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45489</v>
      </c>
      <c r="K9" s="46">
        <f>IF(VLOOKUP(C9,Purchased!A:R,14,0)=0, " ", VLOOKUP(C9,Purchased!A:R,14,0))</f>
        <v>45489</v>
      </c>
      <c r="L9" s="46">
        <f>IF(VLOOKUP(C9,Purchased!A:R,15,0)=0, " ", VLOOKUP(C9,Purchased!A:R,15,0))</f>
        <v>45491</v>
      </c>
      <c r="M9" s="46">
        <f>IF(VLOOKUP(C9,Purchased!A:R,16,0)=0, " ",VLOOKUP(C9,Purchased!A:R,16,0))</f>
        <v>45520</v>
      </c>
      <c r="N9" s="130">
        <f>IF(VLOOKUP(C9,Purchased!A:R,17,0)=0, " ", VLOOKUP(C9,Purchased!A:R,17,0))</f>
        <v>45511</v>
      </c>
      <c r="O9" s="47">
        <f t="shared" ref="O9" ca="1" si="2">B9*$L$2</f>
        <v>4</v>
      </c>
      <c r="P9" s="51">
        <f>VLOOKUP(C9,Purchased!A:D,3,FALSE)</f>
        <v>2.4</v>
      </c>
      <c r="Q9" s="52">
        <f t="shared" ref="Q9" si="3">B9*P9</f>
        <v>4.8</v>
      </c>
    </row>
    <row r="10" spans="1:17" s="2" customFormat="1" ht="12.75" customHeight="1" x14ac:dyDescent="0.25">
      <c r="A10" s="4">
        <v>304</v>
      </c>
      <c r="B10" s="2">
        <v>3</v>
      </c>
      <c r="C10" s="135" t="s">
        <v>229</v>
      </c>
      <c r="D10" s="325" t="str">
        <f>VLOOKUP(C10,Purchased!A:B,2,0)</f>
        <v>Button Head Hex Drive Screw, Passivated 18-8 Stainless Steel, M3 x 0.50 mm 
Thread, 30mm Long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45482</v>
      </c>
      <c r="N10" s="130">
        <f>IF(VLOOKUP(C10,Purchased!A:R,17,0)=0, " ", VLOOKUP(C10,Purchased!A:R,17,0))</f>
        <v>45482</v>
      </c>
      <c r="O10" s="47">
        <f t="shared" ca="1" si="0"/>
        <v>6</v>
      </c>
      <c r="P10" s="51">
        <f>VLOOKUP(C10,Purchased!A:D,3,FALSE)</f>
        <v>7.85</v>
      </c>
      <c r="Q10" s="52">
        <f t="shared" si="1"/>
        <v>23.549999999999997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thickBot="1" x14ac:dyDescent="0.3">
      <c r="A12" s="4">
        <v>501</v>
      </c>
      <c r="B12" s="2">
        <v>2</v>
      </c>
      <c r="C12" s="122" t="s">
        <v>198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4</v>
      </c>
      <c r="P12" s="51">
        <f>VLOOKUP(C12,Bolts!A:B,2,FALSE)</f>
        <v>0</v>
      </c>
      <c r="Q12" s="52">
        <f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95.69</v>
      </c>
    </row>
    <row r="14" spans="1:17" s="2" customFormat="1" ht="12" customHeight="1" x14ac:dyDescent="0.2">
      <c r="D14" s="21"/>
      <c r="E14" s="21"/>
      <c r="J14" s="8"/>
      <c r="K14" s="8"/>
      <c r="L14" s="8"/>
      <c r="M14" s="8"/>
      <c r="N14" s="131"/>
      <c r="O14" s="5"/>
      <c r="P14" s="98"/>
      <c r="Q14" s="105"/>
    </row>
  </sheetData>
  <sheetProtection selectLockedCells="1"/>
  <mergeCells count="20">
    <mergeCell ref="D13:E13"/>
    <mergeCell ref="H13:I13"/>
    <mergeCell ref="D10:E10"/>
    <mergeCell ref="H10:I10"/>
    <mergeCell ref="D11:E11"/>
    <mergeCell ref="H11:I11"/>
    <mergeCell ref="D12:E12"/>
    <mergeCell ref="D9:E9"/>
    <mergeCell ref="H9:I9"/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</mergeCells>
  <conditionalFormatting sqref="M6 M11:M12">
    <cfRule type="cellIs" dxfId="2004" priority="9" stopIfTrue="1" operator="lessThanOrEqual">
      <formula>$L6</formula>
    </cfRule>
    <cfRule type="cellIs" dxfId="2003" priority="10" operator="greaterThan">
      <formula>L6</formula>
    </cfRule>
  </conditionalFormatting>
  <conditionalFormatting sqref="M7">
    <cfRule type="cellIs" dxfId="2002" priority="7" stopIfTrue="1" operator="lessThanOrEqual">
      <formula>$L7</formula>
    </cfRule>
    <cfRule type="cellIs" dxfId="2001" priority="8" operator="greaterThan">
      <formula>L7</formula>
    </cfRule>
  </conditionalFormatting>
  <conditionalFormatting sqref="M8">
    <cfRule type="cellIs" dxfId="2000" priority="5" stopIfTrue="1" operator="lessThanOrEqual">
      <formula>$L8</formula>
    </cfRule>
    <cfRule type="cellIs" dxfId="1999" priority="6" operator="greaterThan">
      <formula>L8</formula>
    </cfRule>
  </conditionalFormatting>
  <conditionalFormatting sqref="M9">
    <cfRule type="cellIs" dxfId="1998" priority="3" stopIfTrue="1" operator="lessThanOrEqual">
      <formula>$L9</formula>
    </cfRule>
    <cfRule type="cellIs" dxfId="1997" priority="4" operator="greaterThan">
      <formula>L9</formula>
    </cfRule>
  </conditionalFormatting>
  <conditionalFormatting sqref="M10">
    <cfRule type="cellIs" dxfId="1996" priority="1" stopIfTrue="1" operator="lessThanOrEqual">
      <formula>$L10</formula>
    </cfRule>
    <cfRule type="cellIs" dxfId="1995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66E783-B0CF-47FD-A1D9-61C6185C23A7}">
          <x14:formula1>
            <xm:f>Bolts!$A:$A</xm:f>
          </x14:formula1>
          <xm:sqref>C12</xm:sqref>
        </x14:dataValidation>
        <x14:dataValidation type="list" allowBlank="1" showInputMessage="1" showErrorMessage="1" xr:uid="{C747D04F-F6DB-4FE9-B3F8-F931C8035FF5}">
          <x14:formula1>
            <xm:f>Machined!$C:$C</xm:f>
          </x14:formula1>
          <xm:sqref>C5</xm:sqref>
        </x14:dataValidation>
        <x14:dataValidation type="list" allowBlank="1" showInputMessage="1" showErrorMessage="1" xr:uid="{CE5B2BF3-E2A5-43BE-A8E1-1D3D6A8729F4}">
          <x14:formula1>
            <xm:f>Purchased!$A:$A</xm:f>
          </x14:formula1>
          <xm:sqref>C7:C10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4B415-A9CC-40C9-9E7D-06922EBAF28F}">
  <sheetPr codeName="Sheet30">
    <tabColor theme="6" tint="0.59999389629810485"/>
  </sheetPr>
  <dimension ref="A1:Q12"/>
  <sheetViews>
    <sheetView zoomScale="115" zoomScaleNormal="115" workbookViewId="0">
      <selection activeCell="C17" sqref="C1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'1.1'!C15</f>
        <v>PG10.1.1.11.0.A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'1.1'!D15</f>
        <v>Thin Wall Top Guard 1</v>
      </c>
      <c r="D3" s="85" t="s">
        <v>50</v>
      </c>
      <c r="E3" s="86" t="str">
        <f ca="1">MID(CELL("filename",A1),FIND("]",CELL("filename",A1))+1,256)</f>
        <v>1.1.11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12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12</v>
      </c>
      <c r="P5" s="117">
        <f>'1.1.11.1'!Q9</f>
        <v>7.1199999999999992</v>
      </c>
      <c r="Q5" s="152">
        <f t="shared" ref="Q5" si="0">B5*P5</f>
        <v>85.44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1</v>
      </c>
      <c r="C7" s="121" t="s">
        <v>231</v>
      </c>
      <c r="D7" s="314" t="str">
        <f>VLOOKUP(C7,Machined!C:X,2,0)</f>
        <v>Twin Wall Top Guard 1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t="shared" ref="O7" ca="1" si="1">B7*$L$2</f>
        <v>1</v>
      </c>
      <c r="P7" s="49">
        <f>VLOOKUP(C7,Machined!C:F,3,0)</f>
        <v>84.9</v>
      </c>
      <c r="Q7" s="50">
        <f t="shared" ref="Q7" si="2">B7*P7</f>
        <v>84.9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thickBot="1" x14ac:dyDescent="0.3">
      <c r="A9" s="4">
        <v>301</v>
      </c>
      <c r="B9" s="2">
        <v>12</v>
      </c>
      <c r="C9" s="135" t="s">
        <v>3853</v>
      </c>
      <c r="D9" s="325" t="str">
        <f>VLOOKUP(C9,Purchased!A:B,2,0)</f>
        <v>DG0001	0.315 (8MM) CLEAR POLYCARBONATE U-CHANNEL X 12FT</v>
      </c>
      <c r="E9" s="326"/>
      <c r="F9" s="108" t="str">
        <f>IF(VLOOKUP($C9,Purchased!A:Z,11,0) = 0, " ", VLOOKUP($C9,Purchased!A:Z,11,0))</f>
        <v>PRO PLASTICS</v>
      </c>
      <c r="G9" s="108" t="str">
        <f>IF(VLOOKUP($C9,Purchased!A:Z,12,0)=0, " ", VLOOKUP($C9,Purchased!A:Z,12,0))</f>
        <v>PRO PLASTICS</v>
      </c>
      <c r="H9" s="327" t="str">
        <f>IF(VLOOKUP($C9,Purchased!A:Z,13,0)=0, " ", VLOOKUP($C9,Purchased!A:Z,13,0))</f>
        <v>Will call</v>
      </c>
      <c r="I9" s="328"/>
      <c r="J9" s="46">
        <f>IF(VLOOKUP($C9,Purchased!A:Z,14,0)=0, " ", VLOOKUP($C9,Purchased!A:Z,14,0))</f>
        <v>45553</v>
      </c>
      <c r="K9" s="46">
        <f>IF(VLOOKUP(C9,Purchased!A:R,14,0)=0, " ", VLOOKUP(C9,Purchased!A:R,14,0))</f>
        <v>45553</v>
      </c>
      <c r="L9" s="46">
        <f>IF(VLOOKUP(C9,Purchased!A:R,15,0)=0, " ", VLOOKUP(C9,Purchased!A:R,15,0))</f>
        <v>45553</v>
      </c>
      <c r="M9" s="46">
        <f>IF(VLOOKUP(C9,Purchased!A:R,16,0)=0, " ",VLOOKUP(C9,Purchased!A:R,16,0))</f>
        <v>45569</v>
      </c>
      <c r="N9" s="130">
        <f>IF(VLOOKUP(C9,Purchased!A:R,17,0)=0, " ", VLOOKUP(C9,Purchased!A:R,17,0))</f>
        <v>45567</v>
      </c>
      <c r="O9" s="47">
        <f ca="1">B9*$L$2</f>
        <v>12</v>
      </c>
      <c r="P9" s="51">
        <f>VLOOKUP(C9,Purchased!A:D,3,FALSE)</f>
        <v>11.31</v>
      </c>
      <c r="Q9" s="52">
        <f>B9*P9</f>
        <v>135.72</v>
      </c>
    </row>
    <row r="10" spans="1:17" s="2" customFormat="1" ht="12" customHeight="1" thickBot="1" x14ac:dyDescent="0.3">
      <c r="A10" s="34"/>
      <c r="B10" s="35"/>
      <c r="C10" s="35"/>
      <c r="D10" s="316"/>
      <c r="E10" s="317"/>
      <c r="F10" s="35"/>
      <c r="G10" s="35"/>
      <c r="H10" s="309"/>
      <c r="I10" s="310"/>
      <c r="J10" s="36"/>
      <c r="K10" s="36"/>
      <c r="L10" s="36"/>
      <c r="M10" s="37"/>
      <c r="N10" s="132"/>
      <c r="O10" s="38"/>
      <c r="P10" s="99" t="s">
        <v>43</v>
      </c>
      <c r="Q10" s="104">
        <f>SUM(Q5:Q7)</f>
        <v>170.34</v>
      </c>
    </row>
    <row r="11" spans="1:17" s="2" customFormat="1" ht="12" customHeight="1" x14ac:dyDescent="0.2">
      <c r="D11" s="21"/>
      <c r="E11" s="21"/>
      <c r="J11" s="8"/>
      <c r="K11" s="8"/>
      <c r="L11" s="8"/>
      <c r="M11" s="8"/>
      <c r="N11" s="131"/>
      <c r="O11" s="5"/>
      <c r="P11" s="98"/>
      <c r="Q11" s="105"/>
    </row>
    <row r="12" spans="1:17" x14ac:dyDescent="0.25">
      <c r="C12" t="s">
        <v>232</v>
      </c>
    </row>
  </sheetData>
  <sheetProtection selectLockedCells="1"/>
  <mergeCells count="15">
    <mergeCell ref="D1:E1"/>
    <mergeCell ref="D4:E4"/>
    <mergeCell ref="H4:I4"/>
    <mergeCell ref="D5:E5"/>
    <mergeCell ref="H5:I5"/>
    <mergeCell ref="D7:E7"/>
    <mergeCell ref="H7:I7"/>
    <mergeCell ref="D10:E10"/>
    <mergeCell ref="H10:I10"/>
    <mergeCell ref="D6:E6"/>
    <mergeCell ref="H6:I6"/>
    <mergeCell ref="D8:E8"/>
    <mergeCell ref="H8:I8"/>
    <mergeCell ref="D9:E9"/>
    <mergeCell ref="H9:I9"/>
  </mergeCells>
  <conditionalFormatting sqref="M6">
    <cfRule type="cellIs" dxfId="1994" priority="5" stopIfTrue="1" operator="lessThanOrEqual">
      <formula>$L6</formula>
    </cfRule>
    <cfRule type="cellIs" dxfId="1993" priority="6" operator="greaterThan">
      <formula>L6</formula>
    </cfRule>
  </conditionalFormatting>
  <conditionalFormatting sqref="M8">
    <cfRule type="cellIs" dxfId="1992" priority="3" stopIfTrue="1" operator="lessThanOrEqual">
      <formula>$L8</formula>
    </cfRule>
    <cfRule type="cellIs" dxfId="1991" priority="4" operator="greaterThan">
      <formula>L8</formula>
    </cfRule>
  </conditionalFormatting>
  <conditionalFormatting sqref="M9">
    <cfRule type="cellIs" dxfId="1990" priority="1" stopIfTrue="1" operator="lessThanOrEqual">
      <formula>$L9</formula>
    </cfRule>
    <cfRule type="cellIs" dxfId="1989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30996A-1D2B-4DCD-89B3-ABD28D5A0D5D}">
          <x14:formula1>
            <xm:f>Assemblies!$E:$E</xm:f>
          </x14:formula1>
          <xm:sqref>C5</xm:sqref>
        </x14:dataValidation>
        <x14:dataValidation type="list" allowBlank="1" showInputMessage="1" showErrorMessage="1" xr:uid="{7A52A58E-F5BD-4643-95CF-6641F9E5008B}">
          <x14:formula1>
            <xm:f>Machined!$C:$C</xm:f>
          </x14:formula1>
          <xm:sqref>C7</xm:sqref>
        </x14:dataValidation>
        <x14:dataValidation type="list" allowBlank="1" showInputMessage="1" showErrorMessage="1" xr:uid="{7FEA6A86-EE88-47D0-8501-EB83F09A3F3A}">
          <x14:formula1>
            <xm:f>Purchased!$A:$A</xm:f>
          </x14:formula1>
          <xm:sqref>C9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2F383-E815-4102-84D6-5C9BC5BF567F}">
  <sheetPr codeName="Sheet31">
    <tabColor theme="3" tint="0.79998168889431442"/>
  </sheetPr>
  <dimension ref="A1:Q10"/>
  <sheetViews>
    <sheetView zoomScale="115" zoomScaleNormal="115" workbookViewId="0">
      <selection activeCell="G15" sqref="G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'1.1.11'!C5</f>
        <v>PG10.1.1.11.1.0.A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405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'1.1.11'!D5</f>
        <v>M5 Hardware for Poly</v>
      </c>
      <c r="D3" s="85" t="s">
        <v>50</v>
      </c>
      <c r="E3" s="86" t="str">
        <f ca="1">MID(CELL("filename",A1),FIND("]",CELL("filename",A1))+1,256)</f>
        <v>1.1.11.1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1</v>
      </c>
      <c r="C5" s="135">
        <v>3842530283</v>
      </c>
      <c r="D5" s="325" t="str">
        <f>VLOOKUP(C5,Purchased!A:B,2,0)</f>
        <v>BRX GOTO T-NUT 10 M5</v>
      </c>
      <c r="E5" s="326"/>
      <c r="F5" s="108" t="str">
        <f>IF(VLOOKUP($C5,Purchased!A:Z,11,0) = 0, " ", VLOOKUP($C5,Purchased!A:Z,11,0))</f>
        <v>BRX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>100 additional quantity added to 55710</v>
      </c>
      <c r="I5" s="328"/>
      <c r="J5" s="46">
        <f>IF(VLOOKUP($C5,Purchased!A:Z,14,0)=0, " ", VLOOKUP($C5,Purchased!A:Z,14,0))</f>
        <v>45463</v>
      </c>
      <c r="K5" s="46">
        <f>IF(VLOOKUP(C5,Purchased!A:R,14,0)=0, " ", VLOOKUP(C5,Purchased!A:R,14,0))</f>
        <v>45463</v>
      </c>
      <c r="L5" s="46">
        <f>IF(VLOOKUP(C5,Purchased!A:R,15,0)=0, " ", VLOOKUP(C5,Purchased!A:R,15,0))</f>
        <v>45463</v>
      </c>
      <c r="M5" s="46">
        <f>IF(VLOOKUP(C5,Purchased!A:R,16,0)=0, " ",VLOOKUP(C5,Purchased!A:R,16,0))</f>
        <v>45481</v>
      </c>
      <c r="N5" s="130">
        <f>IF(VLOOKUP(C5,Purchased!A:R,17,0)=0, " ", VLOOKUP(C5,Purchased!A:R,17,0))</f>
        <v>45481</v>
      </c>
      <c r="O5" s="47">
        <f t="shared" ref="O5:O6" ca="1" si="0">B5*$L$2</f>
        <v>405</v>
      </c>
      <c r="P5" s="51">
        <f>VLOOKUP(C5,Purchased!A:D,3,FALSE)</f>
        <v>0.56000000000000005</v>
      </c>
      <c r="Q5" s="52">
        <f t="shared" ref="Q5:Q6" si="1">B5*P5</f>
        <v>0.56000000000000005</v>
      </c>
    </row>
    <row r="6" spans="1:17" s="2" customFormat="1" ht="12.75" customHeight="1" x14ac:dyDescent="0.25">
      <c r="A6" s="4">
        <v>302</v>
      </c>
      <c r="B6" s="2">
        <v>1</v>
      </c>
      <c r="C6" s="135" t="s">
        <v>233</v>
      </c>
      <c r="D6" s="325" t="str">
        <f>VLOOKUP(C6,Purchased!A:B,2,0)</f>
        <v>Hot-Dipped Galvanized Steel with Neoprene Sealing Washer</v>
      </c>
      <c r="E6" s="326"/>
      <c r="F6" s="108" t="str">
        <f>IF(VLOOKUP($C6,Purchased!A:Z,11,0) = 0, " ", VLOOKUP($C6,Purchased!A:Z,11,0))</f>
        <v>MCM</v>
      </c>
      <c r="G6" s="108" t="str">
        <f>IF(VLOOKUP($C6,Purchased!A:Z,12,0)=0, " ", VLOOKUP($C6,Purchased!A:Z,12,0))</f>
        <v>MCM</v>
      </c>
      <c r="H6" s="327" t="str">
        <f>IF(VLOOKUP($C6,Purchased!A:Z,13,0)=0, " ", VLOOKUP($C6,Purchased!A:Z,13,0))</f>
        <v>2 Additional Quantity Added to 55697</v>
      </c>
      <c r="I6" s="328"/>
      <c r="J6" s="46">
        <f>IF(VLOOKUP($C6,Purchased!A:Z,14,0)=0, " ", VLOOKUP($C6,Purchased!A:Z,14,0))</f>
        <v>45481</v>
      </c>
      <c r="K6" s="46">
        <f>IF(VLOOKUP(C6,Purchased!A:R,14,0)=0, " ", VLOOKUP(C6,Purchased!A:R,14,0))</f>
        <v>45481</v>
      </c>
      <c r="L6" s="46">
        <f>IF(VLOOKUP(C6,Purchased!A:R,15,0)=0, " ", VLOOKUP(C6,Purchased!A:R,15,0))</f>
        <v>45481</v>
      </c>
      <c r="M6" s="46">
        <f>IF(VLOOKUP(C6,Purchased!A:R,16,0)=0, " ",VLOOKUP(C6,Purchased!A:R,16,0))</f>
        <v>45482</v>
      </c>
      <c r="N6" s="130">
        <f>IF(VLOOKUP(C6,Purchased!A:R,17,0)=0, " ", VLOOKUP(C6,Purchased!A:R,17,0))</f>
        <v>45482</v>
      </c>
      <c r="O6" s="47">
        <f t="shared" ca="1" si="0"/>
        <v>405</v>
      </c>
      <c r="P6" s="51">
        <f>VLOOKUP(C6,Purchased!A:D,3,FALSE)</f>
        <v>6.56</v>
      </c>
      <c r="Q6" s="52">
        <f t="shared" si="1"/>
        <v>6.56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thickBot="1" x14ac:dyDescent="0.3">
      <c r="A8" s="4">
        <v>501</v>
      </c>
      <c r="B8" s="2">
        <v>1</v>
      </c>
      <c r="C8" s="122" t="s">
        <v>234</v>
      </c>
      <c r="D8" s="325"/>
      <c r="E8" s="326"/>
      <c r="F8" s="108">
        <f>VLOOKUP(C8,Bolts!A:L,5,0)</f>
        <v>0</v>
      </c>
      <c r="G8" s="108">
        <f>VLOOKUP(C8,Bolts!A:L,6,0)</f>
        <v>0</v>
      </c>
      <c r="H8" s="108">
        <f>VLOOKUP(C8,Bolts!A:L,7,0)</f>
        <v>0</v>
      </c>
      <c r="I8" s="109"/>
      <c r="J8" s="46">
        <f>VLOOKUP(C8,Bolts!A:L,8,0)</f>
        <v>0</v>
      </c>
      <c r="K8" s="46">
        <f>VLOOKUP(C8,Bolts!A:L,9,0)</f>
        <v>0</v>
      </c>
      <c r="L8" s="46">
        <f>VLOOKUP(C8,Bolts!A:L,10,0)</f>
        <v>0</v>
      </c>
      <c r="M8" s="46">
        <f>VLOOKUP(C8,Bolts!A:L,11,0)</f>
        <v>0</v>
      </c>
      <c r="N8" s="130">
        <f>VLOOKUP(C8,Bolts!A:L,12,0)</f>
        <v>0</v>
      </c>
      <c r="O8" s="47">
        <f ca="1">B8*$L$2</f>
        <v>405</v>
      </c>
      <c r="P8" s="51">
        <f>VLOOKUP(C8,Bolts!A:B,2,FALSE)</f>
        <v>0</v>
      </c>
      <c r="Q8" s="52">
        <f>B8*P8</f>
        <v>0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7.1199999999999992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sheetProtection selectLockedCells="1"/>
  <mergeCells count="12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9:E9"/>
    <mergeCell ref="H9:I9"/>
    <mergeCell ref="D8:E8"/>
  </mergeCells>
  <conditionalFormatting sqref="M7:M8">
    <cfRule type="cellIs" dxfId="1988" priority="5" stopIfTrue="1" operator="lessThanOrEqual">
      <formula>$L7</formula>
    </cfRule>
    <cfRule type="cellIs" dxfId="1987" priority="6" operator="greaterThan">
      <formula>L7</formula>
    </cfRule>
  </conditionalFormatting>
  <conditionalFormatting sqref="M5">
    <cfRule type="cellIs" dxfId="1986" priority="3" stopIfTrue="1" operator="lessThanOrEqual">
      <formula>$L5</formula>
    </cfRule>
    <cfRule type="cellIs" dxfId="1985" priority="4" operator="greaterThan">
      <formula>L5</formula>
    </cfRule>
  </conditionalFormatting>
  <conditionalFormatting sqref="M6">
    <cfRule type="cellIs" dxfId="1984" priority="1" stopIfTrue="1" operator="lessThanOrEqual">
      <formula>$L6</formula>
    </cfRule>
    <cfRule type="cellIs" dxfId="1983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A1447F-2E9C-4B7A-84CD-5BA5F3FB22F0}">
          <x14:formula1>
            <xm:f>Bolts!$A:$A</xm:f>
          </x14:formula1>
          <xm:sqref>C8</xm:sqref>
        </x14:dataValidation>
        <x14:dataValidation type="list" allowBlank="1" showInputMessage="1" showErrorMessage="1" xr:uid="{4A482454-D647-412D-BC35-A8B98762F53F}">
          <x14:formula1>
            <xm:f>Purchased!$A:$A</xm:f>
          </x14:formula1>
          <xm:sqref>C5:C6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74073-723C-4712-8A84-3914CA2F05C2}">
  <sheetPr codeName="Sheet33">
    <tabColor theme="6" tint="0.59999389629810485"/>
  </sheetPr>
  <dimension ref="A1:Q10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'1.1'!C16</f>
        <v>PG10.1.1.13.0.A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'1.1'!D16</f>
        <v>Upper Dancer Guard</v>
      </c>
      <c r="D3" s="85" t="s">
        <v>50</v>
      </c>
      <c r="E3" s="86" t="str">
        <f ca="1">MID(CELL("filename",A1),FIND("]",CELL("filename",A1))+1,256)</f>
        <v>1.1.13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8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8</v>
      </c>
      <c r="P5" s="117">
        <f>'1.1.11.1'!Q9</f>
        <v>7.1199999999999992</v>
      </c>
      <c r="Q5" s="152">
        <f t="shared" ref="Q5" si="0">B5*P5</f>
        <v>56.959999999999994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235</v>
      </c>
      <c r="D7" s="314" t="str">
        <f>VLOOKUP(C7,Machined!C:X,2,0)</f>
        <v>UPPER DANCER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t="shared" ref="O7" ca="1" si="1">B7*$L$2</f>
        <v>1</v>
      </c>
      <c r="P7" s="49">
        <f>VLOOKUP(C7,Machined!C:F,3,0)</f>
        <v>145</v>
      </c>
      <c r="Q7" s="50">
        <f t="shared" ref="Q7" si="2">B7*P7</f>
        <v>145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201.95999999999998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  <row r="10" spans="1:17" x14ac:dyDescent="0.25">
      <c r="C10" t="s">
        <v>232</v>
      </c>
    </row>
  </sheetData>
  <sheetProtection selectLockedCells="1"/>
  <mergeCells count="11">
    <mergeCell ref="D8:E8"/>
    <mergeCell ref="H8:I8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6">
    <cfRule type="cellIs" dxfId="1982" priority="1" stopIfTrue="1" operator="lessThanOrEqual">
      <formula>$L6</formula>
    </cfRule>
    <cfRule type="cellIs" dxfId="1981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93E961-F717-4ED2-841B-604081FBA2FB}">
          <x14:formula1>
            <xm:f>Assemblies!$E:$E</xm:f>
          </x14:formula1>
          <xm:sqref>C5</xm:sqref>
        </x14:dataValidation>
        <x14:dataValidation type="list" allowBlank="1" showInputMessage="1" showErrorMessage="1" xr:uid="{3484564E-0DF5-4E07-9448-81241A445BC2}">
          <x14:formula1>
            <xm:f>Machined!$C:$C</xm:f>
          </x14:formula1>
          <xm:sqref>C7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25A35-CA3C-4EEC-81FF-6B8A1C2B1C11}">
  <sheetPr codeName="Sheet34">
    <tabColor theme="6" tint="0.59999389629810485"/>
  </sheetPr>
  <dimension ref="A1:Q10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'1.1'!C17</f>
        <v>PG10.1.1.14.0.A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'1.1'!D17</f>
        <v>Center Dancer Guard</v>
      </c>
      <c r="D3" s="85" t="s">
        <v>50</v>
      </c>
      <c r="E3" s="86" t="str">
        <f ca="1">MID(CELL("filename",A1),FIND("]",CELL("filename",A1))+1,256)</f>
        <v>1.1.14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11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11</v>
      </c>
      <c r="P5" s="117">
        <f>'1.1.11.1'!Q9</f>
        <v>7.1199999999999992</v>
      </c>
      <c r="Q5" s="152">
        <f t="shared" ref="Q5" si="0">B5*P5</f>
        <v>78.319999999999993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236</v>
      </c>
      <c r="D7" s="314" t="str">
        <f>VLOOKUP(C7,Machined!C:X,2,0)</f>
        <v>CENTER DANCER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t="shared" ref="O7" ca="1" si="1">B7*$L$2</f>
        <v>1</v>
      </c>
      <c r="P7" s="49">
        <f>VLOOKUP(C7,Machined!C:F,3,0)</f>
        <v>145</v>
      </c>
      <c r="Q7" s="50">
        <f t="shared" ref="Q7" si="2">B7*P7</f>
        <v>145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223.32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  <row r="10" spans="1:17" x14ac:dyDescent="0.25">
      <c r="C10" t="s">
        <v>232</v>
      </c>
    </row>
  </sheetData>
  <sheetProtection selectLockedCells="1"/>
  <mergeCells count="11">
    <mergeCell ref="D8:E8"/>
    <mergeCell ref="H8:I8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6">
    <cfRule type="cellIs" dxfId="1980" priority="1" stopIfTrue="1" operator="lessThanOrEqual">
      <formula>$L6</formula>
    </cfRule>
    <cfRule type="cellIs" dxfId="1979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4D67002-CB5E-40C6-8605-13D284023029}">
          <x14:formula1>
            <xm:f>Assemblies!$E:$E</xm:f>
          </x14:formula1>
          <xm:sqref>C5</xm:sqref>
        </x14:dataValidation>
        <x14:dataValidation type="list" allowBlank="1" showInputMessage="1" showErrorMessage="1" xr:uid="{2DDC7939-7300-42C1-A5E9-4BC2F650DF38}">
          <x14:formula1>
            <xm:f>Machined!$C:$C</xm:f>
          </x14:formula1>
          <xm:sqref>C7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12E0-A654-4BD4-84CD-7A83C2A60FF0}">
  <sheetPr codeName="Sheet35">
    <tabColor theme="6" tint="0.59999389629810485"/>
  </sheetPr>
  <dimension ref="A1:Q10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'1.1'!C18</f>
        <v>PG10.1.1.15.0.A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'1.1'!D18</f>
        <v>Lower Dancer Guard</v>
      </c>
      <c r="D3" s="85" t="s">
        <v>50</v>
      </c>
      <c r="E3" s="86" t="str">
        <f ca="1">MID(CELL("filename",A1),FIND("]",CELL("filename",A1))+1,256)</f>
        <v>1.1.15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16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16</v>
      </c>
      <c r="P5" s="117">
        <f>'1.1.11.1'!Q9</f>
        <v>7.1199999999999992</v>
      </c>
      <c r="Q5" s="152">
        <f t="shared" ref="Q5" si="0">B5*P5</f>
        <v>113.91999999999999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237</v>
      </c>
      <c r="D7" s="314" t="str">
        <f>VLOOKUP(C7,Machined!C:X,2,0)</f>
        <v>LOWER DANCER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t="shared" ref="O7" ca="1" si="1">B7*$L$2</f>
        <v>1</v>
      </c>
      <c r="P7" s="49">
        <f>VLOOKUP(C7,Machined!C:F,3,0)</f>
        <v>145</v>
      </c>
      <c r="Q7" s="50">
        <f t="shared" ref="Q7" si="2">B7*P7</f>
        <v>145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258.91999999999996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  <row r="10" spans="1:17" x14ac:dyDescent="0.25">
      <c r="C10" t="s">
        <v>232</v>
      </c>
    </row>
  </sheetData>
  <sheetProtection selectLockedCells="1"/>
  <mergeCells count="11">
    <mergeCell ref="D8:E8"/>
    <mergeCell ref="H8:I8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6">
    <cfRule type="cellIs" dxfId="1978" priority="1" stopIfTrue="1" operator="lessThanOrEqual">
      <formula>$L6</formula>
    </cfRule>
    <cfRule type="cellIs" dxfId="197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0236BD-A816-4A12-A4F1-474AF2B10EE2}">
          <x14:formula1>
            <xm:f>Assemblies!$E:$E</xm:f>
          </x14:formula1>
          <xm:sqref>C5</xm:sqref>
        </x14:dataValidation>
        <x14:dataValidation type="list" allowBlank="1" showInputMessage="1" showErrorMessage="1" xr:uid="{444E6461-DA2C-4473-A492-7D17E163F45D}">
          <x14:formula1>
            <xm:f>Machined!$C:$C</xm:f>
          </x14:formula1>
          <xm:sqref>C7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3FE8F-1F51-4E78-A760-A2402D8B9C52}">
  <sheetPr codeName="Sheet36">
    <tabColor theme="6" tint="0.59999389629810485"/>
  </sheetPr>
  <dimension ref="A1:Q15"/>
  <sheetViews>
    <sheetView view="pageBreakPreview" zoomScale="60" zoomScaleNormal="115" workbookViewId="0">
      <selection activeCell="I36" sqref="I3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'1.1'!C19</f>
        <v>PG10.1.1.16.0.A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'1.1'!D19</f>
        <v>Key Station No Reset</v>
      </c>
      <c r="D3" s="85" t="s">
        <v>50</v>
      </c>
      <c r="E3" s="86" t="str">
        <f ca="1">MID(CELL("filename",A1),FIND("]",CELL("filename",A1))+1,256)</f>
        <v>1.1.16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238</v>
      </c>
      <c r="D5" s="314" t="str">
        <f>VLOOKUP(C5,Machined!C:X,2,0)</f>
        <v>Key Station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45435</v>
      </c>
      <c r="K5" s="44">
        <f>IF(VLOOKUP($C5,Machined!C:Z,19,0) = 0, " ", VLOOKUP($C5,Machined!C:Z,19,0))</f>
        <v>45453</v>
      </c>
      <c r="L5" s="44">
        <f>IF(VLOOKUP($C5,Machined!C:Z,20,0) = 0, " ", VLOOKUP($C5,Machined!C:Z,20,0))</f>
        <v>45490</v>
      </c>
      <c r="M5" s="44">
        <f>IF(VLOOKUP($C5,Machined!C:Z,21,0) = 0, " ", VLOOKUP($C5,Machined!C:Z,21,0))</f>
        <v>45490</v>
      </c>
      <c r="N5" s="129">
        <f>IF(VLOOKUP($C5,Machined!C:Z,22,0) = 0, " ", VLOOKUP($C5,Machined!C:Z,22,0))</f>
        <v>55545</v>
      </c>
      <c r="O5" s="45">
        <f t="shared" ref="O5" ca="1" si="0">B5*$L$2</f>
        <v>6</v>
      </c>
      <c r="P5" s="49">
        <f>VLOOKUP(C5,Machined!C:F,3,0)</f>
        <v>72.45</v>
      </c>
      <c r="Q5" s="50">
        <f t="shared" ref="Q5" si="1">B5*P5</f>
        <v>72.45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2</v>
      </c>
      <c r="C7" s="135" t="s">
        <v>172</v>
      </c>
      <c r="D7" s="325" t="str">
        <f>VLOOKUP(C7,Purchased!A:B,2,0)</f>
        <v>BRX GOTO T-NUT 10 M6</v>
      </c>
      <c r="E7" s="342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8" ca="1" si="2">B7*$L$2</f>
        <v>12</v>
      </c>
      <c r="P7" s="51">
        <f>VLOOKUP(C7,Purchased!A:D,3,FALSE)</f>
        <v>0.56000000000000005</v>
      </c>
      <c r="Q7" s="52">
        <f t="shared" ref="Q7:Q8" si="3">B7*P7</f>
        <v>1.1200000000000001</v>
      </c>
    </row>
    <row r="8" spans="1:17" s="2" customFormat="1" ht="12.75" customHeight="1" x14ac:dyDescent="0.25">
      <c r="A8" s="4">
        <v>302</v>
      </c>
      <c r="B8" s="2">
        <v>1</v>
      </c>
      <c r="C8" s="135" t="s">
        <v>239</v>
      </c>
      <c r="D8" s="325" t="str">
        <f>VLOOKUP(C8,Purchased!A:B,2,0)</f>
        <v>Key lock station with no reset, ITM 00673197_A768146</v>
      </c>
      <c r="E8" s="342"/>
      <c r="F8" s="108" t="str">
        <f>IF(VLOOKUP($C8,Purchased!A:Z,11,0) = 0, " ", VLOOKUP($C8,Purchased!A:Z,11,0))</f>
        <v>Fortress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45461</v>
      </c>
      <c r="K8" s="46">
        <f>IF(VLOOKUP(C8,Purchased!A:R,14,0)=0, " ", VLOOKUP(C8,Purchased!A:R,14,0))</f>
        <v>45461</v>
      </c>
      <c r="L8" s="46">
        <f>IF(VLOOKUP(C8,Purchased!A:R,15,0)=0, " ", VLOOKUP(C8,Purchased!A:R,15,0))</f>
        <v>45461</v>
      </c>
      <c r="M8" s="46">
        <f>IF(VLOOKUP(C8,Purchased!A:R,16,0)=0, " ",VLOOKUP(C8,Purchased!A:R,16,0))</f>
        <v>45491</v>
      </c>
      <c r="N8" s="130">
        <f>IF(VLOOKUP(C8,Purchased!A:R,17,0)=0, " ", VLOOKUP(C8,Purchased!A:R,17,0))</f>
        <v>45491</v>
      </c>
      <c r="O8" s="47">
        <f t="shared" ca="1" si="2"/>
        <v>6</v>
      </c>
      <c r="P8" s="51">
        <f>VLOOKUP(C8,Purchased!A:D,3,FALSE)</f>
        <v>1042.472</v>
      </c>
      <c r="Q8" s="52">
        <f t="shared" si="3"/>
        <v>1042.472</v>
      </c>
    </row>
    <row r="9" spans="1:17" s="2" customFormat="1" ht="12.75" customHeight="1" x14ac:dyDescent="0.25">
      <c r="A9" s="4">
        <v>303</v>
      </c>
      <c r="B9" s="2">
        <v>2</v>
      </c>
      <c r="C9" s="135" t="s">
        <v>240</v>
      </c>
      <c r="D9" s="325" t="str">
        <f>VLOOKUP(C9,Purchased!A:B,2,0)</f>
        <v>Fortress Standard tGard Key</v>
      </c>
      <c r="E9" s="342"/>
      <c r="F9" s="108" t="str">
        <f>IF(VLOOKUP($C9,Purchased!A:Z,11,0) = 0, " ", VLOOKUP($C9,Purchased!A:Z,11,0))</f>
        <v>Fortress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45461</v>
      </c>
      <c r="K9" s="46">
        <f>IF(VLOOKUP(C9,Purchased!A:R,14,0)=0, " ", VLOOKUP(C9,Purchased!A:R,14,0))</f>
        <v>45461</v>
      </c>
      <c r="L9" s="46">
        <f>IF(VLOOKUP(C9,Purchased!A:R,15,0)=0, " ", VLOOKUP(C9,Purchased!A:R,15,0))</f>
        <v>45461</v>
      </c>
      <c r="M9" s="46">
        <f>IF(VLOOKUP(C9,Purchased!A:R,16,0)=0, " ",VLOOKUP(C9,Purchased!A:R,16,0))</f>
        <v>45491</v>
      </c>
      <c r="N9" s="130">
        <f>IF(VLOOKUP(C9,Purchased!A:R,17,0)=0, " ", VLOOKUP(C9,Purchased!A:R,17,0))</f>
        <v>45491</v>
      </c>
      <c r="O9" s="47">
        <f ca="1">B9*$L$2</f>
        <v>12</v>
      </c>
      <c r="P9" s="51">
        <f>VLOOKUP(C9,Purchased!A:D,3,FALSE)</f>
        <v>23.415800000000001</v>
      </c>
      <c r="Q9" s="52">
        <f>B9*P9</f>
        <v>46.831600000000002</v>
      </c>
    </row>
    <row r="10" spans="1:17" s="2" customFormat="1" ht="12.75" customHeight="1" x14ac:dyDescent="0.2">
      <c r="A10" s="25"/>
      <c r="B10" s="26"/>
      <c r="C10" s="26"/>
      <c r="D10" s="332"/>
      <c r="E10" s="346"/>
      <c r="F10" s="26"/>
      <c r="G10" s="26"/>
      <c r="H10" s="322"/>
      <c r="I10" s="322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501</v>
      </c>
      <c r="B11" s="2">
        <v>2</v>
      </c>
      <c r="C11" s="122" t="s">
        <v>241</v>
      </c>
      <c r="D11" s="325"/>
      <c r="E11" s="342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12</v>
      </c>
      <c r="P11" s="51">
        <f>VLOOKUP(C11,Bolts!A:B,2,FALSE)</f>
        <v>0</v>
      </c>
      <c r="Q11" s="52">
        <f>B11*P11</f>
        <v>0</v>
      </c>
    </row>
    <row r="12" spans="1:17" s="2" customFormat="1" ht="12.75" customHeight="1" x14ac:dyDescent="0.25">
      <c r="A12" s="4">
        <v>502</v>
      </c>
      <c r="B12" s="2">
        <v>2</v>
      </c>
      <c r="C12" s="122" t="s">
        <v>242</v>
      </c>
      <c r="D12" s="325"/>
      <c r="E12" s="342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12</v>
      </c>
      <c r="P12" s="51">
        <f>VLOOKUP(C12,Bolts!A:B,2,FALSE)</f>
        <v>0</v>
      </c>
      <c r="Q12" s="52">
        <f>B12*P12</f>
        <v>0</v>
      </c>
    </row>
    <row r="13" spans="1:17" s="2" customFormat="1" ht="12.75" customHeight="1" thickBot="1" x14ac:dyDescent="0.3">
      <c r="A13" s="4">
        <v>503</v>
      </c>
      <c r="B13" s="2">
        <v>2</v>
      </c>
      <c r="C13" s="122" t="s">
        <v>243</v>
      </c>
      <c r="D13" s="325"/>
      <c r="E13" s="342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12</v>
      </c>
      <c r="P13" s="51">
        <f>VLOOKUP(C13,Bolts!A:B,2,FALSE)</f>
        <v>0</v>
      </c>
      <c r="Q13" s="52">
        <f>B13*P13</f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1162.8735999999999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20">
    <mergeCell ref="D14:E14"/>
    <mergeCell ref="H14:I14"/>
    <mergeCell ref="D10:E10"/>
    <mergeCell ref="H10:I10"/>
    <mergeCell ref="D6:E6"/>
    <mergeCell ref="H6:I6"/>
    <mergeCell ref="D12:E12"/>
    <mergeCell ref="D11:E11"/>
    <mergeCell ref="H8:I8"/>
    <mergeCell ref="H7:I7"/>
    <mergeCell ref="D8:E8"/>
    <mergeCell ref="D7:E7"/>
    <mergeCell ref="D13:E13"/>
    <mergeCell ref="D9:E9"/>
    <mergeCell ref="H9:I9"/>
    <mergeCell ref="D1:E1"/>
    <mergeCell ref="D4:E4"/>
    <mergeCell ref="H4:I4"/>
    <mergeCell ref="D5:E5"/>
    <mergeCell ref="H5:I5"/>
  </mergeCells>
  <conditionalFormatting sqref="M6 M10:M13">
    <cfRule type="cellIs" dxfId="1976" priority="7" stopIfTrue="1" operator="lessThanOrEqual">
      <formula>$L6</formula>
    </cfRule>
    <cfRule type="cellIs" dxfId="1975" priority="8" operator="greaterThan">
      <formula>L6</formula>
    </cfRule>
  </conditionalFormatting>
  <conditionalFormatting sqref="M7">
    <cfRule type="cellIs" dxfId="1974" priority="3" stopIfTrue="1" operator="lessThanOrEqual">
      <formula>$L7</formula>
    </cfRule>
    <cfRule type="cellIs" dxfId="1973" priority="4" operator="greaterThan">
      <formula>L7</formula>
    </cfRule>
  </conditionalFormatting>
  <conditionalFormatting sqref="M8:M9">
    <cfRule type="cellIs" dxfId="1972" priority="1" stopIfTrue="1" operator="lessThanOrEqual">
      <formula>$L8</formula>
    </cfRule>
    <cfRule type="cellIs" dxfId="1971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19C420-C886-4E4F-84B2-364A2C0A73B4}">
          <x14:formula1>
            <xm:f>Bolts!$A:$A</xm:f>
          </x14:formula1>
          <xm:sqref>C11:C13</xm:sqref>
        </x14:dataValidation>
        <x14:dataValidation type="list" allowBlank="1" showInputMessage="1" showErrorMessage="1" xr:uid="{BCB82229-C3F7-4116-9629-3ED60AB32DD9}">
          <x14:formula1>
            <xm:f>Machined!$C:$C</xm:f>
          </x14:formula1>
          <xm:sqref>C5</xm:sqref>
        </x14:dataValidation>
        <x14:dataValidation type="list" allowBlank="1" showInputMessage="1" showErrorMessage="1" xr:uid="{9197BB61-5516-45EC-983A-A2CB936676CF}">
          <x14:formula1>
            <xm:f>Purchased!$A:$A</xm:f>
          </x14:formula1>
          <xm:sqref>C7:C9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C6FD8-F291-4639-B42B-02CDD004CD62}">
  <sheetPr codeName="Sheet245">
    <tabColor theme="6" tint="0.59999389629810485"/>
  </sheetPr>
  <dimension ref="A1:Q13"/>
  <sheetViews>
    <sheetView zoomScale="115" zoomScaleNormal="115" workbookViewId="0">
      <selection activeCell="D17" sqref="D1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'1.1'!C20</f>
        <v>PG10.1.1.17.0.A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'1.1'!D20</f>
        <v>UW Static Mitigation Assy</v>
      </c>
      <c r="D3" s="85" t="s">
        <v>50</v>
      </c>
      <c r="E3" s="86" t="str">
        <f ca="1">MID(CELL("filename",A1),FIND("]",CELL("filename",A1))+1,256)</f>
        <v>1.1.17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3</v>
      </c>
      <c r="C5" s="121" t="s">
        <v>244</v>
      </c>
      <c r="D5" s="314" t="str">
        <f>VLOOKUP(C5,Machined!C:X,2,0)</f>
        <v>Static Bar Mount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45526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45548</v>
      </c>
      <c r="M5" s="44">
        <f>IF(VLOOKUP($C5,Machined!C:Z,21,0) = 0, " ", VLOOKUP($C5,Machined!C:Z,21,0))</f>
        <v>45548</v>
      </c>
      <c r="N5" s="129">
        <f>IF(VLOOKUP($C5,Machined!C:Z,22,0) = 0, " ", VLOOKUP($C5,Machined!C:Z,22,0))</f>
        <v>55702</v>
      </c>
      <c r="O5" s="45">
        <f ca="1">B5*$L$2</f>
        <v>6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3</v>
      </c>
      <c r="C7" s="135" t="s">
        <v>172</v>
      </c>
      <c r="D7" s="325" t="str">
        <f>VLOOKUP(C7,Purchased!A:B,2,0)</f>
        <v>BRX GOTO T-NUT 10 M6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9" ca="1" si="0">B7*$L$2</f>
        <v>6</v>
      </c>
      <c r="P7" s="51">
        <f>VLOOKUP(C7,Purchased!A:D,3,FALSE)</f>
        <v>0.56000000000000005</v>
      </c>
      <c r="Q7" s="52">
        <f t="shared" ref="Q7:Q9" si="1">B7*P7</f>
        <v>1.6800000000000002</v>
      </c>
    </row>
    <row r="8" spans="1:17" s="2" customFormat="1" ht="12" customHeight="1" x14ac:dyDescent="0.25">
      <c r="A8" s="4">
        <v>302</v>
      </c>
      <c r="B8" s="2">
        <v>1</v>
      </c>
      <c r="C8" s="135" t="s">
        <v>245</v>
      </c>
      <c r="D8" s="325" t="str">
        <f>VLOOKUP(C8,Purchased!A:B,2,0)</f>
        <v>924IPSv2 Pulsed DC bar - 1000mm long</v>
      </c>
      <c r="E8" s="326"/>
      <c r="F8" s="108" t="str">
        <f>IF(VLOOKUP($C8,Purchased!A:Z,11,0) = 0, " ", VLOOKUP($C8,Purchased!A:Z,11,0))</f>
        <v>MEECH</v>
      </c>
      <c r="G8" s="108" t="str">
        <f>IF(VLOOKUP($C8,Purchased!A:Z,12,0)=0, " ", VLOOKUP($C8,Purchased!A:Z,12,0))</f>
        <v>MEECH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45510</v>
      </c>
      <c r="K8" s="46">
        <f>IF(VLOOKUP(C8,Purchased!A:R,14,0)=0, " ", VLOOKUP(C8,Purchased!A:R,14,0))</f>
        <v>45510</v>
      </c>
      <c r="L8" s="46">
        <f>IF(VLOOKUP(C8,Purchased!A:R,15,0)=0, " ", VLOOKUP(C8,Purchased!A:R,15,0))</f>
        <v>45523</v>
      </c>
      <c r="M8" s="46">
        <f>IF(VLOOKUP(C8,Purchased!A:R,16,0)=0, " ",VLOOKUP(C8,Purchased!A:R,16,0))</f>
        <v>45548</v>
      </c>
      <c r="N8" s="130" t="str">
        <f>IF(VLOOKUP(C8,Purchased!A:R,17,0)=0, " ", VLOOKUP(C8,Purchased!A:R,17,0))</f>
        <v xml:space="preserve"> </v>
      </c>
      <c r="O8" s="47">
        <f t="shared" ca="1" si="0"/>
        <v>2</v>
      </c>
      <c r="P8" s="51">
        <f>VLOOKUP(C8,Purchased!A:D,3,FALSE)</f>
        <v>1187</v>
      </c>
      <c r="Q8" s="52">
        <f t="shared" si="1"/>
        <v>1187</v>
      </c>
    </row>
    <row r="9" spans="1:17" s="2" customFormat="1" ht="12" customHeight="1" x14ac:dyDescent="0.25">
      <c r="A9" s="4">
        <v>303</v>
      </c>
      <c r="B9" s="2">
        <v>1</v>
      </c>
      <c r="C9" s="135" t="s">
        <v>220</v>
      </c>
      <c r="D9" s="325" t="str">
        <f>VLOOKUP(C9,Purchased!A:B,2,0)</f>
        <v>M8 4PIN TO FLYING LEAD 7.5M CABLE</v>
      </c>
      <c r="E9" s="326"/>
      <c r="F9" s="108" t="str">
        <f>IF(VLOOKUP($C9,Purchased!A:Z,11,0) = 0, " ", VLOOKUP($C9,Purchased!A:Z,11,0))</f>
        <v>MURR</v>
      </c>
      <c r="G9" s="108" t="str">
        <f>IF(VLOOKUP($C9,Purchased!A:Z,12,0)=0, " ", VLOOKUP($C9,Purchased!A:Z,12,0))</f>
        <v>MURR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45506</v>
      </c>
      <c r="K9" s="46">
        <f>IF(VLOOKUP(C9,Purchased!A:R,14,0)=0, " ", VLOOKUP(C9,Purchased!A:R,14,0))</f>
        <v>45506</v>
      </c>
      <c r="L9" s="46" t="str">
        <f>IF(VLOOKUP(C9,Purchased!A:R,15,0)=0, " ", VLOOKUP(C9,Purchased!A:R,15,0))</f>
        <v xml:space="preserve"> 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t="shared" ca="1" si="0"/>
        <v>2</v>
      </c>
      <c r="P9" s="51">
        <f>VLOOKUP(C9,Purchased!A:D,3,FALSE)</f>
        <v>0</v>
      </c>
      <c r="Q9" s="52">
        <f t="shared" si="1"/>
        <v>0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501</v>
      </c>
      <c r="B11" s="2">
        <v>3</v>
      </c>
      <c r="C11" s="122" t="s">
        <v>246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6</v>
      </c>
      <c r="P11" s="51">
        <f>VLOOKUP(C11,Bolts!A:B,2,FALSE)</f>
        <v>0</v>
      </c>
      <c r="Q11" s="52">
        <f>B11*P11</f>
        <v>0</v>
      </c>
    </row>
    <row r="12" spans="1:17" s="2" customFormat="1" ht="12" customHeight="1" thickBot="1" x14ac:dyDescent="0.3">
      <c r="A12" s="4">
        <v>502</v>
      </c>
      <c r="B12" s="2">
        <v>3</v>
      </c>
      <c r="C12" s="122" t="s">
        <v>247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6</v>
      </c>
      <c r="P12" s="51">
        <f>VLOOKUP(C12,Bolts!A:B,2,FALSE)</f>
        <v>1</v>
      </c>
      <c r="Q12" s="52">
        <f>B12*P12</f>
        <v>3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1191.68</v>
      </c>
    </row>
  </sheetData>
  <mergeCells count="19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D12:E12"/>
    <mergeCell ref="D13:E13"/>
    <mergeCell ref="H13:I13"/>
  </mergeCells>
  <conditionalFormatting sqref="M6 M10:M12">
    <cfRule type="cellIs" dxfId="1970" priority="3" stopIfTrue="1" operator="lessThanOrEqual">
      <formula>$L6</formula>
    </cfRule>
    <cfRule type="cellIs" dxfId="1969" priority="4" operator="greaterThan">
      <formula>L6</formula>
    </cfRule>
  </conditionalFormatting>
  <conditionalFormatting sqref="M7:M9">
    <cfRule type="cellIs" dxfId="1968" priority="1" stopIfTrue="1" operator="lessThanOrEqual">
      <formula>$L7</formula>
    </cfRule>
    <cfRule type="cellIs" dxfId="1967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657173-DF54-4D96-838B-FB9CC668D9BA}">
          <x14:formula1>
            <xm:f>Bolts!$A:$A</xm:f>
          </x14:formula1>
          <xm:sqref>C10:C12</xm:sqref>
        </x14:dataValidation>
        <x14:dataValidation type="list" allowBlank="1" showInputMessage="1" showErrorMessage="1" xr:uid="{0399F028-7CBA-4E00-B87F-47F5AE38F3C2}">
          <x14:formula1>
            <xm:f>Machined!$C:$C</xm:f>
          </x14:formula1>
          <xm:sqref>C5</xm:sqref>
        </x14:dataValidation>
        <x14:dataValidation type="list" allowBlank="1" showInputMessage="1" showErrorMessage="1" xr:uid="{095A2E37-74F6-4DF5-80E1-5ACD604290C1}">
          <x14:formula1>
            <xm:f>Purchased!$A:$A</xm:f>
          </x14:formula1>
          <xm:sqref>C6:C9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F5FD-87B3-492C-AFD3-55895BB7B724}">
  <sheetPr codeName="Sheet37">
    <tabColor theme="9" tint="0.59999389629810485"/>
    <pageSetUpPr fitToPage="1"/>
  </sheetPr>
  <dimension ref="A1:Q30"/>
  <sheetViews>
    <sheetView zoomScale="115" zoomScaleNormal="115" workbookViewId="0">
      <selection activeCell="C32" sqref="C3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'1'!C6</f>
        <v>PG10.1.2.0.A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'1'!D6</f>
        <v>Unwind Roll Assembly</v>
      </c>
      <c r="D3" s="85" t="s">
        <v>50</v>
      </c>
      <c r="E3" s="86" t="str">
        <f ca="1">MID(CELL("filename",A1),FIND("]",CELL("filename",A1))+1,256)</f>
        <v>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248</v>
      </c>
      <c r="D5" s="336" t="str">
        <f ca="1">VLOOKUP(C5,Assemblies!E:P,2,0)</f>
        <v>Unwind Short Roller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2</v>
      </c>
      <c r="P5" s="117">
        <f>'1.2.1'!Q16</f>
        <v>217.97</v>
      </c>
      <c r="Q5" s="118">
        <f t="shared" ref="Q5" si="1">B5*P5</f>
        <v>217.97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249</v>
      </c>
      <c r="D6" s="314" t="str">
        <f ca="1">VLOOKUP(C6,Assemblies!E:P,2,0)</f>
        <v>Unwind Long Roller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" ca="1" si="2">B6*$L$2</f>
        <v>2</v>
      </c>
      <c r="P6" s="147">
        <f>'1.2.2'!Q16</f>
        <v>240.17000000000002</v>
      </c>
      <c r="Q6" s="103">
        <f t="shared" ref="Q6" si="3">B6*P6</f>
        <v>240.17000000000002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250</v>
      </c>
      <c r="D7" s="314" t="str">
        <f ca="1">VLOOKUP(C7,Assemblies!E:P,2,0)</f>
        <v>Unwind Laser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ref="O7" ca="1" si="4">B7*$L$2</f>
        <v>2</v>
      </c>
      <c r="P7" s="147">
        <f>'1.2.3'!Q15</f>
        <v>733</v>
      </c>
      <c r="Q7" s="103">
        <f t="shared" ref="Q7" si="5">B7*P7</f>
        <v>733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251</v>
      </c>
      <c r="D9" s="314" t="str">
        <f>VLOOKUP(C9,Machined!C:X,2,0)</f>
        <v>UNWIND BASE PLATE</v>
      </c>
      <c r="E9" s="329"/>
      <c r="F9" s="107" t="str">
        <f>VLOOKUP($C9,Machined!C:Z,13,0)</f>
        <v>MIC-6 CAST ALUMINUM</v>
      </c>
      <c r="G9" s="44" t="str">
        <f>IF(VLOOKUP($C9,Machined!C:Z,16,0) = 0, " ", VLOOKUP($C9,Machined!C:Z,16,0))</f>
        <v>3J INC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MIC-6 CAST ALUMINUM</v>
      </c>
      <c r="J9" s="44">
        <f>IF(VLOOKUP($C9,Machined!C:Z,18,0) = 0, " ", VLOOKUP($C9,Machined!C:Z,18,0))</f>
        <v>45435</v>
      </c>
      <c r="K9" s="44">
        <f>IF(VLOOKUP($C9,Machined!C:Z,19,0) = 0, " ", VLOOKUP($C9,Machined!C:Z,19,0))</f>
        <v>45448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55540</v>
      </c>
      <c r="O9" s="45">
        <f ca="1">B9*$L$2</f>
        <v>2</v>
      </c>
      <c r="P9" s="49">
        <f>VLOOKUP(C9,Machined!C:F,3,0)</f>
        <v>1710.53</v>
      </c>
      <c r="Q9" s="50">
        <f>B9*P9</f>
        <v>1710.53</v>
      </c>
    </row>
    <row r="10" spans="1:17" s="2" customFormat="1" ht="12.75" customHeight="1" x14ac:dyDescent="0.25">
      <c r="A10" s="77">
        <v>2</v>
      </c>
      <c r="B10" s="20">
        <v>2</v>
      </c>
      <c r="C10" s="121" t="s">
        <v>252</v>
      </c>
      <c r="D10" s="314" t="str">
        <f>VLOOKUP(C10,Machined!C:X,2,0)</f>
        <v>Unwind Side</v>
      </c>
      <c r="E10" s="329"/>
      <c r="F10" s="107" t="str">
        <f>VLOOKUP($C10,Machined!C:Z,13,0)</f>
        <v>MIC-6 CAST ALUMINUM</v>
      </c>
      <c r="G10" s="44" t="str">
        <f>IF(VLOOKUP($C10,Machined!C:Z,16,0) = 0, " ", VLOOKUP($C10,Machined!C:Z,16,0))</f>
        <v>3J INC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MIC-6 CAST ALUMINUM</v>
      </c>
      <c r="J10" s="44">
        <f>IF(VLOOKUP($C10,Machined!C:Z,18,0) = 0, " ", VLOOKUP($C10,Machined!C:Z,18,0))</f>
        <v>45435</v>
      </c>
      <c r="K10" s="44">
        <f>IF(VLOOKUP($C10,Machined!C:Z,19,0) = 0, " ", VLOOKUP($C10,Machined!C:Z,19,0))</f>
        <v>45448</v>
      </c>
      <c r="L10" s="44">
        <f>IF(VLOOKUP($C10,Machined!C:Z,20,0) = 0, " ", VLOOKUP($C10,Machined!C:Z,20,0))</f>
        <v>45504</v>
      </c>
      <c r="M10" s="44">
        <f>IF(VLOOKUP($C10,Machined!C:Z,21,0) = 0, " ", VLOOKUP($C10,Machined!C:Z,21,0))</f>
        <v>45504</v>
      </c>
      <c r="N10" s="129">
        <f>IF(VLOOKUP($C10,Machined!C:Z,22,0) = 0, " ", VLOOKUP($C10,Machined!C:Z,22,0))</f>
        <v>55540</v>
      </c>
      <c r="O10" s="45">
        <f t="shared" ref="O10:O11" ca="1" si="6">B10*$L$2</f>
        <v>4</v>
      </c>
      <c r="P10" s="49">
        <f>VLOOKUP(C10,Machined!C:F,3,0)</f>
        <v>687.07</v>
      </c>
      <c r="Q10" s="50">
        <f t="shared" ref="Q10:Q11" si="7">B10*P10</f>
        <v>1374.14</v>
      </c>
    </row>
    <row r="11" spans="1:17" s="2" customFormat="1" ht="12.75" customHeight="1" x14ac:dyDescent="0.25">
      <c r="A11" s="77">
        <v>3</v>
      </c>
      <c r="B11" s="20">
        <v>4</v>
      </c>
      <c r="C11" s="121" t="s">
        <v>253</v>
      </c>
      <c r="D11" s="314" t="str">
        <f>VLOOKUP(C11,Machined!C:X,2,0)</f>
        <v>Unwind Gusset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3J INC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45435</v>
      </c>
      <c r="K11" s="44">
        <f>IF(VLOOKUP($C11,Machined!C:Z,19,0) = 0, " ", VLOOKUP($C11,Machined!C:Z,19,0))</f>
        <v>45448</v>
      </c>
      <c r="L11" s="44">
        <f>IF(VLOOKUP($C11,Machined!C:Z,20,0) = 0, " ", VLOOKUP($C11,Machined!C:Z,20,0))</f>
        <v>45504</v>
      </c>
      <c r="M11" s="44">
        <f>IF(VLOOKUP($C11,Machined!C:Z,21,0) = 0, " ", VLOOKUP($C11,Machined!C:Z,21,0))</f>
        <v>45504</v>
      </c>
      <c r="N11" s="129">
        <f>IF(VLOOKUP($C11,Machined!C:Z,22,0) = 0, " ", VLOOKUP($C11,Machined!C:Z,22,0))</f>
        <v>55540</v>
      </c>
      <c r="O11" s="45">
        <f t="shared" ca="1" si="6"/>
        <v>8</v>
      </c>
      <c r="P11" s="49">
        <f>VLOOKUP(C11,Machined!C:F,3,0)</f>
        <v>245.27</v>
      </c>
      <c r="Q11" s="50">
        <f t="shared" si="7"/>
        <v>981.08</v>
      </c>
    </row>
    <row r="12" spans="1:17" s="2" customFormat="1" ht="12.75" customHeight="1" x14ac:dyDescent="0.25">
      <c r="A12" s="77">
        <v>4</v>
      </c>
      <c r="B12" s="20">
        <v>1</v>
      </c>
      <c r="C12" s="121" t="s">
        <v>254</v>
      </c>
      <c r="D12" s="314" t="str">
        <f>VLOOKUP(C12,Machined!C:X,2,0)</f>
        <v>Gearbox Spacer Flange</v>
      </c>
      <c r="E12" s="329"/>
      <c r="F12" s="107" t="str">
        <f>VLOOKUP($C12,Machined!C:Z,13,0)</f>
        <v>6061-T6 ALUMINUM</v>
      </c>
      <c r="G12" s="44" t="str">
        <f>IF(VLOOKUP($C12,Machined!C:Z,16,0) = 0, " ", VLOOKUP($C12,Machined!C:Z,16,0))</f>
        <v>Frontier Mach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6061-T6 ALUMINUM</v>
      </c>
      <c r="J12" s="44">
        <f>IF(VLOOKUP($C12,Machined!C:Z,18,0) = 0, " ", VLOOKUP($C12,Machined!C:Z,18,0))</f>
        <v>45435</v>
      </c>
      <c r="K12" s="44">
        <f>IF(VLOOKUP($C12,Machined!C:Z,19,0) = 0, " ", VLOOKUP($C12,Machined!C:Z,19,0))</f>
        <v>45446</v>
      </c>
      <c r="L12" s="44">
        <f>IF(VLOOKUP($C12,Machined!C:Z,20,0) = 0, " ", VLOOKUP($C12,Machined!C:Z,20,0))</f>
        <v>45481</v>
      </c>
      <c r="M12" s="44">
        <f>IF(VLOOKUP($C12,Machined!C:Z,21,0) = 0, " ", VLOOKUP($C12,Machined!C:Z,21,0))</f>
        <v>45481</v>
      </c>
      <c r="N12" s="129">
        <f>IF(VLOOKUP($C12,Machined!C:Z,22,0) = 0, " ", VLOOKUP($C12,Machined!C:Z,22,0))</f>
        <v>55532</v>
      </c>
      <c r="O12" s="45">
        <f t="shared" ref="O12:O13" ca="1" si="8">B12*$L$2</f>
        <v>2</v>
      </c>
      <c r="P12" s="49">
        <f>VLOOKUP(C12,Machined!C:F,3,0)</f>
        <v>366.4</v>
      </c>
      <c r="Q12" s="50">
        <f t="shared" ref="Q12:Q13" si="9">B12*P12</f>
        <v>366.4</v>
      </c>
    </row>
    <row r="13" spans="1:17" s="2" customFormat="1" ht="12.75" customHeight="1" x14ac:dyDescent="0.25">
      <c r="A13" s="77">
        <v>5</v>
      </c>
      <c r="B13" s="20">
        <v>1</v>
      </c>
      <c r="C13" s="121" t="s">
        <v>255</v>
      </c>
      <c r="D13" s="314" t="str">
        <f>VLOOKUP(C13,Machined!C:X,2,0)</f>
        <v>Gearbox Spacer Block</v>
      </c>
      <c r="E13" s="329"/>
      <c r="F13" s="107" t="str">
        <f>VLOOKUP($C13,Machined!C:Z,13,0)</f>
        <v>6061-T6 ALUMINUM</v>
      </c>
      <c r="G13" s="44" t="str">
        <f>IF(VLOOKUP($C13,Machined!C:Z,16,0) = 0, " ", VLOOKUP($C13,Machined!C:Z,16,0))</f>
        <v xml:space="preserve">Nuline </v>
      </c>
      <c r="H13" s="320" t="str">
        <f>IF(VLOOKUP($C13,Machined!C:Z,17,0) = 0, " ", VLOOKUP($C13,Machined!C:Z,17,0))</f>
        <v>Nuline Modified from B to C on 8/22/24</v>
      </c>
      <c r="I13" s="321" t="str">
        <f>IF(VLOOKUP($C13,Machined!$C:$Y,13,0) = 0, " ", VLOOKUP($C13,Machined!$C:$Y,13,0))</f>
        <v>6061-T6 ALUMINUM</v>
      </c>
      <c r="J13" s="44" t="str">
        <f>IF(VLOOKUP($C13,Machined!C:Z,18,0) = 0, " ", VLOOKUP($C13,Machined!C:Z,18,0))</f>
        <v>N/A</v>
      </c>
      <c r="K13" s="44" t="str">
        <f>IF(VLOOKUP($C13,Machined!C:Z,19,0) = 0, " ", VLOOKUP($C13,Machined!C:Z,19,0))</f>
        <v>N/A</v>
      </c>
      <c r="L13" s="44" t="str">
        <f>IF(VLOOKUP($C13,Machined!C:Z,20,0) = 0, " ", VLOOKUP($C13,Machined!C:Z,20,0))</f>
        <v>N/A</v>
      </c>
      <c r="M13" s="44" t="str">
        <f>IF(VLOOKUP($C13,Machined!C:Z,21,0) = 0, " ", VLOOKUP($C13,Machined!C:Z,21,0))</f>
        <v>N/A</v>
      </c>
      <c r="N13" s="129" t="str">
        <f>IF(VLOOKUP($C13,Machined!C:Z,22,0) = 0, " ", VLOOKUP($C13,Machined!C:Z,22,0))</f>
        <v>N/A</v>
      </c>
      <c r="O13" s="45">
        <f t="shared" ca="1" si="8"/>
        <v>2</v>
      </c>
      <c r="P13" s="49">
        <f>VLOOKUP(C13,Machined!C:F,3,0)</f>
        <v>0</v>
      </c>
      <c r="Q13" s="50">
        <f t="shared" si="9"/>
        <v>0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301</v>
      </c>
      <c r="B15" s="2">
        <v>6</v>
      </c>
      <c r="C15" s="135" t="s">
        <v>256</v>
      </c>
      <c r="D15" s="325" t="str">
        <f>VLOOKUP(C15,Purchased!A:B,2,0)</f>
        <v>BRL Linear Guide Runner Block Sz 25, Standard Flange</v>
      </c>
      <c r="E15" s="326"/>
      <c r="F15" s="108" t="str">
        <f>IF(VLOOKUP($C15,Purchased!A:Z,11,0) = 0, " ", VLOOKUP($C15,Purchased!A:Z,11,0))</f>
        <v>BRL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Ordered 16 additional PO 55645</v>
      </c>
      <c r="I15" s="328"/>
      <c r="J15" s="46">
        <f>IF(VLOOKUP($C15,Purchased!A:Z,14,0)=0, " ", VLOOKUP($C15,Purchased!A:Z,14,0))</f>
        <v>45456</v>
      </c>
      <c r="K15" s="46">
        <f>IF(VLOOKUP(C15,Purchased!A:R,14,0)=0, " ", VLOOKUP(C15,Purchased!A:R,14,0))</f>
        <v>45456</v>
      </c>
      <c r="L15" s="46">
        <f>IF(VLOOKUP(C15,Purchased!A:R,15,0)=0, " ", VLOOKUP(C15,Purchased!A:R,15,0))</f>
        <v>45456</v>
      </c>
      <c r="M15" s="46">
        <f>IF(VLOOKUP(C15,Purchased!A:R,16,0)=0, " ",VLOOKUP(C15,Purchased!A:R,16,0))</f>
        <v>45502</v>
      </c>
      <c r="N15" s="130">
        <f>IF(VLOOKUP(C15,Purchased!A:R,17,0)=0, " ", VLOOKUP(C15,Purchased!A:R,17,0))</f>
        <v>45505</v>
      </c>
      <c r="O15" s="47">
        <f t="shared" ref="O15:O17" ca="1" si="10">B15*$L$2</f>
        <v>12</v>
      </c>
      <c r="P15" s="51">
        <f>VLOOKUP(C15,Purchased!A:D,3,FALSE)</f>
        <v>138.68</v>
      </c>
      <c r="Q15" s="52">
        <f t="shared" ref="Q15:Q17" si="11">B15*P15</f>
        <v>832.08</v>
      </c>
    </row>
    <row r="16" spans="1:17" s="2" customFormat="1" ht="12.75" customHeight="1" x14ac:dyDescent="0.25">
      <c r="A16" s="4">
        <v>302</v>
      </c>
      <c r="B16" s="2">
        <v>1</v>
      </c>
      <c r="C16" s="135" t="s">
        <v>257</v>
      </c>
      <c r="D16" s="325" t="str">
        <f>VLOOKUP(C16,Purchased!A:B,2,0)</f>
        <v>SM100 F0 IU38.1 Idler Safety Chuck</v>
      </c>
      <c r="E16" s="326"/>
      <c r="F16" s="108" t="str">
        <f>IF(VLOOKUP($C16,Purchased!A:Z,11,0) = 0, " ", VLOOKUP($C16,Purchased!A:Z,11,0))</f>
        <v>Double E</v>
      </c>
      <c r="G16" s="108" t="str">
        <f>IF(VLOOKUP($C16,Purchased!A:Z,12,0)=0, " ", VLOOKUP($C16,Purchased!A:Z,12,0))</f>
        <v>Double E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45440</v>
      </c>
      <c r="K16" s="46">
        <f>IF(VLOOKUP(C16,Purchased!A:R,14,0)=0, " ", VLOOKUP(C16,Purchased!A:R,14,0))</f>
        <v>45440</v>
      </c>
      <c r="L16" s="46">
        <f>IF(VLOOKUP(C16,Purchased!A:R,15,0)=0, " ", VLOOKUP(C16,Purchased!A:R,15,0))</f>
        <v>45440</v>
      </c>
      <c r="M16" s="46">
        <f>IF(VLOOKUP(C16,Purchased!A:R,16,0)=0, " ",VLOOKUP(C16,Purchased!A:R,16,0))</f>
        <v>45482</v>
      </c>
      <c r="N16" s="130">
        <f>IF(VLOOKUP(C16,Purchased!A:R,17,0)=0, " ", VLOOKUP(C16,Purchased!A:R,17,0))</f>
        <v>45482</v>
      </c>
      <c r="O16" s="47">
        <f t="shared" ca="1" si="10"/>
        <v>2</v>
      </c>
      <c r="P16" s="51">
        <f>VLOOKUP(C16,Purchased!A:D,3,FALSE)</f>
        <v>1591</v>
      </c>
      <c r="Q16" s="52">
        <f t="shared" si="11"/>
        <v>1591</v>
      </c>
    </row>
    <row r="17" spans="1:17" s="2" customFormat="1" ht="12.75" customHeight="1" x14ac:dyDescent="0.25">
      <c r="A17" s="4">
        <v>303</v>
      </c>
      <c r="B17" s="2">
        <v>1</v>
      </c>
      <c r="C17" s="135" t="s">
        <v>258</v>
      </c>
      <c r="D17" s="325" t="str">
        <f>VLOOKUP(C17,Purchased!A:B,2,0)</f>
        <v>SM100 F1 IU38.1 Driven Safety Chuck</v>
      </c>
      <c r="E17" s="326"/>
      <c r="F17" s="108" t="str">
        <f>IF(VLOOKUP($C17,Purchased!A:Z,11,0) = 0, " ", VLOOKUP($C17,Purchased!A:Z,11,0))</f>
        <v>Double E</v>
      </c>
      <c r="G17" s="108" t="str">
        <f>IF(VLOOKUP($C17,Purchased!A:Z,12,0)=0, " ", VLOOKUP($C17,Purchased!A:Z,12,0))</f>
        <v>Double E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45440</v>
      </c>
      <c r="K17" s="46">
        <f>IF(VLOOKUP(C17,Purchased!A:R,14,0)=0, " ", VLOOKUP(C17,Purchased!A:R,14,0))</f>
        <v>45440</v>
      </c>
      <c r="L17" s="46">
        <f>IF(VLOOKUP(C17,Purchased!A:R,15,0)=0, " ", VLOOKUP(C17,Purchased!A:R,15,0))</f>
        <v>45440</v>
      </c>
      <c r="M17" s="46">
        <f>IF(VLOOKUP(C17,Purchased!A:R,16,0)=0, " ",VLOOKUP(C17,Purchased!A:R,16,0))</f>
        <v>45482</v>
      </c>
      <c r="N17" s="130">
        <f>IF(VLOOKUP(C17,Purchased!A:R,17,0)=0, " ", VLOOKUP(C17,Purchased!A:R,17,0))</f>
        <v>45482</v>
      </c>
      <c r="O17" s="47">
        <f t="shared" ca="1" si="10"/>
        <v>2</v>
      </c>
      <c r="P17" s="51">
        <f>VLOOKUP(C17,Purchased!A:D,3,FALSE)</f>
        <v>1780</v>
      </c>
      <c r="Q17" s="52">
        <f t="shared" si="11"/>
        <v>1780</v>
      </c>
    </row>
    <row r="18" spans="1:17" s="2" customFormat="1" ht="12.75" customHeight="1" x14ac:dyDescent="0.25">
      <c r="A18" s="4">
        <v>304</v>
      </c>
      <c r="B18" s="2">
        <v>1</v>
      </c>
      <c r="C18" s="135" t="s">
        <v>259</v>
      </c>
      <c r="D18" s="343" t="str">
        <f>VLOOKUP(C18,Purchased!A:B,2,0)</f>
        <v>Drawing 9P936, SRL-2500 Strip Shaft</v>
      </c>
      <c r="E18" s="345"/>
      <c r="F18" s="108" t="str">
        <f>IF(VLOOKUP($C18,Purchased!A:Z,11,0) = 0, " ", VLOOKUP($C18,Purchased!A:Z,11,0))</f>
        <v>Double E</v>
      </c>
      <c r="G18" s="108" t="str">
        <f>IF(VLOOKUP($C18,Purchased!A:Z,12,0)=0, " ", VLOOKUP($C18,Purchased!A:Z,12,0))</f>
        <v>Double E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45440</v>
      </c>
      <c r="K18" s="46">
        <f>IF(VLOOKUP(C18,Purchased!A:R,14,0)=0, " ", VLOOKUP(C18,Purchased!A:R,14,0))</f>
        <v>45440</v>
      </c>
      <c r="L18" s="46">
        <f>IF(VLOOKUP(C18,Purchased!A:R,15,0)=0, " ", VLOOKUP(C18,Purchased!A:R,15,0))</f>
        <v>45440</v>
      </c>
      <c r="M18" s="46">
        <f>IF(VLOOKUP(C18,Purchased!A:R,16,0)=0, " ",VLOOKUP(C18,Purchased!A:R,16,0))</f>
        <v>45482</v>
      </c>
      <c r="N18" s="130">
        <f>IF(VLOOKUP(C18,Purchased!A:R,17,0)=0, " ", VLOOKUP(C18,Purchased!A:R,17,0))</f>
        <v>45482</v>
      </c>
      <c r="O18" s="47">
        <f t="shared" ref="O18:O19" ca="1" si="12">B18*$L$2</f>
        <v>2</v>
      </c>
      <c r="P18" s="51">
        <f>VLOOKUP(C18,Purchased!A:D,3,FALSE)</f>
        <v>2590.7199999999998</v>
      </c>
      <c r="Q18" s="52">
        <f t="shared" ref="Q18:Q19" si="13">B18*P18</f>
        <v>2590.7199999999998</v>
      </c>
    </row>
    <row r="19" spans="1:17" s="2" customFormat="1" ht="12.75" customHeight="1" x14ac:dyDescent="0.25">
      <c r="A19" s="4">
        <v>305</v>
      </c>
      <c r="B19" s="2">
        <v>1</v>
      </c>
      <c r="C19" s="135" t="s">
        <v>260</v>
      </c>
      <c r="D19" s="343" t="str">
        <f>VLOOKUP(C19,Purchased!A:B,2,0)</f>
        <v>K513WG0650EZ703U Gearmotor, Unwind</v>
      </c>
      <c r="E19" s="345"/>
      <c r="F19" s="108" t="str">
        <f>IF(VLOOKUP($C19,Purchased!A:Z,11,0) = 0, " ", VLOOKUP($C19,Purchased!A:Z,11,0))</f>
        <v>Stober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45426</v>
      </c>
      <c r="K19" s="46">
        <f>IF(VLOOKUP(C19,Purchased!A:R,14,0)=0, " ", VLOOKUP(C19,Purchased!A:R,14,0))</f>
        <v>45426</v>
      </c>
      <c r="L19" s="46">
        <f>IF(VLOOKUP(C19,Purchased!A:R,15,0)=0, " ", VLOOKUP(C19,Purchased!A:R,15,0))</f>
        <v>45426</v>
      </c>
      <c r="M19" s="46">
        <f>IF(VLOOKUP(C19,Purchased!A:R,16,0)=0, " ",VLOOKUP(C19,Purchased!A:R,16,0))</f>
        <v>45524</v>
      </c>
      <c r="N19" s="130">
        <f>IF(VLOOKUP(C19,Purchased!A:R,17,0)=0, " ", VLOOKUP(C19,Purchased!A:R,17,0))</f>
        <v>45524</v>
      </c>
      <c r="O19" s="47">
        <f t="shared" ca="1" si="12"/>
        <v>2</v>
      </c>
      <c r="P19" s="51">
        <f>VLOOKUP(C19,Purchased!A:D,3,FALSE)</f>
        <v>5281.5223999999998</v>
      </c>
      <c r="Q19" s="52">
        <f t="shared" si="13"/>
        <v>5281.5223999999998</v>
      </c>
    </row>
    <row r="20" spans="1:17" s="2" customFormat="1" ht="12.75" customHeight="1" x14ac:dyDescent="0.25">
      <c r="A20" s="4">
        <v>306</v>
      </c>
      <c r="B20" s="2">
        <v>1</v>
      </c>
      <c r="C20" s="135" t="s">
        <v>261</v>
      </c>
      <c r="D20" s="343" t="str">
        <f>VLOOKUP(C20,Purchased!A:B,2,0)</f>
        <v>STOBER 1-7/8" WOBBLE FREE BUSHING BUSHING FOR UNWIND</v>
      </c>
      <c r="E20" s="345"/>
      <c r="F20" s="108" t="str">
        <f>IF(VLOOKUP($C20,Purchased!A:Z,11,0) = 0, " ", VLOOKUP($C20,Purchased!A:Z,11,0))</f>
        <v>Stober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45426</v>
      </c>
      <c r="K20" s="46">
        <f>IF(VLOOKUP(C20,Purchased!A:R,14,0)=0, " ", VLOOKUP(C20,Purchased!A:R,14,0))</f>
        <v>45426</v>
      </c>
      <c r="L20" s="46">
        <f>IF(VLOOKUP(C20,Purchased!A:R,15,0)=0, " ", VLOOKUP(C20,Purchased!A:R,15,0))</f>
        <v>45426</v>
      </c>
      <c r="M20" s="46">
        <f>IF(VLOOKUP(C20,Purchased!A:R,16,0)=0, " ",VLOOKUP(C20,Purchased!A:R,16,0))</f>
        <v>45524</v>
      </c>
      <c r="N20" s="130">
        <f>IF(VLOOKUP(C20,Purchased!A:R,17,0)=0, " ", VLOOKUP(C20,Purchased!A:R,17,0))</f>
        <v>45524</v>
      </c>
      <c r="O20" s="47">
        <f t="shared" ref="O20" ca="1" si="14">B20*$L$2</f>
        <v>2</v>
      </c>
      <c r="P20" s="51">
        <f>VLOOKUP(C20,Purchased!A:D,3,FALSE)</f>
        <v>495.84199999999998</v>
      </c>
      <c r="Q20" s="52">
        <f t="shared" ref="Q20" si="15">B20*P20</f>
        <v>495.84199999999998</v>
      </c>
    </row>
    <row r="21" spans="1:17" s="2" customFormat="1" ht="12.75" customHeight="1" x14ac:dyDescent="0.25">
      <c r="A21" s="4">
        <v>307</v>
      </c>
      <c r="B21" s="2">
        <v>1</v>
      </c>
      <c r="C21" s="135" t="s">
        <v>262</v>
      </c>
      <c r="D21" s="343" t="str">
        <f>VLOOKUP(C21,Purchased!A:B,2,0)</f>
        <v>STOBER POWER CABLE 56879, 18MTR</v>
      </c>
      <c r="E21" s="345"/>
      <c r="F21" s="108" t="str">
        <f>IF(VLOOKUP($C21,Purchased!A:Z,11,0) = 0, " ", VLOOKUP($C21,Purchased!A:Z,11,0))</f>
        <v>STOBER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45463</v>
      </c>
      <c r="K21" s="46">
        <f>IF(VLOOKUP(C21,Purchased!A:R,14,0)=0, " ", VLOOKUP(C21,Purchased!A:R,14,0))</f>
        <v>45463</v>
      </c>
      <c r="L21" s="46">
        <f>IF(VLOOKUP(C21,Purchased!A:R,15,0)=0, " ", VLOOKUP(C21,Purchased!A:R,15,0))</f>
        <v>45464</v>
      </c>
      <c r="M21" s="46">
        <f>IF(VLOOKUP(C21,Purchased!A:R,16,0)=0, " ",VLOOKUP(C21,Purchased!A:R,16,0))</f>
        <v>45532</v>
      </c>
      <c r="N21" s="130">
        <f>IF(VLOOKUP(C21,Purchased!A:R,17,0)=0, " ", VLOOKUP(C21,Purchased!A:R,17,0))</f>
        <v>45532</v>
      </c>
      <c r="O21" s="47">
        <f t="shared" ref="O21:O22" ca="1" si="16">B21*$L$2</f>
        <v>2</v>
      </c>
      <c r="P21" s="51">
        <f>VLOOKUP(C21,Purchased!A:D,3,FALSE)</f>
        <v>337.78230000000002</v>
      </c>
      <c r="Q21" s="52">
        <f t="shared" ref="Q21:Q22" si="17">B21*P21</f>
        <v>337.78230000000002</v>
      </c>
    </row>
    <row r="22" spans="1:17" s="2" customFormat="1" ht="12.75" customHeight="1" x14ac:dyDescent="0.25">
      <c r="A22" s="4">
        <v>308</v>
      </c>
      <c r="B22" s="2">
        <v>1</v>
      </c>
      <c r="C22" s="135" t="s">
        <v>263</v>
      </c>
      <c r="D22" s="343" t="str">
        <f>VLOOKUP(C22,Purchased!A:B,2,0)</f>
        <v>STOBER ENCODER CABLE 57818, 18MTR</v>
      </c>
      <c r="E22" s="345"/>
      <c r="F22" s="108" t="str">
        <f>IF(VLOOKUP($C22,Purchased!A:Z,11,0) = 0, " ", VLOOKUP($C22,Purchased!A:Z,11,0))</f>
        <v>STOBER</v>
      </c>
      <c r="G22" s="108" t="str">
        <f>IF(VLOOKUP($C22,Purchased!A:Z,12,0)=0, " ", VLOOKUP($C22,Purchased!A:Z,12,0))</f>
        <v>AAP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45463</v>
      </c>
      <c r="K22" s="46">
        <f>IF(VLOOKUP(C22,Purchased!A:R,14,0)=0, " ", VLOOKUP(C22,Purchased!A:R,14,0))</f>
        <v>45463</v>
      </c>
      <c r="L22" s="46">
        <f>IF(VLOOKUP(C22,Purchased!A:R,15,0)=0, " ", VLOOKUP(C22,Purchased!A:R,15,0))</f>
        <v>45464</v>
      </c>
      <c r="M22" s="46">
        <f>IF(VLOOKUP(C22,Purchased!A:R,16,0)=0, " ",VLOOKUP(C22,Purchased!A:R,16,0))</f>
        <v>45532</v>
      </c>
      <c r="N22" s="130">
        <f>IF(VLOOKUP(C22,Purchased!A:R,17,0)=0, " ", VLOOKUP(C22,Purchased!A:R,17,0))</f>
        <v>45532</v>
      </c>
      <c r="O22" s="47">
        <f t="shared" ca="1" si="16"/>
        <v>2</v>
      </c>
      <c r="P22" s="51">
        <f>VLOOKUP(C22,Purchased!A:D,3,FALSE)</f>
        <v>337.78230000000002</v>
      </c>
      <c r="Q22" s="52">
        <f t="shared" si="17"/>
        <v>337.78230000000002</v>
      </c>
    </row>
    <row r="23" spans="1:17" s="2" customFormat="1" ht="12.75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.75" customHeight="1" x14ac:dyDescent="0.25">
      <c r="A24" s="4">
        <v>501</v>
      </c>
      <c r="B24" s="2">
        <v>24</v>
      </c>
      <c r="C24" s="122" t="s">
        <v>264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ref="O24:O28" ca="1" si="18">B24*$L$2</f>
        <v>48</v>
      </c>
      <c r="P24" s="51">
        <f>VLOOKUP(C24,Bolts!A:B,2,FALSE)</f>
        <v>0</v>
      </c>
      <c r="Q24" s="52">
        <f t="shared" ref="Q24:Q28" si="19">B24*P24</f>
        <v>0</v>
      </c>
    </row>
    <row r="25" spans="1:17" s="2" customFormat="1" ht="12.75" customHeight="1" x14ac:dyDescent="0.25">
      <c r="A25" s="4">
        <v>502</v>
      </c>
      <c r="B25" s="2">
        <v>28</v>
      </c>
      <c r="C25" s="122" t="s">
        <v>265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18"/>
        <v>56</v>
      </c>
      <c r="P25" s="51">
        <f>VLOOKUP(C25,Bolts!A:B,2,FALSE)</f>
        <v>0</v>
      </c>
      <c r="Q25" s="52">
        <f t="shared" si="19"/>
        <v>0</v>
      </c>
    </row>
    <row r="26" spans="1:17" s="2" customFormat="1" ht="12.75" customHeight="1" x14ac:dyDescent="0.25">
      <c r="A26" s="4">
        <v>503</v>
      </c>
      <c r="B26" s="2">
        <v>8</v>
      </c>
      <c r="C26" s="122" t="s">
        <v>188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18"/>
        <v>16</v>
      </c>
      <c r="P26" s="51">
        <f>VLOOKUP(C26,Bolts!A:B,2,FALSE)</f>
        <v>0</v>
      </c>
      <c r="Q26" s="52">
        <f t="shared" si="19"/>
        <v>0</v>
      </c>
    </row>
    <row r="27" spans="1:17" s="2" customFormat="1" ht="12.75" customHeight="1" x14ac:dyDescent="0.25">
      <c r="A27" s="4">
        <v>504</v>
      </c>
      <c r="B27" s="2">
        <v>8</v>
      </c>
      <c r="C27" s="122" t="s">
        <v>266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18"/>
        <v>16</v>
      </c>
      <c r="P27" s="51">
        <f>VLOOKUP(C27,Bolts!A:B,2,FALSE)</f>
        <v>0</v>
      </c>
      <c r="Q27" s="52">
        <f t="shared" si="19"/>
        <v>0</v>
      </c>
    </row>
    <row r="28" spans="1:17" s="2" customFormat="1" ht="12.75" customHeight="1" thickBot="1" x14ac:dyDescent="0.3">
      <c r="A28" s="4">
        <v>505</v>
      </c>
      <c r="B28" s="2">
        <v>6</v>
      </c>
      <c r="C28" s="122" t="s">
        <v>267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18"/>
        <v>12</v>
      </c>
      <c r="P28" s="51">
        <f>VLOOKUP(C28,Bolts!A:B,2,FALSE)</f>
        <v>0</v>
      </c>
      <c r="Q28" s="52">
        <f t="shared" si="19"/>
        <v>0</v>
      </c>
    </row>
    <row r="29" spans="1:17" s="2" customFormat="1" ht="12" customHeight="1" thickBot="1" x14ac:dyDescent="0.3">
      <c r="A29" s="34"/>
      <c r="B29" s="35"/>
      <c r="C29" s="35"/>
      <c r="D29" s="316"/>
      <c r="E29" s="317"/>
      <c r="F29" s="35"/>
      <c r="G29" s="35"/>
      <c r="H29" s="309"/>
      <c r="I29" s="310"/>
      <c r="J29" s="36"/>
      <c r="K29" s="36"/>
      <c r="L29" s="36"/>
      <c r="M29" s="37"/>
      <c r="N29" s="132"/>
      <c r="O29" s="38"/>
      <c r="P29" s="99" t="s">
        <v>43</v>
      </c>
      <c r="Q29" s="104">
        <f>SUM(Q7:Q28)</f>
        <v>18411.878999999997</v>
      </c>
    </row>
    <row r="30" spans="1:17" s="2" customFormat="1" ht="12" customHeight="1" x14ac:dyDescent="0.2">
      <c r="D30" s="21"/>
      <c r="E30" s="21"/>
      <c r="J30" s="8"/>
      <c r="K30" s="8"/>
      <c r="L30" s="8"/>
      <c r="M30" s="8"/>
      <c r="N30" s="131"/>
      <c r="O30" s="5"/>
      <c r="P30" s="98"/>
      <c r="Q30" s="105"/>
    </row>
  </sheetData>
  <sheetProtection selectLockedCells="1"/>
  <mergeCells count="48">
    <mergeCell ref="H22:I22"/>
    <mergeCell ref="D20:E20"/>
    <mergeCell ref="H20:I20"/>
    <mergeCell ref="D16:E16"/>
    <mergeCell ref="H16:I16"/>
    <mergeCell ref="D11:E11"/>
    <mergeCell ref="H11:I11"/>
    <mergeCell ref="H13:I13"/>
    <mergeCell ref="H14:I14"/>
    <mergeCell ref="D15:E15"/>
    <mergeCell ref="H15:I15"/>
    <mergeCell ref="D29:E29"/>
    <mergeCell ref="H29:I29"/>
    <mergeCell ref="D17:E17"/>
    <mergeCell ref="H17:I17"/>
    <mergeCell ref="D23:E23"/>
    <mergeCell ref="H23:I23"/>
    <mergeCell ref="D28:E28"/>
    <mergeCell ref="D24:E24"/>
    <mergeCell ref="D25:E25"/>
    <mergeCell ref="D18:E18"/>
    <mergeCell ref="D19:E19"/>
    <mergeCell ref="H18:I18"/>
    <mergeCell ref="H19:I19"/>
    <mergeCell ref="D21:E21"/>
    <mergeCell ref="H21:I21"/>
    <mergeCell ref="D22:E22"/>
    <mergeCell ref="D5:E5"/>
    <mergeCell ref="H5:I5"/>
    <mergeCell ref="D1:E1"/>
    <mergeCell ref="D4:E4"/>
    <mergeCell ref="H4:I4"/>
    <mergeCell ref="H8:I8"/>
    <mergeCell ref="D26:E26"/>
    <mergeCell ref="D27:E27"/>
    <mergeCell ref="D6:E6"/>
    <mergeCell ref="H6:I6"/>
    <mergeCell ref="D7:E7"/>
    <mergeCell ref="H7:I7"/>
    <mergeCell ref="D14:E14"/>
    <mergeCell ref="D9:E9"/>
    <mergeCell ref="H9:I9"/>
    <mergeCell ref="D12:E12"/>
    <mergeCell ref="H12:I12"/>
    <mergeCell ref="D8:E8"/>
    <mergeCell ref="D13:E13"/>
    <mergeCell ref="D10:E10"/>
    <mergeCell ref="H10:I10"/>
  </mergeCells>
  <phoneticPr fontId="8" type="noConversion"/>
  <conditionalFormatting sqref="M8 M14 M23:M28">
    <cfRule type="cellIs" dxfId="1966" priority="13" stopIfTrue="1" operator="lessThanOrEqual">
      <formula>$L8</formula>
    </cfRule>
    <cfRule type="cellIs" dxfId="1965" priority="14" operator="greaterThan">
      <formula>L8</formula>
    </cfRule>
  </conditionalFormatting>
  <conditionalFormatting sqref="M15:M22">
    <cfRule type="cellIs" dxfId="1964" priority="1" stopIfTrue="1" operator="lessThanOrEqual">
      <formula>$L15</formula>
    </cfRule>
    <cfRule type="cellIs" dxfId="1963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38ED82F-C79C-44F4-9A69-048DE149B260}">
          <x14:formula1>
            <xm:f>Bolts!$A:$A</xm:f>
          </x14:formula1>
          <xm:sqref>C23:C28</xm:sqref>
        </x14:dataValidation>
        <x14:dataValidation type="list" allowBlank="1" showInputMessage="1" showErrorMessage="1" xr:uid="{609E9A13-9935-47E9-978F-0849DDE87434}">
          <x14:formula1>
            <xm:f>Assemblies!$E:$E</xm:f>
          </x14:formula1>
          <xm:sqref>C5:C7</xm:sqref>
        </x14:dataValidation>
        <x14:dataValidation type="list" allowBlank="1" showInputMessage="1" showErrorMessage="1" xr:uid="{402A7A03-B979-4943-A591-5EC8BBC736B4}">
          <x14:formula1>
            <xm:f>Machined!$C:$C</xm:f>
          </x14:formula1>
          <xm:sqref>C9:C13</xm:sqref>
        </x14:dataValidation>
        <x14:dataValidation type="list" allowBlank="1" showInputMessage="1" showErrorMessage="1" xr:uid="{3F75198D-C8DE-4B66-86BB-9C044CE5C1BF}">
          <x14:formula1>
            <xm:f>Purchased!$A:$A</xm:f>
          </x14:formula1>
          <xm:sqref>C15:C22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2D833-9E4C-43E8-8225-12EC0853229D}">
  <sheetPr codeName="Sheet38">
    <tabColor theme="6" tint="0.59999389629810485"/>
    <pageSetUpPr fitToPage="1"/>
  </sheetPr>
  <dimension ref="A1:Q17"/>
  <sheetViews>
    <sheetView zoomScale="115" zoomScaleNormal="115" workbookViewId="0">
      <selection sqref="A1:O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'1.2'!C5</f>
        <v>PG10.1.2.1.0.A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'1.2'!D5</f>
        <v>Unwind Short Roller Assy</v>
      </c>
      <c r="D3" s="85" t="s">
        <v>50</v>
      </c>
      <c r="E3" s="86" t="str">
        <f ca="1">MID(CELL("filename",A1),FIND("]",CELL("filename",A1))+1,256)</f>
        <v>1.2.1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268</v>
      </c>
      <c r="D5" s="314" t="str">
        <f>VLOOKUP(C5,Machined!C:X,2,0)</f>
        <v>Roller Bracket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45435</v>
      </c>
      <c r="K5" s="44">
        <f>IF(VLOOKUP($C5,Machined!C:Z,19,0) = 0, " ", VLOOKUP($C5,Machined!C:Z,19,0))</f>
        <v>45446</v>
      </c>
      <c r="L5" s="44">
        <f>IF(VLOOKUP($C5,Machined!C:Z,20,0) = 0, " ", VLOOKUP($C5,Machined!C:Z,20,0))</f>
        <v>45481</v>
      </c>
      <c r="M5" s="44">
        <f>IF(VLOOKUP($C5,Machined!C:Z,21,0) = 0, " ", VLOOKUP($C5,Machined!C:Z,21,0))</f>
        <v>45481</v>
      </c>
      <c r="N5" s="129">
        <f>IF(VLOOKUP($C5,Machined!C:Z,22,0) = 0, " ", VLOOKUP($C5,Machined!C:Z,22,0))</f>
        <v>55532</v>
      </c>
      <c r="O5" s="45">
        <f ca="1">B5*$L$2</f>
        <v>4</v>
      </c>
      <c r="P5" s="49">
        <f>VLOOKUP(C5,Machined!C:F,3,0)</f>
        <v>60.85</v>
      </c>
      <c r="Q5" s="50">
        <f>B5*P5</f>
        <v>121.7</v>
      </c>
    </row>
    <row r="6" spans="1:17" s="2" customFormat="1" ht="12.75" customHeight="1" x14ac:dyDescent="0.25">
      <c r="A6" s="77">
        <v>2</v>
      </c>
      <c r="B6" s="20">
        <v>1</v>
      </c>
      <c r="C6" s="121" t="s">
        <v>167</v>
      </c>
      <c r="D6" s="314" t="str">
        <f>VLOOKUP(C6,Machined!C:X,2,0)</f>
        <v>BONNELL EXTRUDED ROLLER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 xml:space="preserve"> </v>
      </c>
      <c r="H6" s="320" t="str">
        <f>IF(VLOOKUP($C6,Machined!C:Z,17,0) = 0, " ", VLOOKUP($C6,Machined!C:Z,17,0))</f>
        <v>42 from GF12</v>
      </c>
      <c r="I6" s="321" t="str">
        <f>IF(VLOOKUP($C6,Machined!$C:$Y,13,0) = 0, " ", VLOOKUP($C6,Machined!$C:$Y,13,0))</f>
        <v>6061-T6 ALUMINUM</v>
      </c>
      <c r="J6" s="44" t="str">
        <f>IF(VLOOKUP($C6,Machined!C:Z,18,0) = 0, " ", VLOOKUP($C6,Machined!C:Z,18,0))</f>
        <v xml:space="preserve"> </v>
      </c>
      <c r="K6" s="44" t="str">
        <f>IF(VLOOKUP($C6,Machined!C:Z,19,0) = 0, " ", VLOOKUP($C6,Machined!C:Z,19,0))</f>
        <v xml:space="preserve"> </v>
      </c>
      <c r="L6" s="44" t="str">
        <f>IF(VLOOKUP($C6,Machined!C:Z,20,0) = 0, " ", VLOOKUP($C6,Machined!C:Z,20,0))</f>
        <v xml:space="preserve"> </v>
      </c>
      <c r="M6" s="44" t="str">
        <f>IF(VLOOKUP($C6,Machined!C:Z,21,0) = 0, " ", VLOOKUP($C6,Machined!C:Z,21,0))</f>
        <v xml:space="preserve"> </v>
      </c>
      <c r="N6" s="129" t="str">
        <f>IF(VLOOKUP($C6,Machined!C:Z,22,0) = 0, " ", VLOOKUP($C6,Machined!C:Z,22,0))</f>
        <v xml:space="preserve"> </v>
      </c>
      <c r="O6" s="45">
        <f t="shared" ref="O6:O7" ca="1" si="0">B6*$L$2</f>
        <v>2</v>
      </c>
      <c r="P6" s="49">
        <f>VLOOKUP(C6,Machined!C:F,3,0)</f>
        <v>54.27</v>
      </c>
      <c r="Q6" s="50">
        <f t="shared" ref="Q6:Q7" si="1">B6*P6</f>
        <v>54.27</v>
      </c>
    </row>
    <row r="7" spans="1:17" s="2" customFormat="1" ht="12.75" customHeight="1" x14ac:dyDescent="0.25">
      <c r="A7" s="77">
        <v>3</v>
      </c>
      <c r="B7" s="20">
        <v>1</v>
      </c>
      <c r="C7" s="121" t="s">
        <v>168</v>
      </c>
      <c r="D7" s="314" t="str">
        <f>VLOOKUP(C7,Machined!C:X,2,0)</f>
        <v>ROLLER SHAFT</v>
      </c>
      <c r="E7" s="329"/>
      <c r="F7" s="107" t="str">
        <f>VLOOKUP($C7,Machined!C:Z,13,0)</f>
        <v>303 TG&amp;P, ROUND STOCK, -0.0005</v>
      </c>
      <c r="G7" s="44" t="str">
        <f>IF(VLOOKUP($C7,Machined!C:Z,16,0) = 0, " ", VLOOKUP($C7,Machined!C:Z,16,0))</f>
        <v>Nuline</v>
      </c>
      <c r="H7" s="320" t="str">
        <f>IF(VLOOKUP($C7,Machined!C:Z,17,0) = 0, " ", VLOOKUP($C7,Machined!C:Z,17,0))</f>
        <v>Material P.O. 55555</v>
      </c>
      <c r="I7" s="321" t="str">
        <f>IF(VLOOKUP($C7,Machined!$C:$Y,13,0) = 0, " ", VLOOKUP($C7,Machined!$C:$Y,13,0))</f>
        <v>303 TG&amp;P, ROUND STOCK, -0.0005</v>
      </c>
      <c r="J7" s="44" t="str">
        <f>IF(VLOOKUP($C7,Machined!C:Z,18,0) = 0, " ", VLOOKUP($C7,Machined!C:Z,18,0))</f>
        <v xml:space="preserve"> </v>
      </c>
      <c r="K7" s="44" t="str">
        <f>IF(VLOOKUP($C7,Machined!C:Z,19,0) = 0, " ", VLOOKUP($C7,Machined!C:Z,19,0))</f>
        <v xml:space="preserve"> </v>
      </c>
      <c r="L7" s="44">
        <f>IF(VLOOKUP($C7,Machined!C:Z,20,0) = 0, " ", VLOOKUP($C7,Machined!C:Z,20,0))</f>
        <v>45520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55555</v>
      </c>
      <c r="O7" s="45">
        <f t="shared" ca="1" si="0"/>
        <v>2</v>
      </c>
      <c r="P7" s="49">
        <f>VLOOKUP(C7,Machined!C:F,3,0)</f>
        <v>0</v>
      </c>
      <c r="Q7" s="50">
        <f t="shared" si="1"/>
        <v>0</v>
      </c>
    </row>
    <row r="8" spans="1:17" s="2" customFormat="1" ht="12.75" customHeight="1" x14ac:dyDescent="0.25">
      <c r="A8" s="77">
        <v>4</v>
      </c>
      <c r="B8" s="20">
        <v>2</v>
      </c>
      <c r="C8" s="121" t="s">
        <v>169</v>
      </c>
      <c r="D8" s="314" t="str">
        <f>VLOOKUP(C8,Machined!C:X,2,0)</f>
        <v>ROLLER CAP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>WescoBHT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304 STAINLESS STEEL</v>
      </c>
      <c r="J8" s="44">
        <f>IF(VLOOKUP($C8,Machined!C:Z,18,0) = 0, " ", VLOOKUP($C8,Machined!C:Z,18,0))</f>
        <v>45463</v>
      </c>
      <c r="K8" s="44">
        <f>IF(VLOOKUP($C8,Machined!C:Z,19,0) = 0, " ", VLOOKUP($C8,Machined!C:Z,19,0))</f>
        <v>45483</v>
      </c>
      <c r="L8" s="44">
        <f>IF(VLOOKUP($C8,Machined!C:Z,20,0) = 0, " ", VLOOKUP($C8,Machined!C:Z,20,0))</f>
        <v>45513</v>
      </c>
      <c r="M8" s="44">
        <f>IF(VLOOKUP($C8,Machined!C:Z,21,0) = 0, " ", VLOOKUP($C8,Machined!C:Z,21,0))</f>
        <v>45513</v>
      </c>
      <c r="N8" s="129">
        <f>IF(VLOOKUP($C8,Machined!C:Z,22,0) = 0, " ", VLOOKUP($C8,Machined!C:Z,22,0))</f>
        <v>55593</v>
      </c>
      <c r="O8" s="45">
        <f t="shared" ref="O8:O9" ca="1" si="2">B8*$L$2</f>
        <v>4</v>
      </c>
      <c r="P8" s="49">
        <f>VLOOKUP(C8,Machined!C:F,3,0)</f>
        <v>4.8</v>
      </c>
      <c r="Q8" s="50">
        <f t="shared" ref="Q8:Q9" si="3">B8*P8</f>
        <v>9.6</v>
      </c>
    </row>
    <row r="9" spans="1:17" s="2" customFormat="1" ht="12.75" customHeight="1" x14ac:dyDescent="0.25">
      <c r="A9" s="77">
        <v>5</v>
      </c>
      <c r="B9" s="20">
        <v>2</v>
      </c>
      <c r="C9" s="121" t="s">
        <v>171</v>
      </c>
      <c r="D9" s="314" t="str">
        <f>VLOOKUP(C9,Machined!C:X,2,0)</f>
        <v>SINGLE ROLLER BRACKET CLAMP</v>
      </c>
      <c r="E9" s="329"/>
      <c r="F9" s="107" t="str">
        <f>VLOOKUP($C9,Machined!C:Z,13,0)</f>
        <v>1018 COLD ROLLED STEEL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1018 COLD ROLLED STEEL</v>
      </c>
      <c r="J9" s="44">
        <f>IF(VLOOKUP($C9,Machined!C:Z,18,0) = 0, " ", VLOOKUP($C9,Machined!C:Z,18,0))</f>
        <v>45435</v>
      </c>
      <c r="K9" s="44">
        <f>IF(VLOOKUP($C9,Machined!C:Z,19,0) = 0, " ", VLOOKUP($C9,Machined!C:Z,19,0))</f>
        <v>45446</v>
      </c>
      <c r="L9" s="44">
        <f>IF(VLOOKUP($C9,Machined!C:Z,20,0) = 0, " ", VLOOKUP($C9,Machined!C:Z,20,0))</f>
        <v>45481</v>
      </c>
      <c r="M9" s="44">
        <f>IF(VLOOKUP($C9,Machined!C:Z,21,0) = 0, " ", VLOOKUP($C9,Machined!C:Z,21,0))</f>
        <v>45481</v>
      </c>
      <c r="N9" s="129">
        <f>IF(VLOOKUP($C9,Machined!C:Z,22,0) = 0, " ", VLOOKUP($C9,Machined!C:Z,22,0))</f>
        <v>55532</v>
      </c>
      <c r="O9" s="45">
        <f t="shared" ca="1" si="2"/>
        <v>4</v>
      </c>
      <c r="P9" s="49">
        <f>VLOOKUP(C9,Machined!C:F,3,0)</f>
        <v>16.2</v>
      </c>
      <c r="Q9" s="50">
        <f t="shared" si="3"/>
        <v>32.4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2</v>
      </c>
      <c r="C11" s="135" t="s">
        <v>173</v>
      </c>
      <c r="D11" s="325" t="str">
        <f>VLOOKUP(C11,Purchased!A:B,2,0)</f>
        <v>0.75in ID 1.75 OD sealed ball bearing with shaft collar</v>
      </c>
      <c r="E11" s="326"/>
      <c r="F11" s="108" t="str">
        <f>IF(VLOOKUP($C11,Purchased!A:Z,11,0) = 0, " ", VLOOKUP($C11,Purchased!A:Z,11,0))</f>
        <v>Quality Brg</v>
      </c>
      <c r="G11" s="108" t="str">
        <f>IF(VLOOKUP($C11,Purchased!A:Z,12,0)=0, " ", VLOOKUP($C11,Purchased!A:Z,12,0))</f>
        <v>Quality Brg</v>
      </c>
      <c r="H11" s="327" t="str">
        <f>IF(VLOOKUP($C11,Purchased!A:Z,13,0)=0, " ", VLOOKUP($C11,Purchased!A:Z,13,0))</f>
        <v>Have 29 in stock - JP 6/6/24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45448</v>
      </c>
      <c r="M11" s="46">
        <f>IF(VLOOKUP(C11,Purchased!A:R,16,0)=0, " ",VLOOKUP(C11,Purchased!A:R,16,0))</f>
        <v>45478</v>
      </c>
      <c r="N11" s="130">
        <f>IF(VLOOKUP(C11,Purchased!A:R,17,0)=0, " ", VLOOKUP(C11,Purchased!A:R,17,0))</f>
        <v>45478</v>
      </c>
      <c r="O11" s="47">
        <f t="shared" ref="O11" ca="1" si="4">B11*$L$2</f>
        <v>4</v>
      </c>
      <c r="P11" s="51">
        <f>VLOOKUP(C11,Purchased!A:D,3,FALSE)</f>
        <v>0</v>
      </c>
      <c r="Q11" s="52">
        <f t="shared" ref="Q11" si="5">B11*P11</f>
        <v>0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4</v>
      </c>
      <c r="C13" s="122" t="s">
        <v>108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8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4</v>
      </c>
      <c r="C14" s="122" t="s">
        <v>174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8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thickBot="1" x14ac:dyDescent="0.3">
      <c r="A15" s="4">
        <v>503</v>
      </c>
      <c r="B15" s="2">
        <v>4</v>
      </c>
      <c r="C15" s="122" t="s">
        <v>269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8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217.97</v>
      </c>
    </row>
    <row r="17" spans="4:5" s="2" customFormat="1" ht="12" customHeight="1" x14ac:dyDescent="0.2">
      <c r="D17" s="21"/>
      <c r="E17" s="21"/>
    </row>
  </sheetData>
  <sheetProtection selectLockedCells="1"/>
  <mergeCells count="24">
    <mergeCell ref="D16:E16"/>
    <mergeCell ref="H16:I16"/>
    <mergeCell ref="D15:E15"/>
    <mergeCell ref="D13:E13"/>
    <mergeCell ref="D14:E14"/>
    <mergeCell ref="D12:E12"/>
    <mergeCell ref="H12:I12"/>
    <mergeCell ref="D9:E9"/>
    <mergeCell ref="H9:I9"/>
    <mergeCell ref="D10:E10"/>
    <mergeCell ref="H10:I10"/>
    <mergeCell ref="D11:E11"/>
    <mergeCell ref="H11:I11"/>
    <mergeCell ref="D8:E8"/>
    <mergeCell ref="H8:I8"/>
    <mergeCell ref="D1:E1"/>
    <mergeCell ref="D4:E4"/>
    <mergeCell ref="H4:I4"/>
    <mergeCell ref="D5:E5"/>
    <mergeCell ref="H5:I5"/>
    <mergeCell ref="D6:E6"/>
    <mergeCell ref="H6:I6"/>
    <mergeCell ref="D7:E7"/>
    <mergeCell ref="H7:I7"/>
  </mergeCells>
  <phoneticPr fontId="8" type="noConversion"/>
  <conditionalFormatting sqref="M10 M12:M15">
    <cfRule type="cellIs" dxfId="1962" priority="3" stopIfTrue="1" operator="lessThanOrEqual">
      <formula>$L10</formula>
    </cfRule>
    <cfRule type="cellIs" dxfId="1961" priority="4" operator="greaterThan">
      <formula>L10</formula>
    </cfRule>
  </conditionalFormatting>
  <conditionalFormatting sqref="M11">
    <cfRule type="cellIs" dxfId="1960" priority="1" stopIfTrue="1" operator="lessThanOrEqual">
      <formula>$L11</formula>
    </cfRule>
    <cfRule type="cellIs" dxfId="1959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1AF4BF3-18F7-493E-959F-C59DCCEE710B}">
          <x14:formula1>
            <xm:f>Bolts!$A:$A</xm:f>
          </x14:formula1>
          <xm:sqref>C13:C15</xm:sqref>
        </x14:dataValidation>
        <x14:dataValidation type="list" allowBlank="1" showInputMessage="1" showErrorMessage="1" xr:uid="{D03141DD-9D36-4594-B326-4522B5E4A42A}">
          <x14:formula1>
            <xm:f>Machined!$C:$C</xm:f>
          </x14:formula1>
          <xm:sqref>C5:C9</xm:sqref>
        </x14:dataValidation>
        <x14:dataValidation type="list" allowBlank="1" showInputMessage="1" showErrorMessage="1" xr:uid="{123D2A62-8E48-48C7-B62B-5C81CDDE1930}">
          <x14:formula1>
            <xm:f>Purchased!$A:$A</xm:f>
          </x14:formula1>
          <xm:sqref>C11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D7D32-B515-4F4A-A07E-E0315682AD3F}">
  <sheetPr codeName="Sheet39">
    <tabColor theme="6" tint="0.59999389629810485"/>
    <pageSetUpPr fitToPage="1"/>
  </sheetPr>
  <dimension ref="A1:Q17"/>
  <sheetViews>
    <sheetView zoomScale="115" zoomScaleNormal="115" workbookViewId="0">
      <selection sqref="A1:O3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'1.2'!C6</f>
        <v>PG10.1.2.2.0.A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'1.2'!D6</f>
        <v>Unwind Long Roller Assy</v>
      </c>
      <c r="D3" s="85" t="s">
        <v>50</v>
      </c>
      <c r="E3" s="86" t="str">
        <f ca="1">MID(CELL("filename",A1),FIND("]",CELL("filename",A1))+1,256)</f>
        <v>1.2.2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270</v>
      </c>
      <c r="D5" s="314" t="str">
        <f>VLOOKUP(C5,Machined!C:X,2,0)</f>
        <v>Roller Bracket, Long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45435</v>
      </c>
      <c r="K5" s="44">
        <f>IF(VLOOKUP($C5,Machined!C:Z,19,0) = 0, " ", VLOOKUP($C5,Machined!C:Z,19,0))</f>
        <v>45446</v>
      </c>
      <c r="L5" s="44">
        <f>IF(VLOOKUP($C5,Machined!C:Z,20,0) = 0, " ", VLOOKUP($C5,Machined!C:Z,20,0))</f>
        <v>45481</v>
      </c>
      <c r="M5" s="44">
        <f>IF(VLOOKUP($C5,Machined!C:Z,21,0) = 0, " ", VLOOKUP($C5,Machined!C:Z,21,0))</f>
        <v>45481</v>
      </c>
      <c r="N5" s="129">
        <f>IF(VLOOKUP($C5,Machined!C:Z,22,0) = 0, " ", VLOOKUP($C5,Machined!C:Z,22,0))</f>
        <v>55532</v>
      </c>
      <c r="O5" s="45">
        <f ca="1">B5*$L$2</f>
        <v>4</v>
      </c>
      <c r="P5" s="49">
        <f>VLOOKUP(C5,Machined!C:F,3,0)</f>
        <v>71.95</v>
      </c>
      <c r="Q5" s="50">
        <f>B5*P5</f>
        <v>143.9</v>
      </c>
    </row>
    <row r="6" spans="1:17" s="2" customFormat="1" ht="12.75" customHeight="1" x14ac:dyDescent="0.25">
      <c r="A6" s="77">
        <v>2</v>
      </c>
      <c r="B6" s="20">
        <v>1</v>
      </c>
      <c r="C6" s="121" t="s">
        <v>167</v>
      </c>
      <c r="D6" s="314" t="str">
        <f>VLOOKUP(C6,Machined!C:X,2,0)</f>
        <v>BONNELL EXTRUDED ROLLER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 xml:space="preserve"> </v>
      </c>
      <c r="H6" s="320" t="str">
        <f>IF(VLOOKUP($C6,Machined!C:Z,17,0) = 0, " ", VLOOKUP($C6,Machined!C:Z,17,0))</f>
        <v>42 from GF12</v>
      </c>
      <c r="I6" s="321" t="str">
        <f>IF(VLOOKUP($C6,Machined!$C:$Y,13,0) = 0, " ", VLOOKUP($C6,Machined!$C:$Y,13,0))</f>
        <v>6061-T6 ALUMINUM</v>
      </c>
      <c r="J6" s="44" t="str">
        <f>IF(VLOOKUP($C6,Machined!C:Z,18,0) = 0, " ", VLOOKUP($C6,Machined!C:Z,18,0))</f>
        <v xml:space="preserve"> </v>
      </c>
      <c r="K6" s="44" t="str">
        <f>IF(VLOOKUP($C6,Machined!C:Z,19,0) = 0, " ", VLOOKUP($C6,Machined!C:Z,19,0))</f>
        <v xml:space="preserve"> </v>
      </c>
      <c r="L6" s="44" t="str">
        <f>IF(VLOOKUP($C6,Machined!C:Z,20,0) = 0, " ", VLOOKUP($C6,Machined!C:Z,20,0))</f>
        <v xml:space="preserve"> </v>
      </c>
      <c r="M6" s="44" t="str">
        <f>IF(VLOOKUP($C6,Machined!C:Z,21,0) = 0, " ", VLOOKUP($C6,Machined!C:Z,21,0))</f>
        <v xml:space="preserve"> </v>
      </c>
      <c r="N6" s="129" t="str">
        <f>IF(VLOOKUP($C6,Machined!C:Z,22,0) = 0, " ", VLOOKUP($C6,Machined!C:Z,22,0))</f>
        <v xml:space="preserve"> </v>
      </c>
      <c r="O6" s="45">
        <f t="shared" ref="O6:O7" ca="1" si="0">B6*$L$2</f>
        <v>2</v>
      </c>
      <c r="P6" s="49">
        <f>VLOOKUP(C6,Machined!C:F,3,0)</f>
        <v>54.27</v>
      </c>
      <c r="Q6" s="50">
        <f t="shared" ref="Q6:Q7" si="1">B6*P6</f>
        <v>54.27</v>
      </c>
    </row>
    <row r="7" spans="1:17" s="2" customFormat="1" ht="12.75" customHeight="1" x14ac:dyDescent="0.25">
      <c r="A7" s="77">
        <v>3</v>
      </c>
      <c r="B7" s="20">
        <v>1</v>
      </c>
      <c r="C7" s="121" t="s">
        <v>168</v>
      </c>
      <c r="D7" s="314" t="str">
        <f>VLOOKUP(C7,Machined!C:X,2,0)</f>
        <v>ROLLER SHAFT</v>
      </c>
      <c r="E7" s="329"/>
      <c r="F7" s="107" t="str">
        <f>VLOOKUP($C7,Machined!C:Z,13,0)</f>
        <v>303 TG&amp;P, ROUND STOCK, -0.0005</v>
      </c>
      <c r="G7" s="44" t="str">
        <f>IF(VLOOKUP($C7,Machined!C:Z,16,0) = 0, " ", VLOOKUP($C7,Machined!C:Z,16,0))</f>
        <v>Nuline</v>
      </c>
      <c r="H7" s="320" t="str">
        <f>IF(VLOOKUP($C7,Machined!C:Z,17,0) = 0, " ", VLOOKUP($C7,Machined!C:Z,17,0))</f>
        <v>Material P.O. 55555</v>
      </c>
      <c r="I7" s="321" t="str">
        <f>IF(VLOOKUP($C7,Machined!$C:$Y,13,0) = 0, " ", VLOOKUP($C7,Machined!$C:$Y,13,0))</f>
        <v>303 TG&amp;P, ROUND STOCK, -0.0005</v>
      </c>
      <c r="J7" s="44" t="str">
        <f>IF(VLOOKUP($C7,Machined!C:Z,18,0) = 0, " ", VLOOKUP($C7,Machined!C:Z,18,0))</f>
        <v xml:space="preserve"> </v>
      </c>
      <c r="K7" s="44" t="str">
        <f>IF(VLOOKUP($C7,Machined!C:Z,19,0) = 0, " ", VLOOKUP($C7,Machined!C:Z,19,0))</f>
        <v xml:space="preserve"> </v>
      </c>
      <c r="L7" s="44">
        <f>IF(VLOOKUP($C7,Machined!C:Z,20,0) = 0, " ", VLOOKUP($C7,Machined!C:Z,20,0))</f>
        <v>45520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55555</v>
      </c>
      <c r="O7" s="45">
        <f t="shared" ca="1" si="0"/>
        <v>2</v>
      </c>
      <c r="P7" s="49">
        <f>VLOOKUP(C7,Machined!C:F,3,0)</f>
        <v>0</v>
      </c>
      <c r="Q7" s="50">
        <f t="shared" si="1"/>
        <v>0</v>
      </c>
    </row>
    <row r="8" spans="1:17" s="2" customFormat="1" ht="12.75" customHeight="1" x14ac:dyDescent="0.25">
      <c r="A8" s="77">
        <v>4</v>
      </c>
      <c r="B8" s="20">
        <v>2</v>
      </c>
      <c r="C8" s="121" t="s">
        <v>169</v>
      </c>
      <c r="D8" s="314" t="str">
        <f>VLOOKUP(C8,Machined!C:X,2,0)</f>
        <v>ROLLER CAP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>WescoBHT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304 STAINLESS STEEL</v>
      </c>
      <c r="J8" s="44">
        <f>IF(VLOOKUP($C8,Machined!C:Z,18,0) = 0, " ", VLOOKUP($C8,Machined!C:Z,18,0))</f>
        <v>45463</v>
      </c>
      <c r="K8" s="44">
        <f>IF(VLOOKUP($C8,Machined!C:Z,19,0) = 0, " ", VLOOKUP($C8,Machined!C:Z,19,0))</f>
        <v>45483</v>
      </c>
      <c r="L8" s="44">
        <f>IF(VLOOKUP($C8,Machined!C:Z,20,0) = 0, " ", VLOOKUP($C8,Machined!C:Z,20,0))</f>
        <v>45513</v>
      </c>
      <c r="M8" s="44">
        <f>IF(VLOOKUP($C8,Machined!C:Z,21,0) = 0, " ", VLOOKUP($C8,Machined!C:Z,21,0))</f>
        <v>45513</v>
      </c>
      <c r="N8" s="129">
        <f>IF(VLOOKUP($C8,Machined!C:Z,22,0) = 0, " ", VLOOKUP($C8,Machined!C:Z,22,0))</f>
        <v>55593</v>
      </c>
      <c r="O8" s="45">
        <f t="shared" ref="O8:O9" ca="1" si="2">B8*$L$2</f>
        <v>4</v>
      </c>
      <c r="P8" s="49">
        <f>VLOOKUP(C8,Machined!C:F,3,0)</f>
        <v>4.8</v>
      </c>
      <c r="Q8" s="50">
        <f t="shared" ref="Q8:Q9" si="3">B8*P8</f>
        <v>9.6</v>
      </c>
    </row>
    <row r="9" spans="1:17" s="2" customFormat="1" ht="12.75" customHeight="1" x14ac:dyDescent="0.25">
      <c r="A9" s="77">
        <v>5</v>
      </c>
      <c r="B9" s="20">
        <v>2</v>
      </c>
      <c r="C9" s="121" t="s">
        <v>171</v>
      </c>
      <c r="D9" s="314" t="str">
        <f>VLOOKUP(C9,Machined!C:X,2,0)</f>
        <v>SINGLE ROLLER BRACKET CLAMP</v>
      </c>
      <c r="E9" s="329"/>
      <c r="F9" s="107" t="str">
        <f>VLOOKUP($C9,Machined!C:Z,13,0)</f>
        <v>1018 COLD ROLLED STEEL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1018 COLD ROLLED STEEL</v>
      </c>
      <c r="J9" s="44">
        <f>IF(VLOOKUP($C9,Machined!C:Z,18,0) = 0, " ", VLOOKUP($C9,Machined!C:Z,18,0))</f>
        <v>45435</v>
      </c>
      <c r="K9" s="44">
        <f>IF(VLOOKUP($C9,Machined!C:Z,19,0) = 0, " ", VLOOKUP($C9,Machined!C:Z,19,0))</f>
        <v>45446</v>
      </c>
      <c r="L9" s="44">
        <f>IF(VLOOKUP($C9,Machined!C:Z,20,0) = 0, " ", VLOOKUP($C9,Machined!C:Z,20,0))</f>
        <v>45481</v>
      </c>
      <c r="M9" s="44">
        <f>IF(VLOOKUP($C9,Machined!C:Z,21,0) = 0, " ", VLOOKUP($C9,Machined!C:Z,21,0))</f>
        <v>45481</v>
      </c>
      <c r="N9" s="129">
        <f>IF(VLOOKUP($C9,Machined!C:Z,22,0) = 0, " ", VLOOKUP($C9,Machined!C:Z,22,0))</f>
        <v>55532</v>
      </c>
      <c r="O9" s="45">
        <f t="shared" ca="1" si="2"/>
        <v>4</v>
      </c>
      <c r="P9" s="49">
        <f>VLOOKUP(C9,Machined!C:F,3,0)</f>
        <v>16.2</v>
      </c>
      <c r="Q9" s="50">
        <f t="shared" si="3"/>
        <v>32.4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2</v>
      </c>
      <c r="C11" s="135" t="s">
        <v>173</v>
      </c>
      <c r="D11" s="325" t="str">
        <f>VLOOKUP(C11,Purchased!A:B,2,0)</f>
        <v>0.75in ID 1.75 OD sealed ball bearing with shaft collar</v>
      </c>
      <c r="E11" s="326"/>
      <c r="F11" s="108" t="str">
        <f>IF(VLOOKUP($C11,Purchased!A:Z,11,0) = 0, " ", VLOOKUP($C11,Purchased!A:Z,11,0))</f>
        <v>Quality Brg</v>
      </c>
      <c r="G11" s="108" t="str">
        <f>IF(VLOOKUP($C11,Purchased!A:Z,12,0)=0, " ", VLOOKUP($C11,Purchased!A:Z,12,0))</f>
        <v>Quality Brg</v>
      </c>
      <c r="H11" s="327" t="str">
        <f>IF(VLOOKUP($C11,Purchased!A:Z,13,0)=0, " ", VLOOKUP($C11,Purchased!A:Z,13,0))</f>
        <v>Have 29 in stock - JP 6/6/24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45448</v>
      </c>
      <c r="M11" s="46">
        <f>IF(VLOOKUP(C11,Purchased!A:R,16,0)=0, " ",VLOOKUP(C11,Purchased!A:R,16,0))</f>
        <v>45478</v>
      </c>
      <c r="N11" s="130">
        <f>IF(VLOOKUP(C11,Purchased!A:R,17,0)=0, " ", VLOOKUP(C11,Purchased!A:R,17,0))</f>
        <v>45478</v>
      </c>
      <c r="O11" s="47">
        <f t="shared" ref="O11" ca="1" si="4">B11*$L$2</f>
        <v>4</v>
      </c>
      <c r="P11" s="51">
        <f>VLOOKUP(C11,Purchased!A:D,3,FALSE)</f>
        <v>0</v>
      </c>
      <c r="Q11" s="52">
        <f t="shared" ref="Q11" si="5">B11*P11</f>
        <v>0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4</v>
      </c>
      <c r="C13" s="122" t="s">
        <v>108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8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4</v>
      </c>
      <c r="C14" s="122" t="s">
        <v>174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8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thickBot="1" x14ac:dyDescent="0.3">
      <c r="A15" s="4">
        <v>503</v>
      </c>
      <c r="B15" s="2">
        <v>4</v>
      </c>
      <c r="C15" s="122" t="s">
        <v>269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8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240.17000000000002</v>
      </c>
    </row>
    <row r="17" spans="4:5" s="2" customFormat="1" ht="12" customHeight="1" x14ac:dyDescent="0.2">
      <c r="D17" s="21"/>
      <c r="E17" s="21"/>
    </row>
  </sheetData>
  <sheetProtection selectLockedCells="1"/>
  <mergeCells count="24">
    <mergeCell ref="D16:E16"/>
    <mergeCell ref="H16:I16"/>
    <mergeCell ref="D13:E13"/>
    <mergeCell ref="D15:E15"/>
    <mergeCell ref="D14:E14"/>
    <mergeCell ref="D12:E12"/>
    <mergeCell ref="H12:I12"/>
    <mergeCell ref="D9:E9"/>
    <mergeCell ref="H9:I9"/>
    <mergeCell ref="D10:E10"/>
    <mergeCell ref="H10:I10"/>
    <mergeCell ref="D11:E11"/>
    <mergeCell ref="H11:I11"/>
    <mergeCell ref="D8:E8"/>
    <mergeCell ref="H8:I8"/>
    <mergeCell ref="D1:E1"/>
    <mergeCell ref="D4:E4"/>
    <mergeCell ref="H4:I4"/>
    <mergeCell ref="D5:E5"/>
    <mergeCell ref="H5:I5"/>
    <mergeCell ref="D6:E6"/>
    <mergeCell ref="H6:I6"/>
    <mergeCell ref="D7:E7"/>
    <mergeCell ref="H7:I7"/>
  </mergeCells>
  <phoneticPr fontId="8" type="noConversion"/>
  <conditionalFormatting sqref="M10 M12:M15">
    <cfRule type="cellIs" dxfId="1958" priority="3" stopIfTrue="1" operator="lessThanOrEqual">
      <formula>$L10</formula>
    </cfRule>
    <cfRule type="cellIs" dxfId="1957" priority="4" operator="greaterThan">
      <formula>L10</formula>
    </cfRule>
  </conditionalFormatting>
  <conditionalFormatting sqref="M11">
    <cfRule type="cellIs" dxfId="1956" priority="1" stopIfTrue="1" operator="lessThanOrEqual">
      <formula>$L11</formula>
    </cfRule>
    <cfRule type="cellIs" dxfId="1955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CAA9FE-3713-46F4-80D7-26FA3C0A9C91}">
          <x14:formula1>
            <xm:f>Bolts!$A:$A</xm:f>
          </x14:formula1>
          <xm:sqref>C13:C15</xm:sqref>
        </x14:dataValidation>
        <x14:dataValidation type="list" allowBlank="1" showInputMessage="1" showErrorMessage="1" xr:uid="{F812C9DA-31B9-4EED-8637-0AA17DF92CF6}">
          <x14:formula1>
            <xm:f>Machined!$C:$C</xm:f>
          </x14:formula1>
          <xm:sqref>C5:C9</xm:sqref>
        </x14:dataValidation>
        <x14:dataValidation type="list" allowBlank="1" showInputMessage="1" showErrorMessage="1" xr:uid="{50B57075-A485-4FDE-945A-AD594B9F64AD}">
          <x14:formula1>
            <xm:f>Purchased!$A:$A</xm:f>
          </x14:formula1>
          <xm:sqref>C11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6E718-3364-4D72-823F-1B0B01C731A9}">
  <sheetPr codeName="Sheet40">
    <tabColor theme="6" tint="0.59999389629810485"/>
    <pageSetUpPr fitToPage="1"/>
  </sheetPr>
  <dimension ref="A1:Q16"/>
  <sheetViews>
    <sheetView zoomScale="115" zoomScaleNormal="115" workbookViewId="0">
      <selection sqref="A1:O3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'1.2'!C7</f>
        <v>PG10.1.2.3.0.A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'1.2'!D7</f>
        <v>Unwind Laser Assy</v>
      </c>
      <c r="D3" s="85" t="s">
        <v>50</v>
      </c>
      <c r="E3" s="86" t="str">
        <f ca="1">MID(CELL("filename",A1),FIND("]",CELL("filename",A1))+1,256)</f>
        <v>1.2.3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271</v>
      </c>
      <c r="D5" s="314" t="str">
        <f>VLOOKUP(C5,Machined!C:X,2,0)</f>
        <v>Laser Sensor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2</v>
      </c>
      <c r="P5" s="49">
        <f>VLOOKUP(C5,Machined!C:F,3,0)</f>
        <v>85</v>
      </c>
      <c r="Q5" s="50">
        <f>B5*P5</f>
        <v>85</v>
      </c>
    </row>
    <row r="6" spans="1:17" s="2" customFormat="1" ht="12.75" customHeight="1" x14ac:dyDescent="0.25">
      <c r="A6" s="77">
        <v>2</v>
      </c>
      <c r="B6" s="20">
        <v>1</v>
      </c>
      <c r="C6" s="121" t="s">
        <v>272</v>
      </c>
      <c r="D6" s="314" t="str">
        <f>VLOOKUP(C6,Machined!C:X,2,0)</f>
        <v>Laser Sensor Mount Block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Big Sky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45434</v>
      </c>
      <c r="K6" s="44">
        <f>IF(VLOOKUP($C6,Machined!C:Z,19,0) = 0, " ", VLOOKUP($C6,Machined!C:Z,19,0))</f>
        <v>45435</v>
      </c>
      <c r="L6" s="44">
        <f>IF(VLOOKUP($C6,Machined!C:Z,20,0) = 0, " ", VLOOKUP($C6,Machined!C:Z,20,0))</f>
        <v>45467</v>
      </c>
      <c r="M6" s="44">
        <f>IF(VLOOKUP($C6,Machined!C:Z,21,0) = 0, " ", VLOOKUP($C6,Machined!C:Z,21,0))</f>
        <v>45467</v>
      </c>
      <c r="N6" s="129">
        <f>IF(VLOOKUP($C6,Machined!C:Z,22,0) = 0, " ", VLOOKUP($C6,Machined!C:Z,22,0))</f>
        <v>55523</v>
      </c>
      <c r="O6" s="45">
        <f t="shared" ref="O6" ca="1" si="0">B6*$L$2</f>
        <v>2</v>
      </c>
      <c r="P6" s="49">
        <f>VLOOKUP(C6,Machined!C:F,3,0)</f>
        <v>68</v>
      </c>
      <c r="Q6" s="50">
        <f t="shared" ref="Q6" si="1">B6*P6</f>
        <v>68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4">
        <v>301</v>
      </c>
      <c r="B8" s="2">
        <v>1</v>
      </c>
      <c r="C8" s="135" t="s">
        <v>273</v>
      </c>
      <c r="D8" s="325" t="str">
        <f>VLOOKUP(C8,Purchased!A:B,2,0)</f>
        <v>Keyence Detection distance 5 m, Cable with connector M12, Laser Class 2</v>
      </c>
      <c r="E8" s="326"/>
      <c r="F8" s="108" t="str">
        <f>IF(VLOOKUP($C8,Purchased!A:Z,11,0) = 0, " ", VLOOKUP($C8,Purchased!A:Z,11,0))</f>
        <v>KEYENCE</v>
      </c>
      <c r="G8" s="108" t="str">
        <f>IF(VLOOKUP($C8,Purchased!A:Z,12,0)=0, " ", VLOOKUP($C8,Purchased!A:Z,12,0))</f>
        <v>KEYENCE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45516</v>
      </c>
      <c r="K8" s="46">
        <f>IF(VLOOKUP(C8,Purchased!A:R,14,0)=0, " ", VLOOKUP(C8,Purchased!A:R,14,0))</f>
        <v>45516</v>
      </c>
      <c r="L8" s="46">
        <f>IF(VLOOKUP(C8,Purchased!A:R,15,0)=0, " ", VLOOKUP(C8,Purchased!A:R,15,0))</f>
        <v>45518</v>
      </c>
      <c r="M8" s="46">
        <f>IF(VLOOKUP(C8,Purchased!A:R,16,0)=0, " ",VLOOKUP(C8,Purchased!A:R,16,0))</f>
        <v>45526</v>
      </c>
      <c r="N8" s="130">
        <f>IF(VLOOKUP(C8,Purchased!A:R,17,0)=0, " ", VLOOKUP(C8,Purchased!A:R,17,0))</f>
        <v>45526</v>
      </c>
      <c r="O8" s="47">
        <f t="shared" ref="O8" ca="1" si="2">B8*$L$2</f>
        <v>2</v>
      </c>
      <c r="P8" s="51">
        <f>VLOOKUP(C8,Purchased!A:D,3,FALSE)</f>
        <v>580</v>
      </c>
      <c r="Q8" s="52">
        <f t="shared" ref="Q8" si="3">B8*P8</f>
        <v>580</v>
      </c>
    </row>
    <row r="9" spans="1:17" s="2" customFormat="1" ht="12.75" customHeight="1" x14ac:dyDescent="0.25">
      <c r="A9" s="4">
        <v>301</v>
      </c>
      <c r="B9" s="2">
        <v>1</v>
      </c>
      <c r="C9" s="135" t="s">
        <v>106</v>
      </c>
      <c r="D9" s="325" t="str">
        <f>VLOOKUP(C9,Purchased!A:B,2,0)</f>
        <v>M12 female 0° A-cod. with cable, PVC 4x0.34 bk UL/CSA 5m</v>
      </c>
      <c r="E9" s="326"/>
      <c r="F9" s="108" t="str">
        <f>IF(VLOOKUP($C9,Purchased!A:Z,11,0) = 0, " ", VLOOKUP($C9,Purchased!A:Z,11,0))</f>
        <v>MURR</v>
      </c>
      <c r="G9" s="108" t="str">
        <f>IF(VLOOKUP($C9,Purchased!A:Z,12,0)=0, " ", VLOOKUP($C9,Purchased!A:Z,12,0))</f>
        <v>MURR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45506</v>
      </c>
      <c r="K9" s="46">
        <f>IF(VLOOKUP(C9,Purchased!A:R,14,0)=0, " ", VLOOKUP(C9,Purchased!A:R,14,0))</f>
        <v>45506</v>
      </c>
      <c r="L9" s="46" t="str">
        <f>IF(VLOOKUP(C9,Purchased!A:R,15,0)=0, " ", VLOOKUP(C9,Purchased!A:R,15,0))</f>
        <v xml:space="preserve"> 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ca="1">B9*$L$2</f>
        <v>2</v>
      </c>
      <c r="P9" s="51">
        <f>VLOOKUP(C9,Purchased!A:D,3,FALSE)</f>
        <v>0</v>
      </c>
      <c r="Q9" s="52">
        <f>B9*P9</f>
        <v>0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501</v>
      </c>
      <c r="B11" s="2">
        <v>2</v>
      </c>
      <c r="C11" s="122" t="s">
        <v>274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4</v>
      </c>
      <c r="P11" s="51">
        <f>VLOOKUP(C11,Bolts!A:B,2,FALSE)</f>
        <v>0</v>
      </c>
      <c r="Q11" s="52">
        <f>B11*P11</f>
        <v>0</v>
      </c>
    </row>
    <row r="12" spans="1:17" s="2" customFormat="1" ht="12.75" customHeight="1" x14ac:dyDescent="0.25">
      <c r="A12" s="4">
        <v>502</v>
      </c>
      <c r="B12" s="2">
        <v>2</v>
      </c>
      <c r="C12" s="122" t="s">
        <v>275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4</v>
      </c>
      <c r="P12" s="51">
        <f>VLOOKUP(C12,Bolts!A:B,2,FALSE)</f>
        <v>0</v>
      </c>
      <c r="Q12" s="52">
        <f>B12*P12</f>
        <v>0</v>
      </c>
    </row>
    <row r="13" spans="1:17" s="2" customFormat="1" ht="12.75" customHeight="1" x14ac:dyDescent="0.25">
      <c r="A13" s="4">
        <v>503</v>
      </c>
      <c r="B13" s="2">
        <v>2</v>
      </c>
      <c r="C13" s="122" t="s">
        <v>276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4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thickBot="1" x14ac:dyDescent="0.3">
      <c r="A14" s="4">
        <v>504</v>
      </c>
      <c r="B14" s="2">
        <v>4</v>
      </c>
      <c r="C14" s="122" t="s">
        <v>277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8</v>
      </c>
      <c r="P14" s="51">
        <f>VLOOKUP(C14,Bolts!A:B,2,FALSE)</f>
        <v>0</v>
      </c>
      <c r="Q14" s="52">
        <f>B14*P14</f>
        <v>0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733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sheetProtection selectLockedCells="1"/>
  <mergeCells count="21">
    <mergeCell ref="D15:E15"/>
    <mergeCell ref="H15:I15"/>
    <mergeCell ref="D13:E13"/>
    <mergeCell ref="D14:E14"/>
    <mergeCell ref="D12:E12"/>
    <mergeCell ref="D11:E11"/>
    <mergeCell ref="D10:E10"/>
    <mergeCell ref="H10:I10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7 M10:M14">
    <cfRule type="cellIs" dxfId="1954" priority="5" stopIfTrue="1" operator="lessThanOrEqual">
      <formula>$L7</formula>
    </cfRule>
    <cfRule type="cellIs" dxfId="1953" priority="6" operator="greaterThan">
      <formula>L7</formula>
    </cfRule>
  </conditionalFormatting>
  <conditionalFormatting sqref="M8">
    <cfRule type="cellIs" dxfId="1952" priority="3" stopIfTrue="1" operator="lessThanOrEqual">
      <formula>$L8</formula>
    </cfRule>
    <cfRule type="cellIs" dxfId="1951" priority="4" operator="greaterThan">
      <formula>L8</formula>
    </cfRule>
  </conditionalFormatting>
  <conditionalFormatting sqref="M9">
    <cfRule type="cellIs" dxfId="1950" priority="1" stopIfTrue="1" operator="lessThanOrEqual">
      <formula>$L9</formula>
    </cfRule>
    <cfRule type="cellIs" dxfId="1949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E3000FD-7CE7-4A71-8747-3DEC1ECB61BE}">
          <x14:formula1>
            <xm:f>Bolts!$A:$A</xm:f>
          </x14:formula1>
          <xm:sqref>C11:C14</xm:sqref>
        </x14:dataValidation>
        <x14:dataValidation type="list" allowBlank="1" showInputMessage="1" showErrorMessage="1" xr:uid="{AEB1ED38-E187-47EB-A073-0708EF5FB736}">
          <x14:formula1>
            <xm:f>Machined!$C:$C</xm:f>
          </x14:formula1>
          <xm:sqref>C5:C6</xm:sqref>
        </x14:dataValidation>
        <x14:dataValidation type="list" allowBlank="1" showInputMessage="1" showErrorMessage="1" xr:uid="{93101F35-C959-4709-8D65-186BDE86151F}">
          <x14:formula1>
            <xm:f>Purchased!$A:$A</xm:f>
          </x14:formula1>
          <xm:sqref>C8:C9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22A88-AF1D-4CF3-BA44-E4E6C12C56C0}">
  <sheetPr codeName="Sheet41">
    <tabColor theme="9" tint="0.59999389629810485"/>
  </sheetPr>
  <dimension ref="A1:Q54"/>
  <sheetViews>
    <sheetView zoomScale="114" zoomScaleNormal="115" workbookViewId="0">
      <selection sqref="A1:O5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'1'!C7</f>
        <v>PG10.1.3.0.A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'1'!D7</f>
        <v>Solid Nip Assy</v>
      </c>
      <c r="D3" s="85" t="s">
        <v>50</v>
      </c>
      <c r="E3" s="86" t="str">
        <f ca="1">MID(CELL("filename",A1),FIND("]",CELL("filename",A1))+1,256)</f>
        <v>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278</v>
      </c>
      <c r="D5" s="336" t="str">
        <f ca="1">VLOOKUP(C5,Assemblies!E:P,2,0)</f>
        <v>Solid Driven Nip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6" ca="1" si="0">B5*$L$2</f>
        <v>2</v>
      </c>
      <c r="P5" s="117">
        <f>'1.3.1'!Q11</f>
        <v>2204.614</v>
      </c>
      <c r="Q5" s="118">
        <f t="shared" ref="Q5:Q6" si="1">B5*P5</f>
        <v>2204.614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279</v>
      </c>
      <c r="D6" s="314" t="str">
        <f ca="1">VLOOKUP(C6,Assemblies!E:P,2,0)</f>
        <v>Servo Assembly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2</v>
      </c>
      <c r="P6" s="147">
        <f>'1.3.2'!Q16</f>
        <v>3922.4009000000001</v>
      </c>
      <c r="Q6" s="103">
        <f t="shared" si="1"/>
        <v>3922.4009000000001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280</v>
      </c>
      <c r="D7" s="314" t="str">
        <f ca="1">VLOOKUP(C7,Assemblies!E:P,2,0)</f>
        <v>Solid Idler Nip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ref="O7" ca="1" si="2">B7*$L$2</f>
        <v>2</v>
      </c>
      <c r="P7" s="147">
        <f>'1.3.4'!Q6</f>
        <v>1935</v>
      </c>
      <c r="Q7" s="103">
        <f t="shared" ref="Q7" si="3">B7*P7</f>
        <v>1935</v>
      </c>
    </row>
    <row r="8" spans="1:17" s="1" customFormat="1" ht="12.75" customHeight="1" x14ac:dyDescent="0.2">
      <c r="A8" s="150" t="s">
        <v>60</v>
      </c>
      <c r="B8" s="1">
        <v>1</v>
      </c>
      <c r="C8" s="145" t="s">
        <v>281</v>
      </c>
      <c r="D8" s="314" t="str">
        <f ca="1">VLOOKUP(C8,Assemblies!E:P,2,0)</f>
        <v>Nip Speed Controller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ref="O8" ca="1" si="4">B8*$L$2</f>
        <v>2</v>
      </c>
      <c r="P8" s="147">
        <f>'1.3.5'!Q14</f>
        <v>99.86</v>
      </c>
      <c r="Q8" s="103">
        <f t="shared" ref="Q8" si="5">B8*P8</f>
        <v>99.86</v>
      </c>
    </row>
    <row r="9" spans="1:17" s="1" customFormat="1" ht="12.75" customHeight="1" x14ac:dyDescent="0.2">
      <c r="A9" s="150" t="s">
        <v>62</v>
      </c>
      <c r="B9" s="1">
        <v>1</v>
      </c>
      <c r="C9" s="145" t="s">
        <v>282</v>
      </c>
      <c r="D9" s="314" t="str">
        <f ca="1">VLOOKUP(C9,Assemblies!E:P,2,0)</f>
        <v>Nip Mech Regulator Assy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ref="O9:O10" ca="1" si="6">B9*$L$2</f>
        <v>2</v>
      </c>
      <c r="P9" s="147">
        <f>'1.3.6'!Q10</f>
        <v>24.909999999999997</v>
      </c>
      <c r="Q9" s="103">
        <f t="shared" ref="Q9:Q10" si="7">B9*P9</f>
        <v>24.909999999999997</v>
      </c>
    </row>
    <row r="10" spans="1:17" s="1" customFormat="1" ht="12.75" customHeight="1" x14ac:dyDescent="0.2">
      <c r="A10" s="150" t="s">
        <v>64</v>
      </c>
      <c r="B10" s="1">
        <v>2</v>
      </c>
      <c r="C10" s="145" t="s">
        <v>283</v>
      </c>
      <c r="D10" s="314" t="str">
        <f ca="1">VLOOKUP(C10,Assemblies!E:P,2,0)</f>
        <v>PMA Clamp Size 17 Assy</v>
      </c>
      <c r="E10" s="315"/>
      <c r="F10" s="32"/>
      <c r="G10" s="32"/>
      <c r="H10" s="32"/>
      <c r="I10" s="32"/>
      <c r="J10" s="28"/>
      <c r="K10" s="28"/>
      <c r="L10" s="28"/>
      <c r="M10" s="28"/>
      <c r="N10" s="33"/>
      <c r="O10" s="146">
        <f t="shared" ca="1" si="6"/>
        <v>4</v>
      </c>
      <c r="P10" s="147">
        <f>'1.3.7'!Q12</f>
        <v>3.31</v>
      </c>
      <c r="Q10" s="103">
        <f t="shared" si="7"/>
        <v>6.62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77">
        <v>1</v>
      </c>
      <c r="B12" s="20">
        <v>2</v>
      </c>
      <c r="C12" s="121" t="s">
        <v>284</v>
      </c>
      <c r="D12" s="314" t="str">
        <f>VLOOKUP(C12,Machined!C:X,2,0)</f>
        <v>UW Nip Side Plate</v>
      </c>
      <c r="E12" s="329"/>
      <c r="F12" s="107" t="str">
        <f>VLOOKUP($C12,Machined!C:Z,13,0)</f>
        <v>MIC-6 CAST ALUMINUM</v>
      </c>
      <c r="G12" s="44" t="str">
        <f>IF(VLOOKUP($C12,Machined!C:Z,16,0) = 0, " ", VLOOKUP($C12,Machined!C:Z,16,0))</f>
        <v>3J INC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MIC-6 CAST ALUMINUM</v>
      </c>
      <c r="J12" s="44">
        <f>IF(VLOOKUP($C12,Machined!C:Z,18,0) = 0, " ", VLOOKUP($C12,Machined!C:Z,18,0))</f>
        <v>45435</v>
      </c>
      <c r="K12" s="44">
        <f>IF(VLOOKUP($C12,Machined!C:Z,19,0) = 0, " ", VLOOKUP($C12,Machined!C:Z,19,0))</f>
        <v>45448</v>
      </c>
      <c r="L12" s="44">
        <f>IF(VLOOKUP($C12,Machined!C:Z,20,0) = 0, " ", VLOOKUP($C12,Machined!C:Z,20,0))</f>
        <v>45504</v>
      </c>
      <c r="M12" s="44">
        <f>IF(VLOOKUP($C12,Machined!C:Z,21,0) = 0, " ", VLOOKUP($C12,Machined!C:Z,21,0))</f>
        <v>45504</v>
      </c>
      <c r="N12" s="129">
        <f>IF(VLOOKUP($C12,Machined!C:Z,22,0) = 0, " ", VLOOKUP($C12,Machined!C:Z,22,0))</f>
        <v>55540</v>
      </c>
      <c r="O12" s="45">
        <f ca="1">B12*$L$2</f>
        <v>4</v>
      </c>
      <c r="P12" s="49">
        <f>VLOOKUP(C12,Machined!C:F,3,0)</f>
        <v>473.37</v>
      </c>
      <c r="Q12" s="50">
        <f>B12*P12</f>
        <v>946.74</v>
      </c>
    </row>
    <row r="13" spans="1:17" s="2" customFormat="1" ht="12.75" customHeight="1" x14ac:dyDescent="0.25">
      <c r="A13" s="77">
        <v>2</v>
      </c>
      <c r="B13" s="20">
        <v>2</v>
      </c>
      <c r="C13" s="121" t="s">
        <v>285</v>
      </c>
      <c r="D13" s="314" t="str">
        <f>VLOOKUP(C13,Machined!C:X,2,0)</f>
        <v>Nip Support Bar</v>
      </c>
      <c r="E13" s="329"/>
      <c r="F13" s="107" t="str">
        <f>VLOOKUP($C13,Machined!C:Z,13,0)</f>
        <v>6061-T6 ALUMINUM</v>
      </c>
      <c r="G13" s="44" t="str">
        <f>IF(VLOOKUP($C13,Machined!C:Z,16,0) = 0, " ", VLOOKUP($C13,Machined!C:Z,16,0))</f>
        <v>3J INC</v>
      </c>
      <c r="H13" s="320" t="str">
        <f>IF(VLOOKUP($C13,Machined!C:Z,17,0) = 0, " ", VLOOKUP($C13,Machined!C:Z,17,0))</f>
        <v>1 Extra Shipped</v>
      </c>
      <c r="I13" s="321" t="str">
        <f>IF(VLOOKUP($C13,Machined!$C:$Y,13,0) = 0, " ", VLOOKUP($C13,Machined!$C:$Y,13,0))</f>
        <v>6061-T6 ALUMINUM</v>
      </c>
      <c r="J13" s="44">
        <f>IF(VLOOKUP($C13,Machined!C:Z,18,0) = 0, " ", VLOOKUP($C13,Machined!C:Z,18,0))</f>
        <v>45435</v>
      </c>
      <c r="K13" s="44">
        <f>IF(VLOOKUP($C13,Machined!C:Z,19,0) = 0, " ", VLOOKUP($C13,Machined!C:Z,19,0))</f>
        <v>45448</v>
      </c>
      <c r="L13" s="44">
        <f>IF(VLOOKUP($C13,Machined!C:Z,20,0) = 0, " ", VLOOKUP($C13,Machined!C:Z,20,0))</f>
        <v>45504</v>
      </c>
      <c r="M13" s="44">
        <f>IF(VLOOKUP($C13,Machined!C:Z,21,0) = 0, " ", VLOOKUP($C13,Machined!C:Z,21,0))</f>
        <v>45504</v>
      </c>
      <c r="N13" s="129">
        <f>IF(VLOOKUP($C13,Machined!C:Z,22,0) = 0, " ", VLOOKUP($C13,Machined!C:Z,22,0))</f>
        <v>55540</v>
      </c>
      <c r="O13" s="45">
        <f t="shared" ref="O13:O14" ca="1" si="8">B13*$L$2</f>
        <v>4</v>
      </c>
      <c r="P13" s="49">
        <f>VLOOKUP(C13,Machined!C:F,3,0)</f>
        <v>235.65</v>
      </c>
      <c r="Q13" s="50">
        <f t="shared" ref="Q13:Q14" si="9">B13*P13</f>
        <v>471.3</v>
      </c>
    </row>
    <row r="14" spans="1:17" s="2" customFormat="1" ht="12.75" customHeight="1" x14ac:dyDescent="0.25">
      <c r="A14" s="77">
        <v>3</v>
      </c>
      <c r="B14" s="20">
        <v>2</v>
      </c>
      <c r="C14" s="121" t="s">
        <v>286</v>
      </c>
      <c r="D14" s="314" t="str">
        <f>VLOOKUP(C14,Machined!C:X,2,0)</f>
        <v>Drive Bearing Base</v>
      </c>
      <c r="E14" s="329"/>
      <c r="F14" s="107" t="str">
        <f>VLOOKUP($C14,Machined!C:Z,13,0)</f>
        <v>1018 COLD ROLLED STEEL</v>
      </c>
      <c r="G14" s="44" t="str">
        <f>IF(VLOOKUP($C14,Machined!C:Z,16,0) = 0, " ", VLOOKUP($C14,Machined!C:Z,16,0))</f>
        <v>Big Sky</v>
      </c>
      <c r="H14" s="320" t="str">
        <f>IF(VLOOKUP($C14,Machined!C:Z,17,0) = 0, " ", VLOOKUP($C14,Machined!C:Z,17,0))</f>
        <v xml:space="preserve"> </v>
      </c>
      <c r="I14" s="321" t="str">
        <f>IF(VLOOKUP($C14,Machined!$C:$Y,13,0) = 0, " ", VLOOKUP($C14,Machined!$C:$Y,13,0))</f>
        <v>1018 COLD ROLLED STEEL</v>
      </c>
      <c r="J14" s="44">
        <f>IF(VLOOKUP($C14,Machined!C:Z,18,0) = 0, " ", VLOOKUP($C14,Machined!C:Z,18,0))</f>
        <v>45434</v>
      </c>
      <c r="K14" s="44">
        <f>IF(VLOOKUP($C14,Machined!C:Z,19,0) = 0, " ", VLOOKUP($C14,Machined!C:Z,19,0))</f>
        <v>45435</v>
      </c>
      <c r="L14" s="44">
        <f>IF(VLOOKUP($C14,Machined!C:Z,20,0) = 0, " ", VLOOKUP($C14,Machined!C:Z,20,0))</f>
        <v>45467</v>
      </c>
      <c r="M14" s="44">
        <f>IF(VLOOKUP($C14,Machined!C:Z,21,0) = 0, " ", VLOOKUP($C14,Machined!C:Z,21,0))</f>
        <v>45467</v>
      </c>
      <c r="N14" s="129">
        <f>IF(VLOOKUP($C14,Machined!C:Z,22,0) = 0, " ", VLOOKUP($C14,Machined!C:Z,22,0))</f>
        <v>55523</v>
      </c>
      <c r="O14" s="45">
        <f t="shared" ca="1" si="8"/>
        <v>4</v>
      </c>
      <c r="P14" s="49">
        <f>VLOOKUP(C14,Machined!C:F,3,0)</f>
        <v>128.5</v>
      </c>
      <c r="Q14" s="50">
        <f t="shared" si="9"/>
        <v>257</v>
      </c>
    </row>
    <row r="15" spans="1:17" s="2" customFormat="1" ht="12.75" customHeight="1" x14ac:dyDescent="0.25">
      <c r="A15" s="77">
        <v>4</v>
      </c>
      <c r="B15" s="20">
        <v>2</v>
      </c>
      <c r="C15" s="121" t="s">
        <v>287</v>
      </c>
      <c r="D15" s="314" t="str">
        <f>VLOOKUP(C15,Machined!C:X,2,0)</f>
        <v>Drive Bearing Cap</v>
      </c>
      <c r="E15" s="329"/>
      <c r="F15" s="107" t="str">
        <f>VLOOKUP($C15,Machined!C:Z,13,0)</f>
        <v>1018 COLD ROLLED STEEL</v>
      </c>
      <c r="G15" s="44" t="str">
        <f>IF(VLOOKUP($C15,Machined!C:Z,16,0) = 0, " ", VLOOKUP($C15,Machined!C:Z,16,0))</f>
        <v>Big Sky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1018 COLD ROLLED STEEL</v>
      </c>
      <c r="J15" s="44">
        <f>IF(VLOOKUP($C15,Machined!C:Z,18,0) = 0, " ", VLOOKUP($C15,Machined!C:Z,18,0))</f>
        <v>45434</v>
      </c>
      <c r="K15" s="44">
        <f>IF(VLOOKUP($C15,Machined!C:Z,19,0) = 0, " ", VLOOKUP($C15,Machined!C:Z,19,0))</f>
        <v>45435</v>
      </c>
      <c r="L15" s="44">
        <f>IF(VLOOKUP($C15,Machined!C:Z,20,0) = 0, " ", VLOOKUP($C15,Machined!C:Z,20,0))</f>
        <v>45467</v>
      </c>
      <c r="M15" s="44">
        <f>IF(VLOOKUP($C15,Machined!C:Z,21,0) = 0, " ", VLOOKUP($C15,Machined!C:Z,21,0))</f>
        <v>45467</v>
      </c>
      <c r="N15" s="129">
        <f>IF(VLOOKUP($C15,Machined!C:Z,22,0) = 0, " ", VLOOKUP($C15,Machined!C:Z,22,0))</f>
        <v>55523</v>
      </c>
      <c r="O15" s="45">
        <f ca="1">B15*$L$2</f>
        <v>4</v>
      </c>
      <c r="P15" s="49">
        <f>VLOOKUP(C15,Machined!C:F,3,0)</f>
        <v>122.5</v>
      </c>
      <c r="Q15" s="50">
        <f>B15*P15</f>
        <v>245</v>
      </c>
    </row>
    <row r="16" spans="1:17" s="2" customFormat="1" ht="12.75" customHeight="1" x14ac:dyDescent="0.25">
      <c r="A16" s="77">
        <v>5</v>
      </c>
      <c r="B16" s="20">
        <v>2</v>
      </c>
      <c r="C16" s="121" t="s">
        <v>288</v>
      </c>
      <c r="D16" s="314" t="str">
        <f>VLOOKUP(C16,Machined!C:X,2,0)</f>
        <v>IDLER BEARING MOUNT</v>
      </c>
      <c r="E16" s="329"/>
      <c r="F16" s="107" t="str">
        <f>VLOOKUP($C16,Machined!C:Z,13,0)</f>
        <v>1018 COLD ROLLED STEEL</v>
      </c>
      <c r="G16" s="44" t="str">
        <f>IF(VLOOKUP($C16,Machined!C:Z,16,0) = 0, " ", VLOOKUP($C16,Machined!C:Z,16,0))</f>
        <v>Frontier Mach</v>
      </c>
      <c r="H16" s="320" t="str">
        <f>IF(VLOOKUP($C16,Machined!C:Z,17,0) = 0, " ", VLOOKUP($C16,Machined!C:Z,17,0))</f>
        <v xml:space="preserve"> </v>
      </c>
      <c r="I16" s="321" t="str">
        <f>IF(VLOOKUP($C16,Machined!$C:$Y,13,0) = 0, " ", VLOOKUP($C16,Machined!$C:$Y,13,0))</f>
        <v>1018 COLD ROLLED STEEL</v>
      </c>
      <c r="J16" s="44">
        <f>IF(VLOOKUP($C16,Machined!C:Z,18,0) = 0, " ", VLOOKUP($C16,Machined!C:Z,18,0))</f>
        <v>45435</v>
      </c>
      <c r="K16" s="44">
        <f>IF(VLOOKUP($C16,Machined!C:Z,19,0) = 0, " ", VLOOKUP($C16,Machined!C:Z,19,0))</f>
        <v>45446</v>
      </c>
      <c r="L16" s="44">
        <f>IF(VLOOKUP($C16,Machined!C:Z,20,0) = 0, " ", VLOOKUP($C16,Machined!C:Z,20,0))</f>
        <v>45481</v>
      </c>
      <c r="M16" s="44">
        <f>IF(VLOOKUP($C16,Machined!C:Z,21,0) = 0, " ", VLOOKUP($C16,Machined!C:Z,21,0))</f>
        <v>45481</v>
      </c>
      <c r="N16" s="129">
        <f>IF(VLOOKUP($C16,Machined!C:Z,22,0) = 0, " ", VLOOKUP($C16,Machined!C:Z,22,0))</f>
        <v>55532</v>
      </c>
      <c r="O16" s="45">
        <f t="shared" ref="O16:O17" ca="1" si="10">B16*$L$2</f>
        <v>4</v>
      </c>
      <c r="P16" s="49">
        <f>VLOOKUP(C16,Machined!C:F,3,0)</f>
        <v>257.7</v>
      </c>
      <c r="Q16" s="50">
        <f t="shared" ref="Q16:Q17" si="11">B16*P16</f>
        <v>515.4</v>
      </c>
    </row>
    <row r="17" spans="1:17" s="2" customFormat="1" ht="12.75" customHeight="1" x14ac:dyDescent="0.25">
      <c r="A17" s="77">
        <v>6</v>
      </c>
      <c r="B17" s="20">
        <v>2</v>
      </c>
      <c r="C17" s="121" t="s">
        <v>289</v>
      </c>
      <c r="D17" s="314" t="str">
        <f>VLOOKUP(C17,Machined!C:X,2,0)</f>
        <v>Cylinder Mount Plate</v>
      </c>
      <c r="E17" s="329"/>
      <c r="F17" s="107" t="str">
        <f>VLOOKUP($C17,Machined!C:Z,13,0)</f>
        <v>1018 COLD ROLLED STEEL</v>
      </c>
      <c r="G17" s="44" t="str">
        <f>IF(VLOOKUP($C17,Machined!C:Z,16,0) = 0, " ", VLOOKUP($C17,Machined!C:Z,16,0))</f>
        <v>Frontier Mach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1018 COLD ROLLED STEEL</v>
      </c>
      <c r="J17" s="44">
        <f>IF(VLOOKUP($C17,Machined!C:Z,18,0) = 0, " ", VLOOKUP($C17,Machined!C:Z,18,0))</f>
        <v>45435</v>
      </c>
      <c r="K17" s="44">
        <f>IF(VLOOKUP($C17,Machined!C:Z,19,0) = 0, " ", VLOOKUP($C17,Machined!C:Z,19,0))</f>
        <v>45446</v>
      </c>
      <c r="L17" s="44">
        <f>IF(VLOOKUP($C17,Machined!C:Z,20,0) = 0, " ", VLOOKUP($C17,Machined!C:Z,20,0))</f>
        <v>45481</v>
      </c>
      <c r="M17" s="44">
        <f>IF(VLOOKUP($C17,Machined!C:Z,21,0) = 0, " ", VLOOKUP($C17,Machined!C:Z,21,0))</f>
        <v>45481</v>
      </c>
      <c r="N17" s="129">
        <f>IF(VLOOKUP($C17,Machined!C:Z,22,0) = 0, " ", VLOOKUP($C17,Machined!C:Z,22,0))</f>
        <v>55532</v>
      </c>
      <c r="O17" s="45">
        <f t="shared" ca="1" si="10"/>
        <v>4</v>
      </c>
      <c r="P17" s="49">
        <f>VLOOKUP(C17,Machined!C:F,3,0)</f>
        <v>99.4</v>
      </c>
      <c r="Q17" s="50">
        <f t="shared" si="11"/>
        <v>198.8</v>
      </c>
    </row>
    <row r="18" spans="1:17" s="2" customFormat="1" ht="12.75" customHeight="1" x14ac:dyDescent="0.25">
      <c r="A18" s="77">
        <v>7</v>
      </c>
      <c r="B18" s="20">
        <v>1</v>
      </c>
      <c r="C18" s="121" t="s">
        <v>290</v>
      </c>
      <c r="D18" s="314" t="str">
        <f>VLOOKUP(C18,Machined!C:X,2,0)</f>
        <v>Lower Nip Support Strut</v>
      </c>
      <c r="E18" s="329"/>
      <c r="F18" s="107" t="str">
        <f>VLOOKUP($C18,Machined!C:Z,13,0)</f>
        <v>6061-T6 ALUMINUM</v>
      </c>
      <c r="G18" s="44" t="str">
        <f>IF(VLOOKUP($C18,Machined!C:Z,16,0) = 0, " ", VLOOKUP($C18,Machined!C:Z,16,0))</f>
        <v>3J INC</v>
      </c>
      <c r="H18" s="320" t="str">
        <f>IF(VLOOKUP($C18,Machined!C:Z,17,0) = 0, " ", VLOOKUP($C18,Machined!C:Z,17,0))</f>
        <v>1 Extra Shipped</v>
      </c>
      <c r="I18" s="321" t="str">
        <f>IF(VLOOKUP($C18,Machined!$C:$Y,13,0) = 0, " ", VLOOKUP($C18,Machined!$C:$Y,13,0))</f>
        <v>6061-T6 ALUMINUM</v>
      </c>
      <c r="J18" s="44">
        <f>IF(VLOOKUP($C18,Machined!C:Z,18,0) = 0, " ", VLOOKUP($C18,Machined!C:Z,18,0))</f>
        <v>45435</v>
      </c>
      <c r="K18" s="44">
        <f>IF(VLOOKUP($C18,Machined!C:Z,19,0) = 0, " ", VLOOKUP($C18,Machined!C:Z,19,0))</f>
        <v>45448</v>
      </c>
      <c r="L18" s="44">
        <f>IF(VLOOKUP($C18,Machined!C:Z,20,0) = 0, " ", VLOOKUP($C18,Machined!C:Z,20,0))</f>
        <v>45504</v>
      </c>
      <c r="M18" s="44">
        <f>IF(VLOOKUP($C18,Machined!C:Z,21,0) = 0, " ", VLOOKUP($C18,Machined!C:Z,21,0))</f>
        <v>45504</v>
      </c>
      <c r="N18" s="129">
        <f>IF(VLOOKUP($C18,Machined!C:Z,22,0) = 0, " ", VLOOKUP($C18,Machined!C:Z,22,0))</f>
        <v>55540</v>
      </c>
      <c r="O18" s="45">
        <f ca="1">B18*$L$2</f>
        <v>2</v>
      </c>
      <c r="P18" s="49">
        <f>VLOOKUP(C18,Machined!C:F,3,0)</f>
        <v>622.54999999999995</v>
      </c>
      <c r="Q18" s="50">
        <f>B18*P18</f>
        <v>622.54999999999995</v>
      </c>
    </row>
    <row r="19" spans="1:17" s="2" customFormat="1" ht="12.75" customHeight="1" x14ac:dyDescent="0.25">
      <c r="A19" s="77">
        <v>8</v>
      </c>
      <c r="B19" s="20">
        <v>2</v>
      </c>
      <c r="C19" s="121" t="s">
        <v>291</v>
      </c>
      <c r="D19" s="314" t="str">
        <f>VLOOKUP(C19,Machined!C:X,2,0)</f>
        <v>Nip Adjustment Block</v>
      </c>
      <c r="E19" s="329"/>
      <c r="F19" s="107" t="str">
        <f>VLOOKUP($C19,Machined!C:Z,13,0)</f>
        <v>6061-T6 ALUMINUM</v>
      </c>
      <c r="G19" s="44" t="str">
        <f>IF(VLOOKUP($C19,Machined!C:Z,16,0) = 0, " ", VLOOKUP($C19,Machined!C:Z,16,0))</f>
        <v>Frontier Mach</v>
      </c>
      <c r="H19" s="320" t="str">
        <f>IF(VLOOKUP($C19,Machined!C:Z,17,0) = 0, " ", VLOOKUP($C19,Machined!C:Z,17,0))</f>
        <v>5 more on P.O.55571</v>
      </c>
      <c r="I19" s="321" t="str">
        <f>IF(VLOOKUP($C19,Machined!$C:$Y,13,0) = 0, " ", VLOOKUP($C19,Machined!$C:$Y,13,0))</f>
        <v>6061-T6 ALUMINUM</v>
      </c>
      <c r="J19" s="44">
        <f>IF(VLOOKUP($C19,Machined!C:Z,18,0) = 0, " ", VLOOKUP($C19,Machined!C:Z,18,0))</f>
        <v>45435</v>
      </c>
      <c r="K19" s="44">
        <f>IF(VLOOKUP($C19,Machined!C:Z,19,0) = 0, " ", VLOOKUP($C19,Machined!C:Z,19,0))</f>
        <v>45446</v>
      </c>
      <c r="L19" s="44">
        <f>IF(VLOOKUP($C19,Machined!C:Z,20,0) = 0, " ", VLOOKUP($C19,Machined!C:Z,20,0))</f>
        <v>45481</v>
      </c>
      <c r="M19" s="44">
        <f>IF(VLOOKUP($C19,Machined!C:Z,21,0) = 0, " ", VLOOKUP($C19,Machined!C:Z,21,0))</f>
        <v>45481</v>
      </c>
      <c r="N19" s="129">
        <f>IF(VLOOKUP($C19,Machined!C:Z,22,0) = 0, " ", VLOOKUP($C19,Machined!C:Z,22,0))</f>
        <v>55532</v>
      </c>
      <c r="O19" s="45">
        <f t="shared" ref="O19:O20" ca="1" si="12">B19*$L$2</f>
        <v>4</v>
      </c>
      <c r="P19" s="49">
        <f>VLOOKUP(C19,Machined!C:F,3,0)</f>
        <v>99.35</v>
      </c>
      <c r="Q19" s="50">
        <f t="shared" ref="Q19:Q20" si="13">B19*P19</f>
        <v>198.7</v>
      </c>
    </row>
    <row r="20" spans="1:17" s="2" customFormat="1" ht="12.75" customHeight="1" x14ac:dyDescent="0.25">
      <c r="A20" s="77">
        <v>9</v>
      </c>
      <c r="B20" s="20">
        <v>2</v>
      </c>
      <c r="C20" s="121" t="s">
        <v>292</v>
      </c>
      <c r="D20" s="314" t="str">
        <f>VLOOKUP(C20,Machined!C:X,2,0)</f>
        <v>Nip Pivot Block</v>
      </c>
      <c r="E20" s="329"/>
      <c r="F20" s="107" t="str">
        <f>VLOOKUP($C20,Machined!C:Z,13,0)</f>
        <v>6061-T6 ALUMINUM</v>
      </c>
      <c r="G20" s="44" t="str">
        <f>IF(VLOOKUP($C20,Machined!C:Z,16,0) = 0, " ", VLOOKUP($C20,Machined!C:Z,16,0))</f>
        <v>Frontier Mach</v>
      </c>
      <c r="H20" s="320" t="str">
        <f>IF(VLOOKUP($C20,Machined!C:Z,17,0) = 0, " ", VLOOKUP($C20,Machined!C:Z,17,0))</f>
        <v>5 more on P.O.55571</v>
      </c>
      <c r="I20" s="321" t="str">
        <f>IF(VLOOKUP($C20,Machined!$C:$Y,13,0) = 0, " ", VLOOKUP($C20,Machined!$C:$Y,13,0))</f>
        <v>6061-T6 ALUMINUM</v>
      </c>
      <c r="J20" s="44">
        <f>IF(VLOOKUP($C20,Machined!C:Z,18,0) = 0, " ", VLOOKUP($C20,Machined!C:Z,18,0))</f>
        <v>45435</v>
      </c>
      <c r="K20" s="44">
        <f>IF(VLOOKUP($C20,Machined!C:Z,19,0) = 0, " ", VLOOKUP($C20,Machined!C:Z,19,0))</f>
        <v>45446</v>
      </c>
      <c r="L20" s="44">
        <f>IF(VLOOKUP($C20,Machined!C:Z,20,0) = 0, " ", VLOOKUP($C20,Machined!C:Z,20,0))</f>
        <v>45481</v>
      </c>
      <c r="M20" s="44">
        <f>IF(VLOOKUP($C20,Machined!C:Z,21,0) = 0, " ", VLOOKUP($C20,Machined!C:Z,21,0))</f>
        <v>45481</v>
      </c>
      <c r="N20" s="129">
        <f>IF(VLOOKUP($C20,Machined!C:Z,22,0) = 0, " ", VLOOKUP($C20,Machined!C:Z,22,0))</f>
        <v>55532</v>
      </c>
      <c r="O20" s="45">
        <f t="shared" ca="1" si="12"/>
        <v>4</v>
      </c>
      <c r="P20" s="49">
        <f>VLOOKUP(C20,Machined!C:F,3,0)</f>
        <v>56.5</v>
      </c>
      <c r="Q20" s="50">
        <f t="shared" si="13"/>
        <v>113</v>
      </c>
    </row>
    <row r="21" spans="1:17" s="2" customFormat="1" ht="12.75" customHeight="1" x14ac:dyDescent="0.25">
      <c r="A21" s="77">
        <v>10</v>
      </c>
      <c r="B21" s="20">
        <v>2</v>
      </c>
      <c r="C21" s="121" t="s">
        <v>293</v>
      </c>
      <c r="D21" s="314" t="str">
        <f>VLOOKUP(C21,Machined!C:X,2,0)</f>
        <v>Adj Side Frame Mount</v>
      </c>
      <c r="E21" s="329"/>
      <c r="F21" s="107" t="str">
        <f>VLOOKUP($C21,Machined!C:Z,13,0)</f>
        <v>6061-T6 ALUMINUM</v>
      </c>
      <c r="G21" s="44" t="str">
        <f>IF(VLOOKUP($C21,Machined!C:Z,16,0) = 0, " ", VLOOKUP($C21,Machined!C:Z,16,0))</f>
        <v>Frontier Mach</v>
      </c>
      <c r="H21" s="320" t="str">
        <f>IF(VLOOKUP($C21,Machined!C:Z,17,0) = 0, " ", VLOOKUP($C21,Machined!C:Z,17,0))</f>
        <v>5 more on P.O.55571</v>
      </c>
      <c r="I21" s="321" t="str">
        <f>IF(VLOOKUP($C21,Machined!$C:$Y,13,0) = 0, " ", VLOOKUP($C21,Machined!$C:$Y,13,0))</f>
        <v>6061-T6 ALUMINUM</v>
      </c>
      <c r="J21" s="44">
        <f>IF(VLOOKUP($C21,Machined!C:Z,18,0) = 0, " ", VLOOKUP($C21,Machined!C:Z,18,0))</f>
        <v>45435</v>
      </c>
      <c r="K21" s="44">
        <f>IF(VLOOKUP($C21,Machined!C:Z,19,0) = 0, " ", VLOOKUP($C21,Machined!C:Z,19,0))</f>
        <v>45446</v>
      </c>
      <c r="L21" s="44">
        <f>IF(VLOOKUP($C21,Machined!C:Z,20,0) = 0, " ", VLOOKUP($C21,Machined!C:Z,20,0))</f>
        <v>45481</v>
      </c>
      <c r="M21" s="44">
        <f>IF(VLOOKUP($C21,Machined!C:Z,21,0) = 0, " ", VLOOKUP($C21,Machined!C:Z,21,0))</f>
        <v>45481</v>
      </c>
      <c r="N21" s="129">
        <f>IF(VLOOKUP($C21,Machined!C:Z,22,0) = 0, " ", VLOOKUP($C21,Machined!C:Z,22,0))</f>
        <v>55532</v>
      </c>
      <c r="O21" s="45">
        <f ca="1">B21*$L$2</f>
        <v>4</v>
      </c>
      <c r="P21" s="49">
        <f>VLOOKUP(C21,Machined!C:F,3,0)</f>
        <v>120.7</v>
      </c>
      <c r="Q21" s="50">
        <f>B21*P21</f>
        <v>241.4</v>
      </c>
    </row>
    <row r="22" spans="1:17" s="2" customFormat="1" ht="12.75" customHeight="1" x14ac:dyDescent="0.25">
      <c r="A22" s="77">
        <v>11</v>
      </c>
      <c r="B22" s="20">
        <v>2</v>
      </c>
      <c r="C22" s="121" t="s">
        <v>294</v>
      </c>
      <c r="D22" s="314" t="str">
        <f>VLOOKUP(C22,Machined!C:X,2,0)</f>
        <v>Pivot Side Frame Mount</v>
      </c>
      <c r="E22" s="329"/>
      <c r="F22" s="107" t="str">
        <f>VLOOKUP($C22,Machined!C:Z,13,0)</f>
        <v>6061-T6 ALUMINUM</v>
      </c>
      <c r="G22" s="44" t="str">
        <f>IF(VLOOKUP($C22,Machined!C:Z,16,0) = 0, " ", VLOOKUP($C22,Machined!C:Z,16,0))</f>
        <v>Frontier Mach</v>
      </c>
      <c r="H22" s="320" t="str">
        <f>IF(VLOOKUP($C22,Machined!C:Z,17,0) = 0, " ", VLOOKUP($C22,Machined!C:Z,17,0))</f>
        <v>5 more on P.O.55571</v>
      </c>
      <c r="I22" s="321" t="str">
        <f>IF(VLOOKUP($C22,Machined!$C:$Y,13,0) = 0, " ", VLOOKUP($C22,Machined!$C:$Y,13,0))</f>
        <v>6061-T6 ALUMINUM</v>
      </c>
      <c r="J22" s="44">
        <f>IF(VLOOKUP($C22,Machined!C:Z,18,0) = 0, " ", VLOOKUP($C22,Machined!C:Z,18,0))</f>
        <v>45435</v>
      </c>
      <c r="K22" s="44">
        <f>IF(VLOOKUP($C22,Machined!C:Z,19,0) = 0, " ", VLOOKUP($C22,Machined!C:Z,19,0))</f>
        <v>45446</v>
      </c>
      <c r="L22" s="44">
        <f>IF(VLOOKUP($C22,Machined!C:Z,20,0) = 0, " ", VLOOKUP($C22,Machined!C:Z,20,0))</f>
        <v>45481</v>
      </c>
      <c r="M22" s="44">
        <f>IF(VLOOKUP($C22,Machined!C:Z,21,0) = 0, " ", VLOOKUP($C22,Machined!C:Z,21,0))</f>
        <v>45481</v>
      </c>
      <c r="N22" s="129">
        <f>IF(VLOOKUP($C22,Machined!C:Z,22,0) = 0, " ", VLOOKUP($C22,Machined!C:Z,22,0))</f>
        <v>55532</v>
      </c>
      <c r="O22" s="45">
        <f t="shared" ref="O22" ca="1" si="14">B22*$L$2</f>
        <v>4</v>
      </c>
      <c r="P22" s="49">
        <f>VLOOKUP(C22,Machined!C:F,3,0)</f>
        <v>96.25</v>
      </c>
      <c r="Q22" s="50">
        <f t="shared" ref="Q22" si="15">B22*P22</f>
        <v>192.5</v>
      </c>
    </row>
    <row r="23" spans="1:17" s="2" customFormat="1" ht="12.75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.75" customHeight="1" x14ac:dyDescent="0.25">
      <c r="A24" s="4">
        <v>301</v>
      </c>
      <c r="B24" s="2">
        <v>8</v>
      </c>
      <c r="C24" s="135">
        <v>3842528735</v>
      </c>
      <c r="D24" s="325" t="str">
        <f>VLOOKUP(C24,Purchased!A:B,2,0)</f>
        <v>T-SLOT STONE 10 M8</v>
      </c>
      <c r="E24" s="326"/>
      <c r="F24" s="108" t="str">
        <f>IF(VLOOKUP($C24,Purchased!A:Z,11,0) = 0, " ", VLOOKUP($C24,Purchased!A:Z,11,0))</f>
        <v>BRX</v>
      </c>
      <c r="G24" s="108" t="str">
        <f>IF(VLOOKUP($C24,Purchased!A:Z,12,0)=0, " ", VLOOKUP($C24,Purchased!A:Z,12,0))</f>
        <v>AAP</v>
      </c>
      <c r="H24" s="327" t="str">
        <f>IF(VLOOKUP($C24,Purchased!A:Z,13,0)=0, " ", VLOOKUP($C24,Purchased!A:Z,13,0))</f>
        <v xml:space="preserve"> </v>
      </c>
      <c r="I24" s="328"/>
      <c r="J24" s="46" t="str">
        <f>IF(VLOOKUP($C24,Purchased!A:Z,14,0)=0, " ", VLOOKUP($C24,Purchased!A:Z,14,0))</f>
        <v>N/A</v>
      </c>
      <c r="K24" s="46" t="str">
        <f>IF(VLOOKUP(C24,Purchased!A:R,14,0)=0, " ", VLOOKUP(C24,Purchased!A:R,14,0))</f>
        <v>N/A</v>
      </c>
      <c r="L24" s="46">
        <f>IF(VLOOKUP(C24,Purchased!A:R,15,0)=0, " ", VLOOKUP(C24,Purchased!A:R,15,0))</f>
        <v>45532</v>
      </c>
      <c r="M24" s="46">
        <f>IF(VLOOKUP(C24,Purchased!A:R,16,0)=0, " ",VLOOKUP(C24,Purchased!A:R,16,0))</f>
        <v>45561</v>
      </c>
      <c r="N24" s="130" t="str">
        <f>IF(VLOOKUP(C24,Purchased!A:R,17,0)=0, " ", VLOOKUP(C24,Purchased!A:R,17,0))</f>
        <v xml:space="preserve"> </v>
      </c>
      <c r="O24" s="47">
        <f t="shared" ref="O24:O34" ca="1" si="16">B24*$L$2</f>
        <v>16</v>
      </c>
      <c r="P24" s="51">
        <f>VLOOKUP(C24,Purchased!A:D,3,FALSE)</f>
        <v>0.86</v>
      </c>
      <c r="Q24" s="52">
        <f t="shared" ref="Q24:Q34" si="17">B24*P24</f>
        <v>6.88</v>
      </c>
    </row>
    <row r="25" spans="1:17" s="2" customFormat="1" ht="12.75" customHeight="1" x14ac:dyDescent="0.25">
      <c r="A25" s="4">
        <v>302</v>
      </c>
      <c r="B25" s="2">
        <v>2</v>
      </c>
      <c r="C25" s="135" t="s">
        <v>256</v>
      </c>
      <c r="D25" s="325" t="str">
        <f>VLOOKUP(C25,Purchased!A:B,2,0)</f>
        <v>BRL Linear Guide Runner Block Sz 25, Standard Flange</v>
      </c>
      <c r="E25" s="326"/>
      <c r="F25" s="108" t="str">
        <f>IF(VLOOKUP($C25,Purchased!A:Z,11,0) = 0, " ", VLOOKUP($C25,Purchased!A:Z,11,0))</f>
        <v>BRL</v>
      </c>
      <c r="G25" s="108" t="str">
        <f>IF(VLOOKUP($C25,Purchased!A:Z,12,0)=0, " ", VLOOKUP($C25,Purchased!A:Z,12,0))</f>
        <v>AAP</v>
      </c>
      <c r="H25" s="327" t="str">
        <f>IF(VLOOKUP($C25,Purchased!A:Z,13,0)=0, " ", VLOOKUP($C25,Purchased!A:Z,13,0))</f>
        <v>Ordered 16 additional PO 55645</v>
      </c>
      <c r="I25" s="328"/>
      <c r="J25" s="46">
        <f>IF(VLOOKUP($C25,Purchased!A:Z,14,0)=0, " ", VLOOKUP($C25,Purchased!A:Z,14,0))</f>
        <v>45456</v>
      </c>
      <c r="K25" s="46">
        <f>IF(VLOOKUP(C25,Purchased!A:R,14,0)=0, " ", VLOOKUP(C25,Purchased!A:R,14,0))</f>
        <v>45456</v>
      </c>
      <c r="L25" s="46">
        <f>IF(VLOOKUP(C25,Purchased!A:R,15,0)=0, " ", VLOOKUP(C25,Purchased!A:R,15,0))</f>
        <v>45456</v>
      </c>
      <c r="M25" s="46">
        <f>IF(VLOOKUP(C25,Purchased!A:R,16,0)=0, " ",VLOOKUP(C25,Purchased!A:R,16,0))</f>
        <v>45502</v>
      </c>
      <c r="N25" s="130">
        <f>IF(VLOOKUP(C25,Purchased!A:R,17,0)=0, " ", VLOOKUP(C25,Purchased!A:R,17,0))</f>
        <v>45505</v>
      </c>
      <c r="O25" s="47">
        <f t="shared" ca="1" si="16"/>
        <v>4</v>
      </c>
      <c r="P25" s="51">
        <f>VLOOKUP(C25,Purchased!A:D,3,FALSE)</f>
        <v>138.68</v>
      </c>
      <c r="Q25" s="52">
        <f t="shared" si="17"/>
        <v>277.36</v>
      </c>
    </row>
    <row r="26" spans="1:17" s="2" customFormat="1" ht="12.75" customHeight="1" x14ac:dyDescent="0.25">
      <c r="A26" s="4">
        <v>303</v>
      </c>
      <c r="B26" s="2">
        <v>2</v>
      </c>
      <c r="C26" s="135" t="s">
        <v>295</v>
      </c>
      <c r="D26" s="325" t="str">
        <f>VLOOKUP(C26,Purchased!A:B,2,0)</f>
        <v xml:space="preserve">BRL ball rail 140mm L 25mm nominal size </v>
      </c>
      <c r="E26" s="326"/>
      <c r="F26" s="108" t="str">
        <f>IF(VLOOKUP($C26,Purchased!A:Z,11,0) = 0, " ", VLOOKUP($C26,Purchased!A:Z,11,0))</f>
        <v>BRL</v>
      </c>
      <c r="G26" s="108" t="str">
        <f>IF(VLOOKUP($C26,Purchased!A:Z,12,0)=0, " ", VLOOKUP($C26,Purchased!A:Z,12,0))</f>
        <v>AAP</v>
      </c>
      <c r="H26" s="327" t="str">
        <f>IF(VLOOKUP($C26,Purchased!A:Z,13,0)=0, " ", VLOOKUP($C26,Purchased!A:Z,13,0))</f>
        <v xml:space="preserve"> </v>
      </c>
      <c r="I26" s="328"/>
      <c r="J26" s="46">
        <f>IF(VLOOKUP($C26,Purchased!A:Z,14,0)=0, " ", VLOOKUP($C26,Purchased!A:Z,14,0))</f>
        <v>45456</v>
      </c>
      <c r="K26" s="46">
        <f>IF(VLOOKUP(C26,Purchased!A:R,14,0)=0, " ", VLOOKUP(C26,Purchased!A:R,14,0))</f>
        <v>45456</v>
      </c>
      <c r="L26" s="46">
        <f>IF(VLOOKUP(C26,Purchased!A:R,15,0)=0, " ", VLOOKUP(C26,Purchased!A:R,15,0))</f>
        <v>45456</v>
      </c>
      <c r="M26" s="46">
        <f>IF(VLOOKUP(C26,Purchased!A:R,16,0)=0, " ",VLOOKUP(C26,Purchased!A:R,16,0))</f>
        <v>45502</v>
      </c>
      <c r="N26" s="130">
        <f>IF(VLOOKUP(C26,Purchased!A:R,17,0)=0, " ", VLOOKUP(C26,Purchased!A:R,17,0))</f>
        <v>45509</v>
      </c>
      <c r="O26" s="47">
        <f t="shared" ref="O26:O29" ca="1" si="18">B26*$L$2</f>
        <v>4</v>
      </c>
      <c r="P26" s="51">
        <f>VLOOKUP(C26,Purchased!A:D,3,FALSE)</f>
        <v>83.248999999999995</v>
      </c>
      <c r="Q26" s="52">
        <f t="shared" ref="Q26:Q29" si="19">B26*P26</f>
        <v>166.49799999999999</v>
      </c>
    </row>
    <row r="27" spans="1:17" s="2" customFormat="1" ht="12.75" customHeight="1" x14ac:dyDescent="0.25">
      <c r="A27" s="4">
        <v>304</v>
      </c>
      <c r="B27" s="2">
        <v>4</v>
      </c>
      <c r="C27" s="135" t="s">
        <v>296</v>
      </c>
      <c r="D27" s="325" t="str">
        <f>VLOOKUP(C27,Purchased!A:B,2,0)</f>
        <v>Insert bearing 1.5in shaft dia</v>
      </c>
      <c r="E27" s="326"/>
      <c r="F27" s="108" t="str">
        <f>IF(VLOOKUP($C27,Purchased!A:Z,11,0) = 0, " ", VLOOKUP($C27,Purchased!A:Z,11,0))</f>
        <v>Emerson</v>
      </c>
      <c r="G27" s="108" t="str">
        <f>IF(VLOOKUP($C27,Purchased!A:Z,12,0)=0, " ", VLOOKUP($C27,Purchased!A:Z,12,0))</f>
        <v>BDI</v>
      </c>
      <c r="H27" s="327" t="str">
        <f>IF(VLOOKUP($C27,Purchased!A:Z,13,0)=0, " ", VLOOKUP($C27,Purchased!A:Z,13,0))</f>
        <v>Part # 21488716</v>
      </c>
      <c r="I27" s="328"/>
      <c r="J27" s="46">
        <f>IF(VLOOKUP($C27,Purchased!A:Z,14,0)=0, " ", VLOOKUP($C27,Purchased!A:Z,14,0))</f>
        <v>45456</v>
      </c>
      <c r="K27" s="46">
        <f>IF(VLOOKUP(C27,Purchased!A:R,14,0)=0, " ", VLOOKUP(C27,Purchased!A:R,14,0))</f>
        <v>45456</v>
      </c>
      <c r="L27" s="46">
        <f>IF(VLOOKUP(C27,Purchased!A:R,15,0)=0, " ", VLOOKUP(C27,Purchased!A:R,15,0))</f>
        <v>45456</v>
      </c>
      <c r="M27" s="46">
        <f>IF(VLOOKUP(C27,Purchased!A:R,16,0)=0, " ",VLOOKUP(C27,Purchased!A:R,16,0))</f>
        <v>45468</v>
      </c>
      <c r="N27" s="130">
        <f>IF(VLOOKUP(C27,Purchased!A:R,17,0)=0, " ", VLOOKUP(C27,Purchased!A:R,17,0))</f>
        <v>45468</v>
      </c>
      <c r="O27" s="47">
        <f t="shared" ca="1" si="18"/>
        <v>8</v>
      </c>
      <c r="P27" s="51">
        <f>VLOOKUP(C27,Purchased!A:D,3,FALSE)</f>
        <v>21.23</v>
      </c>
      <c r="Q27" s="52">
        <f t="shared" si="19"/>
        <v>84.92</v>
      </c>
    </row>
    <row r="28" spans="1:17" s="2" customFormat="1" ht="12.75" customHeight="1" x14ac:dyDescent="0.25">
      <c r="A28" s="4">
        <v>305</v>
      </c>
      <c r="B28" s="2">
        <v>4</v>
      </c>
      <c r="C28" s="135" t="s">
        <v>297</v>
      </c>
      <c r="D28" s="325" t="str">
        <f>VLOOKUP(C28,Purchased!A:B,2,0)</f>
        <v>Zinc-Plated Steel Grease Fitting, 45 Degree Elbow, 1/8 PTF-SAE Male, 57/64" 
Overall Height</v>
      </c>
      <c r="E28" s="326"/>
      <c r="F28" s="108" t="str">
        <f>IF(VLOOKUP($C28,Purchased!A:Z,11,0) = 0, " ", VLOOKUP($C28,Purchased!A:Z,11,0))</f>
        <v>MCM</v>
      </c>
      <c r="G28" s="108" t="str">
        <f>IF(VLOOKUP($C28,Purchased!A:Z,12,0)=0, " ", VLOOKUP($C28,Purchased!A:Z,12,0))</f>
        <v>MCM</v>
      </c>
      <c r="H28" s="327" t="str">
        <f>IF(VLOOKUP($C28,Purchased!A:Z,13,0)=0, " ", VLOOKUP($C28,Purchased!A:Z,13,0))</f>
        <v xml:space="preserve"> </v>
      </c>
      <c r="I28" s="328"/>
      <c r="J28" s="46">
        <f>IF(VLOOKUP($C28,Purchased!A:Z,14,0)=0, " ", VLOOKUP($C28,Purchased!A:Z,14,0))</f>
        <v>45460</v>
      </c>
      <c r="K28" s="46">
        <f>IF(VLOOKUP(C28,Purchased!A:R,14,0)=0, " ", VLOOKUP(C28,Purchased!A:R,14,0))</f>
        <v>45460</v>
      </c>
      <c r="L28" s="46">
        <f>IF(VLOOKUP(C28,Purchased!A:R,15,0)=0, " ", VLOOKUP(C28,Purchased!A:R,15,0))</f>
        <v>45460</v>
      </c>
      <c r="M28" s="46">
        <f>IF(VLOOKUP(C28,Purchased!A:R,16,0)=0, " ",VLOOKUP(C28,Purchased!A:R,16,0))</f>
        <v>45462</v>
      </c>
      <c r="N28" s="130">
        <f>IF(VLOOKUP(C28,Purchased!A:R,17,0)=0, " ", VLOOKUP(C28,Purchased!A:R,17,0))</f>
        <v>45462</v>
      </c>
      <c r="O28" s="47">
        <f t="shared" ca="1" si="18"/>
        <v>8</v>
      </c>
      <c r="P28" s="51">
        <f>VLOOKUP(C28,Purchased!A:D,3,FALSE)</f>
        <v>9.74</v>
      </c>
      <c r="Q28" s="52">
        <f t="shared" si="19"/>
        <v>38.96</v>
      </c>
    </row>
    <row r="29" spans="1:17" s="2" customFormat="1" ht="12.75" customHeight="1" x14ac:dyDescent="0.25">
      <c r="A29" s="4">
        <v>306</v>
      </c>
      <c r="B29" s="2">
        <v>4</v>
      </c>
      <c r="C29" s="135" t="s">
        <v>298</v>
      </c>
      <c r="D29" s="325" t="str">
        <f>VLOOKUP(C29,Purchased!A:B,2,0)</f>
        <v>Alloy Steel Flat-Tip Set Screws, M8 x 1.25 mm Thread, 80 mm Long</v>
      </c>
      <c r="E29" s="326"/>
      <c r="F29" s="108" t="str">
        <f>IF(VLOOKUP($C29,Purchased!A:Z,11,0) = 0, " ", VLOOKUP($C29,Purchased!A:Z,11,0))</f>
        <v>MCM</v>
      </c>
      <c r="G29" s="108" t="str">
        <f>IF(VLOOKUP($C29,Purchased!A:Z,12,0)=0, " ", VLOOKUP($C29,Purchased!A:Z,12,0))</f>
        <v>MCM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45460</v>
      </c>
      <c r="K29" s="46">
        <f>IF(VLOOKUP(C29,Purchased!A:R,14,0)=0, " ", VLOOKUP(C29,Purchased!A:R,14,0))</f>
        <v>45460</v>
      </c>
      <c r="L29" s="46">
        <f>IF(VLOOKUP(C29,Purchased!A:R,15,0)=0, " ", VLOOKUP(C29,Purchased!A:R,15,0))</f>
        <v>45460</v>
      </c>
      <c r="M29" s="46">
        <f>IF(VLOOKUP(C29,Purchased!A:R,16,0)=0, " ",VLOOKUP(C29,Purchased!A:R,16,0))</f>
        <v>45462</v>
      </c>
      <c r="N29" s="130">
        <f>IF(VLOOKUP(C29,Purchased!A:R,17,0)=0, " ", VLOOKUP(C29,Purchased!A:R,17,0))</f>
        <v>45462</v>
      </c>
      <c r="O29" s="47">
        <f t="shared" ca="1" si="18"/>
        <v>8</v>
      </c>
      <c r="P29" s="51">
        <f>VLOOKUP(C29,Purchased!A:D,3,FALSE)</f>
        <v>14.77</v>
      </c>
      <c r="Q29" s="52">
        <f t="shared" si="19"/>
        <v>59.08</v>
      </c>
    </row>
    <row r="30" spans="1:17" s="2" customFormat="1" ht="12.75" customHeight="1" x14ac:dyDescent="0.25">
      <c r="A30" s="4">
        <v>307</v>
      </c>
      <c r="B30" s="2">
        <v>2</v>
      </c>
      <c r="C30" s="135" t="s">
        <v>299</v>
      </c>
      <c r="D30" s="325" t="str">
        <f>VLOOKUP(C30,Purchased!A:B,2,0)</f>
        <v>Steel Oversized Washer for M12 Screw Size, 12 mm ID, 25 mm OD</v>
      </c>
      <c r="E30" s="326"/>
      <c r="F30" s="108" t="str">
        <f>IF(VLOOKUP($C30,Purchased!A:Z,11,0) = 0, " ", VLOOKUP($C30,Purchased!A:Z,11,0))</f>
        <v>MCM</v>
      </c>
      <c r="G30" s="108" t="str">
        <f>IF(VLOOKUP($C30,Purchased!A:Z,12,0)=0, " ", VLOOKUP($C30,Purchased!A:Z,12,0))</f>
        <v>MCM</v>
      </c>
      <c r="H30" s="327" t="str">
        <f>IF(VLOOKUP($C30,Purchased!A:Z,13,0)=0, " ", VLOOKUP($C30,Purchased!A:Z,13,0))</f>
        <v xml:space="preserve"> </v>
      </c>
      <c r="I30" s="328"/>
      <c r="J30" s="46">
        <f>IF(VLOOKUP($C30,Purchased!A:Z,14,0)=0, " ", VLOOKUP($C30,Purchased!A:Z,14,0))</f>
        <v>45460</v>
      </c>
      <c r="K30" s="46">
        <f>IF(VLOOKUP(C30,Purchased!A:R,14,0)=0, " ", VLOOKUP(C30,Purchased!A:R,14,0))</f>
        <v>45460</v>
      </c>
      <c r="L30" s="46">
        <f>IF(VLOOKUP(C30,Purchased!A:R,15,0)=0, " ", VLOOKUP(C30,Purchased!A:R,15,0))</f>
        <v>45460</v>
      </c>
      <c r="M30" s="46">
        <f>IF(VLOOKUP(C30,Purchased!A:R,16,0)=0, " ",VLOOKUP(C30,Purchased!A:R,16,0))</f>
        <v>45462</v>
      </c>
      <c r="N30" s="130">
        <f>IF(VLOOKUP(C30,Purchased!A:R,17,0)=0, " ", VLOOKUP(C30,Purchased!A:R,17,0))</f>
        <v>45462</v>
      </c>
      <c r="O30" s="47">
        <f t="shared" ca="1" si="16"/>
        <v>4</v>
      </c>
      <c r="P30" s="51">
        <f>VLOOKUP(C30,Purchased!A:D,3,FALSE)</f>
        <v>10</v>
      </c>
      <c r="Q30" s="52">
        <f t="shared" si="17"/>
        <v>20</v>
      </c>
    </row>
    <row r="31" spans="1:17" s="2" customFormat="1" ht="12.75" customHeight="1" x14ac:dyDescent="0.25">
      <c r="A31" s="4">
        <v>308</v>
      </c>
      <c r="B31" s="2">
        <v>8</v>
      </c>
      <c r="C31" s="135" t="s">
        <v>300</v>
      </c>
      <c r="D31" s="325" t="str">
        <f>VLOOKUP(C31,Purchased!A:B,2,0)</f>
        <v>Dowel Pin 52100 Alloy Steel, 10 mm Diameter, 30 mm Long</v>
      </c>
      <c r="E31" s="326"/>
      <c r="F31" s="108" t="str">
        <f>IF(VLOOKUP($C31,Purchased!A:Z,11,0) = 0, " ", VLOOKUP($C31,Purchased!A:Z,11,0))</f>
        <v>MCM</v>
      </c>
      <c r="G31" s="108" t="str">
        <f>IF(VLOOKUP($C31,Purchased!A:Z,12,0)=0, " ", VLOOKUP($C31,Purchased!A:Z,12,0))</f>
        <v>MCM</v>
      </c>
      <c r="H31" s="327" t="str">
        <f>IF(VLOOKUP($C31,Purchased!A:Z,13,0)=0, " ", VLOOKUP($C31,Purchased!A:Z,13,0))</f>
        <v>4 Additional Quantity Added to 55697</v>
      </c>
      <c r="I31" s="328"/>
      <c r="J31" s="46">
        <f>IF(VLOOKUP($C31,Purchased!A:Z,14,0)=0, " ", VLOOKUP($C31,Purchased!A:Z,14,0))</f>
        <v>45460</v>
      </c>
      <c r="K31" s="46">
        <f>IF(VLOOKUP(C31,Purchased!A:R,14,0)=0, " ", VLOOKUP(C31,Purchased!A:R,14,0))</f>
        <v>45460</v>
      </c>
      <c r="L31" s="46">
        <f>IF(VLOOKUP(C31,Purchased!A:R,15,0)=0, " ", VLOOKUP(C31,Purchased!A:R,15,0))</f>
        <v>45460</v>
      </c>
      <c r="M31" s="46">
        <f>IF(VLOOKUP(C31,Purchased!A:R,16,0)=0, " ",VLOOKUP(C31,Purchased!A:R,16,0))</f>
        <v>45462</v>
      </c>
      <c r="N31" s="130">
        <f>IF(VLOOKUP(C31,Purchased!A:R,17,0)=0, " ", VLOOKUP(C31,Purchased!A:R,17,0))</f>
        <v>45462</v>
      </c>
      <c r="O31" s="47">
        <f t="shared" ref="O31:O32" ca="1" si="20">B31*$L$2</f>
        <v>16</v>
      </c>
      <c r="P31" s="51">
        <f>VLOOKUP(C31,Purchased!A:D,3,FALSE)</f>
        <v>12.91</v>
      </c>
      <c r="Q31" s="52">
        <f t="shared" ref="Q31:Q32" si="21">B31*P31</f>
        <v>103.28</v>
      </c>
    </row>
    <row r="32" spans="1:17" s="2" customFormat="1" ht="12.75" customHeight="1" x14ac:dyDescent="0.25">
      <c r="A32" s="4">
        <v>309</v>
      </c>
      <c r="B32" s="2">
        <v>4</v>
      </c>
      <c r="C32" s="135" t="s">
        <v>301</v>
      </c>
      <c r="D32" s="325" t="str">
        <f>VLOOKUP(C32,Purchased!A:B,2,0)</f>
        <v>Alloy Steel Shoulder Screws, 12 mm Shoulder Diameter, 30 mm Shoulder 
Length, M10 x 1.5 mm Thread</v>
      </c>
      <c r="E32" s="326"/>
      <c r="F32" s="108" t="str">
        <f>IF(VLOOKUP($C32,Purchased!A:Z,11,0) = 0, " ", VLOOKUP($C32,Purchased!A:Z,11,0))</f>
        <v>MCM</v>
      </c>
      <c r="G32" s="108" t="str">
        <f>IF(VLOOKUP($C32,Purchased!A:Z,12,0)=0, " ", VLOOKUP($C32,Purchased!A:Z,12,0))</f>
        <v>MCM</v>
      </c>
      <c r="H32" s="327" t="str">
        <f>IF(VLOOKUP($C32,Purchased!A:Z,13,0)=0, " ", VLOOKUP($C32,Purchased!A:Z,13,0))</f>
        <v xml:space="preserve"> </v>
      </c>
      <c r="I32" s="328"/>
      <c r="J32" s="46">
        <f>IF(VLOOKUP($C32,Purchased!A:Z,14,0)=0, " ", VLOOKUP($C32,Purchased!A:Z,14,0))</f>
        <v>45460</v>
      </c>
      <c r="K32" s="46">
        <f>IF(VLOOKUP(C32,Purchased!A:R,14,0)=0, " ", VLOOKUP(C32,Purchased!A:R,14,0))</f>
        <v>45460</v>
      </c>
      <c r="L32" s="46">
        <f>IF(VLOOKUP(C32,Purchased!A:R,15,0)=0, " ", VLOOKUP(C32,Purchased!A:R,15,0))</f>
        <v>45460</v>
      </c>
      <c r="M32" s="46">
        <f>IF(VLOOKUP(C32,Purchased!A:R,16,0)=0, " ",VLOOKUP(C32,Purchased!A:R,16,0))</f>
        <v>45462</v>
      </c>
      <c r="N32" s="130">
        <f>IF(VLOOKUP(C32,Purchased!A:R,17,0)=0, " ", VLOOKUP(C32,Purchased!A:R,17,0))</f>
        <v>45462</v>
      </c>
      <c r="O32" s="47">
        <f t="shared" ca="1" si="20"/>
        <v>8</v>
      </c>
      <c r="P32" s="51">
        <f>VLOOKUP(C32,Purchased!A:D,3,FALSE)</f>
        <v>4.71</v>
      </c>
      <c r="Q32" s="52">
        <f t="shared" si="21"/>
        <v>18.84</v>
      </c>
    </row>
    <row r="33" spans="1:17" s="2" customFormat="1" ht="12.75" customHeight="1" x14ac:dyDescent="0.25">
      <c r="A33" s="4">
        <v>310</v>
      </c>
      <c r="B33" s="2">
        <v>2</v>
      </c>
      <c r="C33" s="135" t="s">
        <v>227</v>
      </c>
      <c r="D33" s="325" t="str">
        <f>VLOOKUP(C33,Purchased!A:B,2,0)</f>
        <v>KQ2 one touch fitting, 8mm D elbow</v>
      </c>
      <c r="E33" s="326"/>
      <c r="F33" s="108" t="str">
        <f>IF(VLOOKUP($C33,Purchased!A:Z,11,0) = 0, " ", VLOOKUP($C33,Purchased!A:Z,11,0))</f>
        <v>SMC</v>
      </c>
      <c r="G33" s="108" t="str">
        <f>IF(VLOOKUP($C33,Purchased!A:Z,12,0)=0, " ", VLOOKUP($C33,Purchased!A:Z,12,0))</f>
        <v>AAP</v>
      </c>
      <c r="H33" s="327" t="str">
        <f>IF(VLOOKUP($C33,Purchased!A:Z,13,0)=0, " ", VLOOKUP($C33,Purchased!A:Z,13,0))</f>
        <v xml:space="preserve"> </v>
      </c>
      <c r="I33" s="328"/>
      <c r="J33" s="46">
        <f>IF(VLOOKUP($C33,Purchased!A:Z,14,0)=0, " ", VLOOKUP($C33,Purchased!A:Z,14,0))</f>
        <v>45489</v>
      </c>
      <c r="K33" s="46">
        <f>IF(VLOOKUP(C33,Purchased!A:R,14,0)=0, " ", VLOOKUP(C33,Purchased!A:R,14,0))</f>
        <v>45489</v>
      </c>
      <c r="L33" s="46">
        <f>IF(VLOOKUP(C33,Purchased!A:R,15,0)=0, " ", VLOOKUP(C33,Purchased!A:R,15,0))</f>
        <v>45491</v>
      </c>
      <c r="M33" s="46">
        <f>IF(VLOOKUP(C33,Purchased!A:R,16,0)=0, " ",VLOOKUP(C33,Purchased!A:R,16,0))</f>
        <v>45520</v>
      </c>
      <c r="N33" s="130">
        <f>IF(VLOOKUP(C33,Purchased!A:R,17,0)=0, " ", VLOOKUP(C33,Purchased!A:R,17,0))</f>
        <v>45511</v>
      </c>
      <c r="O33" s="47">
        <f t="shared" ref="O33" ca="1" si="22">B33*$L$2</f>
        <v>4</v>
      </c>
      <c r="P33" s="51">
        <f>VLOOKUP(C33,Purchased!A:D,3,FALSE)</f>
        <v>1.86</v>
      </c>
      <c r="Q33" s="52">
        <f t="shared" ref="Q33" si="23">B33*P33</f>
        <v>3.72</v>
      </c>
    </row>
    <row r="34" spans="1:17" s="2" customFormat="1" ht="12.75" customHeight="1" x14ac:dyDescent="0.25">
      <c r="A34" s="4">
        <v>311</v>
      </c>
      <c r="B34" s="2">
        <v>4</v>
      </c>
      <c r="C34" s="135" t="s">
        <v>302</v>
      </c>
      <c r="D34" s="325" t="str">
        <f>VLOOKUP(C34,Purchased!A:B,2,0)</f>
        <v>KQ2 elbow fitting 3/8in port to 8mm dia tubing</v>
      </c>
      <c r="E34" s="326"/>
      <c r="F34" s="108" t="str">
        <f>IF(VLOOKUP($C34,Purchased!A:Z,11,0) = 0, " ", VLOOKUP($C34,Purchased!A:Z,11,0))</f>
        <v>SMC</v>
      </c>
      <c r="G34" s="108" t="str">
        <f>IF(VLOOKUP($C34,Purchased!A:Z,12,0)=0, " ", VLOOKUP($C34,Purchased!A:Z,12,0))</f>
        <v>AAP</v>
      </c>
      <c r="H34" s="327" t="str">
        <f>IF(VLOOKUP($C34,Purchased!A:Z,13,0)=0, " ", VLOOKUP($C34,Purchased!A:Z,13,0))</f>
        <v xml:space="preserve"> </v>
      </c>
      <c r="I34" s="328"/>
      <c r="J34" s="46">
        <f>IF(VLOOKUP($C34,Purchased!A:Z,14,0)=0, " ", VLOOKUP($C34,Purchased!A:Z,14,0))</f>
        <v>45489</v>
      </c>
      <c r="K34" s="46">
        <f>IF(VLOOKUP(C34,Purchased!A:R,14,0)=0, " ", VLOOKUP(C34,Purchased!A:R,14,0))</f>
        <v>45489</v>
      </c>
      <c r="L34" s="46">
        <f>IF(VLOOKUP(C34,Purchased!A:R,15,0)=0, " ", VLOOKUP(C34,Purchased!A:R,15,0))</f>
        <v>45491</v>
      </c>
      <c r="M34" s="46">
        <f>IF(VLOOKUP(C34,Purchased!A:R,16,0)=0, " ",VLOOKUP(C34,Purchased!A:R,16,0))</f>
        <v>45520</v>
      </c>
      <c r="N34" s="130">
        <f>IF(VLOOKUP(C34,Purchased!A:R,17,0)=0, " ", VLOOKUP(C34,Purchased!A:R,17,0))</f>
        <v>45511</v>
      </c>
      <c r="O34" s="47">
        <f t="shared" ca="1" si="16"/>
        <v>8</v>
      </c>
      <c r="P34" s="51">
        <f>VLOOKUP(C34,Purchased!A:D,3,FALSE)</f>
        <v>2.5499999999999998</v>
      </c>
      <c r="Q34" s="52">
        <f t="shared" si="17"/>
        <v>10.199999999999999</v>
      </c>
    </row>
    <row r="35" spans="1:17" s="2" customFormat="1" ht="12.75" customHeight="1" x14ac:dyDescent="0.25">
      <c r="A35" s="4">
        <v>312</v>
      </c>
      <c r="B35" s="2">
        <v>2</v>
      </c>
      <c r="C35" s="135" t="s">
        <v>303</v>
      </c>
      <c r="D35" s="325" t="str">
        <f>VLOOKUP(C35,Purchased!A:B,2,0)</f>
        <v>CDQ2 compact cylinder double acting single rod 80mm bore 25mm stroke</v>
      </c>
      <c r="E35" s="326"/>
      <c r="F35" s="108" t="str">
        <f>IF(VLOOKUP($C35,Purchased!A:Z,11,0) = 0, " ", VLOOKUP($C35,Purchased!A:Z,11,0))</f>
        <v>SMC</v>
      </c>
      <c r="G35" s="108" t="str">
        <f>IF(VLOOKUP($C35,Purchased!A:Z,12,0)=0, " ", VLOOKUP($C35,Purchased!A:Z,12,0))</f>
        <v>AAP</v>
      </c>
      <c r="H35" s="327" t="str">
        <f>IF(VLOOKUP($C35,Purchased!A:Z,13,0)=0, " ", VLOOKUP($C35,Purchased!A:Z,13,0))</f>
        <v xml:space="preserve"> </v>
      </c>
      <c r="I35" s="328"/>
      <c r="J35" s="46">
        <f>IF(VLOOKUP($C35,Purchased!A:Z,14,0)=0, " ", VLOOKUP($C35,Purchased!A:Z,14,0))</f>
        <v>45456</v>
      </c>
      <c r="K35" s="46">
        <f>IF(VLOOKUP(C35,Purchased!A:R,14,0)=0, " ", VLOOKUP(C35,Purchased!A:R,14,0))</f>
        <v>45456</v>
      </c>
      <c r="L35" s="46">
        <f>IF(VLOOKUP(C35,Purchased!A:R,15,0)=0, " ", VLOOKUP(C35,Purchased!A:R,15,0))</f>
        <v>45456</v>
      </c>
      <c r="M35" s="46">
        <f>IF(VLOOKUP(C35,Purchased!A:R,16,0)=0, " ",VLOOKUP(C35,Purchased!A:R,16,0))</f>
        <v>45502</v>
      </c>
      <c r="N35" s="130">
        <f>IF(VLOOKUP(C35,Purchased!A:R,17,0)=0, " ", VLOOKUP(C35,Purchased!A:R,17,0))</f>
        <v>45505</v>
      </c>
      <c r="O35" s="47">
        <f t="shared" ref="O35" ca="1" si="24">B35*$L$2</f>
        <v>4</v>
      </c>
      <c r="P35" s="51">
        <f>VLOOKUP(C35,Purchased!A:D,3,FALSE)</f>
        <v>91.17</v>
      </c>
      <c r="Q35" s="52">
        <f t="shared" ref="Q35" si="25">B35*P35</f>
        <v>182.34</v>
      </c>
    </row>
    <row r="36" spans="1:17" s="2" customFormat="1" ht="12.75" customHeight="1" x14ac:dyDescent="0.25">
      <c r="A36" s="4">
        <v>313</v>
      </c>
      <c r="B36" s="2">
        <v>2</v>
      </c>
      <c r="C36" s="135" t="s">
        <v>304</v>
      </c>
      <c r="D36" s="325" t="str">
        <f>VLOOKUP(C36,Purchased!A:B,2,0)</f>
        <v>KQ2 fitting T junction 8mm tubing for all</v>
      </c>
      <c r="E36" s="326"/>
      <c r="F36" s="108" t="str">
        <f>IF(VLOOKUP($C36,Purchased!A:Z,11,0) = 0, " ", VLOOKUP($C36,Purchased!A:Z,11,0))</f>
        <v>SMC</v>
      </c>
      <c r="G36" s="108" t="str">
        <f>IF(VLOOKUP($C36,Purchased!A:Z,12,0)=0, " ", VLOOKUP($C36,Purchased!A:Z,12,0))</f>
        <v>AAP</v>
      </c>
      <c r="H36" s="327" t="str">
        <f>IF(VLOOKUP($C36,Purchased!A:Z,13,0)=0, " ", VLOOKUP($C36,Purchased!A:Z,13,0))</f>
        <v xml:space="preserve"> </v>
      </c>
      <c r="I36" s="328"/>
      <c r="J36" s="46">
        <f>IF(VLOOKUP($C36,Purchased!A:Z,14,0)=0, " ", VLOOKUP($C36,Purchased!A:Z,14,0))</f>
        <v>45489</v>
      </c>
      <c r="K36" s="46">
        <f>IF(VLOOKUP(C36,Purchased!A:R,14,0)=0, " ", VLOOKUP(C36,Purchased!A:R,14,0))</f>
        <v>45489</v>
      </c>
      <c r="L36" s="46">
        <f>IF(VLOOKUP(C36,Purchased!A:R,15,0)=0, " ", VLOOKUP(C36,Purchased!A:R,15,0))</f>
        <v>45491</v>
      </c>
      <c r="M36" s="46">
        <f>IF(VLOOKUP(C36,Purchased!A:R,16,0)=0, " ",VLOOKUP(C36,Purchased!A:R,16,0))</f>
        <v>45520</v>
      </c>
      <c r="N36" s="130">
        <f>IF(VLOOKUP(C36,Purchased!A:R,17,0)=0, " ", VLOOKUP(C36,Purchased!A:R,17,0))</f>
        <v>45511</v>
      </c>
      <c r="O36" s="47">
        <f ca="1">B36*$L$2</f>
        <v>4</v>
      </c>
      <c r="P36" s="51">
        <f>VLOOKUP(C36,Purchased!A:D,3,FALSE)</f>
        <v>2.44</v>
      </c>
      <c r="Q36" s="52">
        <f>B36*P36</f>
        <v>4.88</v>
      </c>
    </row>
    <row r="37" spans="1:17" s="2" customFormat="1" ht="12.75" customHeight="1" x14ac:dyDescent="0.25">
      <c r="A37" s="4">
        <v>314</v>
      </c>
      <c r="B37" s="2">
        <v>2</v>
      </c>
      <c r="C37" s="135" t="s">
        <v>305</v>
      </c>
      <c r="D37" s="325" t="str">
        <f>VLOOKUP(C37,Purchased!A:B,2,0)</f>
        <v>Auto Switch, Solid State, General Purpose, M8-3Pin Connector, 0.5m Cord 
Length</v>
      </c>
      <c r="E37" s="326"/>
      <c r="F37" s="108" t="str">
        <f>IF(VLOOKUP($C37,Purchased!A:Z,11,0) = 0, " ", VLOOKUP($C37,Purchased!A:Z,11,0))</f>
        <v>SMC</v>
      </c>
      <c r="G37" s="108" t="str">
        <f>IF(VLOOKUP($C37,Purchased!A:Z,12,0)=0, " ", VLOOKUP($C37,Purchased!A:Z,12,0))</f>
        <v>AAP</v>
      </c>
      <c r="H37" s="327" t="str">
        <f>IF(VLOOKUP($C37,Purchased!A:Z,13,0)=0, " ", VLOOKUP($C37,Purchased!A:Z,13,0))</f>
        <v>10 more PO 55692</v>
      </c>
      <c r="I37" s="328"/>
      <c r="J37" s="46">
        <f>IF(VLOOKUP($C37,Purchased!A:Z,14,0)=0, " ", VLOOKUP($C37,Purchased!A:Z,14,0))</f>
        <v>45489</v>
      </c>
      <c r="K37" s="46">
        <f>IF(VLOOKUP(C37,Purchased!A:R,14,0)=0, " ", VLOOKUP(C37,Purchased!A:R,14,0))</f>
        <v>45489</v>
      </c>
      <c r="L37" s="46">
        <f>IF(VLOOKUP(C37,Purchased!A:R,15,0)=0, " ", VLOOKUP(C37,Purchased!A:R,15,0))</f>
        <v>45489</v>
      </c>
      <c r="M37" s="46">
        <f>IF(VLOOKUP(C37,Purchased!A:R,16,0)=0, " ",VLOOKUP(C37,Purchased!A:R,16,0))</f>
        <v>45510</v>
      </c>
      <c r="N37" s="130">
        <f>IF(VLOOKUP(C37,Purchased!A:R,17,0)=0, " ", VLOOKUP(C37,Purchased!A:R,17,0))</f>
        <v>45513</v>
      </c>
      <c r="O37" s="47">
        <f ca="1">B37*$L$2</f>
        <v>4</v>
      </c>
      <c r="P37" s="51">
        <f>VLOOKUP(C37,Purchased!A:D,3,FALSE)</f>
        <v>38.64</v>
      </c>
      <c r="Q37" s="52">
        <f>B37*P37</f>
        <v>77.28</v>
      </c>
    </row>
    <row r="38" spans="1:17" s="2" customFormat="1" ht="12.75" customHeight="1" x14ac:dyDescent="0.25">
      <c r="A38" s="4">
        <v>315</v>
      </c>
      <c r="B38" s="2">
        <v>2</v>
      </c>
      <c r="C38" s="135" t="s">
        <v>306</v>
      </c>
      <c r="D38" s="325" t="str">
        <f>VLOOKUP(C38,Purchased!A:B,2,0)</f>
        <v>M8 female 0° A-cod. with cable, PVC 3x0.25 bk UL/CSA 10m</v>
      </c>
      <c r="E38" s="326"/>
      <c r="F38" s="108" t="str">
        <f>IF(VLOOKUP($C38,Purchased!A:Z,11,0) = 0, " ", VLOOKUP($C38,Purchased!A:Z,11,0))</f>
        <v>MURR</v>
      </c>
      <c r="G38" s="108" t="str">
        <f>IF(VLOOKUP($C38,Purchased!A:Z,12,0)=0, " ", VLOOKUP($C38,Purchased!A:Z,12,0))</f>
        <v>MURR</v>
      </c>
      <c r="H38" s="327" t="str">
        <f>IF(VLOOKUP($C38,Purchased!A:Z,13,0)=0, " ", VLOOKUP($C38,Purchased!A:Z,13,0))</f>
        <v xml:space="preserve"> </v>
      </c>
      <c r="I38" s="328"/>
      <c r="J38" s="46">
        <f>IF(VLOOKUP($C38,Purchased!A:Z,14,0)=0, " ", VLOOKUP($C38,Purchased!A:Z,14,0))</f>
        <v>45506</v>
      </c>
      <c r="K38" s="46">
        <f>IF(VLOOKUP(C38,Purchased!A:R,14,0)=0, " ", VLOOKUP(C38,Purchased!A:R,14,0))</f>
        <v>45506</v>
      </c>
      <c r="L38" s="46" t="str">
        <f>IF(VLOOKUP(C38,Purchased!A:R,15,0)=0, " ", VLOOKUP(C38,Purchased!A:R,15,0))</f>
        <v xml:space="preserve"> </v>
      </c>
      <c r="M38" s="46" t="str">
        <f>IF(VLOOKUP(C38,Purchased!A:R,16,0)=0, " ",VLOOKUP(C38,Purchased!A:R,16,0))</f>
        <v xml:space="preserve"> </v>
      </c>
      <c r="N38" s="130" t="str">
        <f>IF(VLOOKUP(C38,Purchased!A:R,17,0)=0, " ", VLOOKUP(C38,Purchased!A:R,17,0))</f>
        <v xml:space="preserve"> </v>
      </c>
      <c r="O38" s="47">
        <f ca="1">B38*$L$2</f>
        <v>4</v>
      </c>
      <c r="P38" s="51">
        <f>VLOOKUP(C38,Purchased!A:D,3,FALSE)</f>
        <v>0</v>
      </c>
      <c r="Q38" s="52">
        <f>B38*P38</f>
        <v>0</v>
      </c>
    </row>
    <row r="39" spans="1:17" s="2" customFormat="1" ht="12.75" customHeight="1" x14ac:dyDescent="0.25">
      <c r="A39" s="4">
        <v>316</v>
      </c>
      <c r="B39" s="2">
        <v>1</v>
      </c>
      <c r="C39" s="135" t="s">
        <v>307</v>
      </c>
      <c r="D39" s="325" t="str">
        <f>VLOOKUP(C39,Purchased!A:B,2,0)</f>
        <v>STOBER - Power cable -56876, 15MTR</v>
      </c>
      <c r="E39" s="326"/>
      <c r="F39" s="108" t="str">
        <f>IF(VLOOKUP($C39,Purchased!A:Z,11,0) = 0, " ", VLOOKUP($C39,Purchased!A:Z,11,0))</f>
        <v>STOBER</v>
      </c>
      <c r="G39" s="108" t="str">
        <f>IF(VLOOKUP($C39,Purchased!A:Z,12,0)=0, " ", VLOOKUP($C39,Purchased!A:Z,12,0))</f>
        <v>AAP</v>
      </c>
      <c r="H39" s="327" t="str">
        <f>IF(VLOOKUP($C39,Purchased!A:Z,13,0)=0, " ", VLOOKUP($C39,Purchased!A:Z,13,0))</f>
        <v xml:space="preserve"> </v>
      </c>
      <c r="I39" s="328"/>
      <c r="J39" s="46">
        <f>IF(VLOOKUP($C39,Purchased!A:Z,14,0)=0, " ", VLOOKUP($C39,Purchased!A:Z,14,0))</f>
        <v>45463</v>
      </c>
      <c r="K39" s="46">
        <f>IF(VLOOKUP(C39,Purchased!A:R,14,0)=0, " ", VLOOKUP(C39,Purchased!A:R,14,0))</f>
        <v>45463</v>
      </c>
      <c r="L39" s="46">
        <f>IF(VLOOKUP(C39,Purchased!A:R,15,0)=0, " ", VLOOKUP(C39,Purchased!A:R,15,0))</f>
        <v>45464</v>
      </c>
      <c r="M39" s="46">
        <f>IF(VLOOKUP(C39,Purchased!A:R,16,0)=0, " ",VLOOKUP(C39,Purchased!A:R,16,0))</f>
        <v>45532</v>
      </c>
      <c r="N39" s="130">
        <f>IF(VLOOKUP(C39,Purchased!A:R,17,0)=0, " ", VLOOKUP(C39,Purchased!A:R,17,0))</f>
        <v>45532</v>
      </c>
      <c r="O39" s="47">
        <f t="shared" ref="O39:O40" ca="1" si="26">B39*$L$2</f>
        <v>2</v>
      </c>
      <c r="P39" s="51">
        <f>VLOOKUP(C39,Purchased!A:D,3,FALSE)</f>
        <v>325.7473</v>
      </c>
      <c r="Q39" s="52"/>
    </row>
    <row r="40" spans="1:17" s="2" customFormat="1" ht="12.75" customHeight="1" x14ac:dyDescent="0.25">
      <c r="A40" s="4">
        <v>317</v>
      </c>
      <c r="B40" s="2">
        <v>1</v>
      </c>
      <c r="C40" s="135" t="s">
        <v>308</v>
      </c>
      <c r="D40" s="325" t="str">
        <f>VLOOKUP(C40,Purchased!A:B,2,0)</f>
        <v>STOBER - Encoder cable -57815, 15MTR</v>
      </c>
      <c r="E40" s="326"/>
      <c r="F40" s="108" t="str">
        <f>IF(VLOOKUP($C40,Purchased!A:Z,11,0) = 0, " ", VLOOKUP($C40,Purchased!A:Z,11,0))</f>
        <v>STOBER</v>
      </c>
      <c r="G40" s="108" t="str">
        <f>IF(VLOOKUP($C40,Purchased!A:Z,12,0)=0, " ", VLOOKUP($C40,Purchased!A:Z,12,0))</f>
        <v>AAP</v>
      </c>
      <c r="H40" s="327" t="str">
        <f>IF(VLOOKUP($C40,Purchased!A:Z,13,0)=0, " ", VLOOKUP($C40,Purchased!A:Z,13,0))</f>
        <v xml:space="preserve"> </v>
      </c>
      <c r="I40" s="328"/>
      <c r="J40" s="46">
        <f>IF(VLOOKUP($C40,Purchased!A:Z,14,0)=0, " ", VLOOKUP($C40,Purchased!A:Z,14,0))</f>
        <v>45463</v>
      </c>
      <c r="K40" s="46">
        <f>IF(VLOOKUP(C40,Purchased!A:R,14,0)=0, " ", VLOOKUP(C40,Purchased!A:R,14,0))</f>
        <v>45463</v>
      </c>
      <c r="L40" s="46">
        <f>IF(VLOOKUP(C40,Purchased!A:R,15,0)=0, " ", VLOOKUP(C40,Purchased!A:R,15,0))</f>
        <v>45464</v>
      </c>
      <c r="M40" s="46">
        <f>IF(VLOOKUP(C40,Purchased!A:R,16,0)=0, " ",VLOOKUP(C40,Purchased!A:R,16,0))</f>
        <v>45532</v>
      </c>
      <c r="N40" s="130">
        <f>IF(VLOOKUP(C40,Purchased!A:R,17,0)=0, " ", VLOOKUP(C40,Purchased!A:R,17,0))</f>
        <v>45532</v>
      </c>
      <c r="O40" s="47">
        <f t="shared" ca="1" si="26"/>
        <v>2</v>
      </c>
      <c r="P40" s="51">
        <f>VLOOKUP(C40,Purchased!A:D,3,FALSE)</f>
        <v>340.1893</v>
      </c>
      <c r="Q40" s="52"/>
    </row>
    <row r="41" spans="1:17" s="2" customFormat="1" ht="12.75" customHeight="1" x14ac:dyDescent="0.25">
      <c r="A41" s="25"/>
      <c r="B41" s="26"/>
      <c r="C41" s="26"/>
      <c r="D41" s="332"/>
      <c r="E41" s="333"/>
      <c r="F41" s="26"/>
      <c r="G41" s="26"/>
      <c r="H41" s="322"/>
      <c r="I41" s="323"/>
      <c r="J41" s="27"/>
      <c r="K41" s="27"/>
      <c r="L41" s="27"/>
      <c r="M41" s="28"/>
      <c r="N41" s="29"/>
      <c r="O41" s="29"/>
      <c r="P41" s="148"/>
      <c r="Q41" s="149"/>
    </row>
    <row r="42" spans="1:17" s="2" customFormat="1" ht="12.75" customHeight="1" x14ac:dyDescent="0.25">
      <c r="A42" s="4">
        <v>501</v>
      </c>
      <c r="B42" s="2">
        <v>4</v>
      </c>
      <c r="C42" s="122" t="s">
        <v>108</v>
      </c>
      <c r="D42" s="325"/>
      <c r="E42" s="326"/>
      <c r="F42" s="108">
        <f>VLOOKUP(C42,Bolts!A:L,5,0)</f>
        <v>0</v>
      </c>
      <c r="G42" s="108">
        <f>VLOOKUP(C42,Bolts!A:L,6,0)</f>
        <v>0</v>
      </c>
      <c r="H42" s="108">
        <f>VLOOKUP(C42,Bolts!A:L,7,0)</f>
        <v>0</v>
      </c>
      <c r="I42" s="109"/>
      <c r="J42" s="46">
        <f>VLOOKUP(C42,Bolts!A:L,8,0)</f>
        <v>0</v>
      </c>
      <c r="K42" s="46">
        <f>VLOOKUP(C42,Bolts!A:L,9,0)</f>
        <v>0</v>
      </c>
      <c r="L42" s="46">
        <f>VLOOKUP(C42,Bolts!A:L,10,0)</f>
        <v>0</v>
      </c>
      <c r="M42" s="46">
        <f>VLOOKUP(C42,Bolts!A:L,11,0)</f>
        <v>0</v>
      </c>
      <c r="N42" s="130">
        <f>VLOOKUP(C42,Bolts!A:L,12,0)</f>
        <v>0</v>
      </c>
      <c r="O42" s="47">
        <f t="shared" ref="O42:O52" ca="1" si="27">B42*$L$2</f>
        <v>8</v>
      </c>
      <c r="P42" s="51">
        <f>VLOOKUP(C42,Bolts!A:B,2,FALSE)</f>
        <v>0</v>
      </c>
      <c r="Q42" s="52">
        <f t="shared" ref="Q42:Q52" si="28">B42*P42</f>
        <v>0</v>
      </c>
    </row>
    <row r="43" spans="1:17" s="2" customFormat="1" ht="12.75" customHeight="1" x14ac:dyDescent="0.25">
      <c r="A43" s="4">
        <v>502</v>
      </c>
      <c r="B43" s="2">
        <v>4</v>
      </c>
      <c r="C43" s="122" t="s">
        <v>176</v>
      </c>
      <c r="D43" s="325"/>
      <c r="E43" s="326"/>
      <c r="F43" s="108" t="str">
        <f>VLOOKUP(C43,Bolts!A:L,5,0)</f>
        <v xml:space="preserve"> </v>
      </c>
      <c r="G43" s="108" t="str">
        <f>VLOOKUP(C43,Bolts!A:L,6,0)</f>
        <v xml:space="preserve"> 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t="shared" ca="1" si="27"/>
        <v>8</v>
      </c>
      <c r="P43" s="51">
        <f>VLOOKUP(C43,Bolts!A:B,2,FALSE)</f>
        <v>0</v>
      </c>
      <c r="Q43" s="52">
        <f t="shared" si="28"/>
        <v>0</v>
      </c>
    </row>
    <row r="44" spans="1:17" s="2" customFormat="1" ht="12.75" customHeight="1" x14ac:dyDescent="0.25">
      <c r="A44" s="4">
        <v>503</v>
      </c>
      <c r="B44" s="2">
        <v>2</v>
      </c>
      <c r="C44" s="122" t="s">
        <v>309</v>
      </c>
      <c r="D44" s="325"/>
      <c r="E44" s="326"/>
      <c r="F44" s="108">
        <f>VLOOKUP(C44,Bolts!A:L,5,0)</f>
        <v>0</v>
      </c>
      <c r="G44" s="108">
        <f>VLOOKUP(C44,Bolts!A:L,6,0)</f>
        <v>0</v>
      </c>
      <c r="H44" s="108">
        <f>VLOOKUP(C44,Bolts!A:L,7,0)</f>
        <v>0</v>
      </c>
      <c r="I44" s="109"/>
      <c r="J44" s="46">
        <f>VLOOKUP(C44,Bolts!A:L,8,0)</f>
        <v>0</v>
      </c>
      <c r="K44" s="46">
        <f>VLOOKUP(C44,Bolts!A:L,9,0)</f>
        <v>0</v>
      </c>
      <c r="L44" s="46">
        <f>VLOOKUP(C44,Bolts!A:L,10,0)</f>
        <v>0</v>
      </c>
      <c r="M44" s="46">
        <f>VLOOKUP(C44,Bolts!A:L,11,0)</f>
        <v>0</v>
      </c>
      <c r="N44" s="130">
        <f>VLOOKUP(C44,Bolts!A:L,12,0)</f>
        <v>0</v>
      </c>
      <c r="O44" s="47">
        <f t="shared" ca="1" si="27"/>
        <v>4</v>
      </c>
      <c r="P44" s="51">
        <f>VLOOKUP(C44,Bolts!A:B,2,FALSE)</f>
        <v>0</v>
      </c>
      <c r="Q44" s="52">
        <f t="shared" si="28"/>
        <v>0</v>
      </c>
    </row>
    <row r="45" spans="1:17" s="2" customFormat="1" ht="12.75" customHeight="1" x14ac:dyDescent="0.25">
      <c r="A45" s="4">
        <v>504</v>
      </c>
      <c r="B45" s="2">
        <v>8</v>
      </c>
      <c r="C45" s="122" t="s">
        <v>180</v>
      </c>
      <c r="D45" s="325"/>
      <c r="E45" s="326"/>
      <c r="F45" s="108">
        <f>VLOOKUP(C45,Bolts!A:L,5,0)</f>
        <v>0</v>
      </c>
      <c r="G45" s="108">
        <f>VLOOKUP(C45,Bolts!A:L,6,0)</f>
        <v>0</v>
      </c>
      <c r="H45" s="108">
        <f>VLOOKUP(C45,Bolts!A:L,7,0)</f>
        <v>0</v>
      </c>
      <c r="I45" s="109"/>
      <c r="J45" s="46">
        <f>VLOOKUP(C45,Bolts!A:L,8,0)</f>
        <v>0</v>
      </c>
      <c r="K45" s="46">
        <f>VLOOKUP(C45,Bolts!A:L,9,0)</f>
        <v>0</v>
      </c>
      <c r="L45" s="46">
        <f>VLOOKUP(C45,Bolts!A:L,10,0)</f>
        <v>0</v>
      </c>
      <c r="M45" s="46">
        <f>VLOOKUP(C45,Bolts!A:L,11,0)</f>
        <v>0</v>
      </c>
      <c r="N45" s="130">
        <f>VLOOKUP(C45,Bolts!A:L,12,0)</f>
        <v>0</v>
      </c>
      <c r="O45" s="47">
        <f t="shared" ca="1" si="27"/>
        <v>16</v>
      </c>
      <c r="P45" s="51">
        <f>VLOOKUP(C45,Bolts!A:B,2,FALSE)</f>
        <v>0</v>
      </c>
      <c r="Q45" s="52">
        <f t="shared" si="28"/>
        <v>0</v>
      </c>
    </row>
    <row r="46" spans="1:17" s="2" customFormat="1" ht="12.75" customHeight="1" x14ac:dyDescent="0.25">
      <c r="A46" s="4">
        <v>505</v>
      </c>
      <c r="B46" s="2">
        <v>20</v>
      </c>
      <c r="C46" s="122" t="s">
        <v>310</v>
      </c>
      <c r="D46" s="325"/>
      <c r="E46" s="326"/>
      <c r="F46" s="108">
        <f>VLOOKUP(C46,Bolts!A:L,5,0)</f>
        <v>0</v>
      </c>
      <c r="G46" s="108">
        <f>VLOOKUP(C46,Bolts!A:L,6,0)</f>
        <v>0</v>
      </c>
      <c r="H46" s="108">
        <f>VLOOKUP(C46,Bolts!A:L,7,0)</f>
        <v>0</v>
      </c>
      <c r="I46" s="109"/>
      <c r="J46" s="46">
        <f>VLOOKUP(C46,Bolts!A:L,8,0)</f>
        <v>0</v>
      </c>
      <c r="K46" s="46">
        <f>VLOOKUP(C46,Bolts!A:L,9,0)</f>
        <v>0</v>
      </c>
      <c r="L46" s="46">
        <f>VLOOKUP(C46,Bolts!A:L,10,0)</f>
        <v>0</v>
      </c>
      <c r="M46" s="46">
        <f>VLOOKUP(C46,Bolts!A:L,11,0)</f>
        <v>0</v>
      </c>
      <c r="N46" s="130">
        <f>VLOOKUP(C46,Bolts!A:L,12,0)</f>
        <v>0</v>
      </c>
      <c r="O46" s="47">
        <f t="shared" ca="1" si="27"/>
        <v>40</v>
      </c>
      <c r="P46" s="51">
        <f>VLOOKUP(C46,Bolts!A:B,2,FALSE)</f>
        <v>0</v>
      </c>
      <c r="Q46" s="52">
        <f t="shared" si="28"/>
        <v>0</v>
      </c>
    </row>
    <row r="47" spans="1:17" s="2" customFormat="1" ht="12.75" customHeight="1" x14ac:dyDescent="0.25">
      <c r="A47" s="4">
        <v>506</v>
      </c>
      <c r="B47" s="2">
        <v>16</v>
      </c>
      <c r="C47" s="122" t="s">
        <v>311</v>
      </c>
      <c r="D47" s="325"/>
      <c r="E47" s="326"/>
      <c r="F47" s="108">
        <f>VLOOKUP(C47,Bolts!A:L,5,0)</f>
        <v>0</v>
      </c>
      <c r="G47" s="108">
        <f>VLOOKUP(C47,Bolts!A:L,6,0)</f>
        <v>0</v>
      </c>
      <c r="H47" s="108">
        <f>VLOOKUP(C47,Bolts!A:L,7,0)</f>
        <v>0</v>
      </c>
      <c r="I47" s="109"/>
      <c r="J47" s="46">
        <f>VLOOKUP(C47,Bolts!A:L,8,0)</f>
        <v>0</v>
      </c>
      <c r="K47" s="46">
        <f>VLOOKUP(C47,Bolts!A:L,9,0)</f>
        <v>0</v>
      </c>
      <c r="L47" s="46">
        <f>VLOOKUP(C47,Bolts!A:L,10,0)</f>
        <v>0</v>
      </c>
      <c r="M47" s="46">
        <f>VLOOKUP(C47,Bolts!A:L,11,0)</f>
        <v>0</v>
      </c>
      <c r="N47" s="130">
        <f>VLOOKUP(C47,Bolts!A:L,12,0)</f>
        <v>0</v>
      </c>
      <c r="O47" s="47">
        <f t="shared" ca="1" si="27"/>
        <v>32</v>
      </c>
      <c r="P47" s="51">
        <f>VLOOKUP(C47,Bolts!A:B,2,FALSE)</f>
        <v>0</v>
      </c>
      <c r="Q47" s="52">
        <f t="shared" si="28"/>
        <v>0</v>
      </c>
    </row>
    <row r="48" spans="1:17" s="2" customFormat="1" ht="12.75" customHeight="1" x14ac:dyDescent="0.25">
      <c r="A48" s="4">
        <v>507</v>
      </c>
      <c r="B48" s="2">
        <v>8</v>
      </c>
      <c r="C48" s="122" t="s">
        <v>264</v>
      </c>
      <c r="D48" s="325"/>
      <c r="E48" s="326"/>
      <c r="F48" s="108">
        <f>VLOOKUP(C48,Bolts!A:L,5,0)</f>
        <v>0</v>
      </c>
      <c r="G48" s="108">
        <f>VLOOKUP(C48,Bolts!A:L,6,0)</f>
        <v>0</v>
      </c>
      <c r="H48" s="108">
        <f>VLOOKUP(C48,Bolts!A:L,7,0)</f>
        <v>0</v>
      </c>
      <c r="I48" s="109"/>
      <c r="J48" s="46">
        <f>VLOOKUP(C48,Bolts!A:L,8,0)</f>
        <v>0</v>
      </c>
      <c r="K48" s="46">
        <f>VLOOKUP(C48,Bolts!A:L,9,0)</f>
        <v>0</v>
      </c>
      <c r="L48" s="46">
        <f>VLOOKUP(C48,Bolts!A:L,10,0)</f>
        <v>0</v>
      </c>
      <c r="M48" s="46">
        <f>VLOOKUP(C48,Bolts!A:L,11,0)</f>
        <v>0</v>
      </c>
      <c r="N48" s="130">
        <f>VLOOKUP(C48,Bolts!A:L,12,0)</f>
        <v>0</v>
      </c>
      <c r="O48" s="47">
        <f t="shared" ca="1" si="27"/>
        <v>16</v>
      </c>
      <c r="P48" s="51">
        <f>VLOOKUP(C48,Bolts!A:B,2,FALSE)</f>
        <v>0</v>
      </c>
      <c r="Q48" s="52">
        <f t="shared" si="28"/>
        <v>0</v>
      </c>
    </row>
    <row r="49" spans="1:17" s="2" customFormat="1" ht="12.75" customHeight="1" x14ac:dyDescent="0.25">
      <c r="A49" s="4">
        <v>508</v>
      </c>
      <c r="B49" s="2">
        <v>8</v>
      </c>
      <c r="C49" s="122" t="s">
        <v>269</v>
      </c>
      <c r="D49" s="325"/>
      <c r="E49" s="326"/>
      <c r="F49" s="108">
        <f>VLOOKUP(C49,Bolts!A:L,5,0)</f>
        <v>0</v>
      </c>
      <c r="G49" s="108">
        <f>VLOOKUP(C49,Bolts!A:L,6,0)</f>
        <v>0</v>
      </c>
      <c r="H49" s="108">
        <f>VLOOKUP(C49,Bolts!A:L,7,0)</f>
        <v>0</v>
      </c>
      <c r="I49" s="109"/>
      <c r="J49" s="46">
        <f>VLOOKUP(C49,Bolts!A:L,8,0)</f>
        <v>0</v>
      </c>
      <c r="K49" s="46">
        <f>VLOOKUP(C49,Bolts!A:L,9,0)</f>
        <v>0</v>
      </c>
      <c r="L49" s="46">
        <f>VLOOKUP(C49,Bolts!A:L,10,0)</f>
        <v>0</v>
      </c>
      <c r="M49" s="46">
        <f>VLOOKUP(C49,Bolts!A:L,11,0)</f>
        <v>0</v>
      </c>
      <c r="N49" s="130">
        <f>VLOOKUP(C49,Bolts!A:L,12,0)</f>
        <v>0</v>
      </c>
      <c r="O49" s="47">
        <f t="shared" ca="1" si="27"/>
        <v>16</v>
      </c>
      <c r="P49" s="51">
        <f>VLOOKUP(C49,Bolts!A:B,2,FALSE)</f>
        <v>0</v>
      </c>
      <c r="Q49" s="52">
        <f t="shared" si="28"/>
        <v>0</v>
      </c>
    </row>
    <row r="50" spans="1:17" s="2" customFormat="1" ht="12.75" customHeight="1" x14ac:dyDescent="0.25">
      <c r="A50" s="4">
        <v>509</v>
      </c>
      <c r="B50" s="2">
        <v>4</v>
      </c>
      <c r="C50" s="122" t="s">
        <v>188</v>
      </c>
      <c r="D50" s="325"/>
      <c r="E50" s="326"/>
      <c r="F50" s="108">
        <f>VLOOKUP(C50,Bolts!A:L,5,0)</f>
        <v>0</v>
      </c>
      <c r="G50" s="108">
        <f>VLOOKUP(C50,Bolts!A:L,6,0)</f>
        <v>0</v>
      </c>
      <c r="H50" s="108">
        <f>VLOOKUP(C50,Bolts!A:L,7,0)</f>
        <v>0</v>
      </c>
      <c r="I50" s="109"/>
      <c r="J50" s="46">
        <f>VLOOKUP(C50,Bolts!A:L,8,0)</f>
        <v>0</v>
      </c>
      <c r="K50" s="46">
        <f>VLOOKUP(C50,Bolts!A:L,9,0)</f>
        <v>0</v>
      </c>
      <c r="L50" s="46">
        <f>VLOOKUP(C50,Bolts!A:L,10,0)</f>
        <v>0</v>
      </c>
      <c r="M50" s="46">
        <f>VLOOKUP(C50,Bolts!A:L,11,0)</f>
        <v>0</v>
      </c>
      <c r="N50" s="130">
        <f>VLOOKUP(C50,Bolts!A:L,12,0)</f>
        <v>0</v>
      </c>
      <c r="O50" s="47">
        <f t="shared" ca="1" si="27"/>
        <v>8</v>
      </c>
      <c r="P50" s="51">
        <f>VLOOKUP(C50,Bolts!A:B,2,FALSE)</f>
        <v>0</v>
      </c>
      <c r="Q50" s="52">
        <f t="shared" si="28"/>
        <v>0</v>
      </c>
    </row>
    <row r="51" spans="1:17" s="2" customFormat="1" ht="12.75" customHeight="1" x14ac:dyDescent="0.25">
      <c r="A51" s="4">
        <v>510</v>
      </c>
      <c r="B51" s="2">
        <v>4</v>
      </c>
      <c r="C51" s="122" t="s">
        <v>312</v>
      </c>
      <c r="D51" s="325"/>
      <c r="E51" s="326"/>
      <c r="F51" s="108" t="str">
        <f>VLOOKUP(C51,Bolts!A:L,5,0)</f>
        <v xml:space="preserve"> </v>
      </c>
      <c r="G51" s="108" t="str">
        <f>VLOOKUP(C51,Bolts!A:L,6,0)</f>
        <v xml:space="preserve"> </v>
      </c>
      <c r="H51" s="108">
        <f>VLOOKUP(C51,Bolts!A:L,7,0)</f>
        <v>0</v>
      </c>
      <c r="I51" s="109"/>
      <c r="J51" s="46">
        <f>VLOOKUP(C51,Bolts!A:L,8,0)</f>
        <v>0</v>
      </c>
      <c r="K51" s="46">
        <f>VLOOKUP(C51,Bolts!A:L,9,0)</f>
        <v>0</v>
      </c>
      <c r="L51" s="46">
        <f>VLOOKUP(C51,Bolts!A:L,10,0)</f>
        <v>0</v>
      </c>
      <c r="M51" s="46">
        <f>VLOOKUP(C51,Bolts!A:L,11,0)</f>
        <v>0</v>
      </c>
      <c r="N51" s="130">
        <f>VLOOKUP(C51,Bolts!A:L,12,0)</f>
        <v>0</v>
      </c>
      <c r="O51" s="47">
        <f t="shared" ca="1" si="27"/>
        <v>8</v>
      </c>
      <c r="P51" s="51">
        <f>VLOOKUP(C51,Bolts!A:B,2,FALSE)</f>
        <v>0</v>
      </c>
      <c r="Q51" s="52">
        <f t="shared" si="28"/>
        <v>0</v>
      </c>
    </row>
    <row r="52" spans="1:17" s="2" customFormat="1" ht="12.75" customHeight="1" thickBot="1" x14ac:dyDescent="0.3">
      <c r="A52" s="4">
        <v>511</v>
      </c>
      <c r="B52" s="2">
        <v>8</v>
      </c>
      <c r="C52" s="122" t="s">
        <v>313</v>
      </c>
      <c r="D52" s="325"/>
      <c r="E52" s="326"/>
      <c r="F52" s="108">
        <f>VLOOKUP(C52,Bolts!A:L,5,0)</f>
        <v>0</v>
      </c>
      <c r="G52" s="108">
        <f>VLOOKUP(C52,Bolts!A:L,6,0)</f>
        <v>0</v>
      </c>
      <c r="H52" s="108">
        <f>VLOOKUP(C52,Bolts!A:L,7,0)</f>
        <v>0</v>
      </c>
      <c r="I52" s="109"/>
      <c r="J52" s="46">
        <f>VLOOKUP(C52,Bolts!A:L,8,0)</f>
        <v>0</v>
      </c>
      <c r="K52" s="46">
        <f>VLOOKUP(C52,Bolts!A:L,9,0)</f>
        <v>0</v>
      </c>
      <c r="L52" s="46">
        <f>VLOOKUP(C52,Bolts!A:L,10,0)</f>
        <v>0</v>
      </c>
      <c r="M52" s="46">
        <f>VLOOKUP(C52,Bolts!A:L,11,0)</f>
        <v>0</v>
      </c>
      <c r="N52" s="130">
        <f>VLOOKUP(C52,Bolts!A:L,12,0)</f>
        <v>0</v>
      </c>
      <c r="O52" s="47">
        <f t="shared" ca="1" si="27"/>
        <v>16</v>
      </c>
      <c r="P52" s="51">
        <f>VLOOKUP(C52,Bolts!A:B,2,FALSE)</f>
        <v>0</v>
      </c>
      <c r="Q52" s="52">
        <f t="shared" si="28"/>
        <v>0</v>
      </c>
    </row>
    <row r="53" spans="1:17" s="2" customFormat="1" ht="12" customHeight="1" thickBot="1" x14ac:dyDescent="0.3">
      <c r="A53" s="34"/>
      <c r="B53" s="35"/>
      <c r="C53" s="35"/>
      <c r="D53" s="316"/>
      <c r="E53" s="317"/>
      <c r="F53" s="35"/>
      <c r="G53" s="35"/>
      <c r="H53" s="309"/>
      <c r="I53" s="310"/>
      <c r="J53" s="36"/>
      <c r="K53" s="36"/>
      <c r="L53" s="36"/>
      <c r="M53" s="37"/>
      <c r="N53" s="132"/>
      <c r="O53" s="38"/>
      <c r="P53" s="99" t="s">
        <v>43</v>
      </c>
      <c r="Q53" s="104">
        <f>SUM(Q5:Q52)</f>
        <v>13250.032899999997</v>
      </c>
    </row>
    <row r="54" spans="1:17" s="2" customFormat="1" ht="12" customHeight="1" x14ac:dyDescent="0.2">
      <c r="D54" s="21"/>
      <c r="E54" s="21"/>
      <c r="J54" s="8"/>
      <c r="K54" s="8"/>
      <c r="L54" s="8"/>
      <c r="M54" s="8"/>
      <c r="N54" s="131"/>
      <c r="O54" s="5"/>
      <c r="P54" s="98"/>
      <c r="Q54" s="105"/>
    </row>
  </sheetData>
  <sheetProtection selectLockedCells="1"/>
  <mergeCells count="89">
    <mergeCell ref="D35:E35"/>
    <mergeCell ref="H35:I35"/>
    <mergeCell ref="D50:E50"/>
    <mergeCell ref="D42:E42"/>
    <mergeCell ref="D43:E43"/>
    <mergeCell ref="D44:E44"/>
    <mergeCell ref="D49:E49"/>
    <mergeCell ref="D45:E45"/>
    <mergeCell ref="D46:E46"/>
    <mergeCell ref="D47:E47"/>
    <mergeCell ref="D48:E48"/>
    <mergeCell ref="D37:E37"/>
    <mergeCell ref="H37:I37"/>
    <mergeCell ref="D38:E38"/>
    <mergeCell ref="H38:I38"/>
    <mergeCell ref="D39:E39"/>
    <mergeCell ref="D27:E27"/>
    <mergeCell ref="H27:I27"/>
    <mergeCell ref="D29:E29"/>
    <mergeCell ref="H29:I29"/>
    <mergeCell ref="D32:E32"/>
    <mergeCell ref="H32:I32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19:E19"/>
    <mergeCell ref="H19:I19"/>
    <mergeCell ref="D20:E20"/>
    <mergeCell ref="H20:I20"/>
    <mergeCell ref="D53:E53"/>
    <mergeCell ref="H53:I53"/>
    <mergeCell ref="D36:E36"/>
    <mergeCell ref="H36:I36"/>
    <mergeCell ref="D41:E41"/>
    <mergeCell ref="H41:I41"/>
    <mergeCell ref="D52:E52"/>
    <mergeCell ref="D51:E51"/>
    <mergeCell ref="H39:I39"/>
    <mergeCell ref="D40:E40"/>
    <mergeCell ref="H40:I40"/>
    <mergeCell ref="D24:E24"/>
    <mergeCell ref="H24:I24"/>
    <mergeCell ref="D34:E34"/>
    <mergeCell ref="H34:I34"/>
    <mergeCell ref="D33:E33"/>
    <mergeCell ref="H33:I33"/>
    <mergeCell ref="D25:E25"/>
    <mergeCell ref="H25:I25"/>
    <mergeCell ref="D30:E30"/>
    <mergeCell ref="H30:I30"/>
    <mergeCell ref="D31:E31"/>
    <mergeCell ref="H31:I31"/>
    <mergeCell ref="D28:E28"/>
    <mergeCell ref="H28:I28"/>
    <mergeCell ref="D26:E26"/>
    <mergeCell ref="H26:I26"/>
    <mergeCell ref="D21:E21"/>
    <mergeCell ref="H21:I21"/>
    <mergeCell ref="D22:E22"/>
    <mergeCell ref="H22:I22"/>
    <mergeCell ref="D23:E23"/>
    <mergeCell ref="H23:I23"/>
    <mergeCell ref="D11:E11"/>
    <mergeCell ref="H11:I11"/>
    <mergeCell ref="D8:E8"/>
    <mergeCell ref="H8:I8"/>
    <mergeCell ref="D1:E1"/>
    <mergeCell ref="D4:E4"/>
    <mergeCell ref="H4:I4"/>
    <mergeCell ref="D9:E9"/>
    <mergeCell ref="H9:I9"/>
    <mergeCell ref="D7:E7"/>
    <mergeCell ref="H7:I7"/>
    <mergeCell ref="D5:E5"/>
    <mergeCell ref="H5:I5"/>
    <mergeCell ref="D6:E6"/>
    <mergeCell ref="H6:I6"/>
    <mergeCell ref="D10:E10"/>
  </mergeCells>
  <phoneticPr fontId="8" type="noConversion"/>
  <conditionalFormatting sqref="M11 M23 M41:M52">
    <cfRule type="cellIs" dxfId="1948" priority="35" stopIfTrue="1" operator="lessThanOrEqual">
      <formula>$L11</formula>
    </cfRule>
    <cfRule type="cellIs" dxfId="1947" priority="36" operator="greaterThan">
      <formula>L11</formula>
    </cfRule>
  </conditionalFormatting>
  <conditionalFormatting sqref="M24:M36">
    <cfRule type="cellIs" dxfId="1946" priority="7" stopIfTrue="1" operator="lessThanOrEqual">
      <formula>$L24</formula>
    </cfRule>
    <cfRule type="cellIs" dxfId="1945" priority="8" operator="greaterThan">
      <formula>L24</formula>
    </cfRule>
  </conditionalFormatting>
  <conditionalFormatting sqref="M37">
    <cfRule type="cellIs" dxfId="1944" priority="5" stopIfTrue="1" operator="lessThanOrEqual">
      <formula>$L37</formula>
    </cfRule>
    <cfRule type="cellIs" dxfId="1943" priority="6" operator="greaterThan">
      <formula>L37</formula>
    </cfRule>
  </conditionalFormatting>
  <conditionalFormatting sqref="M38">
    <cfRule type="cellIs" dxfId="1942" priority="3" stopIfTrue="1" operator="lessThanOrEqual">
      <formula>$L38</formula>
    </cfRule>
    <cfRule type="cellIs" dxfId="1941" priority="4" operator="greaterThan">
      <formula>L38</formula>
    </cfRule>
  </conditionalFormatting>
  <conditionalFormatting sqref="M39:M40">
    <cfRule type="cellIs" dxfId="1940" priority="1" stopIfTrue="1" operator="lessThanOrEqual">
      <formula>$L39</formula>
    </cfRule>
    <cfRule type="cellIs" dxfId="1939" priority="2" operator="greaterThan">
      <formula>L39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77D7B9A-E926-48DD-8A46-F37D42E262CF}">
          <x14:formula1>
            <xm:f>Bolts!$A:$A</xm:f>
          </x14:formula1>
          <xm:sqref>C41:C51</xm:sqref>
        </x14:dataValidation>
        <x14:dataValidation type="list" allowBlank="1" showInputMessage="1" showErrorMessage="1" xr:uid="{118DB7BE-1840-4800-8CCE-88AEFCA3DE29}">
          <x14:formula1>
            <xm:f>Assemblies!$E:$E</xm:f>
          </x14:formula1>
          <xm:sqref>C5:C10</xm:sqref>
        </x14:dataValidation>
        <x14:dataValidation type="list" allowBlank="1" showInputMessage="1" showErrorMessage="1" xr:uid="{D3263625-A955-41D3-9A58-99941AB92091}">
          <x14:formula1>
            <xm:f>Machined!$C:$C</xm:f>
          </x14:formula1>
          <xm:sqref>C11:C22</xm:sqref>
        </x14:dataValidation>
        <x14:dataValidation type="list" allowBlank="1" showInputMessage="1" showErrorMessage="1" xr:uid="{E9837F65-28FB-4797-8A87-91B6C19635F8}">
          <x14:formula1>
            <xm:f>Purchased!$A:$A</xm:f>
          </x14:formula1>
          <xm:sqref>C23:C35 C37:C40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6C37A-3954-4582-93A8-656A5365BD32}">
  <sheetPr codeName="Sheet42">
    <tabColor theme="6" tint="0.59999389629810485"/>
    <pageSetUpPr fitToPage="1"/>
  </sheetPr>
  <dimension ref="A1:Q12"/>
  <sheetViews>
    <sheetView zoomScale="115" zoomScaleNormal="115" workbookViewId="0">
      <selection sqref="A1:O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'1.3'!C5</f>
        <v>PG10.1.3.1.0.A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5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'1.3'!D5</f>
        <v>Solid Driven Nip Assy</v>
      </c>
      <c r="D3" s="85" t="s">
        <v>50</v>
      </c>
      <c r="E3" s="86" t="str">
        <f ca="1">MID(CELL("filename",A1),FIND("]",CELL("filename",A1))+1,256)</f>
        <v>1.3.1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314</v>
      </c>
      <c r="D5" s="314" t="str">
        <f>VLOOKUP(C5,Machined!C:X,2,0)</f>
        <v>SOLID DRIVEN NIP ROLLER</v>
      </c>
      <c r="E5" s="329"/>
      <c r="F5" s="107" t="str">
        <f>VLOOKUP($C5,Machined!C:Z,13,0)</f>
        <v>AISI 1020 STEEL, COLD ROLLED</v>
      </c>
      <c r="G5" s="44" t="str">
        <f>IF(VLOOKUP($C5,Machined!C:Z,16,0) = 0, " ", VLOOKUP($C5,Machined!C:Z,16,0))</f>
        <v>Flare Precision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AISI 1020 STEEL, COLD ROLLED</v>
      </c>
      <c r="J5" s="44">
        <f>IF(VLOOKUP($C5,Machined!C:Z,18,0) = 0, " ", VLOOKUP($C5,Machined!C:Z,18,0))</f>
        <v>45413</v>
      </c>
      <c r="K5" s="44">
        <f>IF(VLOOKUP($C5,Machined!C:Z,19,0) = 0, " ", VLOOKUP($C5,Machined!C:Z,19,0))</f>
        <v>45442</v>
      </c>
      <c r="L5" s="44">
        <f>IF(VLOOKUP($C5,Machined!C:Z,20,0) = 0, " ", VLOOKUP($C5,Machined!C:Z,20,0))</f>
        <v>45519</v>
      </c>
      <c r="M5" s="44">
        <f>IF(VLOOKUP($C5,Machined!C:Z,21,0) = 0, " ", VLOOKUP($C5,Machined!C:Z,21,0))</f>
        <v>45541</v>
      </c>
      <c r="N5" s="129">
        <f>IF(VLOOKUP($C5,Machined!C:Z,22,0) = 0, " ", VLOOKUP($C5,Machined!C:Z,22,0))</f>
        <v>55526</v>
      </c>
      <c r="O5" s="45">
        <f ca="1">B5*$L$2</f>
        <v>5</v>
      </c>
      <c r="P5" s="49">
        <f>VLOOKUP(C5,Machined!C:F,3,0)</f>
        <v>1995</v>
      </c>
      <c r="Q5" s="50">
        <f>B5*P5</f>
        <v>1995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x14ac:dyDescent="0.25">
      <c r="A7" s="4">
        <v>301</v>
      </c>
      <c r="B7" s="2">
        <v>1.6</v>
      </c>
      <c r="C7" s="135" t="s">
        <v>315</v>
      </c>
      <c r="D7" s="325" t="str">
        <f>VLOOKUP(C7,Purchased!A:B,2,0)</f>
        <v>Gates prod num 78581708 taper-lock bushings 1.5in bore</v>
      </c>
      <c r="E7" s="326"/>
      <c r="F7" s="108" t="str">
        <f>IF(VLOOKUP($C7,Purchased!A:Z,11,0) = 0, " ", VLOOKUP($C7,Purchased!A:Z,11,0))</f>
        <v>Gates</v>
      </c>
      <c r="G7" s="108" t="str">
        <f>IF(VLOOKUP($C7,Purchased!A:Z,12,0)=0, " ", VLOOKUP($C7,Purchased!A:Z,12,0))</f>
        <v>BDI</v>
      </c>
      <c r="H7" s="327" t="str">
        <f>IF(VLOOKUP($C7,Purchased!A:Z,13,0)=0, " ", VLOOKUP($C7,Purchased!A:Z,13,0))</f>
        <v>Part # 1096412</v>
      </c>
      <c r="I7" s="328"/>
      <c r="J7" s="46">
        <f>IF(VLOOKUP($C7,Purchased!A:Z,14,0)=0, " ", VLOOKUP($C7,Purchased!A:Z,14,0))</f>
        <v>45456</v>
      </c>
      <c r="K7" s="46">
        <f>IF(VLOOKUP(C7,Purchased!A:R,14,0)=0, " ", VLOOKUP(C7,Purchased!A:R,14,0))</f>
        <v>45456</v>
      </c>
      <c r="L7" s="46">
        <f>IF(VLOOKUP(C7,Purchased!A:R,15,0)=0, " ", VLOOKUP(C7,Purchased!A:R,15,0))</f>
        <v>45456</v>
      </c>
      <c r="M7" s="46">
        <f>IF(VLOOKUP(C7,Purchased!A:R,16,0)=0, " ",VLOOKUP(C7,Purchased!A:R,16,0))</f>
        <v>45468</v>
      </c>
      <c r="N7" s="130">
        <f>IF(VLOOKUP(C7,Purchased!A:R,17,0)=0, " ", VLOOKUP(C7,Purchased!A:R,17,0))</f>
        <v>45468</v>
      </c>
      <c r="O7" s="47">
        <f t="shared" ref="O7" ca="1" si="0">B7*$L$2</f>
        <v>8</v>
      </c>
      <c r="P7" s="51">
        <f>VLOOKUP(C7,Purchased!A:D,3,FALSE)</f>
        <v>19.52</v>
      </c>
      <c r="Q7" s="52">
        <f t="shared" ref="Q7" si="1">B7*P7</f>
        <v>31.231999999999999</v>
      </c>
    </row>
    <row r="8" spans="1:17" s="2" customFormat="1" x14ac:dyDescent="0.25">
      <c r="A8" s="4">
        <v>302</v>
      </c>
      <c r="B8" s="2">
        <v>1</v>
      </c>
      <c r="C8" s="135" t="s">
        <v>316</v>
      </c>
      <c r="D8" s="60" t="str">
        <f>VLOOKUP(C8,Purchased!A:B,2,0)</f>
        <v>Prod Num 95790014 80 tooth belt 30mm width</v>
      </c>
      <c r="E8" s="159"/>
      <c r="F8" s="108" t="str">
        <f>IF(VLOOKUP($C8,Purchased!A:Z,11,0) = 0, " ", VLOOKUP($C8,Purchased!A:Z,11,0))</f>
        <v>Gates</v>
      </c>
      <c r="G8" s="108" t="str">
        <f>IF(VLOOKUP($C8,Purchased!A:Z,12,0)=0, " ", VLOOKUP($C8,Purchased!A:Z,12,0))</f>
        <v>BDI</v>
      </c>
      <c r="H8" s="327" t="str">
        <f>IF(VLOOKUP($C8,Purchased!A:Z,13,0)=0, " ", VLOOKUP($C8,Purchased!A:Z,13,0))</f>
        <v>1 More PO 55766, Part #  20102497</v>
      </c>
      <c r="I8" s="328"/>
      <c r="J8" s="46">
        <f>IF(VLOOKUP($C8,Purchased!A:Z,14,0)=0, " ", VLOOKUP($C8,Purchased!A:Z,14,0))</f>
        <v>45456</v>
      </c>
      <c r="K8" s="46">
        <f>IF(VLOOKUP(C8,Purchased!A:R,14,0)=0, " ", VLOOKUP(C8,Purchased!A:R,14,0))</f>
        <v>45456</v>
      </c>
      <c r="L8" s="46">
        <f>IF(VLOOKUP(C8,Purchased!A:R,15,0)=0, " ", VLOOKUP(C8,Purchased!A:R,15,0))</f>
        <v>45456</v>
      </c>
      <c r="M8" s="46">
        <f>IF(VLOOKUP(C8,Purchased!A:R,16,0)=0, " ",VLOOKUP(C8,Purchased!A:R,16,0))</f>
        <v>45468</v>
      </c>
      <c r="N8" s="130">
        <f>IF(VLOOKUP(C8,Purchased!A:R,17,0)=0, " ", VLOOKUP(C8,Purchased!A:R,17,0))</f>
        <v>45468</v>
      </c>
      <c r="O8" s="47">
        <f t="shared" ref="O8:O10" ca="1" si="2">B8*$L$2</f>
        <v>5</v>
      </c>
      <c r="P8" s="51">
        <f>VLOOKUP(C8,Purchased!A:D,3,FALSE)</f>
        <v>40.83</v>
      </c>
      <c r="Q8" s="52">
        <f t="shared" ref="Q8:Q10" si="3">B8*P8</f>
        <v>40.83</v>
      </c>
    </row>
    <row r="9" spans="1:17" s="2" customFormat="1" x14ac:dyDescent="0.25">
      <c r="A9" s="4">
        <v>303</v>
      </c>
      <c r="B9" s="2">
        <v>1</v>
      </c>
      <c r="C9" s="135" t="s">
        <v>317</v>
      </c>
      <c r="D9" s="60" t="str">
        <f>VLOOKUP(C9,Purchased!A:B,2,0)</f>
        <v>Prod Num 77083035 30mm width sprocket</v>
      </c>
      <c r="E9" s="159"/>
      <c r="F9" s="108" t="str">
        <f>IF(VLOOKUP($C9,Purchased!A:Z,11,0) = 0, " ", VLOOKUP($C9,Purchased!A:Z,11,0))</f>
        <v>Gates</v>
      </c>
      <c r="G9" s="108" t="str">
        <f>IF(VLOOKUP($C9,Purchased!A:Z,12,0)=0, " ", VLOOKUP($C9,Purchased!A:Z,12,0))</f>
        <v>BDI</v>
      </c>
      <c r="H9" s="327" t="str">
        <f>IF(VLOOKUP($C9,Purchased!A:Z,13,0)=0, " ", VLOOKUP($C9,Purchased!A:Z,13,0))</f>
        <v>6 more PO 55766, Part #  1125656</v>
      </c>
      <c r="I9" s="328"/>
      <c r="J9" s="46">
        <f>IF(VLOOKUP($C9,Purchased!A:Z,14,0)=0, " ", VLOOKUP($C9,Purchased!A:Z,14,0))</f>
        <v>45456</v>
      </c>
      <c r="K9" s="46">
        <f>IF(VLOOKUP(C9,Purchased!A:R,14,0)=0, " ", VLOOKUP(C9,Purchased!A:R,14,0))</f>
        <v>45456</v>
      </c>
      <c r="L9" s="46">
        <f>IF(VLOOKUP(C9,Purchased!A:R,15,0)=0, " ", VLOOKUP(C9,Purchased!A:R,15,0))</f>
        <v>45456</v>
      </c>
      <c r="M9" s="46">
        <f>IF(VLOOKUP(C9,Purchased!A:R,16,0)=0, " ",VLOOKUP(C9,Purchased!A:R,16,0))</f>
        <v>45468</v>
      </c>
      <c r="N9" s="130">
        <f>IF(VLOOKUP(C9,Purchased!A:R,17,0)=0, " ", VLOOKUP(C9,Purchased!A:R,17,0))</f>
        <v>45468</v>
      </c>
      <c r="O9" s="47">
        <f t="shared" ca="1" si="2"/>
        <v>5</v>
      </c>
      <c r="P9" s="51">
        <f>VLOOKUP(C9,Purchased!A:D,3,FALSE)</f>
        <v>93.8</v>
      </c>
      <c r="Q9" s="52">
        <f t="shared" si="3"/>
        <v>93.8</v>
      </c>
    </row>
    <row r="10" spans="1:17" s="2" customFormat="1" ht="15.75" thickBot="1" x14ac:dyDescent="0.3">
      <c r="A10" s="4">
        <v>304</v>
      </c>
      <c r="B10" s="2">
        <v>0.6</v>
      </c>
      <c r="C10" s="135" t="s">
        <v>318</v>
      </c>
      <c r="D10" s="108" t="str">
        <f>VLOOKUP(C10,Purchased!A:B,2,0)</f>
        <v>78817017, Timing Pulley - 0.3750 in Pitch, 28 Tooth, 0.7500 in Belt Width</v>
      </c>
      <c r="E10" s="159"/>
      <c r="F10" s="108" t="str">
        <f>IF(VLOOKUP($C10,Purchased!A:Z,11,0) = 0, " ", VLOOKUP($C10,Purchased!A:Z,11,0))</f>
        <v>Gates</v>
      </c>
      <c r="G10" s="108" t="str">
        <f>IF(VLOOKUP($C10,Purchased!A:Z,12,0)=0, " ", VLOOKUP($C10,Purchased!A:Z,12,0))</f>
        <v>BDI</v>
      </c>
      <c r="H10" s="327" t="str">
        <f>IF(VLOOKUP($C10,Purchased!A:Z,13,0)=0, " ", VLOOKUP($C10,Purchased!A:Z,13,0))</f>
        <v>Part #  22738995</v>
      </c>
      <c r="I10" s="328"/>
      <c r="J10" s="46">
        <f>IF(VLOOKUP($C10,Purchased!A:Z,14,0)=0, " ", VLOOKUP($C10,Purchased!A:Z,14,0))</f>
        <v>45456</v>
      </c>
      <c r="K10" s="46">
        <f>IF(VLOOKUP(C10,Purchased!A:R,14,0)=0, " ", VLOOKUP(C10,Purchased!A:R,14,0))</f>
        <v>45456</v>
      </c>
      <c r="L10" s="46">
        <f>IF(VLOOKUP(C10,Purchased!A:R,15,0)=0, " ", VLOOKUP(C10,Purchased!A:R,15,0))</f>
        <v>45456</v>
      </c>
      <c r="M10" s="46">
        <f>IF(VLOOKUP(C10,Purchased!A:R,16,0)=0, " ",VLOOKUP(C10,Purchased!A:R,16,0))</f>
        <v>45468</v>
      </c>
      <c r="N10" s="130">
        <f>IF(VLOOKUP(C10,Purchased!A:R,17,0)=0, " ", VLOOKUP(C10,Purchased!A:R,17,0))</f>
        <v>45468</v>
      </c>
      <c r="O10" s="47">
        <f t="shared" ca="1" si="2"/>
        <v>3</v>
      </c>
      <c r="P10" s="51">
        <f>VLOOKUP(C10,Purchased!A:D,3,FALSE)</f>
        <v>72.92</v>
      </c>
      <c r="Q10" s="52">
        <f t="shared" si="3"/>
        <v>43.752000000000002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2204.614</v>
      </c>
    </row>
    <row r="12" spans="1:17" s="2" customFormat="1" ht="12" customHeight="1" x14ac:dyDescent="0.2">
      <c r="D12" s="21"/>
      <c r="E12" s="21"/>
      <c r="J12" s="8"/>
      <c r="K12" s="8"/>
      <c r="L12" s="8"/>
      <c r="M12" s="8"/>
      <c r="N12" s="131"/>
      <c r="O12" s="5"/>
      <c r="P12" s="98"/>
      <c r="Q12" s="105"/>
    </row>
  </sheetData>
  <sheetProtection selectLockedCells="1"/>
  <mergeCells count="14">
    <mergeCell ref="D11:E11"/>
    <mergeCell ref="H11:I11"/>
    <mergeCell ref="D6:E6"/>
    <mergeCell ref="H6:I6"/>
    <mergeCell ref="D7:E7"/>
    <mergeCell ref="H7:I7"/>
    <mergeCell ref="H8:I8"/>
    <mergeCell ref="H9:I9"/>
    <mergeCell ref="H10:I10"/>
    <mergeCell ref="D1:E1"/>
    <mergeCell ref="D4:E4"/>
    <mergeCell ref="H4:I4"/>
    <mergeCell ref="D5:E5"/>
    <mergeCell ref="H5:I5"/>
  </mergeCells>
  <phoneticPr fontId="8" type="noConversion"/>
  <conditionalFormatting sqref="M6">
    <cfRule type="cellIs" dxfId="1938" priority="9" stopIfTrue="1" operator="lessThanOrEqual">
      <formula>$L6</formula>
    </cfRule>
    <cfRule type="cellIs" dxfId="1937" priority="10" operator="greaterThan">
      <formula>L6</formula>
    </cfRule>
  </conditionalFormatting>
  <conditionalFormatting sqref="M7">
    <cfRule type="cellIs" dxfId="1936" priority="7" stopIfTrue="1" operator="lessThanOrEqual">
      <formula>$L7</formula>
    </cfRule>
    <cfRule type="cellIs" dxfId="1935" priority="8" operator="greaterThan">
      <formula>L7</formula>
    </cfRule>
  </conditionalFormatting>
  <conditionalFormatting sqref="M8">
    <cfRule type="cellIs" dxfId="1934" priority="5" stopIfTrue="1" operator="lessThanOrEqual">
      <formula>$L8</formula>
    </cfRule>
    <cfRule type="cellIs" dxfId="1933" priority="6" operator="greaterThan">
      <formula>L8</formula>
    </cfRule>
  </conditionalFormatting>
  <conditionalFormatting sqref="M9">
    <cfRule type="cellIs" dxfId="1932" priority="3" stopIfTrue="1" operator="lessThanOrEqual">
      <formula>$L9</formula>
    </cfRule>
    <cfRule type="cellIs" dxfId="1931" priority="4" operator="greaterThan">
      <formula>L9</formula>
    </cfRule>
  </conditionalFormatting>
  <conditionalFormatting sqref="M10">
    <cfRule type="cellIs" dxfId="1930" priority="1" stopIfTrue="1" operator="lessThanOrEqual">
      <formula>$L10</formula>
    </cfRule>
    <cfRule type="cellIs" dxfId="1929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95BE4A4-871C-424A-889E-8C060910AA23}">
          <x14:formula1>
            <xm:f>Machined!$C:$C</xm:f>
          </x14:formula1>
          <xm:sqref>C5</xm:sqref>
        </x14:dataValidation>
        <x14:dataValidation type="list" allowBlank="1" showInputMessage="1" showErrorMessage="1" xr:uid="{653E70B2-4DB2-429C-843D-11605A052157}">
          <x14:formula1>
            <xm:f>Purchased!$A:$A</xm:f>
          </x14:formula1>
          <xm:sqref>C7:C10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772D-1827-4DB9-8544-BE993478744B}">
  <sheetPr codeName="Sheet43">
    <tabColor theme="6" tint="0.59999389629810485"/>
    <pageSetUpPr fitToPage="1"/>
  </sheetPr>
  <dimension ref="A1:Q17"/>
  <sheetViews>
    <sheetView zoomScale="115" zoomScaleNormal="115" workbookViewId="0">
      <selection activeCell="C7" sqref="C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'1.3'!C6</f>
        <v>PG10.1.3.2.0.A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5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'1.3'!D6</f>
        <v>Servo Assembly</v>
      </c>
      <c r="D3" s="85" t="s">
        <v>50</v>
      </c>
      <c r="E3" s="86" t="str">
        <f ca="1">MID(CELL("filename",A1),FIND("]",CELL("filename",A1))+1,256)</f>
        <v>1.3.2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319</v>
      </c>
      <c r="D5" s="314" t="str">
        <f>VLOOKUP(C5,Machined!C:X,2,0)</f>
        <v>Gear Box Mounting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45435</v>
      </c>
      <c r="K5" s="44">
        <f>IF(VLOOKUP($C5,Machined!C:Z,19,0) = 0, " ", VLOOKUP($C5,Machined!C:Z,19,0))</f>
        <v>45446</v>
      </c>
      <c r="L5" s="44">
        <f>IF(VLOOKUP($C5,Machined!C:Z,20,0) = 0, " ", VLOOKUP($C5,Machined!C:Z,20,0))</f>
        <v>45481</v>
      </c>
      <c r="M5" s="44">
        <f>IF(VLOOKUP($C5,Machined!C:Z,21,0) = 0, " ", VLOOKUP($C5,Machined!C:Z,21,0))</f>
        <v>45481</v>
      </c>
      <c r="N5" s="129">
        <f>IF(VLOOKUP($C5,Machined!C:Z,22,0) = 0, " ", VLOOKUP($C5,Machined!C:Z,22,0))</f>
        <v>55532</v>
      </c>
      <c r="O5" s="45">
        <f ca="1">B5*$L$2</f>
        <v>5</v>
      </c>
      <c r="P5" s="49">
        <f>VLOOKUP(C5,Machined!C:F,3,0)</f>
        <v>85.35</v>
      </c>
      <c r="Q5" s="50">
        <f>B5*P5</f>
        <v>85.35</v>
      </c>
    </row>
    <row r="6" spans="1:17" s="2" customFormat="1" ht="12.75" customHeight="1" x14ac:dyDescent="0.25">
      <c r="A6" s="77">
        <v>2</v>
      </c>
      <c r="B6" s="20">
        <v>2</v>
      </c>
      <c r="C6" s="121" t="s">
        <v>320</v>
      </c>
      <c r="D6" s="314" t="str">
        <f>VLOOKUP(C6,Machined!C:X,2,0)</f>
        <v>Gear Box Stand Off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45435</v>
      </c>
      <c r="K6" s="44">
        <f>IF(VLOOKUP($C6,Machined!C:Z,19,0) = 0, " ", VLOOKUP($C6,Machined!C:Z,19,0))</f>
        <v>45446</v>
      </c>
      <c r="L6" s="44">
        <f>IF(VLOOKUP($C6,Machined!C:Z,20,0) = 0, " ", VLOOKUP($C6,Machined!C:Z,20,0))</f>
        <v>45481</v>
      </c>
      <c r="M6" s="44">
        <f>IF(VLOOKUP($C6,Machined!C:Z,21,0) = 0, " ", VLOOKUP($C6,Machined!C:Z,21,0))</f>
        <v>45481</v>
      </c>
      <c r="N6" s="129">
        <f>IF(VLOOKUP($C6,Machined!C:Z,22,0) = 0, " ", VLOOKUP($C6,Machined!C:Z,22,0))</f>
        <v>55532</v>
      </c>
      <c r="O6" s="45">
        <f t="shared" ref="O6" ca="1" si="0">B6*$L$2</f>
        <v>10</v>
      </c>
      <c r="P6" s="49">
        <f>VLOOKUP(C6,Machined!C:F,3,0)</f>
        <v>58.5</v>
      </c>
      <c r="Q6" s="50">
        <f t="shared" ref="Q6" si="1">B6*P6</f>
        <v>117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4">
        <v>301</v>
      </c>
      <c r="B8" s="2">
        <v>1</v>
      </c>
      <c r="C8" s="135" t="s">
        <v>317</v>
      </c>
      <c r="D8" s="325" t="str">
        <f>VLOOKUP(C8,Purchased!A:B,2,0)</f>
        <v>Prod Num 77083035 30mm width sprocket</v>
      </c>
      <c r="E8" s="326"/>
      <c r="F8" s="108" t="str">
        <f>IF(VLOOKUP($C8,Purchased!A:Z,11,0) = 0, " ", VLOOKUP($C8,Purchased!A:Z,11,0))</f>
        <v>Gates</v>
      </c>
      <c r="G8" s="108" t="str">
        <f>IF(VLOOKUP($C8,Purchased!A:Z,12,0)=0, " ", VLOOKUP($C8,Purchased!A:Z,12,0))</f>
        <v>BDI</v>
      </c>
      <c r="H8" s="327" t="str">
        <f>IF(VLOOKUP($C8,Purchased!A:Z,13,0)=0, " ", VLOOKUP($C8,Purchased!A:Z,13,0))</f>
        <v>6 more PO 55766, Part #  1125656</v>
      </c>
      <c r="I8" s="328"/>
      <c r="J8" s="46">
        <f>IF(VLOOKUP($C8,Purchased!A:Z,14,0)=0, " ", VLOOKUP($C8,Purchased!A:Z,14,0))</f>
        <v>45456</v>
      </c>
      <c r="K8" s="46">
        <f>IF(VLOOKUP(C8,Purchased!A:R,14,0)=0, " ", VLOOKUP(C8,Purchased!A:R,14,0))</f>
        <v>45456</v>
      </c>
      <c r="L8" s="46">
        <f>IF(VLOOKUP(C8,Purchased!A:R,15,0)=0, " ", VLOOKUP(C8,Purchased!A:R,15,0))</f>
        <v>45456</v>
      </c>
      <c r="M8" s="46">
        <f>IF(VLOOKUP(C8,Purchased!A:R,16,0)=0, " ",VLOOKUP(C8,Purchased!A:R,16,0))</f>
        <v>45468</v>
      </c>
      <c r="N8" s="130">
        <f>IF(VLOOKUP(C8,Purchased!A:R,17,0)=0, " ", VLOOKUP(C8,Purchased!A:R,17,0))</f>
        <v>45468</v>
      </c>
      <c r="O8" s="47">
        <f t="shared" ref="O8:O11" ca="1" si="2">B8*$L$2</f>
        <v>5</v>
      </c>
      <c r="P8" s="51">
        <f>VLOOKUP(C8,Purchased!A:D,3,FALSE)</f>
        <v>93.8</v>
      </c>
      <c r="Q8" s="52">
        <f t="shared" ref="Q8:Q11" si="3">B8*P8</f>
        <v>93.8</v>
      </c>
    </row>
    <row r="9" spans="1:17" s="2" customFormat="1" ht="12.75" customHeight="1" x14ac:dyDescent="0.25">
      <c r="A9" s="4">
        <v>302</v>
      </c>
      <c r="B9" s="2">
        <v>1</v>
      </c>
      <c r="C9" s="135" t="s">
        <v>321</v>
      </c>
      <c r="D9" s="325" t="str">
        <f>VLOOKUP(C9,Purchased!A:B,2,0)</f>
        <v>Prod num 78581632 1.3in bore bushing</v>
      </c>
      <c r="E9" s="326"/>
      <c r="F9" s="108" t="str">
        <f>IF(VLOOKUP($C9,Purchased!A:Z,11,0) = 0, " ", VLOOKUP($C9,Purchased!A:Z,11,0))</f>
        <v>Gates</v>
      </c>
      <c r="G9" s="108" t="str">
        <f>IF(VLOOKUP($C9,Purchased!A:Z,12,0)=0, " ", VLOOKUP($C9,Purchased!A:Z,12,0))</f>
        <v>BDI</v>
      </c>
      <c r="H9" s="327" t="str">
        <f>IF(VLOOKUP($C9,Purchased!A:Z,13,0)=0, " ", VLOOKUP($C9,Purchased!A:Z,13,0))</f>
        <v>Part # 1096429</v>
      </c>
      <c r="I9" s="328"/>
      <c r="J9" s="46">
        <f>IF(VLOOKUP($C9,Purchased!A:Z,14,0)=0, " ", VLOOKUP($C9,Purchased!A:Z,14,0))</f>
        <v>45456</v>
      </c>
      <c r="K9" s="46">
        <f>IF(VLOOKUP(C9,Purchased!A:R,14,0)=0, " ", VLOOKUP(C9,Purchased!A:R,14,0))</f>
        <v>45456</v>
      </c>
      <c r="L9" s="46">
        <f>IF(VLOOKUP(C9,Purchased!A:R,15,0)=0, " ", VLOOKUP(C9,Purchased!A:R,15,0))</f>
        <v>45456</v>
      </c>
      <c r="M9" s="46">
        <f>IF(VLOOKUP(C9,Purchased!A:R,16,0)=0, " ",VLOOKUP(C9,Purchased!A:R,16,0))</f>
        <v>45468</v>
      </c>
      <c r="N9" s="130">
        <f>IF(VLOOKUP(C9,Purchased!A:R,17,0)=0, " ", VLOOKUP(C9,Purchased!A:R,17,0))</f>
        <v>45468</v>
      </c>
      <c r="O9" s="47">
        <f t="shared" ca="1" si="2"/>
        <v>5</v>
      </c>
      <c r="P9" s="51">
        <f>VLOOKUP(C9,Purchased!A:D,3,FALSE)</f>
        <v>19.52</v>
      </c>
      <c r="Q9" s="52">
        <f t="shared" si="3"/>
        <v>19.52</v>
      </c>
    </row>
    <row r="10" spans="1:17" s="2" customFormat="1" ht="12.75" customHeight="1" x14ac:dyDescent="0.25">
      <c r="A10" s="4">
        <v>303</v>
      </c>
      <c r="B10" s="2">
        <v>4</v>
      </c>
      <c r="C10" s="135" t="s">
        <v>322</v>
      </c>
      <c r="D10" s="325" t="str">
        <f>VLOOKUP(C10,Purchased!A:B,2,0)</f>
        <v>18-8 Stainless Steel Oversized Washer, Black-Oxide, M8 Screw Size, 8.4 mm ID, 
24 mm OD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45460</v>
      </c>
      <c r="K10" s="46">
        <f>IF(VLOOKUP(C10,Purchased!A:R,14,0)=0, " ", VLOOKUP(C10,Purchased!A:R,14,0))</f>
        <v>45460</v>
      </c>
      <c r="L10" s="46">
        <f>IF(VLOOKUP(C10,Purchased!A:R,15,0)=0, " ", VLOOKUP(C10,Purchased!A:R,15,0))</f>
        <v>45460</v>
      </c>
      <c r="M10" s="46">
        <f>IF(VLOOKUP(C10,Purchased!A:R,16,0)=0, " ",VLOOKUP(C10,Purchased!A:R,16,0))</f>
        <v>45462</v>
      </c>
      <c r="N10" s="130">
        <f>IF(VLOOKUP(C10,Purchased!A:R,17,0)=0, " ", VLOOKUP(C10,Purchased!A:R,17,0))</f>
        <v>45462</v>
      </c>
      <c r="O10" s="47">
        <f t="shared" ref="O10" ca="1" si="4">B10*$L$2</f>
        <v>20</v>
      </c>
      <c r="P10" s="51">
        <f>VLOOKUP(C10,Purchased!A:D,3,FALSE)</f>
        <v>7.28</v>
      </c>
      <c r="Q10" s="52">
        <f t="shared" ref="Q10" si="5">B10*P10</f>
        <v>29.12</v>
      </c>
    </row>
    <row r="11" spans="1:17" s="2" customFormat="1" ht="12.75" customHeight="1" x14ac:dyDescent="0.25">
      <c r="A11" s="4">
        <v>304</v>
      </c>
      <c r="B11" s="2">
        <v>1</v>
      </c>
      <c r="C11" s="135" t="s">
        <v>323</v>
      </c>
      <c r="D11" s="325" t="str">
        <f>VLOOKUP(C11,Purchased!A:B,2,0)</f>
        <v>STOBER P531SPSS0100EZ503U
GEARMOTOR, NIPS</v>
      </c>
      <c r="E11" s="326"/>
      <c r="F11" s="108" t="str">
        <f>IF(VLOOKUP($C11,Purchased!A:Z,11,0) = 0, " ", VLOOKUP($C11,Purchased!A:Z,11,0))</f>
        <v>Stober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45426</v>
      </c>
      <c r="K11" s="46">
        <f>IF(VLOOKUP(C11,Purchased!A:R,14,0)=0, " ", VLOOKUP(C11,Purchased!A:R,14,0))</f>
        <v>45426</v>
      </c>
      <c r="L11" s="46">
        <f>IF(VLOOKUP(C11,Purchased!A:R,15,0)=0, " ", VLOOKUP(C11,Purchased!A:R,15,0))</f>
        <v>45426</v>
      </c>
      <c r="M11" s="46">
        <f>IF(VLOOKUP(C11,Purchased!A:R,16,0)=0, " ",VLOOKUP(C11,Purchased!A:R,16,0))</f>
        <v>45524</v>
      </c>
      <c r="N11" s="130">
        <f>IF(VLOOKUP(C11,Purchased!A:R,17,0)=0, " ", VLOOKUP(C11,Purchased!A:R,17,0))</f>
        <v>45524</v>
      </c>
      <c r="O11" s="47">
        <f t="shared" ca="1" si="2"/>
        <v>5</v>
      </c>
      <c r="P11" s="51">
        <f>VLOOKUP(C11,Purchased!A:D,3,FALSE)</f>
        <v>3577.6109000000001</v>
      </c>
      <c r="Q11" s="52">
        <f t="shared" si="3"/>
        <v>3577.6109000000001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4</v>
      </c>
      <c r="C13" s="122" t="s">
        <v>108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20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8</v>
      </c>
      <c r="C14" s="122" t="s">
        <v>264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40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thickBot="1" x14ac:dyDescent="0.3">
      <c r="A15" s="4">
        <v>503</v>
      </c>
      <c r="B15" s="2">
        <v>4</v>
      </c>
      <c r="C15" s="122" t="s">
        <v>324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20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3922.4009000000001</v>
      </c>
    </row>
    <row r="17" spans="4:5" s="2" customFormat="1" ht="12" customHeight="1" x14ac:dyDescent="0.2">
      <c r="D17" s="21"/>
      <c r="E17" s="21"/>
    </row>
  </sheetData>
  <sheetProtection selectLockedCells="1"/>
  <mergeCells count="24">
    <mergeCell ref="D16:E16"/>
    <mergeCell ref="H16:I16"/>
    <mergeCell ref="D15:E15"/>
    <mergeCell ref="D13:E13"/>
    <mergeCell ref="D14:E14"/>
    <mergeCell ref="D9:E9"/>
    <mergeCell ref="H9:I9"/>
    <mergeCell ref="D11:E11"/>
    <mergeCell ref="H11:I11"/>
    <mergeCell ref="D12:E12"/>
    <mergeCell ref="H12:I12"/>
    <mergeCell ref="D10:E10"/>
    <mergeCell ref="H10:I10"/>
    <mergeCell ref="D7:E7"/>
    <mergeCell ref="H7:I7"/>
    <mergeCell ref="D8:E8"/>
    <mergeCell ref="H8:I8"/>
    <mergeCell ref="D6:E6"/>
    <mergeCell ref="H6:I6"/>
    <mergeCell ref="D1:E1"/>
    <mergeCell ref="D4:E4"/>
    <mergeCell ref="H4:I4"/>
    <mergeCell ref="D5:E5"/>
    <mergeCell ref="H5:I5"/>
  </mergeCells>
  <conditionalFormatting sqref="M7 M12:M15">
    <cfRule type="cellIs" dxfId="1928" priority="9" stopIfTrue="1" operator="lessThanOrEqual">
      <formula>$L7</formula>
    </cfRule>
    <cfRule type="cellIs" dxfId="1927" priority="10" operator="greaterThan">
      <formula>L7</formula>
    </cfRule>
  </conditionalFormatting>
  <conditionalFormatting sqref="M8 M11">
    <cfRule type="cellIs" dxfId="1926" priority="7" stopIfTrue="1" operator="lessThanOrEqual">
      <formula>$L8</formula>
    </cfRule>
    <cfRule type="cellIs" dxfId="1925" priority="8" operator="greaterThan">
      <formula>L8</formula>
    </cfRule>
  </conditionalFormatting>
  <conditionalFormatting sqref="M9">
    <cfRule type="cellIs" dxfId="1924" priority="5" stopIfTrue="1" operator="lessThanOrEqual">
      <formula>$L9</formula>
    </cfRule>
    <cfRule type="cellIs" dxfId="1923" priority="6" operator="greaterThan">
      <formula>L9</formula>
    </cfRule>
  </conditionalFormatting>
  <conditionalFormatting sqref="M10">
    <cfRule type="cellIs" dxfId="1922" priority="3" stopIfTrue="1" operator="lessThanOrEqual">
      <formula>$L10</formula>
    </cfRule>
    <cfRule type="cellIs" dxfId="1921" priority="4" operator="greaterThan">
      <formula>L10</formula>
    </cfRule>
  </conditionalFormatting>
  <pageMargins left="0.7" right="0.7" top="0.75" bottom="0.75" header="0.3" footer="0.3"/>
  <pageSetup paperSize="121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70BB4E4-5E1C-4AB8-8477-4D0C976E80C9}">
          <x14:formula1>
            <xm:f>Bolts!$A:$A</xm:f>
          </x14:formula1>
          <xm:sqref>C13:C15</xm:sqref>
        </x14:dataValidation>
        <x14:dataValidation type="list" allowBlank="1" showInputMessage="1" showErrorMessage="1" xr:uid="{94B34E1F-EC86-496B-BF0C-A11B516D420F}">
          <x14:formula1>
            <xm:f>Machined!$C:$C</xm:f>
          </x14:formula1>
          <xm:sqref>C5:C6</xm:sqref>
        </x14:dataValidation>
        <x14:dataValidation type="list" allowBlank="1" showInputMessage="1" showErrorMessage="1" xr:uid="{B5C31B88-2A60-41C3-BC7E-05F74362EB53}">
          <x14:formula1>
            <xm:f>Purchased!$A:$A</xm:f>
          </x14:formula1>
          <xm:sqref>C8:C11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69E10-FA69-45E8-8FE5-6823FF30A405}">
  <sheetPr codeName="Sheet44">
    <tabColor theme="6" tint="0.59999389629810485"/>
  </sheetPr>
  <dimension ref="A1:Q7"/>
  <sheetViews>
    <sheetView zoomScale="115" zoomScaleNormal="115" workbookViewId="0">
      <selection activeCell="Q5" sqref="Q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'1.3'!C7</f>
        <v>PG10.1.3.4.0.A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'1.3'!D7</f>
        <v>Solid Idler Nip Assy</v>
      </c>
      <c r="D3" s="85" t="s">
        <v>50</v>
      </c>
      <c r="E3" s="86" t="str">
        <f ca="1">MID(CELL("filename",A1),FIND("]",CELL("filename",A1))+1,256)</f>
        <v>1.3.4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thickBot="1" x14ac:dyDescent="0.3">
      <c r="A5" s="77">
        <v>1</v>
      </c>
      <c r="B5" s="20">
        <v>1</v>
      </c>
      <c r="C5" s="121" t="s">
        <v>325</v>
      </c>
      <c r="D5" s="314" t="str">
        <f>VLOOKUP(C5,Machined!C:X,2,0)</f>
        <v>SOLID IDLER NIP ROLLER</v>
      </c>
      <c r="E5" s="329"/>
      <c r="F5" s="107" t="str">
        <f>VLOOKUP($C5,Machined!C:Z,13,0)</f>
        <v>AISI 1020 STEEL, COLD ROLLED</v>
      </c>
      <c r="G5" s="44" t="str">
        <f>IF(VLOOKUP($C5,Machined!C:Z,16,0) = 0, " ", VLOOKUP($C5,Machined!C:Z,16,0))</f>
        <v>Flare Precision</v>
      </c>
      <c r="H5" s="320" t="str">
        <f>IF(VLOOKUP($C5,Machined!C:Z,17,0) = 0, " ", VLOOKUP($C5,Machined!C:Z,17,0))</f>
        <v>Complete</v>
      </c>
      <c r="I5" s="321" t="str">
        <f>IF(VLOOKUP($C5,Machined!$C:$Y,13,0) = 0, " ", VLOOKUP($C5,Machined!$C:$Y,13,0))</f>
        <v>AISI 1020 STEEL, COLD ROLLED</v>
      </c>
      <c r="J5" s="44">
        <f>IF(VLOOKUP($C5,Machined!C:Z,18,0) = 0, " ", VLOOKUP($C5,Machined!C:Z,18,0))</f>
        <v>45413</v>
      </c>
      <c r="K5" s="44">
        <f>IF(VLOOKUP($C5,Machined!C:Z,19,0) = 0, " ", VLOOKUP($C5,Machined!C:Z,19,0))</f>
        <v>45442</v>
      </c>
      <c r="L5" s="44">
        <f>IF(VLOOKUP($C5,Machined!C:Z,20,0) = 0, " ", VLOOKUP($C5,Machined!C:Z,20,0))</f>
        <v>45519</v>
      </c>
      <c r="M5" s="44">
        <f>IF(VLOOKUP($C5,Machined!C:Z,21,0) = 0, " ", VLOOKUP($C5,Machined!C:Z,21,0))</f>
        <v>45541</v>
      </c>
      <c r="N5" s="129">
        <f>IF(VLOOKUP($C5,Machined!C:Z,22,0) = 0, " ", VLOOKUP($C5,Machined!C:Z,22,0))</f>
        <v>55526</v>
      </c>
      <c r="O5" s="45">
        <f ca="1">B5*$L$2</f>
        <v>2</v>
      </c>
      <c r="P5" s="49">
        <f>VLOOKUP(C5,Machined!C:F,3,0)</f>
        <v>1935</v>
      </c>
      <c r="Q5" s="50">
        <f>B5*P5</f>
        <v>1935</v>
      </c>
    </row>
    <row r="6" spans="1:17" s="2" customFormat="1" ht="12" customHeight="1" thickBot="1" x14ac:dyDescent="0.3">
      <c r="A6" s="34"/>
      <c r="B6" s="35"/>
      <c r="C6" s="35"/>
      <c r="D6" s="316"/>
      <c r="E6" s="317"/>
      <c r="F6" s="35"/>
      <c r="G6" s="35"/>
      <c r="H6" s="309"/>
      <c r="I6" s="310"/>
      <c r="J6" s="36"/>
      <c r="K6" s="36"/>
      <c r="L6" s="36"/>
      <c r="M6" s="37"/>
      <c r="N6" s="132"/>
      <c r="O6" s="38"/>
      <c r="P6" s="99" t="s">
        <v>43</v>
      </c>
      <c r="Q6" s="104">
        <f>SUM(Q5:Q5)</f>
        <v>1935</v>
      </c>
    </row>
    <row r="7" spans="1:17" s="2" customFormat="1" ht="12" customHeight="1" x14ac:dyDescent="0.2">
      <c r="D7" s="21"/>
      <c r="E7" s="21"/>
      <c r="J7" s="8"/>
      <c r="K7" s="8"/>
      <c r="L7" s="8"/>
      <c r="M7" s="8"/>
      <c r="N7" s="131"/>
      <c r="O7" s="5"/>
      <c r="P7" s="98"/>
      <c r="Q7" s="105"/>
    </row>
  </sheetData>
  <sheetProtection selectLockedCells="1"/>
  <mergeCells count="7">
    <mergeCell ref="D6:E6"/>
    <mergeCell ref="H6:I6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E1D43D-2219-4FA2-ABAF-FFDB0F08FFC9}">
          <x14:formula1>
            <xm:f>Machined!$C:$C</xm:f>
          </x14:formula1>
          <xm:sqref>C5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D250B-393A-4265-9197-1E18E6C602AE}">
  <sheetPr codeName="Sheet45">
    <tabColor theme="6" tint="0.59999389629810485"/>
  </sheetPr>
  <dimension ref="A1:Q15"/>
  <sheetViews>
    <sheetView zoomScale="115" zoomScaleNormal="115" workbookViewId="0">
      <selection sqref="A1:O3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'1.3'!C8</f>
        <v>PG10.1.3.5.0.A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5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'1.3'!D8</f>
        <v>Nip Speed Controller Assy</v>
      </c>
      <c r="D3" s="85" t="s">
        <v>50</v>
      </c>
      <c r="E3" s="86" t="str">
        <f ca="1">MID(CELL("filename",A1),FIND("]",CELL("filename",A1))+1,256)</f>
        <v>1.3.5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326</v>
      </c>
      <c r="D5" s="314" t="str">
        <f>VLOOKUP(C5,Machined!C:X,2,0)</f>
        <v>Manifold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5</v>
      </c>
      <c r="P5" s="49">
        <f>VLOOKUP(C5,Machined!C:F,3,0)</f>
        <v>50</v>
      </c>
      <c r="Q5" s="50">
        <f>B5*P5</f>
        <v>50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2</v>
      </c>
      <c r="C7" s="135" t="s">
        <v>327</v>
      </c>
      <c r="D7" s="325" t="str">
        <f>VLOOKUP(C7,Purchased!A:B,2,0)</f>
        <v>Flange for 25 series speed controller</v>
      </c>
      <c r="E7" s="326"/>
      <c r="F7" s="108" t="str">
        <f>IF(VLOOKUP($C7,Purchased!A:Z,11,0) = 0, " ", VLOOKUP($C7,Purchased!A:Z,11,0))</f>
        <v>SMC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45489</v>
      </c>
      <c r="K7" s="46">
        <f>IF(VLOOKUP(C7,Purchased!A:R,14,0)=0, " ", VLOOKUP(C7,Purchased!A:R,14,0))</f>
        <v>45489</v>
      </c>
      <c r="L7" s="46">
        <f>IF(VLOOKUP(C7,Purchased!A:R,15,0)=0, " ", VLOOKUP(C7,Purchased!A:R,15,0))</f>
        <v>45491</v>
      </c>
      <c r="M7" s="46">
        <f>IF(VLOOKUP(C7,Purchased!A:R,16,0)=0, " ",VLOOKUP(C7,Purchased!A:R,16,0))</f>
        <v>45520</v>
      </c>
      <c r="N7" s="130">
        <f>IF(VLOOKUP(C7,Purchased!A:R,17,0)=0, " ", VLOOKUP(C7,Purchased!A:R,17,0))</f>
        <v>45511</v>
      </c>
      <c r="O7" s="47">
        <f t="shared" ref="O7:O8" ca="1" si="0">B7*$L$2</f>
        <v>10</v>
      </c>
      <c r="P7" s="51">
        <f>VLOOKUP(C7,Purchased!A:D,3,FALSE)</f>
        <v>2.4700000000000002</v>
      </c>
      <c r="Q7" s="52">
        <f t="shared" ref="Q7:Q8" si="1">B7*P7</f>
        <v>4.9400000000000004</v>
      </c>
    </row>
    <row r="8" spans="1:17" s="2" customFormat="1" ht="12.75" customHeight="1" x14ac:dyDescent="0.25">
      <c r="A8" s="4">
        <v>302</v>
      </c>
      <c r="B8" s="2">
        <v>2</v>
      </c>
      <c r="C8" s="135" t="s">
        <v>328</v>
      </c>
      <c r="D8" s="325" t="str">
        <f>VLOOKUP(C8,Purchased!A:B,2,0)</f>
        <v>1/4 body size speed controller with 8mm Dia one touch fittings</v>
      </c>
      <c r="E8" s="326"/>
      <c r="F8" s="108" t="str">
        <f>IF(VLOOKUP($C8,Purchased!A:Z,11,0) = 0, " ", VLOOKUP($C8,Purchased!A:Z,11,0))</f>
        <v>SMC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45489</v>
      </c>
      <c r="K8" s="46">
        <f>IF(VLOOKUP(C8,Purchased!A:R,14,0)=0, " ", VLOOKUP(C8,Purchased!A:R,14,0))</f>
        <v>45489</v>
      </c>
      <c r="L8" s="46">
        <f>IF(VLOOKUP(C8,Purchased!A:R,15,0)=0, " ", VLOOKUP(C8,Purchased!A:R,15,0))</f>
        <v>45491</v>
      </c>
      <c r="M8" s="46">
        <f>IF(VLOOKUP(C8,Purchased!A:R,16,0)=0, " ",VLOOKUP(C8,Purchased!A:R,16,0))</f>
        <v>45520</v>
      </c>
      <c r="N8" s="130">
        <f>IF(VLOOKUP(C8,Purchased!A:R,17,0)=0, " ", VLOOKUP(C8,Purchased!A:R,17,0))</f>
        <v>45511</v>
      </c>
      <c r="O8" s="47">
        <f t="shared" ca="1" si="0"/>
        <v>10</v>
      </c>
      <c r="P8" s="51">
        <f>VLOOKUP(C8,Purchased!A:D,3,FALSE)</f>
        <v>22.46</v>
      </c>
      <c r="Q8" s="52">
        <f t="shared" si="1"/>
        <v>44.92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4">
        <v>501</v>
      </c>
      <c r="B10" s="2">
        <v>2</v>
      </c>
      <c r="C10" s="122" t="s">
        <v>329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ca="1">B10*$L$2</f>
        <v>10</v>
      </c>
      <c r="P10" s="51">
        <f>VLOOKUP(C10,Bolts!A:B,2,FALSE)</f>
        <v>0</v>
      </c>
      <c r="Q10" s="52">
        <f>B10*P10</f>
        <v>0</v>
      </c>
    </row>
    <row r="11" spans="1:17" s="2" customFormat="1" ht="12.75" customHeight="1" x14ac:dyDescent="0.25">
      <c r="A11" s="4">
        <v>502</v>
      </c>
      <c r="B11" s="2">
        <v>4</v>
      </c>
      <c r="C11" s="122" t="s">
        <v>330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20</v>
      </c>
      <c r="P11" s="51">
        <f>VLOOKUP(C11,Bolts!A:B,2,FALSE)</f>
        <v>0</v>
      </c>
      <c r="Q11" s="52">
        <f>B11*P11</f>
        <v>0</v>
      </c>
    </row>
    <row r="12" spans="1:17" s="2" customFormat="1" ht="12.75" customHeight="1" x14ac:dyDescent="0.25">
      <c r="A12" s="4">
        <v>503</v>
      </c>
      <c r="B12" s="2">
        <v>4</v>
      </c>
      <c r="C12" s="122" t="s">
        <v>275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20</v>
      </c>
      <c r="P12" s="51">
        <f>VLOOKUP(C12,Bolts!A:B,2,FALSE)</f>
        <v>0</v>
      </c>
      <c r="Q12" s="52">
        <f>B12*P12</f>
        <v>0</v>
      </c>
    </row>
    <row r="13" spans="1:17" s="2" customFormat="1" ht="12.75" customHeight="1" thickBot="1" x14ac:dyDescent="0.3">
      <c r="A13" s="4">
        <v>504</v>
      </c>
      <c r="B13" s="2">
        <v>2</v>
      </c>
      <c r="C13" s="122" t="s">
        <v>276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10</v>
      </c>
      <c r="P13" s="51">
        <f>VLOOKUP(C13,Bolts!A:B,2,FALSE)</f>
        <v>0</v>
      </c>
      <c r="Q13" s="52">
        <f>B13*P13</f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99.86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19">
    <mergeCell ref="D10:E10"/>
    <mergeCell ref="D11:E11"/>
    <mergeCell ref="D14:E14"/>
    <mergeCell ref="H14:I14"/>
    <mergeCell ref="D12:E12"/>
    <mergeCell ref="D13:E13"/>
    <mergeCell ref="D8:E8"/>
    <mergeCell ref="H8:I8"/>
    <mergeCell ref="D9:E9"/>
    <mergeCell ref="H9:I9"/>
    <mergeCell ref="D6:E6"/>
    <mergeCell ref="H6:I6"/>
    <mergeCell ref="D7:E7"/>
    <mergeCell ref="H7:I7"/>
    <mergeCell ref="D1:E1"/>
    <mergeCell ref="D4:E4"/>
    <mergeCell ref="H4:I4"/>
    <mergeCell ref="D5:E5"/>
    <mergeCell ref="H5:I5"/>
  </mergeCells>
  <conditionalFormatting sqref="M6 M9:M13">
    <cfRule type="cellIs" dxfId="1920" priority="5" stopIfTrue="1" operator="lessThanOrEqual">
      <formula>$L6</formula>
    </cfRule>
    <cfRule type="cellIs" dxfId="1919" priority="6" operator="greaterThan">
      <formula>L6</formula>
    </cfRule>
  </conditionalFormatting>
  <conditionalFormatting sqref="M7:M8">
    <cfRule type="cellIs" dxfId="1918" priority="1" stopIfTrue="1" operator="lessThanOrEqual">
      <formula>$L7</formula>
    </cfRule>
    <cfRule type="cellIs" dxfId="1917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739B49A-F6E9-4896-B53B-0BA56A8C9325}">
          <x14:formula1>
            <xm:f>Bolts!$A:$A</xm:f>
          </x14:formula1>
          <xm:sqref>C10:C13</xm:sqref>
        </x14:dataValidation>
        <x14:dataValidation type="list" allowBlank="1" showInputMessage="1" showErrorMessage="1" xr:uid="{07E7D605-6E01-4709-A122-FDDC0A5412B3}">
          <x14:formula1>
            <xm:f>Machined!$C:$C</xm:f>
          </x14:formula1>
          <xm:sqref>C5</xm:sqref>
        </x14:dataValidation>
        <x14:dataValidation type="list" allowBlank="1" showInputMessage="1" showErrorMessage="1" xr:uid="{8CFF4F2B-1A03-4C5A-B0CD-9E4630AD0790}">
          <x14:formula1>
            <xm:f>Purchased!$A:$A</xm:f>
          </x14:formula1>
          <xm:sqref>C7:C8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F7F12-C943-4A26-A2B2-B23B69628ECF}">
  <sheetPr codeName="Sheet46">
    <tabColor theme="6" tint="0.59999389629810485"/>
  </sheetPr>
  <dimension ref="A1:Q18"/>
  <sheetViews>
    <sheetView zoomScale="115" zoomScaleNormal="115" workbookViewId="0">
      <selection activeCell="E18" sqref="E1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'1.3'!C9</f>
        <v>PG10.1.3.6.0.A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5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'1.3'!D9</f>
        <v>Nip Mech Regulator Assy</v>
      </c>
      <c r="D3" s="85" t="s">
        <v>50</v>
      </c>
      <c r="E3" s="86" t="str">
        <f ca="1">MID(CELL("filename",A1),FIND("]",CELL("filename",A1))+1,256)</f>
        <v>1.3.6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2</v>
      </c>
      <c r="C5" s="135" t="s">
        <v>102</v>
      </c>
      <c r="D5" s="325" t="str">
        <f>VLOOKUP(C5,Purchased!A:B,2,0)</f>
        <v>KQ2 straight fitting 1/4in port size to 8mm dia tubing</v>
      </c>
      <c r="E5" s="326"/>
      <c r="F5" s="108" t="str">
        <f>IF(VLOOKUP($C5,Purchased!A:Z,11,0) = 0, " ", VLOOKUP($C5,Purchased!A:Z,11,0))</f>
        <v>SMC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45489</v>
      </c>
      <c r="K5" s="46">
        <f>IF(VLOOKUP(C5,Purchased!A:R,14,0)=0, " ", VLOOKUP(C5,Purchased!A:R,14,0))</f>
        <v>45489</v>
      </c>
      <c r="L5" s="46">
        <f>IF(VLOOKUP(C5,Purchased!A:R,15,0)=0, " ", VLOOKUP(C5,Purchased!A:R,15,0))</f>
        <v>45491</v>
      </c>
      <c r="M5" s="46">
        <f>IF(VLOOKUP(C5,Purchased!A:R,16,0)=0, " ",VLOOKUP(C5,Purchased!A:R,16,0))</f>
        <v>45520</v>
      </c>
      <c r="N5" s="130">
        <f>IF(VLOOKUP(C5,Purchased!A:R,17,0)=0, " ", VLOOKUP(C5,Purchased!A:R,17,0))</f>
        <v>45511</v>
      </c>
      <c r="O5" s="47">
        <f t="shared" ref="O5:O6" ca="1" si="0">B5*$L$2</f>
        <v>10</v>
      </c>
      <c r="P5" s="51">
        <f>VLOOKUP(C5,Purchased!A:D,3,FALSE)</f>
        <v>1.63</v>
      </c>
      <c r="Q5" s="52">
        <f t="shared" ref="Q5:Q6" si="1">B5*P5</f>
        <v>3.26</v>
      </c>
    </row>
    <row r="6" spans="1:17" s="2" customFormat="1" ht="12.75" customHeight="1" x14ac:dyDescent="0.25">
      <c r="A6" s="4">
        <v>302</v>
      </c>
      <c r="B6" s="2">
        <v>1</v>
      </c>
      <c r="C6" s="135" t="s">
        <v>331</v>
      </c>
      <c r="D6" s="325" t="str">
        <f>VLOOKUP(C6,Purchased!A:B,2,0)</f>
        <v>Regulator with 1/4in port size, w/o backflow function</v>
      </c>
      <c r="E6" s="326"/>
      <c r="F6" s="108" t="str">
        <f>IF(VLOOKUP($C6,Purchased!A:Z,11,0) = 0, " ", VLOOKUP($C6,Purchased!A:Z,11,0))</f>
        <v>SMC</v>
      </c>
      <c r="G6" s="108" t="str">
        <f>IF(VLOOKUP($C6,Purchased!A:Z,12,0)=0, " ", VLOOKUP($C6,Purchased!A:Z,12,0))</f>
        <v>AAP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45489</v>
      </c>
      <c r="K6" s="46">
        <f>IF(VLOOKUP(C6,Purchased!A:R,14,0)=0, " ", VLOOKUP(C6,Purchased!A:R,14,0))</f>
        <v>45489</v>
      </c>
      <c r="L6" s="46">
        <f>IF(VLOOKUP(C6,Purchased!A:R,15,0)=0, " ", VLOOKUP(C6,Purchased!A:R,15,0))</f>
        <v>45491</v>
      </c>
      <c r="M6" s="46">
        <f>IF(VLOOKUP(C6,Purchased!A:R,16,0)=0, " ",VLOOKUP(C6,Purchased!A:R,16,0))</f>
        <v>45520</v>
      </c>
      <c r="N6" s="130">
        <f>IF(VLOOKUP(C6,Purchased!A:R,17,0)=0, " ", VLOOKUP(C6,Purchased!A:R,17,0))</f>
        <v>45511</v>
      </c>
      <c r="O6" s="47">
        <f t="shared" ca="1" si="0"/>
        <v>5</v>
      </c>
      <c r="P6" s="51">
        <f>VLOOKUP(C6,Purchased!A:D,3,FALSE)</f>
        <v>21.65</v>
      </c>
      <c r="Q6" s="52">
        <f t="shared" si="1"/>
        <v>21.65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4">
        <v>501</v>
      </c>
      <c r="B8" s="2">
        <v>2</v>
      </c>
      <c r="C8" s="122" t="s">
        <v>332</v>
      </c>
      <c r="D8" s="325"/>
      <c r="E8" s="326"/>
      <c r="F8" s="108">
        <f>VLOOKUP(C8,Bolts!A:L,5,0)</f>
        <v>0</v>
      </c>
      <c r="G8" s="108">
        <f>VLOOKUP(C8,Bolts!A:L,6,0)</f>
        <v>0</v>
      </c>
      <c r="H8" s="108">
        <f>VLOOKUP(C8,Bolts!A:L,7,0)</f>
        <v>0</v>
      </c>
      <c r="I8" s="109"/>
      <c r="J8" s="46">
        <f>VLOOKUP(C8,Bolts!A:L,8,0)</f>
        <v>0</v>
      </c>
      <c r="K8" s="46">
        <f>VLOOKUP(C8,Bolts!A:L,9,0)</f>
        <v>0</v>
      </c>
      <c r="L8" s="46">
        <f>VLOOKUP(C8,Bolts!A:L,10,0)</f>
        <v>0</v>
      </c>
      <c r="M8" s="46">
        <f>VLOOKUP(C8,Bolts!A:L,11,0)</f>
        <v>0</v>
      </c>
      <c r="N8" s="130">
        <f>VLOOKUP(C8,Bolts!A:L,12,0)</f>
        <v>0</v>
      </c>
      <c r="O8" s="47">
        <f ca="1">B8*$L$2</f>
        <v>10</v>
      </c>
      <c r="P8" s="51">
        <f>VLOOKUP(C8,Bolts!A:B,2,FALSE)</f>
        <v>0</v>
      </c>
      <c r="Q8" s="52">
        <f>B8*P8</f>
        <v>0</v>
      </c>
    </row>
    <row r="9" spans="1:17" s="2" customFormat="1" ht="12.75" customHeight="1" thickBot="1" x14ac:dyDescent="0.3">
      <c r="A9" s="4">
        <v>502</v>
      </c>
      <c r="B9" s="2">
        <v>2</v>
      </c>
      <c r="C9" s="122" t="s">
        <v>333</v>
      </c>
      <c r="D9" s="325"/>
      <c r="E9" s="326"/>
      <c r="F9" s="108">
        <f>VLOOKUP(C9,Bolts!A:L,5,0)</f>
        <v>0</v>
      </c>
      <c r="G9" s="108">
        <f>VLOOKUP(C9,Bolts!A:L,6,0)</f>
        <v>0</v>
      </c>
      <c r="H9" s="108">
        <f>VLOOKUP(C9,Bolts!A:L,7,0)</f>
        <v>0</v>
      </c>
      <c r="I9" s="109"/>
      <c r="J9" s="46">
        <f>VLOOKUP(C9,Bolts!A:L,8,0)</f>
        <v>0</v>
      </c>
      <c r="K9" s="46">
        <f>VLOOKUP(C9,Bolts!A:L,9,0)</f>
        <v>0</v>
      </c>
      <c r="L9" s="46">
        <f>VLOOKUP(C9,Bolts!A:L,10,0)</f>
        <v>0</v>
      </c>
      <c r="M9" s="46">
        <f>VLOOKUP(C9,Bolts!A:L,11,0)</f>
        <v>0</v>
      </c>
      <c r="N9" s="130">
        <f>VLOOKUP(C9,Bolts!A:L,12,0)</f>
        <v>0</v>
      </c>
      <c r="O9" s="47">
        <f ca="1">B9*$L$2</f>
        <v>10</v>
      </c>
      <c r="P9" s="51">
        <f>VLOOKUP(C9,Bolts!A:B,2,FALSE)</f>
        <v>0</v>
      </c>
      <c r="Q9" s="52">
        <f>B9*P9</f>
        <v>0</v>
      </c>
    </row>
    <row r="10" spans="1:17" s="2" customFormat="1" ht="12" customHeight="1" thickBot="1" x14ac:dyDescent="0.3">
      <c r="A10" s="34"/>
      <c r="B10" s="35"/>
      <c r="C10" s="35"/>
      <c r="D10" s="316"/>
      <c r="E10" s="317"/>
      <c r="F10" s="35"/>
      <c r="G10" s="35"/>
      <c r="H10" s="309"/>
      <c r="I10" s="310"/>
      <c r="J10" s="36"/>
      <c r="K10" s="36"/>
      <c r="L10" s="36"/>
      <c r="M10" s="37"/>
      <c r="N10" s="132"/>
      <c r="O10" s="38"/>
      <c r="P10" s="99" t="s">
        <v>43</v>
      </c>
      <c r="Q10" s="104">
        <f>SUM(Q5:Q9)</f>
        <v>24.909999999999997</v>
      </c>
    </row>
    <row r="11" spans="1:17" s="2" customFormat="1" ht="12" customHeight="1" x14ac:dyDescent="0.2">
      <c r="D11" s="21"/>
      <c r="E11" s="21"/>
      <c r="J11" s="8"/>
      <c r="K11" s="8"/>
      <c r="L11" s="8"/>
      <c r="M11" s="8"/>
      <c r="N11" s="131"/>
      <c r="O11" s="5"/>
      <c r="P11" s="98"/>
      <c r="Q11" s="105"/>
    </row>
    <row r="18" spans="5:5" x14ac:dyDescent="0.25">
      <c r="E18" s="22" t="s">
        <v>334</v>
      </c>
    </row>
  </sheetData>
  <sheetProtection selectLockedCells="1"/>
  <mergeCells count="13">
    <mergeCell ref="D10:E10"/>
    <mergeCell ref="H10:I10"/>
    <mergeCell ref="D8:E8"/>
    <mergeCell ref="D9:E9"/>
    <mergeCell ref="D6:E6"/>
    <mergeCell ref="H6:I6"/>
    <mergeCell ref="D7:E7"/>
    <mergeCell ref="H7:I7"/>
    <mergeCell ref="D5:E5"/>
    <mergeCell ref="H5:I5"/>
    <mergeCell ref="D1:E1"/>
    <mergeCell ref="D4:E4"/>
    <mergeCell ref="H4:I4"/>
  </mergeCells>
  <conditionalFormatting sqref="M7:M9">
    <cfRule type="cellIs" dxfId="1916" priority="5" stopIfTrue="1" operator="lessThanOrEqual">
      <formula>$L7</formula>
    </cfRule>
    <cfRule type="cellIs" dxfId="1915" priority="6" operator="greaterThan">
      <formula>L7</formula>
    </cfRule>
  </conditionalFormatting>
  <conditionalFormatting sqref="M5:M6">
    <cfRule type="cellIs" dxfId="1914" priority="1" stopIfTrue="1" operator="lessThanOrEqual">
      <formula>$L5</formula>
    </cfRule>
    <cfRule type="cellIs" dxfId="1913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93EA284D-FF62-4002-95E3-F6AE95796092}">
          <x14:formula1>
            <xm:f>Bolts!$A:$A</xm:f>
          </x14:formula1>
          <xm:sqref>C8:C9</xm:sqref>
        </x14:dataValidation>
        <x14:dataValidation type="list" allowBlank="1" showInputMessage="1" showErrorMessage="1" xr:uid="{211408C5-1377-4126-80B0-EC857EB597DF}">
          <x14:formula1>
            <xm:f>Purchased!$A:$A</xm:f>
          </x14:formula1>
          <xm:sqref>C5:C6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31609-D938-4D06-989C-5075760677EA}">
  <sheetPr codeName="Sheet47">
    <tabColor theme="6" tint="0.59999389629810485"/>
  </sheetPr>
  <dimension ref="A1:Q13"/>
  <sheetViews>
    <sheetView zoomScale="115" zoomScaleNormal="115" workbookViewId="0">
      <selection activeCell="Q12" sqref="Q1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'1.3'!C10</f>
        <v>PG10.1.3.7.0.A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18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'1.3'!D10</f>
        <v>PMA Clamp Size 17 Assy</v>
      </c>
      <c r="D3" s="85" t="s">
        <v>50</v>
      </c>
      <c r="E3" s="86" t="str">
        <f ca="1">MID(CELL("filename",A1),FIND("]",CELL("filename",A1))+1,256)</f>
        <v>1.3.7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77">
        <v>2</v>
      </c>
      <c r="B5" s="20">
        <v>1</v>
      </c>
      <c r="C5" s="121" t="s">
        <v>335</v>
      </c>
      <c r="D5" s="314" t="str">
        <f>VLOOKUP(C5,Machined!C:X,2,0)</f>
        <v>Metal Rectangle</v>
      </c>
      <c r="E5" s="329"/>
      <c r="F5" s="107" t="str">
        <f>VLOOKUP($C5,Machined!C:Z,13,0)</f>
        <v>Component Spacer</v>
      </c>
      <c r="G5" s="44" t="str">
        <f>IF(VLOOKUP($C5,Machined!C:Z,16,0) = 0, " ", VLOOKUP($C5,Machined!C:Z,16,0))</f>
        <v>WescoBHT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Component Spacer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45483</v>
      </c>
      <c r="L5" s="44">
        <f>IF(VLOOKUP($C5,Machined!C:Z,20,0) = 0, " ", VLOOKUP($C5,Machined!C:Z,20,0))</f>
        <v>45513</v>
      </c>
      <c r="M5" s="44">
        <f>IF(VLOOKUP($C5,Machined!C:Z,21,0) = 0, " ", VLOOKUP($C5,Machined!C:Z,21,0))</f>
        <v>45513</v>
      </c>
      <c r="N5" s="129">
        <f>IF(VLOOKUP($C5,Machined!C:Z,22,0) = 0, " ", VLOOKUP($C5,Machined!C:Z,22,0))</f>
        <v>55593</v>
      </c>
      <c r="O5" s="45">
        <f ca="1">B5*$L$2</f>
        <v>18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1</v>
      </c>
      <c r="C7" s="135" t="s">
        <v>336</v>
      </c>
      <c r="D7" s="325" t="str">
        <f>VLOOKUP(C7,Purchased!A:B,2,0)</f>
        <v>17mm PMA Clamp</v>
      </c>
      <c r="E7" s="326"/>
      <c r="F7" s="108" t="str">
        <f>IF(VLOOKUP($C7,Purchased!A:Z,11,0) = 0, " ", VLOOKUP($C7,Purchased!A:Z,11,0))</f>
        <v>IGUS</v>
      </c>
      <c r="G7" s="108" t="str">
        <f>IF(VLOOKUP($C7,Purchased!A:Z,12,0)=0, " ", VLOOKUP($C7,Purchased!A:Z,12,0))</f>
        <v>IGUS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45489</v>
      </c>
      <c r="K7" s="46">
        <f>IF(VLOOKUP(C7,Purchased!A:R,14,0)=0, " ", VLOOKUP(C7,Purchased!A:R,14,0))</f>
        <v>45489</v>
      </c>
      <c r="L7" s="46">
        <f>IF(VLOOKUP(C7,Purchased!A:R,15,0)=0, " ", VLOOKUP(C7,Purchased!A:R,15,0))</f>
        <v>45489</v>
      </c>
      <c r="M7" s="46">
        <f>IF(VLOOKUP(C7,Purchased!A:R,16,0)=0, " ",VLOOKUP(C7,Purchased!A:R,16,0))</f>
        <v>45534</v>
      </c>
      <c r="N7" s="130">
        <f>IF(VLOOKUP(C7,Purchased!A:R,17,0)=0, " ", VLOOKUP(C7,Purchased!A:R,17,0))</f>
        <v>45534</v>
      </c>
      <c r="O7" s="47">
        <f t="shared" ref="O7" ca="1" si="0">B7*$L$2</f>
        <v>18</v>
      </c>
      <c r="P7" s="51">
        <f>VLOOKUP(C7,Purchased!A:D,3,FALSE)</f>
        <v>2.75</v>
      </c>
      <c r="Q7" s="52">
        <f t="shared" ref="Q7" si="1">B7*P7</f>
        <v>2.75</v>
      </c>
    </row>
    <row r="8" spans="1:17" s="2" customFormat="1" ht="12.75" customHeight="1" x14ac:dyDescent="0.25">
      <c r="A8" s="4">
        <v>302</v>
      </c>
      <c r="B8" s="2">
        <v>1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ref="O8" ca="1" si="2">B8*$L$2</f>
        <v>18</v>
      </c>
      <c r="P8" s="51">
        <f>VLOOKUP(C8,Purchased!A:D,3,FALSE)</f>
        <v>0.56000000000000005</v>
      </c>
      <c r="Q8" s="52">
        <f t="shared" ref="Q8" si="3">B8*P8</f>
        <v>0.56000000000000005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4">
        <v>501</v>
      </c>
      <c r="B10" s="2">
        <v>2</v>
      </c>
      <c r="C10" s="122" t="s">
        <v>199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ca="1">B10*$L$2</f>
        <v>36</v>
      </c>
      <c r="P10" s="51">
        <f>VLOOKUP(C10,Bolts!A:B,2,FALSE)</f>
        <v>0</v>
      </c>
      <c r="Q10" s="52">
        <f>B10*P10</f>
        <v>0</v>
      </c>
    </row>
    <row r="11" spans="1:17" s="2" customFormat="1" ht="12.75" customHeight="1" thickBot="1" x14ac:dyDescent="0.3">
      <c r="A11" s="4">
        <v>502</v>
      </c>
      <c r="B11" s="2">
        <v>1</v>
      </c>
      <c r="C11" s="122" t="s">
        <v>174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18</v>
      </c>
      <c r="P11" s="51">
        <f>VLOOKUP(C11,Bolts!A:B,2,FALSE)</f>
        <v>0</v>
      </c>
      <c r="Q11" s="52">
        <f>B11*P11</f>
        <v>0</v>
      </c>
    </row>
    <row r="12" spans="1:17" s="2" customFormat="1" ht="12" customHeight="1" thickBot="1" x14ac:dyDescent="0.3">
      <c r="A12" s="34"/>
      <c r="B12" s="35"/>
      <c r="C12" s="35"/>
      <c r="D12" s="316"/>
      <c r="E12" s="317"/>
      <c r="F12" s="35"/>
      <c r="G12" s="35"/>
      <c r="H12" s="309"/>
      <c r="I12" s="310"/>
      <c r="J12" s="36"/>
      <c r="K12" s="36"/>
      <c r="L12" s="36"/>
      <c r="M12" s="37"/>
      <c r="N12" s="132"/>
      <c r="O12" s="38"/>
      <c r="P12" s="99" t="s">
        <v>43</v>
      </c>
      <c r="Q12" s="104">
        <f>SUM(Q7:Q11)</f>
        <v>3.31</v>
      </c>
    </row>
    <row r="13" spans="1:17" s="2" customFormat="1" ht="12" customHeight="1" x14ac:dyDescent="0.2">
      <c r="D13" s="21"/>
      <c r="E13" s="21"/>
      <c r="J13" s="8"/>
      <c r="K13" s="8"/>
      <c r="L13" s="8"/>
      <c r="M13" s="8"/>
      <c r="N13" s="131"/>
      <c r="O13" s="5"/>
      <c r="P13" s="98"/>
      <c r="Q13" s="105"/>
    </row>
  </sheetData>
  <sheetProtection selectLockedCells="1"/>
  <mergeCells count="17">
    <mergeCell ref="D11:E11"/>
    <mergeCell ref="D12:E12"/>
    <mergeCell ref="H12:I12"/>
    <mergeCell ref="D8:E8"/>
    <mergeCell ref="H8:I8"/>
    <mergeCell ref="D9:E9"/>
    <mergeCell ref="H9:I9"/>
    <mergeCell ref="D10:E10"/>
    <mergeCell ref="D1:E1"/>
    <mergeCell ref="D4:E4"/>
    <mergeCell ref="H4:I4"/>
    <mergeCell ref="D7:E7"/>
    <mergeCell ref="H7:I7"/>
    <mergeCell ref="D5:E5"/>
    <mergeCell ref="H5:I5"/>
    <mergeCell ref="D6:E6"/>
    <mergeCell ref="H6:I6"/>
  </mergeCells>
  <conditionalFormatting sqref="M9:M11">
    <cfRule type="cellIs" dxfId="1912" priority="7" stopIfTrue="1" operator="lessThanOrEqual">
      <formula>$L9</formula>
    </cfRule>
    <cfRule type="cellIs" dxfId="1911" priority="8" operator="greaterThan">
      <formula>L9</formula>
    </cfRule>
  </conditionalFormatting>
  <conditionalFormatting sqref="M7">
    <cfRule type="cellIs" dxfId="1910" priority="5" stopIfTrue="1" operator="lessThanOrEqual">
      <formula>$L7</formula>
    </cfRule>
    <cfRule type="cellIs" dxfId="1909" priority="6" operator="greaterThan">
      <formula>L7</formula>
    </cfRule>
  </conditionalFormatting>
  <conditionalFormatting sqref="M8">
    <cfRule type="cellIs" dxfId="1908" priority="3" stopIfTrue="1" operator="lessThanOrEqual">
      <formula>$L8</formula>
    </cfRule>
    <cfRule type="cellIs" dxfId="1907" priority="4" operator="greaterThan">
      <formula>L8</formula>
    </cfRule>
  </conditionalFormatting>
  <conditionalFormatting sqref="M6">
    <cfRule type="cellIs" dxfId="1906" priority="1" stopIfTrue="1" operator="lessThanOrEqual">
      <formula>$L6</formula>
    </cfRule>
    <cfRule type="cellIs" dxfId="190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108854-B2F5-41A7-8A4C-4A2B5D00E7BE}">
          <x14:formula1>
            <xm:f>Bolts!$A:$A</xm:f>
          </x14:formula1>
          <xm:sqref>C9</xm:sqref>
        </x14:dataValidation>
        <x14:dataValidation type="list" allowBlank="1" showInputMessage="1" showErrorMessage="1" xr:uid="{DDC67E41-4745-4942-8E0F-071DF2639E47}">
          <x14:formula1>
            <xm:f>Machined!$C:$C</xm:f>
          </x14:formula1>
          <xm:sqref>C5</xm:sqref>
        </x14:dataValidation>
        <x14:dataValidation type="list" allowBlank="1" showInputMessage="1" showErrorMessage="1" xr:uid="{E5625E12-A7A5-4E81-810B-59B4D1212A13}">
          <x14:formula1>
            <xm:f>Purchased!$A:$A</xm:f>
          </x14:formula1>
          <xm:sqref>C7:C8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3550-72F9-4A24-9C6B-3A8B50C81131}">
  <sheetPr codeName="Sheet48">
    <tabColor theme="9" tint="0.59999389629810485"/>
  </sheetPr>
  <dimension ref="A1:Q22"/>
  <sheetViews>
    <sheetView zoomScale="115" zoomScaleNormal="115" workbookViewId="0">
      <selection activeCell="A14" sqref="A14:XFD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'1'!C8</f>
        <v>PG10.1.4.0.A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'1'!D8</f>
        <v>Door 1 A-Side</v>
      </c>
      <c r="D3" s="85" t="s">
        <v>50</v>
      </c>
      <c r="E3" s="86" t="str">
        <f ca="1">MID(CELL("filename",A1),FIND("]",CELL("filename",A1))+1,256)</f>
        <v>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'1.4.1'!Q16</f>
        <v>441.74</v>
      </c>
      <c r="Q5" s="118">
        <f>B5*P5</f>
        <v>441.74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338</v>
      </c>
      <c r="D6" s="314" t="str">
        <f ca="1">VLOOKUP(C6,Assemblies!E:P,2,0)</f>
        <v>Elesa Door Handle Assembly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" ca="1" si="0">B6*$L$2</f>
        <v>1</v>
      </c>
      <c r="P6" s="147">
        <f>'1.4.2'!Q9</f>
        <v>11.93</v>
      </c>
      <c r="Q6" s="103">
        <f t="shared" ref="Q6" si="1">B6*P6</f>
        <v>11.93</v>
      </c>
    </row>
    <row r="7" spans="1:17" s="2" customFormat="1" ht="12.75" customHeight="1" x14ac:dyDescent="0.2">
      <c r="A7" s="25"/>
      <c r="B7" s="26"/>
      <c r="C7" s="26"/>
      <c r="D7" s="332"/>
      <c r="E7" s="346"/>
      <c r="F7" s="26"/>
      <c r="G7" s="26"/>
      <c r="H7" s="322"/>
      <c r="I7" s="322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77">
        <v>1</v>
      </c>
      <c r="B8" s="20">
        <v>2</v>
      </c>
      <c r="C8" s="121" t="s">
        <v>339</v>
      </c>
      <c r="D8" s="314" t="str">
        <f>VLOOKUP(C8,Machined!C:X,2,0)</f>
        <v>Door Support</v>
      </c>
      <c r="E8" s="329"/>
      <c r="F8" s="107" t="str">
        <f>VLOOKUP($C8,Machined!C:Z,13,0)</f>
        <v>DELRIN 150-WHITE (OR EQUIVILANT)</v>
      </c>
      <c r="G8" s="44" t="str">
        <f>IF(VLOOKUP($C8,Machined!C:Z,16,0) = 0, " ", VLOOKUP($C8,Machined!C:Z,16,0))</f>
        <v>Frontier Mach</v>
      </c>
      <c r="H8" s="320" t="str">
        <f>IF(VLOOKUP($C8,Machined!C:Z,17,0) = 0, " ", VLOOKUP($C8,Machined!C:Z,17,0))</f>
        <v>4x more on PO 55744</v>
      </c>
      <c r="I8" s="321" t="str">
        <f>IF(VLOOKUP($C8,Machined!$C:$Y,13,0) = 0, " ", VLOOKUP($C8,Machined!$C:$Y,13,0))</f>
        <v>DELRIN 150-WHITE (OR EQUIVILANT)</v>
      </c>
      <c r="J8" s="44">
        <f>IF(VLOOKUP($C8,Machined!C:Z,18,0) = 0, " ", VLOOKUP($C8,Machined!C:Z,18,0))</f>
        <v>45448</v>
      </c>
      <c r="K8" s="44">
        <f>IF(VLOOKUP($C8,Machined!C:Z,19,0) = 0, " ", VLOOKUP($C8,Machined!C:Z,19,0))</f>
        <v>45453</v>
      </c>
      <c r="L8" s="44">
        <f>IF(VLOOKUP($C8,Machined!C:Z,20,0) = 0, " ", VLOOKUP($C8,Machined!C:Z,20,0))</f>
        <v>45490</v>
      </c>
      <c r="M8" s="44">
        <f>IF(VLOOKUP($C8,Machined!C:Z,21,0) = 0, " ", VLOOKUP($C8,Machined!C:Z,21,0))</f>
        <v>45490</v>
      </c>
      <c r="N8" s="129">
        <f>IF(VLOOKUP($C8,Machined!C:Z,22,0) = 0, " ", VLOOKUP($C8,Machined!C:Z,22,0))</f>
        <v>55545</v>
      </c>
      <c r="O8" s="45">
        <f ca="1">B8*$L$2</f>
        <v>2</v>
      </c>
      <c r="P8" s="49">
        <f>VLOOKUP(C8,Machined!C:F,3,0)</f>
        <v>67.45</v>
      </c>
      <c r="Q8" s="50">
        <f>B8*P8</f>
        <v>134.9</v>
      </c>
    </row>
    <row r="9" spans="1:17" s="2" customFormat="1" ht="12.75" customHeight="1" x14ac:dyDescent="0.25">
      <c r="A9" s="77">
        <v>2</v>
      </c>
      <c r="B9" s="20">
        <v>1</v>
      </c>
      <c r="C9" s="121" t="s">
        <v>340</v>
      </c>
      <c r="D9" s="314" t="str">
        <f>VLOOKUP(C9,Machined!C:X,2,0)</f>
        <v xml:space="preserve">CLEAR POLYCARB PANEL 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t="shared" ref="O9" ca="1" si="2">B9*$L$2</f>
        <v>1</v>
      </c>
      <c r="P9" s="49">
        <f>VLOOKUP(C9,Machined!C:F,3,0)</f>
        <v>105</v>
      </c>
      <c r="Q9" s="50">
        <f t="shared" ref="Q9" si="3">B9*P9</f>
        <v>105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>
        <v>3842530281</v>
      </c>
      <c r="D11" s="325" t="str">
        <f>VLOOKUP(C11,Purchased!A:B,2,0)</f>
        <v>BRX GOTO T-NUT 10 M4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100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" ca="1" si="4">B11*$L$2</f>
        <v>8</v>
      </c>
      <c r="P11" s="51">
        <f>VLOOKUP(C11,Purchased!A:D,3,FALSE)</f>
        <v>0.56000000000000005</v>
      </c>
      <c r="Q11" s="52">
        <f t="shared" ref="Q11" si="5">B11*P11</f>
        <v>4.4800000000000004</v>
      </c>
    </row>
    <row r="12" spans="1:17" s="2" customFormat="1" ht="12.75" customHeight="1" x14ac:dyDescent="0.25">
      <c r="A12" s="4">
        <v>302</v>
      </c>
      <c r="B12" s="2">
        <v>4</v>
      </c>
      <c r="C12" s="135" t="s">
        <v>149</v>
      </c>
      <c r="D12" s="325" t="str">
        <f>VLOOKUP(C12,Purchased!A:B,2,0)</f>
        <v>BRX GOTO QUICK CONNECTOR N10 0°</v>
      </c>
      <c r="E12" s="326"/>
      <c r="F12" s="108" t="str">
        <f>IF(VLOOKUP($C12,Purchased!A:Z,11,0) = 0, " ", VLOOKUP($C12,Purchased!A:Z,11,0))</f>
        <v>T-SLOTS</v>
      </c>
      <c r="G12" s="108" t="str">
        <f>IF(VLOOKUP($C12,Purchased!A:Z,12,0)=0, " ", VLOOKUP($C12,Purchased!A:Z,12,0))</f>
        <v>Process Tech</v>
      </c>
      <c r="H12" s="327" t="str">
        <f>IF(VLOOKUP($C12,Purchased!A:Z,13,0)=0, " ", VLOOKUP($C12,Purchased!A:Z,13,0))</f>
        <v>500 More on P.O. #55639 Part# 659730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45362</v>
      </c>
      <c r="M12" s="46">
        <f>IF(VLOOKUP(C12,Purchased!A:R,16,0)=0, " ",VLOOKUP(C12,Purchased!A:R,16,0))</f>
        <v>45378</v>
      </c>
      <c r="N12" s="130">
        <f>IF(VLOOKUP(C12,Purchased!A:R,17,0)=0, " ", VLOOKUP(C12,Purchased!A:R,17,0))</f>
        <v>45378</v>
      </c>
      <c r="O12" s="47">
        <f t="shared" ref="O12:O14" ca="1" si="6">B12*$L$2</f>
        <v>4</v>
      </c>
      <c r="P12" s="51">
        <f>VLOOKUP(C12,Purchased!A:D,3,FALSE)</f>
        <v>4.17</v>
      </c>
      <c r="Q12" s="52">
        <f t="shared" ref="Q12" si="7">B12*P12</f>
        <v>16.68</v>
      </c>
    </row>
    <row r="13" spans="1:17" s="2" customFormat="1" ht="12.75" customHeight="1" x14ac:dyDescent="0.25">
      <c r="A13" s="4">
        <v>303</v>
      </c>
      <c r="B13" s="2">
        <v>3</v>
      </c>
      <c r="C13" s="135" t="s">
        <v>341</v>
      </c>
      <c r="D13" s="325" t="str">
        <f>VLOOKUP(C13,Purchased!A:B,2,0)</f>
        <v>BRX GOTO HINGE AL 45/45, 2PK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Nuline has 40X Quantity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t="shared" ref="O13" ca="1" si="8">B13*$L$2</f>
        <v>3</v>
      </c>
      <c r="P13" s="51">
        <f>VLOOKUP(C13,Purchased!A:D,3,FALSE)</f>
        <v>22.16</v>
      </c>
      <c r="Q13" s="52">
        <f t="shared" ref="Q13" si="9">B13*P13</f>
        <v>66.48</v>
      </c>
    </row>
    <row r="14" spans="1:17" s="2" customFormat="1" ht="12.75" customHeight="1" x14ac:dyDescent="0.25">
      <c r="A14" s="4">
        <v>304</v>
      </c>
      <c r="B14" s="2">
        <v>5500</v>
      </c>
      <c r="C14" s="135">
        <v>3842146906</v>
      </c>
      <c r="D14" s="325" t="str">
        <f>VLOOKUP(C14,Purchased!A:B,2,0)</f>
        <v>SLOT PROFILE SCHWARZ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P/N changed to 3842555270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t="shared" ca="1" si="6"/>
        <v>5500</v>
      </c>
      <c r="P14" s="51">
        <f>VLOOKUP(C14,Purchased!A:D,3,FALSE)</f>
        <v>5</v>
      </c>
      <c r="Q14" s="52">
        <f>B14/2000*P14</f>
        <v>13.75</v>
      </c>
    </row>
    <row r="15" spans="1:17" s="2" customFormat="1" ht="12.75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.75" customHeight="1" x14ac:dyDescent="0.25">
      <c r="A16" s="4">
        <v>501</v>
      </c>
      <c r="B16" s="2">
        <v>8</v>
      </c>
      <c r="C16" s="122" t="s">
        <v>342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8</v>
      </c>
      <c r="P16" s="51">
        <f>VLOOKUP(C16,Bolts!A:B,2,FALSE)</f>
        <v>0</v>
      </c>
      <c r="Q16" s="52">
        <f>B16*P16</f>
        <v>0</v>
      </c>
    </row>
    <row r="17" spans="1:17" s="2" customFormat="1" ht="12.75" customHeight="1" x14ac:dyDescent="0.25">
      <c r="A17" s="4">
        <v>502</v>
      </c>
      <c r="B17" s="2">
        <v>12</v>
      </c>
      <c r="C17" s="122" t="s">
        <v>277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12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701</v>
      </c>
      <c r="B19" s="2">
        <v>2</v>
      </c>
      <c r="C19" s="123" t="s">
        <v>343</v>
      </c>
      <c r="D19" s="325" t="str">
        <f>VLOOKUP(C19,Extrusion!B:C,2,0)</f>
        <v>APPROVED EL 9/3</v>
      </c>
      <c r="E19" s="326"/>
      <c r="F19" s="108" t="str">
        <f ca="1">VLOOKUP(C19,Extrusion!B:N,5,0)</f>
        <v/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t="shared" ref="O19:O20" ca="1" si="10">B19*$L$2</f>
        <v>2</v>
      </c>
      <c r="P19" s="51">
        <f>VLOOKUP(C19,Extrusion!B:G,4,0)</f>
        <v>4</v>
      </c>
      <c r="Q19" s="52">
        <f>B19*P19</f>
        <v>8</v>
      </c>
    </row>
    <row r="20" spans="1:17" s="2" customFormat="1" ht="12.75" customHeight="1" thickBot="1" x14ac:dyDescent="0.3">
      <c r="A20" s="4">
        <v>702</v>
      </c>
      <c r="B20" s="2">
        <v>2</v>
      </c>
      <c r="C20" s="123" t="s">
        <v>344</v>
      </c>
      <c r="D20" s="325" t="str">
        <f>VLOOKUP(C20,Extrusion!B:C,2,0)</f>
        <v>APPROVED EL 9/3</v>
      </c>
      <c r="E20" s="326"/>
      <c r="F20" s="108" t="str">
        <f ca="1">VLOOKUP(C20,Extrusion!B:N,5,0)</f>
        <v/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t="shared" ca="1" si="10"/>
        <v>2</v>
      </c>
      <c r="P20" s="51">
        <f>VLOOKUP(C20,Extrusion!B:G,4,0)</f>
        <v>2</v>
      </c>
      <c r="Q20" s="52">
        <f>B20*P20</f>
        <v>4</v>
      </c>
    </row>
    <row r="21" spans="1:17" s="2" customFormat="1" ht="12" customHeight="1" thickBot="1" x14ac:dyDescent="0.3">
      <c r="A21" s="34"/>
      <c r="B21" s="35"/>
      <c r="C21" s="35"/>
      <c r="D21" s="316"/>
      <c r="E21" s="317"/>
      <c r="F21" s="35"/>
      <c r="G21" s="35"/>
      <c r="H21" s="309"/>
      <c r="I21" s="310"/>
      <c r="J21" s="36"/>
      <c r="K21" s="36"/>
      <c r="L21" s="36"/>
      <c r="M21" s="37"/>
      <c r="N21" s="132"/>
      <c r="O21" s="38"/>
      <c r="P21" s="99" t="s">
        <v>43</v>
      </c>
      <c r="Q21" s="104">
        <f>SUM(Q5:Q20)</f>
        <v>806.96</v>
      </c>
    </row>
    <row r="22" spans="1:17" s="2" customFormat="1" ht="12" customHeight="1" x14ac:dyDescent="0.2">
      <c r="D22" s="21"/>
      <c r="E22" s="21"/>
      <c r="J22" s="8"/>
      <c r="K22" s="8"/>
      <c r="L22" s="8"/>
      <c r="M22" s="8"/>
      <c r="N22" s="131"/>
      <c r="O22" s="5"/>
      <c r="P22" s="98"/>
      <c r="Q22" s="105"/>
    </row>
  </sheetData>
  <sheetProtection selectLockedCells="1"/>
  <mergeCells count="32">
    <mergeCell ref="D1:E1"/>
    <mergeCell ref="D4:E4"/>
    <mergeCell ref="H4:I4"/>
    <mergeCell ref="D12:E12"/>
    <mergeCell ref="H12:I12"/>
    <mergeCell ref="D8:E8"/>
    <mergeCell ref="H8:I8"/>
    <mergeCell ref="D9:E9"/>
    <mergeCell ref="H9:I9"/>
    <mergeCell ref="H7:I7"/>
    <mergeCell ref="H6:I6"/>
    <mergeCell ref="D7:E7"/>
    <mergeCell ref="H10:I10"/>
    <mergeCell ref="H11:I11"/>
    <mergeCell ref="D5:E5"/>
    <mergeCell ref="H5:I5"/>
    <mergeCell ref="D20:E20"/>
    <mergeCell ref="D21:E21"/>
    <mergeCell ref="D18:E18"/>
    <mergeCell ref="D11:E11"/>
    <mergeCell ref="H21:I21"/>
    <mergeCell ref="H18:I18"/>
    <mergeCell ref="D14:E14"/>
    <mergeCell ref="H14:I14"/>
    <mergeCell ref="D15:E15"/>
    <mergeCell ref="H15:I15"/>
    <mergeCell ref="D16:E16"/>
    <mergeCell ref="D6:E6"/>
    <mergeCell ref="D10:E10"/>
    <mergeCell ref="D19:E19"/>
    <mergeCell ref="D13:E13"/>
    <mergeCell ref="H13:I13"/>
  </mergeCells>
  <conditionalFormatting sqref="M7 M10 M15:M20">
    <cfRule type="cellIs" dxfId="1904" priority="11" stopIfTrue="1" operator="lessThanOrEqual">
      <formula>$L7</formula>
    </cfRule>
    <cfRule type="cellIs" dxfId="1903" priority="12" operator="greaterThan">
      <formula>L7</formula>
    </cfRule>
  </conditionalFormatting>
  <conditionalFormatting sqref="M11">
    <cfRule type="cellIs" dxfId="1902" priority="7" stopIfTrue="1" operator="lessThanOrEqual">
      <formula>$L11</formula>
    </cfRule>
    <cfRule type="cellIs" dxfId="1901" priority="8" operator="greaterThan">
      <formula>L11</formula>
    </cfRule>
  </conditionalFormatting>
  <conditionalFormatting sqref="M12">
    <cfRule type="cellIs" dxfId="1900" priority="5" stopIfTrue="1" operator="lessThanOrEqual">
      <formula>$L12</formula>
    </cfRule>
    <cfRule type="cellIs" dxfId="1899" priority="6" operator="greaterThan">
      <formula>L12</formula>
    </cfRule>
  </conditionalFormatting>
  <conditionalFormatting sqref="M13">
    <cfRule type="cellIs" dxfId="1898" priority="3" stopIfTrue="1" operator="lessThanOrEqual">
      <formula>$L13</formula>
    </cfRule>
    <cfRule type="cellIs" dxfId="1897" priority="4" operator="greaterThan">
      <formula>L13</formula>
    </cfRule>
  </conditionalFormatting>
  <conditionalFormatting sqref="M14">
    <cfRule type="cellIs" dxfId="1896" priority="1" stopIfTrue="1" operator="lessThanOrEqual">
      <formula>$L14</formula>
    </cfRule>
    <cfRule type="cellIs" dxfId="1895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41D07F-03B4-4331-9367-F63883CD556F}">
          <x14:formula1>
            <xm:f>Bolts!$A:$A</xm:f>
          </x14:formula1>
          <xm:sqref>C16:C17</xm:sqref>
        </x14:dataValidation>
        <x14:dataValidation type="list" allowBlank="1" showInputMessage="1" showErrorMessage="1" xr:uid="{4CCBA703-FB51-4CF6-9055-0B0C3785950A}">
          <x14:formula1>
            <xm:f>Assemblies!$E:$E</xm:f>
          </x14:formula1>
          <xm:sqref>C5:C6</xm:sqref>
        </x14:dataValidation>
        <x14:dataValidation type="list" allowBlank="1" showInputMessage="1" showErrorMessage="1" xr:uid="{81ACEFA0-5B9F-40C7-93A2-547B558E670C}">
          <x14:formula1>
            <xm:f>Machined!$C:$C</xm:f>
          </x14:formula1>
          <xm:sqref>C8:C9</xm:sqref>
        </x14:dataValidation>
        <x14:dataValidation type="list" allowBlank="1" showInputMessage="1" showErrorMessage="1" xr:uid="{11425F0D-9EDF-41A9-BE67-EB197B99F73D}">
          <x14:formula1>
            <xm:f>Purchased!$A:$A</xm:f>
          </x14:formula1>
          <xm:sqref>C11:C14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FCFFA-08E5-41CE-A819-62315465B935}">
  <sheetPr codeName="Sheet49">
    <tabColor theme="6" tint="0.59999389629810485"/>
  </sheetPr>
  <dimension ref="A1:Q17"/>
  <sheetViews>
    <sheetView zoomScale="115" zoomScaleNormal="115" workbookViewId="0">
      <selection activeCell="C24" sqref="C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'1.4'!C5</f>
        <v>PG10.1.4.1.0.A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'1.4'!D5</f>
        <v>Door Mag Lock Assembly</v>
      </c>
      <c r="D3" s="85" t="s">
        <v>50</v>
      </c>
      <c r="E3" s="86" t="str">
        <f ca="1">MID(CELL("filename",A1),FIND("]",CELL("filename",A1))+1,256)</f>
        <v>1.4.1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345</v>
      </c>
      <c r="D5" s="314" t="str">
        <f>VLOOKUP(C5,Machined!C:X,2,0)</f>
        <v>MAG LOCK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45435</v>
      </c>
      <c r="K5" s="44">
        <f>IF(VLOOKUP($C5,Machined!C:Z,19,0) = 0, " ", VLOOKUP($C5,Machined!C:Z,19,0))</f>
        <v>45453</v>
      </c>
      <c r="L5" s="44">
        <f>IF(VLOOKUP($C5,Machined!C:Z,20,0) = 0, " ", VLOOKUP($C5,Machined!C:Z,20,0))</f>
        <v>45490</v>
      </c>
      <c r="M5" s="44">
        <f>IF(VLOOKUP($C5,Machined!C:Z,21,0) = 0, " ", VLOOKUP($C5,Machined!C:Z,21,0))</f>
        <v>45490</v>
      </c>
      <c r="N5" s="129">
        <f>IF(VLOOKUP($C5,Machined!C:Z,22,0) = 0, " ", VLOOKUP($C5,Machined!C:Z,22,0))</f>
        <v>55545</v>
      </c>
      <c r="O5" s="45">
        <f ca="1">B5*$L$2</f>
        <v>16</v>
      </c>
      <c r="P5" s="49">
        <f>VLOOKUP(C5,Machined!C:F,3,0)</f>
        <v>49.5</v>
      </c>
      <c r="Q5" s="50">
        <f>B5*P5</f>
        <v>49.5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2</v>
      </c>
      <c r="C7" s="135" t="s">
        <v>104</v>
      </c>
      <c r="D7" s="325" t="str">
        <f>VLOOKUP(C7,Purchased!A:B,2,0)</f>
        <v>BRX GOTO T-NUT 10 M8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400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9" ca="1" si="0">B7*$L$2</f>
        <v>32</v>
      </c>
      <c r="P7" s="51">
        <f>VLOOKUP(C7,Purchased!A:D,3,FALSE)</f>
        <v>0.56000000000000005</v>
      </c>
      <c r="Q7" s="52">
        <f t="shared" ref="Q7:Q9" si="1">B7*P7</f>
        <v>1.1200000000000001</v>
      </c>
    </row>
    <row r="8" spans="1:17" s="2" customFormat="1" ht="12.75" customHeight="1" x14ac:dyDescent="0.25">
      <c r="A8" s="4">
        <v>302</v>
      </c>
      <c r="B8" s="2">
        <v>2</v>
      </c>
      <c r="C8" s="135">
        <v>3842530281</v>
      </c>
      <c r="D8" s="325" t="str">
        <f>VLOOKUP(C8,Purchased!A:B,2,0)</f>
        <v>BRX GOTO T-NUT 10 M4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>100 additional quantity added to 55710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0"/>
        <v>32</v>
      </c>
      <c r="P8" s="51">
        <f>VLOOKUP(C8,Purchased!A:D,3,FALSE)</f>
        <v>0.56000000000000005</v>
      </c>
      <c r="Q8" s="52">
        <f t="shared" si="1"/>
        <v>1.1200000000000001</v>
      </c>
    </row>
    <row r="9" spans="1:17" s="2" customFormat="1" ht="12.75" customHeight="1" x14ac:dyDescent="0.25">
      <c r="A9" s="4">
        <v>303</v>
      </c>
      <c r="B9" s="2">
        <v>1</v>
      </c>
      <c r="C9" s="135" t="s">
        <v>346</v>
      </c>
      <c r="D9" s="325" t="str">
        <f>VLOOKUP(C9,Purchased!A:B,2,0)</f>
        <v>Keyence Safety interlock</v>
      </c>
      <c r="E9" s="326"/>
      <c r="F9" s="108" t="str">
        <f>IF(VLOOKUP($C9,Purchased!A:Z,11,0) = 0, " ", VLOOKUP($C9,Purchased!A:Z,11,0))</f>
        <v>KEYENCE</v>
      </c>
      <c r="G9" s="108" t="str">
        <f>IF(VLOOKUP($C9,Purchased!A:Z,12,0)=0, " ", VLOOKUP($C9,Purchased!A:Z,12,0))</f>
        <v>KEYENCE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45516</v>
      </c>
      <c r="K9" s="46">
        <f>IF(VLOOKUP(C9,Purchased!A:R,14,0)=0, " ", VLOOKUP(C9,Purchased!A:R,14,0))</f>
        <v>45516</v>
      </c>
      <c r="L9" s="46">
        <f>IF(VLOOKUP(C9,Purchased!A:R,15,0)=0, " ", VLOOKUP(C9,Purchased!A:R,15,0))</f>
        <v>45518</v>
      </c>
      <c r="M9" s="46">
        <f>IF(VLOOKUP(C9,Purchased!A:R,16,0)=0, " ",VLOOKUP(C9,Purchased!A:R,16,0))</f>
        <v>45526</v>
      </c>
      <c r="N9" s="130">
        <f>IF(VLOOKUP(C9,Purchased!A:R,17,0)=0, " ", VLOOKUP(C9,Purchased!A:R,17,0))</f>
        <v>45526</v>
      </c>
      <c r="O9" s="47">
        <f t="shared" ca="1" si="0"/>
        <v>16</v>
      </c>
      <c r="P9" s="51">
        <f>VLOOKUP(C9,Purchased!A:D,3,FALSE)</f>
        <v>320</v>
      </c>
      <c r="Q9" s="52">
        <f t="shared" si="1"/>
        <v>320</v>
      </c>
    </row>
    <row r="10" spans="1:17" s="2" customFormat="1" ht="12.75" customHeight="1" x14ac:dyDescent="0.25">
      <c r="A10" s="4">
        <v>304</v>
      </c>
      <c r="B10" s="2">
        <v>1</v>
      </c>
      <c r="C10" s="135" t="s">
        <v>347</v>
      </c>
      <c r="D10" s="325" t="str">
        <f>VLOOKUP(C10,Purchased!A:B,2,0)</f>
        <v>Keyence Mag Lock Actuator</v>
      </c>
      <c r="E10" s="326"/>
      <c r="F10" s="108" t="str">
        <f>IF(VLOOKUP($C10,Purchased!A:Z,11,0) = 0, " ", VLOOKUP($C10,Purchased!A:Z,11,0))</f>
        <v>KEYENCE</v>
      </c>
      <c r="G10" s="108" t="str">
        <f>IF(VLOOKUP($C10,Purchased!A:Z,12,0)=0, " ", VLOOKUP($C10,Purchased!A:Z,12,0))</f>
        <v>KEYENCE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45516</v>
      </c>
      <c r="K10" s="46">
        <f>IF(VLOOKUP(C10,Purchased!A:R,14,0)=0, " ", VLOOKUP(C10,Purchased!A:R,14,0))</f>
        <v>45516</v>
      </c>
      <c r="L10" s="46">
        <f>IF(VLOOKUP(C10,Purchased!A:R,15,0)=0, " ", VLOOKUP(C10,Purchased!A:R,15,0))</f>
        <v>45518</v>
      </c>
      <c r="M10" s="46">
        <f>IF(VLOOKUP(C10,Purchased!A:R,16,0)=0, " ",VLOOKUP(C10,Purchased!A:R,16,0))</f>
        <v>45526</v>
      </c>
      <c r="N10" s="130">
        <f>IF(VLOOKUP(C10,Purchased!A:R,17,0)=0, " ", VLOOKUP(C10,Purchased!A:R,17,0))</f>
        <v>45526</v>
      </c>
      <c r="O10" s="47">
        <f ca="1">B10*$L$2</f>
        <v>16</v>
      </c>
      <c r="P10" s="51">
        <f>VLOOKUP(C10,Purchased!A:D,3,FALSE)</f>
        <v>70</v>
      </c>
      <c r="Q10" s="52">
        <f>B10*P10</f>
        <v>70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4">
        <v>501</v>
      </c>
      <c r="B12" s="2">
        <v>2</v>
      </c>
      <c r="C12" s="122" t="s">
        <v>348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32</v>
      </c>
      <c r="P12" s="51">
        <f>VLOOKUP(C12,Bolts!A:B,2,FALSE)</f>
        <v>0</v>
      </c>
      <c r="Q12" s="52">
        <f>B12*P12</f>
        <v>0</v>
      </c>
    </row>
    <row r="13" spans="1:17" s="2" customFormat="1" ht="12.75" customHeight="1" x14ac:dyDescent="0.25">
      <c r="A13" s="4">
        <v>502</v>
      </c>
      <c r="B13" s="2">
        <v>2</v>
      </c>
      <c r="C13" s="122" t="s">
        <v>349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32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503</v>
      </c>
      <c r="B14" s="2">
        <v>2</v>
      </c>
      <c r="C14" s="122" t="s">
        <v>95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32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thickBot="1" x14ac:dyDescent="0.3">
      <c r="A15" s="4">
        <v>504</v>
      </c>
      <c r="B15" s="2">
        <v>2</v>
      </c>
      <c r="C15" s="122" t="s">
        <v>351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32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441.74</v>
      </c>
    </row>
    <row r="17" spans="4:17" s="2" customFormat="1" ht="12" customHeight="1" x14ac:dyDescent="0.2">
      <c r="D17" s="21"/>
      <c r="E17" s="21"/>
      <c r="J17" s="8"/>
      <c r="K17" s="8"/>
      <c r="L17" s="8"/>
      <c r="M17" s="8"/>
      <c r="N17" s="131"/>
      <c r="O17" s="5"/>
      <c r="P17" s="98"/>
      <c r="Q17" s="105"/>
    </row>
  </sheetData>
  <sheetProtection selectLockedCells="1"/>
  <mergeCells count="23">
    <mergeCell ref="D12:E12"/>
    <mergeCell ref="D13:E13"/>
    <mergeCell ref="D16:E16"/>
    <mergeCell ref="H16:I16"/>
    <mergeCell ref="D14:E14"/>
    <mergeCell ref="D15:E15"/>
    <mergeCell ref="D8:E8"/>
    <mergeCell ref="H8:I8"/>
    <mergeCell ref="D9:E9"/>
    <mergeCell ref="H9:I9"/>
    <mergeCell ref="D11:E11"/>
    <mergeCell ref="H11:I11"/>
    <mergeCell ref="D10:E10"/>
    <mergeCell ref="H10:I10"/>
    <mergeCell ref="D6:E6"/>
    <mergeCell ref="H6:I6"/>
    <mergeCell ref="D7:E7"/>
    <mergeCell ref="H7:I7"/>
    <mergeCell ref="D1:E1"/>
    <mergeCell ref="D4:E4"/>
    <mergeCell ref="H4:I4"/>
    <mergeCell ref="D5:E5"/>
    <mergeCell ref="H5:I5"/>
  </mergeCells>
  <conditionalFormatting sqref="M6 M11:M15">
    <cfRule type="cellIs" dxfId="1894" priority="7" stopIfTrue="1" operator="lessThanOrEqual">
      <formula>$L6</formula>
    </cfRule>
    <cfRule type="cellIs" dxfId="1893" priority="8" operator="greaterThan">
      <formula>L6</formula>
    </cfRule>
  </conditionalFormatting>
  <conditionalFormatting sqref="M7">
    <cfRule type="cellIs" dxfId="1892" priority="5" stopIfTrue="1" operator="lessThanOrEqual">
      <formula>$L7</formula>
    </cfRule>
    <cfRule type="cellIs" dxfId="1891" priority="6" operator="greaterThan">
      <formula>L7</formula>
    </cfRule>
  </conditionalFormatting>
  <conditionalFormatting sqref="M8">
    <cfRule type="cellIs" dxfId="1890" priority="3" stopIfTrue="1" operator="lessThanOrEqual">
      <formula>$L8</formula>
    </cfRule>
    <cfRule type="cellIs" dxfId="1889" priority="4" operator="greaterThan">
      <formula>L8</formula>
    </cfRule>
  </conditionalFormatting>
  <conditionalFormatting sqref="M9:M10">
    <cfRule type="cellIs" dxfId="1888" priority="1" stopIfTrue="1" operator="lessThanOrEqual">
      <formula>$L9</formula>
    </cfRule>
    <cfRule type="cellIs" dxfId="1887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791FE9-1F6D-439D-9DC6-D7CACBF2D001}">
          <x14:formula1>
            <xm:f>Bolts!$A:$A</xm:f>
          </x14:formula1>
          <xm:sqref>C12:C15</xm:sqref>
        </x14:dataValidation>
        <x14:dataValidation type="list" allowBlank="1" showInputMessage="1" showErrorMessage="1" xr:uid="{26D9C7D3-ED62-45CE-B285-92E10B92517E}">
          <x14:formula1>
            <xm:f>Machined!$C:$C</xm:f>
          </x14:formula1>
          <xm:sqref>C5</xm:sqref>
        </x14:dataValidation>
        <x14:dataValidation type="list" allowBlank="1" showInputMessage="1" showErrorMessage="1" xr:uid="{03B9EDB6-BF49-4A2E-A04D-B14398D9D620}">
          <x14:formula1>
            <xm:f>Purchased!$A:$A</xm:f>
          </x14:formula1>
          <xm:sqref>C7:C10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38914-4EBA-46CD-AD1F-1A50F438883D}">
  <sheetPr codeName="Sheet50">
    <tabColor theme="6" tint="0.59999389629810485"/>
  </sheetPr>
  <dimension ref="A1:Q10"/>
  <sheetViews>
    <sheetView zoomScale="115" zoomScaleNormal="115" workbookViewId="0">
      <selection activeCell="C17" sqref="C1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'1.4'!C6</f>
        <v>PG10.1.4.2.0.A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36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'1.4'!D6</f>
        <v>Elesa Door Handle Assembly</v>
      </c>
      <c r="D3" s="85" t="s">
        <v>50</v>
      </c>
      <c r="E3" s="86" t="str">
        <f ca="1">MID(CELL("filename",A1),FIND("]",CELL("filename",A1))+1,256)</f>
        <v>1.4.2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2</v>
      </c>
      <c r="C5" s="135" t="s">
        <v>104</v>
      </c>
      <c r="D5" s="325" t="str">
        <f>VLOOKUP(C5,Purchased!A:B,2,0)</f>
        <v>BRX GOTO T-NUT 10 M8</v>
      </c>
      <c r="E5" s="326"/>
      <c r="F5" s="108" t="str">
        <f>IF(VLOOKUP($C5,Purchased!A:Z,11,0) = 0, " ", VLOOKUP($C5,Purchased!A:Z,11,0))</f>
        <v>BRX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>400 additional quantity added to 55710</v>
      </c>
      <c r="I5" s="328"/>
      <c r="J5" s="46">
        <f>IF(VLOOKUP($C5,Purchased!A:Z,14,0)=0, " ", VLOOKUP($C5,Purchased!A:Z,14,0))</f>
        <v>45463</v>
      </c>
      <c r="K5" s="46">
        <f>IF(VLOOKUP(C5,Purchased!A:R,14,0)=0, " ", VLOOKUP(C5,Purchased!A:R,14,0))</f>
        <v>45463</v>
      </c>
      <c r="L5" s="46">
        <f>IF(VLOOKUP(C5,Purchased!A:R,15,0)=0, " ", VLOOKUP(C5,Purchased!A:R,15,0))</f>
        <v>45463</v>
      </c>
      <c r="M5" s="46">
        <f>IF(VLOOKUP(C5,Purchased!A:R,16,0)=0, " ",VLOOKUP(C5,Purchased!A:R,16,0))</f>
        <v>45481</v>
      </c>
      <c r="N5" s="130">
        <f>IF(VLOOKUP(C5,Purchased!A:R,17,0)=0, " ", VLOOKUP(C5,Purchased!A:R,17,0))</f>
        <v>45481</v>
      </c>
      <c r="O5" s="47">
        <f ca="1">B5*$L$2</f>
        <v>72</v>
      </c>
      <c r="P5" s="51">
        <f>VLOOKUP(C5,Purchased!A:D,3,FALSE)</f>
        <v>0.56000000000000005</v>
      </c>
      <c r="Q5" s="52">
        <f>B5*P5</f>
        <v>1.1200000000000001</v>
      </c>
    </row>
    <row r="6" spans="1:17" s="2" customFormat="1" ht="12.75" customHeight="1" x14ac:dyDescent="0.25">
      <c r="A6" s="4">
        <v>302</v>
      </c>
      <c r="B6" s="2">
        <v>1</v>
      </c>
      <c r="C6" s="135" t="s">
        <v>352</v>
      </c>
      <c r="D6" s="325" t="str">
        <f>VLOOKUP(C6,Purchased!A:B,2,0)</f>
        <v>M8 Thru Black Bridge Handle EBP.200-8-C1</v>
      </c>
      <c r="E6" s="326"/>
      <c r="F6" s="108" t="str">
        <f>IF(VLOOKUP($C6,Purchased!A:Z,11,0) = 0, " ", VLOOKUP($C6,Purchased!A:Z,11,0))</f>
        <v>ELESA</v>
      </c>
      <c r="G6" s="108" t="str">
        <f>IF(VLOOKUP($C6,Purchased!A:Z,12,0)=0, " ", VLOOKUP($C6,Purchased!A:Z,12,0))</f>
        <v>ELESA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45506</v>
      </c>
      <c r="K6" s="46">
        <f>IF(VLOOKUP(C6,Purchased!A:R,14,0)=0, " ", VLOOKUP(C6,Purchased!A:R,14,0))</f>
        <v>45506</v>
      </c>
      <c r="L6" s="46">
        <f>IF(VLOOKUP(C6,Purchased!A:R,15,0)=0, " ", VLOOKUP(C6,Purchased!A:R,15,0))</f>
        <v>45526</v>
      </c>
      <c r="M6" s="46">
        <f>IF(VLOOKUP(C6,Purchased!A:R,16,0)=0, " ",VLOOKUP(C6,Purchased!A:R,16,0))</f>
        <v>45551</v>
      </c>
      <c r="N6" s="130">
        <f>IF(VLOOKUP(C6,Purchased!A:R,17,0)=0, " ", VLOOKUP(C6,Purchased!A:R,17,0))</f>
        <v>45551</v>
      </c>
      <c r="O6" s="47">
        <f ca="1">B6*$L$2</f>
        <v>36</v>
      </c>
      <c r="P6" s="51">
        <f>VLOOKUP(C6,Purchased!A:D,3,FALSE)</f>
        <v>10.81</v>
      </c>
      <c r="Q6" s="52">
        <f>B6*P6</f>
        <v>10.81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thickBot="1" x14ac:dyDescent="0.3">
      <c r="A8" s="4">
        <v>501</v>
      </c>
      <c r="B8" s="2">
        <v>2</v>
      </c>
      <c r="C8" s="122" t="s">
        <v>264</v>
      </c>
      <c r="D8" s="325"/>
      <c r="E8" s="326"/>
      <c r="F8" s="108">
        <f>VLOOKUP(C8,Bolts!A:L,5,0)</f>
        <v>0</v>
      </c>
      <c r="G8" s="108">
        <f>VLOOKUP(C8,Bolts!A:L,6,0)</f>
        <v>0</v>
      </c>
      <c r="H8" s="108">
        <f>VLOOKUP(C8,Bolts!A:L,7,0)</f>
        <v>0</v>
      </c>
      <c r="I8" s="109"/>
      <c r="J8" s="46">
        <f>VLOOKUP(C8,Bolts!A:L,8,0)</f>
        <v>0</v>
      </c>
      <c r="K8" s="46">
        <f>VLOOKUP(C8,Bolts!A:L,9,0)</f>
        <v>0</v>
      </c>
      <c r="L8" s="46">
        <f>VLOOKUP(C8,Bolts!A:L,10,0)</f>
        <v>0</v>
      </c>
      <c r="M8" s="46">
        <f>VLOOKUP(C8,Bolts!A:L,11,0)</f>
        <v>0</v>
      </c>
      <c r="N8" s="130">
        <f>VLOOKUP(C8,Bolts!A:L,12,0)</f>
        <v>0</v>
      </c>
      <c r="O8" s="47">
        <f ca="1">B8*$L$2</f>
        <v>72</v>
      </c>
      <c r="P8" s="51">
        <f>VLOOKUP(C8,Bolts!A:B,2,FALSE)</f>
        <v>0</v>
      </c>
      <c r="Q8" s="52">
        <f>B8*P8</f>
        <v>0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11.93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mergeCells count="12">
    <mergeCell ref="D5:E5"/>
    <mergeCell ref="H5:I5"/>
    <mergeCell ref="D6:E6"/>
    <mergeCell ref="H6:I6"/>
    <mergeCell ref="D1:E1"/>
    <mergeCell ref="D4:E4"/>
    <mergeCell ref="H4:I4"/>
    <mergeCell ref="D9:E9"/>
    <mergeCell ref="H9:I9"/>
    <mergeCell ref="D7:E7"/>
    <mergeCell ref="H7:I7"/>
    <mergeCell ref="D8:E8"/>
  </mergeCells>
  <conditionalFormatting sqref="M7:M8">
    <cfRule type="cellIs" dxfId="1886" priority="5" stopIfTrue="1" operator="lessThanOrEqual">
      <formula>$L7</formula>
    </cfRule>
    <cfRule type="cellIs" dxfId="1885" priority="6" operator="greaterThan">
      <formula>L7</formula>
    </cfRule>
  </conditionalFormatting>
  <conditionalFormatting sqref="M5:M6">
    <cfRule type="cellIs" dxfId="1884" priority="1" stopIfTrue="1" operator="lessThanOrEqual">
      <formula>$L5</formula>
    </cfRule>
    <cfRule type="cellIs" dxfId="1883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0ADA29-0074-4DF4-BEC5-F986F27E8E96}">
          <x14:formula1>
            <xm:f>Bolts!$A:$A</xm:f>
          </x14:formula1>
          <xm:sqref>C8</xm:sqref>
        </x14:dataValidation>
        <x14:dataValidation type="list" allowBlank="1" showInputMessage="1" showErrorMessage="1" xr:uid="{2B7EB5CB-36B6-4B70-A48B-3A128309A982}">
          <x14:formula1>
            <xm:f>Purchased!$A:$A</xm:f>
          </x14:formula1>
          <xm:sqref>C5:C6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CE0F0-D545-4B84-8F11-AC8AE53DC6C4}">
  <sheetPr codeName="Sheet51">
    <tabColor theme="9" tint="0.59999389629810485"/>
  </sheetPr>
  <dimension ref="A1:Q22"/>
  <sheetViews>
    <sheetView zoomScale="115" zoomScaleNormal="115" workbookViewId="0">
      <selection activeCell="A14" sqref="A14:XFD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'1'!C9</f>
        <v>PG10.1.5.0.A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'1'!D9</f>
        <v>Door 2 B-Side</v>
      </c>
      <c r="D3" s="85" t="s">
        <v>50</v>
      </c>
      <c r="E3" s="86" t="str">
        <f ca="1">MID(CELL("filename",A1),FIND("]",CELL("filename",A1))+1,256)</f>
        <v>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'1.4.1'!Q16</f>
        <v>441.74</v>
      </c>
      <c r="Q5" s="118">
        <f>B5*P5</f>
        <v>441.74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338</v>
      </c>
      <c r="D6" s="314" t="str">
        <f ca="1">VLOOKUP(C6,Assemblies!E:P,2,0)</f>
        <v>Elesa Door Handle Assembly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" ca="1" si="0">B6*$L$2</f>
        <v>1</v>
      </c>
      <c r="P6" s="147">
        <f>'1.4.2'!Q9</f>
        <v>11.93</v>
      </c>
      <c r="Q6" s="103">
        <f t="shared" ref="Q6" si="1">B6*P6</f>
        <v>11.93</v>
      </c>
    </row>
    <row r="7" spans="1:17" s="2" customFormat="1" ht="12.75" customHeight="1" x14ac:dyDescent="0.2">
      <c r="A7" s="25"/>
      <c r="B7" s="26"/>
      <c r="C7" s="26"/>
      <c r="D7" s="332"/>
      <c r="E7" s="346"/>
      <c r="F7" s="26"/>
      <c r="G7" s="26"/>
      <c r="H7" s="322"/>
      <c r="I7" s="322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77">
        <v>1</v>
      </c>
      <c r="B8" s="20">
        <v>1</v>
      </c>
      <c r="C8" s="121" t="s">
        <v>353</v>
      </c>
      <c r="D8" s="314" t="str">
        <f>VLOOKUP(C8,Machined!C:X,2,0)</f>
        <v xml:space="preserve">CLEAR POLYCARB PANEL </v>
      </c>
      <c r="E8" s="329"/>
      <c r="F8" s="107" t="str">
        <f>VLOOKUP($C8,Machined!C:Z,13,0)</f>
        <v>POLYCARBONITE-CLEAR</v>
      </c>
      <c r="G8" s="44" t="str">
        <f>IF(VLOOKUP($C8,Machined!C:Z,16,0) = 0, " ", VLOOKUP($C8,Machined!C:Z,16,0))</f>
        <v>Port Plastics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POLYCARBONITE-CLEAR</v>
      </c>
      <c r="J8" s="44" t="str">
        <f>IF(VLOOKUP($C8,Machined!C:Z,18,0) = 0, " ", VLOOKUP($C8,Machined!C:Z,18,0))</f>
        <v>(TJ) 8/8/2024</v>
      </c>
      <c r="K8" s="44">
        <f>IF(VLOOKUP($C8,Machined!C:Z,19,0) = 0, " ", VLOOKUP($C8,Machined!C:Z,19,0))</f>
        <v>45530</v>
      </c>
      <c r="L8" s="44">
        <f>IF(VLOOKUP($C8,Machined!C:Z,20,0) = 0, " ", VLOOKUP($C8,Machined!C:Z,20,0))</f>
        <v>45561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55708</v>
      </c>
      <c r="O8" s="45">
        <f ca="1">B8*$L$2</f>
        <v>1</v>
      </c>
      <c r="P8" s="49">
        <f>VLOOKUP(C8,Machined!C:F,3,0)</f>
        <v>110</v>
      </c>
      <c r="Q8" s="50">
        <f>B8*P8</f>
        <v>110</v>
      </c>
    </row>
    <row r="9" spans="1:17" s="2" customFormat="1" ht="12.75" customHeight="1" x14ac:dyDescent="0.25">
      <c r="A9" s="77">
        <v>2</v>
      </c>
      <c r="B9" s="20">
        <v>2</v>
      </c>
      <c r="C9" s="121" t="s">
        <v>339</v>
      </c>
      <c r="D9" s="314" t="str">
        <f>VLOOKUP(C9,Machined!C:X,2,0)</f>
        <v>Door Support</v>
      </c>
      <c r="E9" s="329"/>
      <c r="F9" s="107" t="str">
        <f>VLOOKUP($C9,Machined!C:Z,13,0)</f>
        <v>DELRIN 150-WHITE (OR EQUIVILANT)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>4x more on PO 55744</v>
      </c>
      <c r="I9" s="321" t="str">
        <f>IF(VLOOKUP($C9,Machined!$C:$Y,13,0) = 0, " ", VLOOKUP($C9,Machined!$C:$Y,13,0))</f>
        <v>DELRIN 150-WHITE (OR EQUIVILANT)</v>
      </c>
      <c r="J9" s="44">
        <f>IF(VLOOKUP($C9,Machined!C:Z,18,0) = 0, " ", VLOOKUP($C9,Machined!C:Z,18,0))</f>
        <v>45448</v>
      </c>
      <c r="K9" s="44">
        <f>IF(VLOOKUP($C9,Machined!C:Z,19,0) = 0, " ", VLOOKUP($C9,Machined!C:Z,19,0))</f>
        <v>45453</v>
      </c>
      <c r="L9" s="44">
        <f>IF(VLOOKUP($C9,Machined!C:Z,20,0) = 0, " ", VLOOKUP($C9,Machined!C:Z,20,0))</f>
        <v>45490</v>
      </c>
      <c r="M9" s="44">
        <f>IF(VLOOKUP($C9,Machined!C:Z,21,0) = 0, " ", VLOOKUP($C9,Machined!C:Z,21,0))</f>
        <v>45490</v>
      </c>
      <c r="N9" s="129">
        <f>IF(VLOOKUP($C9,Machined!C:Z,22,0) = 0, " ", VLOOKUP($C9,Machined!C:Z,22,0))</f>
        <v>55545</v>
      </c>
      <c r="O9" s="45">
        <f t="shared" ref="O9" ca="1" si="2">B9*$L$2</f>
        <v>2</v>
      </c>
      <c r="P9" s="49">
        <f>VLOOKUP(C9,Machined!C:F,3,0)</f>
        <v>67.45</v>
      </c>
      <c r="Q9" s="50">
        <f t="shared" ref="Q9" si="3">B9*P9</f>
        <v>134.9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>
        <v>3842530281</v>
      </c>
      <c r="D11" s="325" t="str">
        <f>VLOOKUP(C11,Purchased!A:B,2,0)</f>
        <v>BRX GOTO T-NUT 10 M4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100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" ca="1" si="4">B11*$L$2</f>
        <v>8</v>
      </c>
      <c r="P11" s="51">
        <f>VLOOKUP(C11,Purchased!A:D,3,FALSE)</f>
        <v>0.56000000000000005</v>
      </c>
      <c r="Q11" s="52">
        <f t="shared" ref="Q11" si="5">B11*P11</f>
        <v>4.4800000000000004</v>
      </c>
    </row>
    <row r="12" spans="1:17" s="2" customFormat="1" ht="12.75" customHeight="1" x14ac:dyDescent="0.25">
      <c r="A12" s="4">
        <v>302</v>
      </c>
      <c r="B12" s="2">
        <v>4</v>
      </c>
      <c r="C12" s="135" t="s">
        <v>149</v>
      </c>
      <c r="D12" s="325" t="str">
        <f>VLOOKUP(C12,Purchased!A:B,2,0)</f>
        <v>BRX GOTO QUICK CONNECTOR N10 0°</v>
      </c>
      <c r="E12" s="326"/>
      <c r="F12" s="108" t="str">
        <f>IF(VLOOKUP($C12,Purchased!A:Z,11,0) = 0, " ", VLOOKUP($C12,Purchased!A:Z,11,0))</f>
        <v>T-SLOTS</v>
      </c>
      <c r="G12" s="108" t="str">
        <f>IF(VLOOKUP($C12,Purchased!A:Z,12,0)=0, " ", VLOOKUP($C12,Purchased!A:Z,12,0))</f>
        <v>Process Tech</v>
      </c>
      <c r="H12" s="327" t="str">
        <f>IF(VLOOKUP($C12,Purchased!A:Z,13,0)=0, " ", VLOOKUP($C12,Purchased!A:Z,13,0))</f>
        <v>500 More on P.O. #55639 Part# 659730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45362</v>
      </c>
      <c r="M12" s="46">
        <f>IF(VLOOKUP(C12,Purchased!A:R,16,0)=0, " ",VLOOKUP(C12,Purchased!A:R,16,0))</f>
        <v>45378</v>
      </c>
      <c r="N12" s="130">
        <f>IF(VLOOKUP(C12,Purchased!A:R,17,0)=0, " ", VLOOKUP(C12,Purchased!A:R,17,0))</f>
        <v>45378</v>
      </c>
      <c r="O12" s="47">
        <f t="shared" ref="O12:O14" ca="1" si="6">B12*$L$2</f>
        <v>4</v>
      </c>
      <c r="P12" s="51">
        <f>VLOOKUP(C12,Purchased!A:D,3,FALSE)</f>
        <v>4.17</v>
      </c>
      <c r="Q12" s="52">
        <f t="shared" ref="Q12:Q13" si="7">B12*P12</f>
        <v>16.68</v>
      </c>
    </row>
    <row r="13" spans="1:17" s="2" customFormat="1" ht="12.75" customHeight="1" x14ac:dyDescent="0.25">
      <c r="A13" s="4">
        <v>303</v>
      </c>
      <c r="B13" s="2">
        <v>3</v>
      </c>
      <c r="C13" s="135" t="s">
        <v>341</v>
      </c>
      <c r="D13" s="325" t="str">
        <f>VLOOKUP(C13,Purchased!A:B,2,0)</f>
        <v>BRX GOTO HINGE AL 45/45, 2PK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Nuline has 40X Quantity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t="shared" ca="1" si="6"/>
        <v>3</v>
      </c>
      <c r="P13" s="51">
        <f>VLOOKUP(C13,Purchased!A:D,3,FALSE)</f>
        <v>22.16</v>
      </c>
      <c r="Q13" s="52">
        <f t="shared" si="7"/>
        <v>66.48</v>
      </c>
    </row>
    <row r="14" spans="1:17" s="2" customFormat="1" ht="12.75" customHeight="1" x14ac:dyDescent="0.25">
      <c r="A14" s="4">
        <v>304</v>
      </c>
      <c r="B14" s="2">
        <v>5800</v>
      </c>
      <c r="C14" s="135">
        <v>3842146906</v>
      </c>
      <c r="D14" s="325" t="str">
        <f>VLOOKUP(C14,Purchased!A:B,2,0)</f>
        <v>SLOT PROFILE SCHWARZ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P/N changed to 3842555270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t="shared" ca="1" si="6"/>
        <v>5800</v>
      </c>
      <c r="P14" s="51">
        <f>VLOOKUP(C14,Purchased!A:D,3,FALSE)</f>
        <v>5</v>
      </c>
      <c r="Q14" s="52">
        <f>B14/2000*P14</f>
        <v>14.5</v>
      </c>
    </row>
    <row r="15" spans="1:17" s="2" customFormat="1" ht="12.75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.75" customHeight="1" x14ac:dyDescent="0.25">
      <c r="A16" s="4">
        <v>501</v>
      </c>
      <c r="B16" s="2">
        <v>8</v>
      </c>
      <c r="C16" s="122" t="s">
        <v>342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8</v>
      </c>
      <c r="P16" s="51">
        <f>VLOOKUP(C16,Bolts!A:B,2,FALSE)</f>
        <v>0</v>
      </c>
      <c r="Q16" s="52">
        <f>B16*P16</f>
        <v>0</v>
      </c>
    </row>
    <row r="17" spans="1:17" s="2" customFormat="1" ht="12.75" customHeight="1" x14ac:dyDescent="0.25">
      <c r="A17" s="4">
        <v>502</v>
      </c>
      <c r="B17" s="2">
        <v>12</v>
      </c>
      <c r="C17" s="122" t="s">
        <v>277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12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701</v>
      </c>
      <c r="B19" s="2">
        <v>2</v>
      </c>
      <c r="C19" s="123" t="s">
        <v>343</v>
      </c>
      <c r="D19" s="325" t="str">
        <f>VLOOKUP(C19,Extrusion!B:C,2,0)</f>
        <v>APPROVED EL 9/3</v>
      </c>
      <c r="E19" s="326"/>
      <c r="F19" s="108" t="str">
        <f ca="1">VLOOKUP(C19,Extrusion!B:N,5,0)</f>
        <v/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t="shared" ref="O19:O20" ca="1" si="8">B19*$L$2</f>
        <v>2</v>
      </c>
      <c r="P19" s="51">
        <f>VLOOKUP(C19,Extrusion!B:G,4,0)</f>
        <v>4</v>
      </c>
      <c r="Q19" s="52">
        <f>B19*P19</f>
        <v>8</v>
      </c>
    </row>
    <row r="20" spans="1:17" s="2" customFormat="1" ht="12.75" customHeight="1" thickBot="1" x14ac:dyDescent="0.3">
      <c r="A20" s="4">
        <v>702</v>
      </c>
      <c r="B20" s="2">
        <v>2</v>
      </c>
      <c r="C20" s="123" t="s">
        <v>354</v>
      </c>
      <c r="D20" s="325" t="str">
        <f>VLOOKUP(C20,Extrusion!B:C,2,0)</f>
        <v>APPROVED EL 9/3</v>
      </c>
      <c r="E20" s="326"/>
      <c r="F20" s="108" t="str">
        <f ca="1">VLOOKUP(C20,Extrusion!B:N,5,0)</f>
        <v/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t="shared" ca="1" si="8"/>
        <v>2</v>
      </c>
      <c r="P20" s="51">
        <f>VLOOKUP(C20,Extrusion!B:G,4,0)</f>
        <v>2</v>
      </c>
      <c r="Q20" s="52">
        <f>B20*P20</f>
        <v>4</v>
      </c>
    </row>
    <row r="21" spans="1:17" s="2" customFormat="1" ht="12" customHeight="1" thickBot="1" x14ac:dyDescent="0.3">
      <c r="A21" s="34"/>
      <c r="B21" s="35"/>
      <c r="C21" s="35"/>
      <c r="D21" s="316"/>
      <c r="E21" s="317"/>
      <c r="F21" s="35"/>
      <c r="G21" s="35"/>
      <c r="H21" s="309"/>
      <c r="I21" s="310"/>
      <c r="J21" s="36"/>
      <c r="K21" s="36"/>
      <c r="L21" s="36"/>
      <c r="M21" s="37"/>
      <c r="N21" s="132"/>
      <c r="O21" s="38"/>
      <c r="P21" s="99" t="s">
        <v>43</v>
      </c>
      <c r="Q21" s="104">
        <f>SUM(Q5:Q20)</f>
        <v>812.71</v>
      </c>
    </row>
    <row r="22" spans="1:17" s="2" customFormat="1" ht="12" customHeight="1" x14ac:dyDescent="0.2">
      <c r="D22" s="21"/>
      <c r="E22" s="21"/>
      <c r="J22" s="8"/>
      <c r="K22" s="8"/>
      <c r="L22" s="8"/>
      <c r="M22" s="8"/>
      <c r="N22" s="131"/>
      <c r="O22" s="5"/>
      <c r="P22" s="98"/>
      <c r="Q22" s="105"/>
    </row>
  </sheetData>
  <sheetProtection selectLockedCells="1"/>
  <mergeCells count="32">
    <mergeCell ref="D1:E1"/>
    <mergeCell ref="D4:E4"/>
    <mergeCell ref="H4:I4"/>
    <mergeCell ref="D12:E12"/>
    <mergeCell ref="H12:I12"/>
    <mergeCell ref="D8:E8"/>
    <mergeCell ref="H8:I8"/>
    <mergeCell ref="D9:E9"/>
    <mergeCell ref="H9:I9"/>
    <mergeCell ref="H7:I7"/>
    <mergeCell ref="H6:I6"/>
    <mergeCell ref="D7:E7"/>
    <mergeCell ref="H10:I10"/>
    <mergeCell ref="H11:I11"/>
    <mergeCell ref="D5:E5"/>
    <mergeCell ref="H5:I5"/>
    <mergeCell ref="D20:E20"/>
    <mergeCell ref="D21:E21"/>
    <mergeCell ref="D18:E18"/>
    <mergeCell ref="D11:E11"/>
    <mergeCell ref="H21:I21"/>
    <mergeCell ref="H18:I18"/>
    <mergeCell ref="D13:E13"/>
    <mergeCell ref="H13:I13"/>
    <mergeCell ref="D15:E15"/>
    <mergeCell ref="H15:I15"/>
    <mergeCell ref="D16:E16"/>
    <mergeCell ref="D6:E6"/>
    <mergeCell ref="D10:E10"/>
    <mergeCell ref="D19:E19"/>
    <mergeCell ref="D14:E14"/>
    <mergeCell ref="H14:I14"/>
  </mergeCells>
  <conditionalFormatting sqref="M7">
    <cfRule type="cellIs" dxfId="1882" priority="15" stopIfTrue="1" operator="lessThanOrEqual">
      <formula>$L7</formula>
    </cfRule>
    <cfRule type="cellIs" dxfId="1881" priority="16" operator="greaterThan">
      <formula>L7</formula>
    </cfRule>
  </conditionalFormatting>
  <conditionalFormatting sqref="M10 M15:M20">
    <cfRule type="cellIs" dxfId="1880" priority="9" stopIfTrue="1" operator="lessThanOrEqual">
      <formula>$L10</formula>
    </cfRule>
    <cfRule type="cellIs" dxfId="1879" priority="10" operator="greaterThan">
      <formula>L10</formula>
    </cfRule>
  </conditionalFormatting>
  <conditionalFormatting sqref="M11:M14">
    <cfRule type="cellIs" dxfId="1878" priority="1" stopIfTrue="1" operator="lessThanOrEqual">
      <formula>$L11</formula>
    </cfRule>
    <cfRule type="cellIs" dxfId="1877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1C081E8-93C6-4A00-BB5D-2004F79FFA6D}">
          <x14:formula1>
            <xm:f>Extrusion!$B:$B</xm:f>
          </x14:formula1>
          <xm:sqref>C19:C20</xm:sqref>
        </x14:dataValidation>
        <x14:dataValidation type="list" allowBlank="1" showInputMessage="1" showErrorMessage="1" xr:uid="{7D4F8F53-619C-4622-89EC-92A12E3D0783}">
          <x14:formula1>
            <xm:f>Bolts!$A:$A</xm:f>
          </x14:formula1>
          <xm:sqref>C16:C17</xm:sqref>
        </x14:dataValidation>
        <x14:dataValidation type="list" allowBlank="1" showInputMessage="1" showErrorMessage="1" xr:uid="{EAA4FD60-99B8-4DFE-8747-112593FA6A81}">
          <x14:formula1>
            <xm:f>Assemblies!$E:$E</xm:f>
          </x14:formula1>
          <xm:sqref>C5:C6</xm:sqref>
        </x14:dataValidation>
        <x14:dataValidation type="list" allowBlank="1" showInputMessage="1" showErrorMessage="1" xr:uid="{31ECBACA-871A-4EDC-A79F-43D3D5A8372D}">
          <x14:formula1>
            <xm:f>Machined!$C:$C</xm:f>
          </x14:formula1>
          <xm:sqref>C8:C9</xm:sqref>
        </x14:dataValidation>
        <x14:dataValidation type="list" allowBlank="1" showInputMessage="1" showErrorMessage="1" xr:uid="{ABD59AE8-1B96-4F8A-85DF-187B6EFAB8A8}">
          <x14:formula1>
            <xm:f>Purchased!$A:$A</xm:f>
          </x14:formula1>
          <xm:sqref>C11:C14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6639B-E9BC-4812-9E6A-5EBA18841799}">
  <sheetPr codeName="Sheet52">
    <tabColor theme="9" tint="0.59999389629810485"/>
  </sheetPr>
  <dimension ref="A1:Q18"/>
  <sheetViews>
    <sheetView zoomScale="115" zoomScaleNormal="115" workbookViewId="0">
      <selection activeCell="C24" sqref="C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'1'!C10</f>
        <v>PG10.1.6.0.A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'1'!D10</f>
        <v>HMI Pendant Assy</v>
      </c>
      <c r="D3" s="85" t="s">
        <v>50</v>
      </c>
      <c r="E3" s="86" t="str">
        <f ca="1">MID(CELL("filename",A1),FIND("]",CELL("filename",A1))+1,256)</f>
        <v>1.6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355</v>
      </c>
      <c r="D5" s="314" t="str">
        <f>VLOOKUP(C5,Machined!C:X,2,0)</f>
        <v>HMI Arm Mount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2</v>
      </c>
      <c r="P5" s="49">
        <f>VLOOKUP(C5,Machined!C:F,3,0)</f>
        <v>218.5</v>
      </c>
      <c r="Q5" s="50">
        <f>B5*P5</f>
        <v>218.5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3</v>
      </c>
      <c r="C7" s="135" t="s">
        <v>104</v>
      </c>
      <c r="D7" s="325" t="str">
        <f>VLOOKUP(C7,Purchased!A:B,2,0)</f>
        <v>BRX GOTO T-NUT 10 M8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400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12" ca="1" si="0">B7*$L$2</f>
        <v>6</v>
      </c>
      <c r="P7" s="51">
        <f>VLOOKUP(C7,Purchased!A:D,3,FALSE)</f>
        <v>0.56000000000000005</v>
      </c>
      <c r="Q7" s="52">
        <f t="shared" ref="Q7:Q12" si="1">B7*P7</f>
        <v>1.6800000000000002</v>
      </c>
    </row>
    <row r="8" spans="1:17" s="2" customFormat="1" ht="12.75" customHeight="1" x14ac:dyDescent="0.25">
      <c r="A8" s="4">
        <v>302</v>
      </c>
      <c r="B8" s="2">
        <v>1</v>
      </c>
      <c r="C8" s="135" t="s">
        <v>356</v>
      </c>
      <c r="D8" s="325" t="str">
        <f>VLOOKUP(C8,Purchased!A:B,2,0)</f>
        <v>Closed tube suspension profile 500mm L</v>
      </c>
      <c r="E8" s="326"/>
      <c r="F8" s="108" t="str">
        <f>IF(VLOOKUP($C8,Purchased!A:Z,11,0) = 0, " ", VLOOKUP($C8,Purchased!A:Z,11,0))</f>
        <v xml:space="preserve">Saginaw </v>
      </c>
      <c r="G8" s="108" t="str">
        <f>IF(VLOOKUP($C8,Purchased!A:Z,12,0)=0, " ", VLOOKUP($C8,Purchased!A:Z,12,0))</f>
        <v>Saginaw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45426</v>
      </c>
      <c r="K8" s="46">
        <f>IF(VLOOKUP(C8,Purchased!A:R,14,0)=0, " ", VLOOKUP(C8,Purchased!A:R,14,0))</f>
        <v>45426</v>
      </c>
      <c r="L8" s="46">
        <f>IF(VLOOKUP(C8,Purchased!A:R,15,0)=0, " ", VLOOKUP(C8,Purchased!A:R,15,0))</f>
        <v>45426</v>
      </c>
      <c r="M8" s="46">
        <f>IF(VLOOKUP(C8,Purchased!A:R,16,0)=0, " ",VLOOKUP(C8,Purchased!A:R,16,0))</f>
        <v>45485</v>
      </c>
      <c r="N8" s="130">
        <f>IF(VLOOKUP(C8,Purchased!A:R,17,0)=0, " ", VLOOKUP(C8,Purchased!A:R,17,0))</f>
        <v>45455</v>
      </c>
      <c r="O8" s="47">
        <f t="shared" ref="O8:O9" ca="1" si="2">B8*$L$2</f>
        <v>2</v>
      </c>
      <c r="P8" s="51">
        <f>VLOOKUP(C8,Purchased!A:D,3,FALSE)</f>
        <v>71.72</v>
      </c>
      <c r="Q8" s="52">
        <f t="shared" ref="Q8:Q9" si="3">B8*P8</f>
        <v>71.72</v>
      </c>
    </row>
    <row r="9" spans="1:17" s="2" customFormat="1" ht="12.75" customHeight="1" x14ac:dyDescent="0.25">
      <c r="A9" s="4">
        <v>303</v>
      </c>
      <c r="B9" s="2">
        <v>1</v>
      </c>
      <c r="C9" s="135" t="s">
        <v>357</v>
      </c>
      <c r="D9" s="325" t="str">
        <f>VLOOKUP(C9,Purchased!A:B,2,0)</f>
        <v>Closed tube suspension profile 750mm L</v>
      </c>
      <c r="E9" s="326"/>
      <c r="F9" s="108" t="str">
        <f>IF(VLOOKUP($C9,Purchased!A:Z,11,0) = 0, " ", VLOOKUP($C9,Purchased!A:Z,11,0))</f>
        <v>Saginaw</v>
      </c>
      <c r="G9" s="108" t="str">
        <f>IF(VLOOKUP($C9,Purchased!A:Z,12,0)=0, " ", VLOOKUP($C9,Purchased!A:Z,12,0))</f>
        <v>Saginaw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45426</v>
      </c>
      <c r="K9" s="46">
        <f>IF(VLOOKUP(C9,Purchased!A:R,14,0)=0, " ", VLOOKUP(C9,Purchased!A:R,14,0))</f>
        <v>45426</v>
      </c>
      <c r="L9" s="46">
        <f>IF(VLOOKUP(C9,Purchased!A:R,15,0)=0, " ", VLOOKUP(C9,Purchased!A:R,15,0))</f>
        <v>45426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45455</v>
      </c>
      <c r="O9" s="47">
        <f t="shared" ca="1" si="2"/>
        <v>2</v>
      </c>
      <c r="P9" s="51">
        <f>VLOOKUP(C9,Purchased!A:D,3,FALSE)</f>
        <v>218.07</v>
      </c>
      <c r="Q9" s="52">
        <f t="shared" si="3"/>
        <v>218.07</v>
      </c>
    </row>
    <row r="10" spans="1:17" s="2" customFormat="1" ht="12.75" customHeight="1" x14ac:dyDescent="0.25">
      <c r="A10" s="4">
        <v>304</v>
      </c>
      <c r="B10" s="2">
        <v>1</v>
      </c>
      <c r="C10" s="135" t="s">
        <v>358</v>
      </c>
      <c r="D10" s="325" t="str">
        <f>VLOOKUP(C10,Purchased!A:B,2,0)</f>
        <v>Saginaw HMI mount</v>
      </c>
      <c r="E10" s="326"/>
      <c r="F10" s="108" t="str">
        <f>IF(VLOOKUP($C10,Purchased!A:Z,11,0) = 0, " ", VLOOKUP($C10,Purchased!A:Z,11,0))</f>
        <v>Saginaw</v>
      </c>
      <c r="G10" s="108" t="str">
        <f>IF(VLOOKUP($C10,Purchased!A:Z,12,0)=0, " ", VLOOKUP($C10,Purchased!A:Z,12,0))</f>
        <v>Saginaw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45426</v>
      </c>
      <c r="K10" s="46">
        <f>IF(VLOOKUP(C10,Purchased!A:R,14,0)=0, " ", VLOOKUP(C10,Purchased!A:R,14,0))</f>
        <v>45426</v>
      </c>
      <c r="L10" s="46">
        <f>IF(VLOOKUP(C10,Purchased!A:R,15,0)=0, " ", VLOOKUP(C10,Purchased!A:R,15,0))</f>
        <v>45426</v>
      </c>
      <c r="M10" s="46">
        <f>IF(VLOOKUP(C10,Purchased!A:R,16,0)=0, " ",VLOOKUP(C10,Purchased!A:R,16,0))</f>
        <v>45485</v>
      </c>
      <c r="N10" s="130">
        <f>IF(VLOOKUP(C10,Purchased!A:R,17,0)=0, " ", VLOOKUP(C10,Purchased!A:R,17,0))</f>
        <v>45455</v>
      </c>
      <c r="O10" s="47">
        <f t="shared" ca="1" si="0"/>
        <v>2</v>
      </c>
      <c r="P10" s="51">
        <f>VLOOKUP(C10,Purchased!A:D,3,FALSE)</f>
        <v>98.96</v>
      </c>
      <c r="Q10" s="52">
        <f t="shared" si="1"/>
        <v>98.96</v>
      </c>
    </row>
    <row r="11" spans="1:17" s="2" customFormat="1" ht="12.75" customHeight="1" x14ac:dyDescent="0.25">
      <c r="A11" s="4">
        <v>305</v>
      </c>
      <c r="B11" s="2">
        <v>1</v>
      </c>
      <c r="C11" s="135" t="s">
        <v>359</v>
      </c>
      <c r="D11" s="325" t="str">
        <f>VLOOKUP(C11,Purchased!A:B,2,0)</f>
        <v>Saginaw Frame mount</v>
      </c>
      <c r="E11" s="326"/>
      <c r="F11" s="108" t="str">
        <f>IF(VLOOKUP($C11,Purchased!A:Z,11,0) = 0, " ", VLOOKUP($C11,Purchased!A:Z,11,0))</f>
        <v>Saginaw</v>
      </c>
      <c r="G11" s="108" t="str">
        <f>IF(VLOOKUP($C11,Purchased!A:Z,12,0)=0, " ", VLOOKUP($C11,Purchased!A:Z,12,0))</f>
        <v>Saginaw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45426</v>
      </c>
      <c r="K11" s="46">
        <f>IF(VLOOKUP(C11,Purchased!A:R,14,0)=0, " ", VLOOKUP(C11,Purchased!A:R,14,0))</f>
        <v>45426</v>
      </c>
      <c r="L11" s="46">
        <f>IF(VLOOKUP(C11,Purchased!A:R,15,0)=0, " ", VLOOKUP(C11,Purchased!A:R,15,0))</f>
        <v>45426</v>
      </c>
      <c r="M11" s="46">
        <f>IF(VLOOKUP(C11,Purchased!A:R,16,0)=0, " ",VLOOKUP(C11,Purchased!A:R,16,0))</f>
        <v>45485</v>
      </c>
      <c r="N11" s="130">
        <f>IF(VLOOKUP(C11,Purchased!A:R,17,0)=0, " ", VLOOKUP(C11,Purchased!A:R,17,0))</f>
        <v>45455</v>
      </c>
      <c r="O11" s="47">
        <f t="shared" ref="O11" ca="1" si="4">B11*$L$2</f>
        <v>2</v>
      </c>
      <c r="P11" s="51">
        <f>VLOOKUP(C11,Purchased!A:D,3,FALSE)</f>
        <v>223.68</v>
      </c>
      <c r="Q11" s="52">
        <f t="shared" ref="Q11" si="5">B11*P11</f>
        <v>223.68</v>
      </c>
    </row>
    <row r="12" spans="1:17" s="2" customFormat="1" ht="12.75" customHeight="1" x14ac:dyDescent="0.25">
      <c r="A12" s="4">
        <v>306</v>
      </c>
      <c r="B12" s="2">
        <v>1</v>
      </c>
      <c r="C12" s="135" t="s">
        <v>360</v>
      </c>
      <c r="D12" s="325" t="str">
        <f>VLOOKUP(C12,Purchased!A:B,2,0)</f>
        <v>Saginaw closed tube suspension profile elbow</v>
      </c>
      <c r="E12" s="326"/>
      <c r="F12" s="108" t="str">
        <f>IF(VLOOKUP($C12,Purchased!A:Z,11,0) = 0, " ", VLOOKUP($C12,Purchased!A:Z,11,0))</f>
        <v>Saginaw</v>
      </c>
      <c r="G12" s="108" t="str">
        <f>IF(VLOOKUP($C12,Purchased!A:Z,12,0)=0, " ", VLOOKUP($C12,Purchased!A:Z,12,0))</f>
        <v>Saginaw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45426</v>
      </c>
      <c r="K12" s="46">
        <f>IF(VLOOKUP(C12,Purchased!A:R,14,0)=0, " ", VLOOKUP(C12,Purchased!A:R,14,0))</f>
        <v>45426</v>
      </c>
      <c r="L12" s="46">
        <f>IF(VLOOKUP(C12,Purchased!A:R,15,0)=0, " ", VLOOKUP(C12,Purchased!A:R,15,0))</f>
        <v>45426</v>
      </c>
      <c r="M12" s="46">
        <f>IF(VLOOKUP(C12,Purchased!A:R,16,0)=0, " ",VLOOKUP(C12,Purchased!A:R,16,0))</f>
        <v>45485</v>
      </c>
      <c r="N12" s="130">
        <f>IF(VLOOKUP(C12,Purchased!A:R,17,0)=0, " ", VLOOKUP(C12,Purchased!A:R,17,0))</f>
        <v>45455</v>
      </c>
      <c r="O12" s="47">
        <f t="shared" ca="1" si="0"/>
        <v>2</v>
      </c>
      <c r="P12" s="51">
        <f>VLOOKUP(C12,Purchased!A:D,3,FALSE)</f>
        <v>93.37</v>
      </c>
      <c r="Q12" s="52">
        <f t="shared" si="1"/>
        <v>93.37</v>
      </c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.75" customHeight="1" x14ac:dyDescent="0.25">
      <c r="A14" s="4">
        <v>501</v>
      </c>
      <c r="B14" s="2">
        <v>8</v>
      </c>
      <c r="C14" s="122" t="s">
        <v>361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16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x14ac:dyDescent="0.25">
      <c r="A15" s="4">
        <v>502</v>
      </c>
      <c r="B15" s="2">
        <v>3</v>
      </c>
      <c r="C15" s="122" t="s">
        <v>362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6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thickBot="1" x14ac:dyDescent="0.3">
      <c r="A16" s="4">
        <v>503</v>
      </c>
      <c r="B16" s="2">
        <v>4</v>
      </c>
      <c r="C16" s="122" t="s">
        <v>265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8</v>
      </c>
      <c r="P16" s="51">
        <f>VLOOKUP(C16,Bolts!A:B,2,FALSE)</f>
        <v>0</v>
      </c>
      <c r="Q16" s="52">
        <f>B16*P16</f>
        <v>0</v>
      </c>
    </row>
    <row r="17" spans="1:17" s="2" customFormat="1" ht="12" customHeight="1" thickBot="1" x14ac:dyDescent="0.3">
      <c r="A17" s="34"/>
      <c r="B17" s="35"/>
      <c r="C17" s="35"/>
      <c r="D17" s="316"/>
      <c r="E17" s="317"/>
      <c r="F17" s="35"/>
      <c r="G17" s="35"/>
      <c r="H17" s="309"/>
      <c r="I17" s="310"/>
      <c r="J17" s="36"/>
      <c r="K17" s="36"/>
      <c r="L17" s="36"/>
      <c r="M17" s="37"/>
      <c r="N17" s="132"/>
      <c r="O17" s="38"/>
      <c r="P17" s="99" t="s">
        <v>43</v>
      </c>
      <c r="Q17" s="104">
        <f>SUM(Q5:Q16)</f>
        <v>925.9799999999999</v>
      </c>
    </row>
    <row r="18" spans="1:17" s="2" customFormat="1" ht="12" customHeight="1" x14ac:dyDescent="0.2">
      <c r="D18" s="21"/>
      <c r="E18" s="21"/>
      <c r="J18" s="8"/>
      <c r="K18" s="8"/>
      <c r="L18" s="8"/>
      <c r="M18" s="8"/>
      <c r="N18" s="131"/>
      <c r="O18" s="5"/>
      <c r="P18" s="98"/>
      <c r="Q18" s="105"/>
    </row>
  </sheetData>
  <sheetProtection selectLockedCells="1"/>
  <mergeCells count="26">
    <mergeCell ref="D11:E11"/>
    <mergeCell ref="H11:I11"/>
    <mergeCell ref="D15:E15"/>
    <mergeCell ref="D17:E17"/>
    <mergeCell ref="H17:I17"/>
    <mergeCell ref="D12:E12"/>
    <mergeCell ref="H12:I12"/>
    <mergeCell ref="D13:E13"/>
    <mergeCell ref="H13:I13"/>
    <mergeCell ref="D14:E14"/>
    <mergeCell ref="D16:E16"/>
    <mergeCell ref="D6:E6"/>
    <mergeCell ref="H6:I6"/>
    <mergeCell ref="D7:E7"/>
    <mergeCell ref="H7:I7"/>
    <mergeCell ref="D10:E10"/>
    <mergeCell ref="H10:I10"/>
    <mergeCell ref="D8:E8"/>
    <mergeCell ref="H8:I8"/>
    <mergeCell ref="D9:E9"/>
    <mergeCell ref="H9:I9"/>
    <mergeCell ref="D5:E5"/>
    <mergeCell ref="H5:I5"/>
    <mergeCell ref="D1:E1"/>
    <mergeCell ref="D4:E4"/>
    <mergeCell ref="H4:I4"/>
  </mergeCells>
  <conditionalFormatting sqref="M6 M13:M16">
    <cfRule type="cellIs" dxfId="1876" priority="15" stopIfTrue="1" operator="lessThanOrEqual">
      <formula>$L6</formula>
    </cfRule>
    <cfRule type="cellIs" dxfId="1875" priority="16" operator="greaterThan">
      <formula>L6</formula>
    </cfRule>
  </conditionalFormatting>
  <conditionalFormatting sqref="M8">
    <cfRule type="cellIs" dxfId="1874" priority="11" stopIfTrue="1" operator="lessThanOrEqual">
      <formula>$L8</formula>
    </cfRule>
    <cfRule type="cellIs" dxfId="1873" priority="12" operator="greaterThan">
      <formula>L8</formula>
    </cfRule>
  </conditionalFormatting>
  <conditionalFormatting sqref="M7">
    <cfRule type="cellIs" dxfId="1872" priority="9" stopIfTrue="1" operator="lessThanOrEqual">
      <formula>$L7</formula>
    </cfRule>
    <cfRule type="cellIs" dxfId="1871" priority="10" operator="greaterThan">
      <formula>L7</formula>
    </cfRule>
  </conditionalFormatting>
  <conditionalFormatting sqref="M9">
    <cfRule type="cellIs" dxfId="1870" priority="7" stopIfTrue="1" operator="lessThanOrEqual">
      <formula>$L9</formula>
    </cfRule>
    <cfRule type="cellIs" dxfId="1869" priority="8" operator="greaterThan">
      <formula>L9</formula>
    </cfRule>
  </conditionalFormatting>
  <conditionalFormatting sqref="M10:M12">
    <cfRule type="cellIs" dxfId="1868" priority="1" stopIfTrue="1" operator="lessThanOrEqual">
      <formula>$L10</formula>
    </cfRule>
    <cfRule type="cellIs" dxfId="1867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1A72357-C21F-46C6-8241-97C2316CF355}">
          <x14:formula1>
            <xm:f>Bolts!$A:$A</xm:f>
          </x14:formula1>
          <xm:sqref>C14:C16</xm:sqref>
        </x14:dataValidation>
        <x14:dataValidation type="list" allowBlank="1" showInputMessage="1" showErrorMessage="1" xr:uid="{5C1E6571-9664-428A-B2B2-0879A842FB91}">
          <x14:formula1>
            <xm:f>Machined!$C:$C</xm:f>
          </x14:formula1>
          <xm:sqref>C5</xm:sqref>
        </x14:dataValidation>
        <x14:dataValidation type="list" allowBlank="1" showInputMessage="1" showErrorMessage="1" xr:uid="{9EFDEBC2-E82D-4A65-925E-AB2E09C8E1B3}">
          <x14:formula1>
            <xm:f>Purchased!$A:$A</xm:f>
          </x14:formula1>
          <xm:sqref>C7:C12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12CDE-25C2-479F-8399-A43AA1C896B7}">
  <sheetPr codeName="Sheet53">
    <tabColor theme="9" tint="0.59999389629810485"/>
  </sheetPr>
  <dimension ref="A1:Q9"/>
  <sheetViews>
    <sheetView zoomScale="115" zoomScaleNormal="115" workbookViewId="0">
      <selection activeCell="E11" sqref="E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'1'!C11</f>
        <v>PG10.1.7.0.A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'1'!D11</f>
        <v>Unwind Clear Guarding</v>
      </c>
      <c r="D3" s="85" t="s">
        <v>50</v>
      </c>
      <c r="E3" s="86" t="str">
        <f ca="1">MID(CELL("filename",A1),FIND("]",CELL("filename",A1))+1,256)</f>
        <v>1.7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24</v>
      </c>
      <c r="C5" s="112" t="s">
        <v>363</v>
      </c>
      <c r="D5" s="336" t="str">
        <f ca="1">VLOOKUP(C5,Assemblies!E:P,2,0)</f>
        <v>Variofix and Washer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24</v>
      </c>
      <c r="P5" s="117">
        <f>'1.7.1'!Q9</f>
        <v>10.119999999999999</v>
      </c>
      <c r="Q5" s="118">
        <f t="shared" ref="Q5" si="1">B5*P5</f>
        <v>242.88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2</v>
      </c>
      <c r="C7" s="121" t="s">
        <v>364</v>
      </c>
      <c r="D7" s="314" t="str">
        <f>VLOOKUP(C7,Machined!C:X,2,0)</f>
        <v>Unwind Clear Panel 1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2</v>
      </c>
      <c r="P7" s="49">
        <f>VLOOKUP(C7,Machined!C:F,3,0)</f>
        <v>125</v>
      </c>
      <c r="Q7" s="50">
        <f>B7*P7</f>
        <v>250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492.88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sheetProtection selectLockedCells="1"/>
  <mergeCells count="11">
    <mergeCell ref="D8:E8"/>
    <mergeCell ref="H8:I8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6">
    <cfRule type="cellIs" dxfId="1866" priority="3" stopIfTrue="1" operator="lessThanOrEqual">
      <formula>$L6</formula>
    </cfRule>
    <cfRule type="cellIs" dxfId="1865" priority="4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1BC59D3-A51F-4623-B23F-2F25BE54FB20}">
          <x14:formula1>
            <xm:f>Assemblies!$E:$E</xm:f>
          </x14:formula1>
          <xm:sqref>C5</xm:sqref>
        </x14:dataValidation>
        <x14:dataValidation type="list" allowBlank="1" showInputMessage="1" showErrorMessage="1" xr:uid="{BF59360E-48E8-4B74-BFB7-73524214ADBF}">
          <x14:formula1>
            <xm:f>Machined!$C:$C</xm:f>
          </x14:formula1>
          <xm:sqref>C7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CBB0-AB2E-4236-B12C-5F2AF3A62E7C}">
  <sheetPr codeName="Sheet54">
    <tabColor theme="6" tint="0.59999389629810485"/>
  </sheetPr>
  <dimension ref="A1:Q10"/>
  <sheetViews>
    <sheetView zoomScale="115" zoomScaleNormal="115" workbookViewId="0">
      <selection activeCell="Q9" sqref="Q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'1.7'!C5</f>
        <v>PG10.1.7.1.0.A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93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'1.7'!D5</f>
        <v>Variofix and Washer Assy</v>
      </c>
      <c r="D3" s="85" t="s">
        <v>50</v>
      </c>
      <c r="E3" s="86" t="str">
        <f ca="1">MID(CELL("filename",A1),FIND("]",CELL("filename",A1))+1,256)</f>
        <v>1.7.1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1</v>
      </c>
      <c r="C5" s="135">
        <v>3842548840</v>
      </c>
      <c r="D5" s="325" t="str">
        <f>VLOOKUP(C5,Purchased!A:B,2,0)</f>
        <v>BRX GOTO VARIOFIX BLOCK S,N10,40/45,GREY</v>
      </c>
      <c r="E5" s="326"/>
      <c r="F5" s="108" t="str">
        <f>IF(VLOOKUP($C5,Purchased!A:Z,11,0) = 0, " ", VLOOKUP($C5,Purchased!A:Z,11,0))</f>
        <v>BRX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>P/N changed to 3842564810</v>
      </c>
      <c r="I5" s="328"/>
      <c r="J5" s="46" t="str">
        <f>IF(VLOOKUP($C5,Purchased!A:Z,14,0)=0, " ", VLOOKUP($C5,Purchased!A:Z,14,0))</f>
        <v>N/A</v>
      </c>
      <c r="K5" s="46" t="str">
        <f>IF(VLOOKUP(C5,Purchased!A:R,14,0)=0, " ", VLOOKUP(C5,Purchased!A:R,14,0))</f>
        <v>N/A</v>
      </c>
      <c r="L5" s="46">
        <f>IF(VLOOKUP(C5,Purchased!A:R,15,0)=0, " ", VLOOKUP(C5,Purchased!A:R,15,0))</f>
        <v>45532</v>
      </c>
      <c r="M5" s="46">
        <f>IF(VLOOKUP(C5,Purchased!A:R,16,0)=0, " ",VLOOKUP(C5,Purchased!A:R,16,0))</f>
        <v>45561</v>
      </c>
      <c r="N5" s="130" t="str">
        <f>IF(VLOOKUP(C5,Purchased!A:R,17,0)=0, " ", VLOOKUP(C5,Purchased!A:R,17,0))</f>
        <v xml:space="preserve"> </v>
      </c>
      <c r="O5" s="47">
        <f t="shared" ref="O5:O6" ca="1" si="0">B5*$L$2</f>
        <v>93</v>
      </c>
      <c r="P5" s="51">
        <f>VLOOKUP(C5,Purchased!A:D,3,FALSE)</f>
        <v>3.56</v>
      </c>
      <c r="Q5" s="52">
        <f t="shared" ref="Q5:Q6" si="1">B5*P5</f>
        <v>3.56</v>
      </c>
    </row>
    <row r="6" spans="1:17" s="2" customFormat="1" ht="12.75" customHeight="1" x14ac:dyDescent="0.25">
      <c r="A6" s="4">
        <v>302</v>
      </c>
      <c r="B6" s="2">
        <v>1</v>
      </c>
      <c r="C6" s="135" t="s">
        <v>233</v>
      </c>
      <c r="D6" s="325" t="str">
        <f>VLOOKUP(C6,Purchased!A:B,2,0)</f>
        <v>Hot-Dipped Galvanized Steel with Neoprene Sealing Washer</v>
      </c>
      <c r="E6" s="326"/>
      <c r="F6" s="108" t="str">
        <f>IF(VLOOKUP($C6,Purchased!A:Z,11,0) = 0, " ", VLOOKUP($C6,Purchased!A:Z,11,0))</f>
        <v>MCM</v>
      </c>
      <c r="G6" s="108" t="str">
        <f>IF(VLOOKUP($C6,Purchased!A:Z,12,0)=0, " ", VLOOKUP($C6,Purchased!A:Z,12,0))</f>
        <v>MCM</v>
      </c>
      <c r="H6" s="327" t="str">
        <f>IF(VLOOKUP($C6,Purchased!A:Z,13,0)=0, " ", VLOOKUP($C6,Purchased!A:Z,13,0))</f>
        <v>2 Additional Quantity Added to 55697</v>
      </c>
      <c r="I6" s="328"/>
      <c r="J6" s="46">
        <f>IF(VLOOKUP($C6,Purchased!A:Z,14,0)=0, " ", VLOOKUP($C6,Purchased!A:Z,14,0))</f>
        <v>45481</v>
      </c>
      <c r="K6" s="46">
        <f>IF(VLOOKUP(C6,Purchased!A:R,14,0)=0, " ", VLOOKUP(C6,Purchased!A:R,14,0))</f>
        <v>45481</v>
      </c>
      <c r="L6" s="46">
        <f>IF(VLOOKUP(C6,Purchased!A:R,15,0)=0, " ", VLOOKUP(C6,Purchased!A:R,15,0))</f>
        <v>45481</v>
      </c>
      <c r="M6" s="46">
        <f>IF(VLOOKUP(C6,Purchased!A:R,16,0)=0, " ",VLOOKUP(C6,Purchased!A:R,16,0))</f>
        <v>45482</v>
      </c>
      <c r="N6" s="130">
        <f>IF(VLOOKUP(C6,Purchased!A:R,17,0)=0, " ", VLOOKUP(C6,Purchased!A:R,17,0))</f>
        <v>45482</v>
      </c>
      <c r="O6" s="47">
        <f t="shared" ca="1" si="0"/>
        <v>93</v>
      </c>
      <c r="P6" s="51">
        <f>VLOOKUP(C6,Purchased!A:D,3,FALSE)</f>
        <v>6.56</v>
      </c>
      <c r="Q6" s="52">
        <f t="shared" si="1"/>
        <v>6.56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thickBot="1" x14ac:dyDescent="0.3">
      <c r="A8" s="4">
        <v>501</v>
      </c>
      <c r="B8" s="2">
        <v>1</v>
      </c>
      <c r="C8" s="122" t="s">
        <v>365</v>
      </c>
      <c r="D8" s="325"/>
      <c r="E8" s="326"/>
      <c r="F8" s="108">
        <f>VLOOKUP(C8,Bolts!A:L,5,0)</f>
        <v>0</v>
      </c>
      <c r="G8" s="108">
        <f>VLOOKUP(C8,Bolts!A:L,6,0)</f>
        <v>0</v>
      </c>
      <c r="H8" s="108">
        <f>VLOOKUP(C8,Bolts!A:L,7,0)</f>
        <v>0</v>
      </c>
      <c r="I8" s="109"/>
      <c r="J8" s="46">
        <f>VLOOKUP(C8,Bolts!A:L,8,0)</f>
        <v>0</v>
      </c>
      <c r="K8" s="46">
        <f>VLOOKUP(C8,Bolts!A:L,9,0)</f>
        <v>0</v>
      </c>
      <c r="L8" s="46">
        <f>VLOOKUP(C8,Bolts!A:L,10,0)</f>
        <v>0</v>
      </c>
      <c r="M8" s="46">
        <f>VLOOKUP(C8,Bolts!A:L,11,0)</f>
        <v>0</v>
      </c>
      <c r="N8" s="130">
        <f>VLOOKUP(C8,Bolts!A:L,12,0)</f>
        <v>0</v>
      </c>
      <c r="O8" s="47">
        <f ca="1">B8*$L$2</f>
        <v>93</v>
      </c>
      <c r="P8" s="51">
        <f>VLOOKUP(C8,Bolts!A:B,2,FALSE)</f>
        <v>0</v>
      </c>
      <c r="Q8" s="52">
        <f>B8*P8</f>
        <v>0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10.119999999999999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sheetProtection selectLockedCells="1"/>
  <mergeCells count="12">
    <mergeCell ref="D9:E9"/>
    <mergeCell ref="H9:I9"/>
    <mergeCell ref="D8:E8"/>
    <mergeCell ref="D6:E6"/>
    <mergeCell ref="H6:I6"/>
    <mergeCell ref="D7:E7"/>
    <mergeCell ref="H7:I7"/>
    <mergeCell ref="D5:E5"/>
    <mergeCell ref="H5:I5"/>
    <mergeCell ref="D1:E1"/>
    <mergeCell ref="D4:E4"/>
    <mergeCell ref="H4:I4"/>
  </mergeCells>
  <conditionalFormatting sqref="M7:M8">
    <cfRule type="cellIs" dxfId="1864" priority="5" stopIfTrue="1" operator="lessThanOrEqual">
      <formula>$L7</formula>
    </cfRule>
    <cfRule type="cellIs" dxfId="1863" priority="6" operator="greaterThan">
      <formula>L7</formula>
    </cfRule>
  </conditionalFormatting>
  <conditionalFormatting sqref="M5">
    <cfRule type="cellIs" dxfId="1862" priority="3" stopIfTrue="1" operator="lessThanOrEqual">
      <formula>$L5</formula>
    </cfRule>
    <cfRule type="cellIs" dxfId="1861" priority="4" operator="greaterThan">
      <formula>L5</formula>
    </cfRule>
  </conditionalFormatting>
  <conditionalFormatting sqref="M6">
    <cfRule type="cellIs" dxfId="1860" priority="1" stopIfTrue="1" operator="lessThanOrEqual">
      <formula>$L6</formula>
    </cfRule>
    <cfRule type="cellIs" dxfId="1859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260FC-3F12-4855-8164-EC2A02A590D6}">
          <x14:formula1>
            <xm:f>Bolts!$A:$A</xm:f>
          </x14:formula1>
          <xm:sqref>C8</xm:sqref>
        </x14:dataValidation>
        <x14:dataValidation type="list" allowBlank="1" showInputMessage="1" showErrorMessage="1" xr:uid="{2C54F5A3-5275-40B6-B978-5C3444B7BF24}">
          <x14:formula1>
            <xm:f>Purchased!$A:$A</xm:f>
          </x14:formula1>
          <xm:sqref>C5:C6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0F4B3-0DFE-4DA8-8FD6-1A012AC34270}">
  <sheetPr codeName="Sheet55">
    <tabColor theme="5" tint="0.59999389629810485"/>
  </sheetPr>
  <dimension ref="A1:Q9"/>
  <sheetViews>
    <sheetView zoomScale="114" zoomScaleNormal="115" workbookViewId="0">
      <selection activeCell="I18" sqref="I1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'0'!C6</f>
        <v>PG10.2.0.A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'0'!D6</f>
        <v>Main Frame 1</v>
      </c>
      <c r="D3" s="85" t="s">
        <v>50</v>
      </c>
      <c r="E3" s="86" t="str">
        <f ca="1">MID(CELL("filename",A1),FIND("]",CELL("filename",A1))+1,256)</f>
        <v>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366</v>
      </c>
      <c r="D5" s="336" t="str">
        <f ca="1">VLOOKUP(C5,Assemblies!E:P,2,0)</f>
        <v>Lower Main Frame 1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7" ca="1" si="0">B5*$L$2</f>
        <v>1</v>
      </c>
      <c r="P5" s="117">
        <f>'2.1'!Q29</f>
        <v>4210.1099999999997</v>
      </c>
      <c r="Q5" s="152">
        <f t="shared" ref="Q5:Q7" si="1">B5*P5</f>
        <v>4210.1099999999997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367</v>
      </c>
      <c r="D6" s="314" t="str">
        <f ca="1">VLOOKUP(C6,Assemblies!E:P,2,0)</f>
        <v>Upper Main Frame 1</v>
      </c>
      <c r="E6" s="347"/>
      <c r="F6" s="154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'2.2'!Q21</f>
        <v>4008.59</v>
      </c>
      <c r="Q6" s="153">
        <f t="shared" si="1"/>
        <v>4008.59</v>
      </c>
    </row>
    <row r="7" spans="1:17" s="1" customFormat="1" ht="12.75" customHeight="1" thickBot="1" x14ac:dyDescent="0.25">
      <c r="A7" s="150" t="s">
        <v>58</v>
      </c>
      <c r="B7" s="1">
        <v>1</v>
      </c>
      <c r="C7" s="145" t="s">
        <v>368</v>
      </c>
      <c r="D7" s="314" t="str">
        <f ca="1">VLOOKUP(C7,Assemblies!E:P,2,0)</f>
        <v>Segmented Nip Assy</v>
      </c>
      <c r="E7" s="347"/>
      <c r="F7" s="154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'2.3'!Q63</f>
        <v>20934.609200000006</v>
      </c>
      <c r="Q7" s="153">
        <f t="shared" si="1"/>
        <v>20934.609200000006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29153.309200000007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sheetProtection selectLockedCells="1"/>
  <mergeCells count="11">
    <mergeCell ref="D8:E8"/>
    <mergeCell ref="H8:I8"/>
    <mergeCell ref="D7:E7"/>
    <mergeCell ref="H7:I7"/>
    <mergeCell ref="D1:E1"/>
    <mergeCell ref="D4:E4"/>
    <mergeCell ref="H4:I4"/>
    <mergeCell ref="D5:E5"/>
    <mergeCell ref="H5:I5"/>
    <mergeCell ref="D6:E6"/>
    <mergeCell ref="H6:I6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373671-E64A-4CED-9F5D-D8D3DB900DD2}">
          <x14:formula1>
            <xm:f>Assemblies!$E:$E</xm:f>
          </x14:formula1>
          <xm:sqref>C5:C19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0E156-EF7B-44CD-9FF4-FEF6DC98A90E}">
  <sheetPr codeName="Sheet56">
    <tabColor theme="9" tint="0.59999389629810485"/>
    <pageSetUpPr fitToPage="1"/>
  </sheetPr>
  <dimension ref="A1:Q30"/>
  <sheetViews>
    <sheetView zoomScale="115" zoomScaleNormal="115" workbookViewId="0">
      <selection activeCell="C31" sqref="C3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'2'!C5</f>
        <v>PG10.2.1.0.A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'2'!D5</f>
        <v>Lower Main Frame 1</v>
      </c>
      <c r="D3" s="85" t="s">
        <v>50</v>
      </c>
      <c r="E3" s="86" t="str">
        <f ca="1">MID(CELL("filename",A1),FIND("]",CELL("filename",A1))+1,256)</f>
        <v>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90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76" t="s">
        <v>54</v>
      </c>
      <c r="B5" s="1">
        <v>4</v>
      </c>
      <c r="C5" s="145" t="s">
        <v>369</v>
      </c>
      <c r="D5" s="314" t="str">
        <f ca="1">VLOOKUP(C5,Assemblies!E:P,2,0)</f>
        <v>Extrusion Joining Assy</v>
      </c>
      <c r="E5" s="347"/>
      <c r="F5" s="32"/>
      <c r="G5" s="32"/>
      <c r="H5" s="32"/>
      <c r="I5" s="32"/>
      <c r="J5" s="28"/>
      <c r="K5" s="28"/>
      <c r="L5" s="28"/>
      <c r="M5" s="28"/>
      <c r="N5" s="33"/>
      <c r="O5" s="146">
        <f t="shared" ref="O5:O10" ca="1" si="0">B5*$L$2</f>
        <v>4</v>
      </c>
      <c r="P5" s="147">
        <f>'2.1.1'!Q10</f>
        <v>45.83</v>
      </c>
      <c r="Q5" s="103">
        <f t="shared" ref="Q5:Q10" si="1">B5*P5</f>
        <v>183.32</v>
      </c>
    </row>
    <row r="6" spans="1:17" s="1" customFormat="1" ht="12.75" customHeight="1" x14ac:dyDescent="0.2">
      <c r="A6" s="76" t="s">
        <v>56</v>
      </c>
      <c r="B6" s="1">
        <v>2</v>
      </c>
      <c r="C6" s="145" t="s">
        <v>370</v>
      </c>
      <c r="D6" s="314" t="str">
        <f ca="1">VLOOKUP(C6,Assemblies!E:P,2,0)</f>
        <v>Main Frame 1 Gear Rack Assy</v>
      </c>
      <c r="E6" s="347"/>
      <c r="F6" s="32"/>
      <c r="G6" s="32"/>
      <c r="H6" s="32"/>
      <c r="I6" s="32"/>
      <c r="J6" s="28"/>
      <c r="K6" s="28"/>
      <c r="L6" s="28"/>
      <c r="M6" s="28"/>
      <c r="N6" s="33"/>
      <c r="O6" s="146">
        <f ca="1">B6*$L$2</f>
        <v>2</v>
      </c>
      <c r="P6" s="147">
        <f>'2.1.2'!Q11</f>
        <v>248.59</v>
      </c>
      <c r="Q6" s="103">
        <f>B6*P6</f>
        <v>497.18</v>
      </c>
    </row>
    <row r="7" spans="1:17" s="1" customFormat="1" ht="12.75" customHeight="1" x14ac:dyDescent="0.2">
      <c r="A7" s="76" t="s">
        <v>58</v>
      </c>
      <c r="B7" s="1">
        <v>2</v>
      </c>
      <c r="C7" s="145" t="s">
        <v>371</v>
      </c>
      <c r="D7" s="314" t="str">
        <f ca="1">VLOOKUP(C7,Assemblies!E:P,2,0)</f>
        <v>Cam Bar Main Frame 1 Assy</v>
      </c>
      <c r="E7" s="347"/>
      <c r="F7" s="32"/>
      <c r="G7" s="32"/>
      <c r="H7" s="32"/>
      <c r="I7" s="32"/>
      <c r="J7" s="28"/>
      <c r="K7" s="28"/>
      <c r="L7" s="28"/>
      <c r="M7" s="28"/>
      <c r="N7" s="33"/>
      <c r="O7" s="146">
        <f ca="1">B7*$L$2</f>
        <v>2</v>
      </c>
      <c r="P7" s="147">
        <f>'2.1.3'!Q11</f>
        <v>844.08</v>
      </c>
      <c r="Q7" s="103">
        <f>B7*P7</f>
        <v>1688.16</v>
      </c>
    </row>
    <row r="8" spans="1:17" s="1" customFormat="1" ht="12.75" customHeight="1" x14ac:dyDescent="0.2">
      <c r="A8" s="76" t="s">
        <v>60</v>
      </c>
      <c r="B8" s="1">
        <v>8</v>
      </c>
      <c r="C8" s="145" t="s">
        <v>129</v>
      </c>
      <c r="D8" s="169" t="s">
        <v>372</v>
      </c>
      <c r="E8" s="188"/>
      <c r="F8" s="32"/>
      <c r="G8" s="32"/>
      <c r="H8" s="32"/>
      <c r="I8" s="32"/>
      <c r="J8" s="28"/>
      <c r="K8" s="28"/>
      <c r="L8" s="28"/>
      <c r="M8" s="28"/>
      <c r="N8" s="33"/>
      <c r="O8" s="146">
        <v>8</v>
      </c>
      <c r="P8" s="147">
        <v>57.519999999999996</v>
      </c>
      <c r="Q8" s="103">
        <v>460.15999999999997</v>
      </c>
    </row>
    <row r="9" spans="1:17" s="1" customFormat="1" ht="12.75" customHeight="1" x14ac:dyDescent="0.2">
      <c r="A9" s="76" t="s">
        <v>62</v>
      </c>
      <c r="B9" s="1">
        <v>1</v>
      </c>
      <c r="C9" s="145" t="s">
        <v>130</v>
      </c>
      <c r="D9" s="314" t="str">
        <f ca="1">VLOOKUP(C9,Assemblies!E:P,2,0)</f>
        <v>Single Web Roller Assy</v>
      </c>
      <c r="E9" s="347"/>
      <c r="F9" s="32"/>
      <c r="G9" s="32"/>
      <c r="H9" s="32"/>
      <c r="I9" s="32"/>
      <c r="J9" s="28"/>
      <c r="K9" s="28"/>
      <c r="L9" s="28"/>
      <c r="M9" s="28"/>
      <c r="N9" s="33"/>
      <c r="O9" s="146">
        <f t="shared" ca="1" si="0"/>
        <v>1</v>
      </c>
      <c r="P9" s="147">
        <f>'1.1.2'!Q15</f>
        <v>159.01000000000002</v>
      </c>
      <c r="Q9" s="103">
        <f t="shared" si="1"/>
        <v>159.01000000000002</v>
      </c>
    </row>
    <row r="10" spans="1:17" s="1" customFormat="1" ht="12.75" customHeight="1" x14ac:dyDescent="0.2">
      <c r="A10" s="76" t="s">
        <v>64</v>
      </c>
      <c r="B10" s="1">
        <v>8</v>
      </c>
      <c r="C10" s="145" t="s">
        <v>131</v>
      </c>
      <c r="D10" s="314" t="str">
        <f ca="1">VLOOKUP(C10,Assemblies!E:P,2,0)</f>
        <v>Frame Gusset</v>
      </c>
      <c r="E10" s="315"/>
      <c r="F10" s="32"/>
      <c r="G10" s="32"/>
      <c r="H10" s="32"/>
      <c r="I10" s="32"/>
      <c r="J10" s="28"/>
      <c r="K10" s="28"/>
      <c r="L10" s="28"/>
      <c r="M10" s="28"/>
      <c r="N10" s="33"/>
      <c r="O10" s="146">
        <f t="shared" ca="1" si="0"/>
        <v>8</v>
      </c>
      <c r="P10" s="147">
        <f>'1.1.3'!Q10</f>
        <v>21.919999999999998</v>
      </c>
      <c r="Q10" s="103">
        <f t="shared" si="1"/>
        <v>175.35999999999999</v>
      </c>
    </row>
    <row r="11" spans="1:17" s="1" customFormat="1" ht="12.75" customHeight="1" x14ac:dyDescent="0.2">
      <c r="A11" s="76" t="s">
        <v>66</v>
      </c>
      <c r="B11" s="1">
        <v>1</v>
      </c>
      <c r="C11" s="145" t="s">
        <v>373</v>
      </c>
      <c r="D11" s="314" t="str">
        <f ca="1">VLOOKUP(C11,Assemblies!E:P,2,0)</f>
        <v>Cuff Opening Guard L Assy</v>
      </c>
      <c r="E11" s="315"/>
      <c r="F11" s="32"/>
      <c r="G11" s="32"/>
      <c r="H11" s="32"/>
      <c r="I11" s="32"/>
      <c r="J11" s="28"/>
      <c r="K11" s="28"/>
      <c r="L11" s="28"/>
      <c r="M11" s="28"/>
      <c r="N11" s="33"/>
      <c r="O11" s="146">
        <f t="shared" ref="O11:O15" ca="1" si="2">B11*$L$2</f>
        <v>1</v>
      </c>
      <c r="P11" s="147">
        <f>'2.1.4'!Q14</f>
        <v>99.24</v>
      </c>
      <c r="Q11" s="103">
        <f t="shared" ref="Q11:Q15" si="3">B11*P11</f>
        <v>99.24</v>
      </c>
    </row>
    <row r="12" spans="1:17" s="1" customFormat="1" ht="12.75" customHeight="1" x14ac:dyDescent="0.2">
      <c r="A12" s="76" t="s">
        <v>68</v>
      </c>
      <c r="B12" s="1">
        <v>1</v>
      </c>
      <c r="C12" s="145" t="s">
        <v>374</v>
      </c>
      <c r="D12" s="314" t="str">
        <f ca="1">VLOOKUP(C12,Assemblies!E:P,2,0)</f>
        <v>Cuff Opening Guard R Assy</v>
      </c>
      <c r="E12" s="315"/>
      <c r="F12" s="32"/>
      <c r="G12" s="32"/>
      <c r="H12" s="32"/>
      <c r="I12" s="32"/>
      <c r="J12" s="28"/>
      <c r="K12" s="28"/>
      <c r="L12" s="28"/>
      <c r="M12" s="28"/>
      <c r="N12" s="33"/>
      <c r="O12" s="146">
        <f ca="1">B12*$L$2</f>
        <v>1</v>
      </c>
      <c r="P12" s="147">
        <f>'2.1.5'!Q13</f>
        <v>0</v>
      </c>
      <c r="Q12" s="103">
        <f>B12*P12</f>
        <v>0</v>
      </c>
    </row>
    <row r="13" spans="1:17" s="1" customFormat="1" ht="12.75" customHeight="1" x14ac:dyDescent="0.2">
      <c r="A13" s="76" t="s">
        <v>70</v>
      </c>
      <c r="B13" s="1">
        <v>1</v>
      </c>
      <c r="C13" s="145" t="s">
        <v>3734</v>
      </c>
      <c r="D13" s="314" t="str">
        <f ca="1">VLOOKUP(C13,Assemblies!E:P,2,0)</f>
        <v>Bottom Guarding 1</v>
      </c>
      <c r="E13" s="315"/>
      <c r="F13" s="32"/>
      <c r="G13" s="32"/>
      <c r="H13" s="32"/>
      <c r="I13" s="32"/>
      <c r="J13" s="28"/>
      <c r="K13" s="28"/>
      <c r="L13" s="28"/>
      <c r="M13" s="28"/>
      <c r="N13" s="33"/>
      <c r="O13" s="146">
        <f ca="1">B13*$L$2</f>
        <v>1</v>
      </c>
      <c r="P13" s="147">
        <f>'2.1.6'!Q8</f>
        <v>71.199999999999989</v>
      </c>
      <c r="Q13" s="103">
        <f>B13*P13</f>
        <v>71.199999999999989</v>
      </c>
    </row>
    <row r="14" spans="1:17" s="1" customFormat="1" ht="12.75" customHeight="1" x14ac:dyDescent="0.2">
      <c r="A14" s="76" t="s">
        <v>72</v>
      </c>
      <c r="B14" s="1">
        <v>1</v>
      </c>
      <c r="C14" s="145" t="s">
        <v>3735</v>
      </c>
      <c r="D14" s="314" t="str">
        <f ca="1">VLOOKUP(C14,Assemblies!E:P,2,0)</f>
        <v>Bottom Guarding 2</v>
      </c>
      <c r="E14" s="315"/>
      <c r="F14" s="32"/>
      <c r="G14" s="32"/>
      <c r="H14" s="32"/>
      <c r="I14" s="32"/>
      <c r="J14" s="28"/>
      <c r="K14" s="28"/>
      <c r="L14" s="28"/>
      <c r="M14" s="28"/>
      <c r="N14" s="33"/>
      <c r="O14" s="146">
        <f ca="1">B14*$L$2</f>
        <v>1</v>
      </c>
      <c r="P14" s="147">
        <f>'2.1.7'!Q8</f>
        <v>71.199999999999989</v>
      </c>
      <c r="Q14" s="103">
        <f>B14*P14</f>
        <v>71.199999999999989</v>
      </c>
    </row>
    <row r="15" spans="1:17" s="1" customFormat="1" ht="12.75" customHeight="1" x14ac:dyDescent="0.2">
      <c r="A15" s="76" t="s">
        <v>74</v>
      </c>
      <c r="B15" s="1">
        <v>1</v>
      </c>
      <c r="C15" s="145" t="s">
        <v>3736</v>
      </c>
      <c r="D15" s="314" t="str">
        <f ca="1">VLOOKUP(C15,Assemblies!E:P,2,0)</f>
        <v>Bottom Guarding 3 and 4</v>
      </c>
      <c r="E15" s="315"/>
      <c r="F15" s="32"/>
      <c r="G15" s="32"/>
      <c r="H15" s="32"/>
      <c r="I15" s="32"/>
      <c r="J15" s="28"/>
      <c r="K15" s="28"/>
      <c r="L15" s="28"/>
      <c r="M15" s="28"/>
      <c r="N15" s="33"/>
      <c r="O15" s="146">
        <f t="shared" ca="1" si="2"/>
        <v>1</v>
      </c>
      <c r="P15" s="147">
        <f>'2.1.8'!Q8</f>
        <v>56.959999999999994</v>
      </c>
      <c r="Q15" s="103">
        <f t="shared" si="3"/>
        <v>56.959999999999994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77">
        <v>1</v>
      </c>
      <c r="B17" s="20">
        <v>2</v>
      </c>
      <c r="C17" s="121" t="s">
        <v>375</v>
      </c>
      <c r="D17" s="314" t="str">
        <f>VLOOKUP(C17,Machined!C:X,2,0)</f>
        <v>MODIFIED BRX 90X90 -I-</v>
      </c>
      <c r="E17" s="329"/>
      <c r="F17" s="107" t="str">
        <f>VLOOKUP($C17,Machined!C:Z,13,0)</f>
        <v>EXTRUSION</v>
      </c>
      <c r="G17" s="44" t="str">
        <f>IF(VLOOKUP($C17,Machined!C:Z,16,0) = 0, " ", VLOOKUP($C17,Machined!C:Z,16,0))</f>
        <v>Nuline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EXTRUSION</v>
      </c>
      <c r="J17" s="44" t="str">
        <f>IF(VLOOKUP($C17,Machined!C:Z,18,0) = 0, " ", VLOOKUP($C17,Machined!C:Z,18,0))</f>
        <v xml:space="preserve"> </v>
      </c>
      <c r="K17" s="44" t="str">
        <f>IF(VLOOKUP($C17,Machined!C:Z,19,0) = 0, " ", VLOOKUP($C17,Machined!C:Z,19,0))</f>
        <v xml:space="preserve"> </v>
      </c>
      <c r="L17" s="44" t="str">
        <f>IF(VLOOKUP($C17,Machined!C:Z,20,0) = 0, " ", VLOOKUP($C17,Machined!C:Z,20,0))</f>
        <v xml:space="preserve"> </v>
      </c>
      <c r="M17" s="44" t="str">
        <f>IF(VLOOKUP($C17,Machined!C:Z,21,0) = 0, " ", VLOOKUP($C17,Machined!C:Z,21,0))</f>
        <v xml:space="preserve"> </v>
      </c>
      <c r="N17" s="129" t="str">
        <f>IF(VLOOKUP($C17,Machined!C:Z,22,0) = 0, " ", VLOOKUP($C17,Machined!C:Z,22,0))</f>
        <v xml:space="preserve"> </v>
      </c>
      <c r="O17" s="45">
        <f ca="1">B17*$L$2</f>
        <v>2</v>
      </c>
      <c r="P17" s="49">
        <f>VLOOKUP(C17,Machined!C:F,3,0)</f>
        <v>0</v>
      </c>
      <c r="Q17" s="50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301</v>
      </c>
      <c r="B19" s="2">
        <v>4</v>
      </c>
      <c r="C19" s="135">
        <v>3842548758</v>
      </c>
      <c r="D19" s="325" t="str">
        <f>VLOOKUP(C19,Purchased!A:B,2,0)</f>
        <v>BRX 3842548758 Cover Cap 90x90 Grey</v>
      </c>
      <c r="E19" s="326"/>
      <c r="F19" s="108" t="str">
        <f>IF(VLOOKUP($C19,Purchased!A:Z,11,0) = 0, " ", VLOOKUP($C19,Purchased!A:Z,11,0))</f>
        <v>BRX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45524</v>
      </c>
      <c r="M19" s="46">
        <f>IF(VLOOKUP(C19,Purchased!A:R,16,0)=0, " ",VLOOKUP(C19,Purchased!A:R,16,0))</f>
        <v>45547</v>
      </c>
      <c r="N19" s="130" t="str">
        <f>IF(VLOOKUP(C19,Purchased!A:R,17,0)=0, " ", VLOOKUP(C19,Purchased!A:R,17,0))</f>
        <v xml:space="preserve"> </v>
      </c>
      <c r="O19" s="47">
        <f t="shared" ref="O19:O21" ca="1" si="4">B19*$L$2</f>
        <v>4</v>
      </c>
      <c r="P19" s="51">
        <f>VLOOKUP(C19,Purchased!A:D,3,FALSE)</f>
        <v>2.83</v>
      </c>
      <c r="Q19" s="52">
        <f t="shared" ref="Q19:Q21" si="5">B19*P19</f>
        <v>11.32</v>
      </c>
    </row>
    <row r="20" spans="1:17" s="2" customFormat="1" ht="12.75" customHeight="1" x14ac:dyDescent="0.25">
      <c r="A20" s="4">
        <v>302</v>
      </c>
      <c r="B20" s="2">
        <v>56</v>
      </c>
      <c r="C20" s="135" t="s">
        <v>149</v>
      </c>
      <c r="D20" s="325" t="str">
        <f>VLOOKUP(C20,Purchased!A:B,2,0)</f>
        <v>BRX GOTO QUICK CONNECTOR N10 0°</v>
      </c>
      <c r="E20" s="326"/>
      <c r="F20" s="108" t="str">
        <f>IF(VLOOKUP($C20,Purchased!A:Z,11,0) = 0, " ", VLOOKUP($C20,Purchased!A:Z,11,0))</f>
        <v>T-SLOTS</v>
      </c>
      <c r="G20" s="108" t="str">
        <f>IF(VLOOKUP($C20,Purchased!A:Z,12,0)=0, " ", VLOOKUP($C20,Purchased!A:Z,12,0))</f>
        <v>Process Tech</v>
      </c>
      <c r="H20" s="327" t="str">
        <f>IF(VLOOKUP($C20,Purchased!A:Z,13,0)=0, " ", VLOOKUP($C20,Purchased!A:Z,13,0))</f>
        <v>500 More on P.O. #55639 Part# 659730</v>
      </c>
      <c r="I20" s="328"/>
      <c r="J20" s="46" t="str">
        <f>IF(VLOOKUP($C20,Purchased!A:Z,14,0)=0, " ", VLOOKUP($C20,Purchased!A:Z,14,0))</f>
        <v>N/A</v>
      </c>
      <c r="K20" s="46" t="str">
        <f>IF(VLOOKUP(C20,Purchased!A:R,14,0)=0, " ", VLOOKUP(C20,Purchased!A:R,14,0))</f>
        <v>N/A</v>
      </c>
      <c r="L20" s="46">
        <f>IF(VLOOKUP(C20,Purchased!A:R,15,0)=0, " ", VLOOKUP(C20,Purchased!A:R,15,0))</f>
        <v>45362</v>
      </c>
      <c r="M20" s="46">
        <f>IF(VLOOKUP(C20,Purchased!A:R,16,0)=0, " ",VLOOKUP(C20,Purchased!A:R,16,0))</f>
        <v>45378</v>
      </c>
      <c r="N20" s="130">
        <f>IF(VLOOKUP(C20,Purchased!A:R,17,0)=0, " ", VLOOKUP(C20,Purchased!A:R,17,0))</f>
        <v>45378</v>
      </c>
      <c r="O20" s="47">
        <f t="shared" ca="1" si="4"/>
        <v>56</v>
      </c>
      <c r="P20" s="51">
        <f>VLOOKUP(C20,Purchased!A:D,3,FALSE)</f>
        <v>4.17</v>
      </c>
      <c r="Q20" s="52">
        <f t="shared" si="5"/>
        <v>233.51999999999998</v>
      </c>
    </row>
    <row r="21" spans="1:17" s="2" customFormat="1" ht="12.75" customHeight="1" x14ac:dyDescent="0.25">
      <c r="A21" s="4">
        <v>303</v>
      </c>
      <c r="B21" s="2">
        <v>44</v>
      </c>
      <c r="C21" s="135">
        <v>3842535466</v>
      </c>
      <c r="D21" s="325" t="str">
        <f>VLOOKUP(C21,Purchased!A:B,2,0)</f>
        <v>BRX GOTO QUICK CONNECTOR N10 90°</v>
      </c>
      <c r="E21" s="326"/>
      <c r="F21" s="108" t="str">
        <f>IF(VLOOKUP($C21,Purchased!A:Z,11,0) = 0, " ", VLOOKUP($C21,Purchased!A:Z,11,0))</f>
        <v>T-SLOTS</v>
      </c>
      <c r="G21" s="108" t="str">
        <f>IF(VLOOKUP($C21,Purchased!A:Z,12,0)=0, " ", VLOOKUP($C21,Purchased!A:Z,12,0))</f>
        <v>Process Tech</v>
      </c>
      <c r="H21" s="327" t="str">
        <f>IF(VLOOKUP($C21,Purchased!A:Z,13,0)=0, " ", VLOOKUP($C21,Purchased!A:Z,13,0))</f>
        <v>Ordered 300 8/29/24 JP</v>
      </c>
      <c r="I21" s="328"/>
      <c r="J21" s="46" t="str">
        <f>IF(VLOOKUP($C21,Purchased!A:Z,14,0)=0, " ", VLOOKUP($C21,Purchased!A:Z,14,0))</f>
        <v>N/A</v>
      </c>
      <c r="K21" s="46" t="str">
        <f>IF(VLOOKUP(C21,Purchased!A:R,14,0)=0, " ", VLOOKUP(C21,Purchased!A:R,14,0))</f>
        <v>N/A</v>
      </c>
      <c r="L21" s="46">
        <f>IF(VLOOKUP(C21,Purchased!A:R,15,0)=0, " ", VLOOKUP(C21,Purchased!A:R,15,0))</f>
        <v>45533</v>
      </c>
      <c r="M21" s="46">
        <f>IF(VLOOKUP(C21,Purchased!A:R,16,0)=0, " ",VLOOKUP(C21,Purchased!A:R,16,0))</f>
        <v>45540</v>
      </c>
      <c r="N21" s="130" t="str">
        <f>IF(VLOOKUP(C21,Purchased!A:R,17,0)=0, " ", VLOOKUP(C21,Purchased!A:R,17,0))</f>
        <v xml:space="preserve"> </v>
      </c>
      <c r="O21" s="47">
        <f t="shared" ca="1" si="4"/>
        <v>44</v>
      </c>
      <c r="P21" s="51">
        <f>VLOOKUP(C21,Purchased!A:D,3,FALSE)</f>
        <v>4.17</v>
      </c>
      <c r="Q21" s="52">
        <f t="shared" si="5"/>
        <v>183.48</v>
      </c>
    </row>
    <row r="22" spans="1:17" s="2" customFormat="1" ht="12.75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701</v>
      </c>
      <c r="B23" s="2">
        <v>2</v>
      </c>
      <c r="C23" s="123" t="s">
        <v>376</v>
      </c>
      <c r="D23" s="325" t="str">
        <f>VLOOKUP(C23,Extrusion!B:C,2,0)</f>
        <v>APPROVED EL 8/1</v>
      </c>
      <c r="E23" s="326"/>
      <c r="F23" s="108" t="str">
        <f ca="1">VLOOKUP(C23,Extrusion!B:N,5,0)</f>
        <v/>
      </c>
      <c r="G23" s="108">
        <f>VLOOKUP(C23,Extrusion!B:N,6,0)</f>
        <v>1</v>
      </c>
      <c r="H23" s="108">
        <f>VLOOKUP(C23,Extrusion!B:N,7,0)</f>
        <v>0</v>
      </c>
      <c r="I23" s="109"/>
      <c r="J23" s="46" t="str">
        <f>VLOOKUP(C23,Extrusion!B:N,8,0)</f>
        <v>T-Slots</v>
      </c>
      <c r="K23" s="46">
        <f>VLOOKUP(C23,Extrusion!B:N,9,0)</f>
        <v>0</v>
      </c>
      <c r="L23" s="46">
        <f>VLOOKUP(C23,Extrusion!B:N,10,0)</f>
        <v>0</v>
      </c>
      <c r="M23" s="46">
        <f>VLOOKUP(C23,Extrusion!B:N,11,0)</f>
        <v>0</v>
      </c>
      <c r="N23" s="47">
        <f>VLOOKUP(C23,Extrusion!B:O,12,0)</f>
        <v>0</v>
      </c>
      <c r="O23" s="47">
        <f t="shared" ref="O23" ca="1" si="6">B23*$L$2</f>
        <v>2</v>
      </c>
      <c r="P23" s="51">
        <f>VLOOKUP(C23,Extrusion!B:G,4,0)</f>
        <v>4</v>
      </c>
      <c r="Q23" s="52">
        <f t="shared" ref="Q23" si="7">B23*P23</f>
        <v>8</v>
      </c>
    </row>
    <row r="24" spans="1:17" s="2" customFormat="1" ht="12" customHeight="1" x14ac:dyDescent="0.25">
      <c r="A24" s="4">
        <v>702</v>
      </c>
      <c r="B24" s="2">
        <v>3</v>
      </c>
      <c r="C24" s="123" t="s">
        <v>160</v>
      </c>
      <c r="D24" s="325" t="str">
        <f>VLOOKUP(C24,Extrusion!B:C,2,0)</f>
        <v>APPROVED EL 8/1</v>
      </c>
      <c r="E24" s="326"/>
      <c r="F24" s="108" t="str">
        <f ca="1">VLOOKUP(C24,Extrusion!B:N,5,0)</f>
        <v/>
      </c>
      <c r="G24" s="108">
        <f>VLOOKUP(C24,Extrusion!B:N,6,0)</f>
        <v>1</v>
      </c>
      <c r="H24" s="108">
        <f>VLOOKUP(C24,Extrusion!B:N,7,0)</f>
        <v>0</v>
      </c>
      <c r="I24" s="109"/>
      <c r="J24" s="46" t="str">
        <f>VLOOKUP(C24,Extrusion!B:N,8,0)</f>
        <v>T-Slots</v>
      </c>
      <c r="K24" s="46">
        <f>VLOOKUP(C24,Extrusion!B:N,9,0)</f>
        <v>0</v>
      </c>
      <c r="L24" s="46">
        <f>VLOOKUP(C24,Extrusion!B:N,10,0)</f>
        <v>0</v>
      </c>
      <c r="M24" s="46">
        <f>VLOOKUP(C24,Extrusion!B:N,11,0)</f>
        <v>0</v>
      </c>
      <c r="N24" s="47">
        <f>VLOOKUP(C24,Extrusion!B:O,12,0)</f>
        <v>0</v>
      </c>
      <c r="O24" s="47">
        <f ca="1">B24*$L$2</f>
        <v>3</v>
      </c>
      <c r="P24" s="51">
        <f>VLOOKUP(C24,Extrusion!B:G,4,0)</f>
        <v>34</v>
      </c>
      <c r="Q24" s="52">
        <f>B24*P24</f>
        <v>102</v>
      </c>
    </row>
    <row r="25" spans="1:17" s="2" customFormat="1" ht="12" customHeight="1" x14ac:dyDescent="0.25">
      <c r="A25" s="4">
        <v>703</v>
      </c>
      <c r="B25" s="2">
        <v>6</v>
      </c>
      <c r="C25" s="123" t="s">
        <v>377</v>
      </c>
      <c r="D25" s="325" t="str">
        <f>VLOOKUP(C25,Extrusion!B:C,2,0)</f>
        <v>APPROVED EL 8/1</v>
      </c>
      <c r="E25" s="326"/>
      <c r="F25" s="108" t="str">
        <f ca="1">VLOOKUP(C25,Extrusion!B:N,5,0)</f>
        <v/>
      </c>
      <c r="G25" s="108">
        <f>VLOOKUP(C25,Extrusion!B:N,6,0)</f>
        <v>1</v>
      </c>
      <c r="H25" s="108">
        <f>VLOOKUP(C25,Extrusion!B:N,7,0)</f>
        <v>0</v>
      </c>
      <c r="I25" s="109"/>
      <c r="J25" s="46" t="str">
        <f>VLOOKUP(C25,Extrusion!B:N,8,0)</f>
        <v>T-Slots</v>
      </c>
      <c r="K25" s="46">
        <f>VLOOKUP(C25,Extrusion!B:N,9,0)</f>
        <v>0</v>
      </c>
      <c r="L25" s="46">
        <f>VLOOKUP(C25,Extrusion!B:N,10,0)</f>
        <v>0</v>
      </c>
      <c r="M25" s="46">
        <f>VLOOKUP(C25,Extrusion!B:N,11,0)</f>
        <v>0</v>
      </c>
      <c r="N25" s="47">
        <f>VLOOKUP(C25,Extrusion!B:O,12,0)</f>
        <v>0</v>
      </c>
      <c r="O25" s="47">
        <f ca="1">B25*$L$2</f>
        <v>6</v>
      </c>
      <c r="P25" s="51">
        <f>VLOOKUP(C25,Extrusion!B:G,4,0)</f>
        <v>22</v>
      </c>
      <c r="Q25" s="52">
        <f>B25*P25</f>
        <v>132</v>
      </c>
    </row>
    <row r="26" spans="1:17" s="2" customFormat="1" ht="12" customHeight="1" x14ac:dyDescent="0.25">
      <c r="A26" s="4">
        <v>704</v>
      </c>
      <c r="B26" s="2">
        <v>2</v>
      </c>
      <c r="C26" s="123" t="s">
        <v>378</v>
      </c>
      <c r="D26" s="325" t="str">
        <f>VLOOKUP(C26,Extrusion!B:C,2,0)</f>
        <v>APPROVED EL 8/1</v>
      </c>
      <c r="E26" s="326"/>
      <c r="F26" s="108" t="str">
        <f ca="1">VLOOKUP(C26,Extrusion!B:N,5,0)</f>
        <v/>
      </c>
      <c r="G26" s="108">
        <f>VLOOKUP(C26,Extrusion!B:N,6,0)</f>
        <v>1</v>
      </c>
      <c r="H26" s="108">
        <f>VLOOKUP(C26,Extrusion!B:N,7,0)</f>
        <v>0</v>
      </c>
      <c r="I26" s="109"/>
      <c r="J26" s="46" t="str">
        <f>VLOOKUP(C26,Extrusion!B:N,8,0)</f>
        <v>T-Slots</v>
      </c>
      <c r="K26" s="46">
        <f>VLOOKUP(C26,Extrusion!B:N,9,0)</f>
        <v>0</v>
      </c>
      <c r="L26" s="46">
        <f>VLOOKUP(C26,Extrusion!B:N,10,0)</f>
        <v>0</v>
      </c>
      <c r="M26" s="46">
        <f>VLOOKUP(C26,Extrusion!B:N,11,0)</f>
        <v>0</v>
      </c>
      <c r="N26" s="47">
        <f>VLOOKUP(C26,Extrusion!B:O,12,0)</f>
        <v>0</v>
      </c>
      <c r="O26" s="47">
        <f ca="1">B26*$L$2</f>
        <v>2</v>
      </c>
      <c r="P26" s="51">
        <f>VLOOKUP(C26,Extrusion!B:G,4,0)</f>
        <v>2</v>
      </c>
      <c r="Q26" s="52">
        <f>B26*P26</f>
        <v>4</v>
      </c>
    </row>
    <row r="27" spans="1:17" s="2" customFormat="1" ht="12" customHeight="1" x14ac:dyDescent="0.25">
      <c r="A27" s="4">
        <v>705</v>
      </c>
      <c r="B27" s="2">
        <v>4</v>
      </c>
      <c r="C27" s="123" t="s">
        <v>156</v>
      </c>
      <c r="D27" s="325" t="str">
        <f>VLOOKUP(C27,Extrusion!B:C,2,0)</f>
        <v>APPROVED EL 8/1</v>
      </c>
      <c r="E27" s="326"/>
      <c r="F27" s="108" t="str">
        <f ca="1">VLOOKUP(C27,Extrusion!B:N,5,0)</f>
        <v/>
      </c>
      <c r="G27" s="108">
        <f>VLOOKUP(C27,Extrusion!B:N,6,0)</f>
        <v>1</v>
      </c>
      <c r="H27" s="108">
        <f>VLOOKUP(C27,Extrusion!B:N,7,0)</f>
        <v>0</v>
      </c>
      <c r="I27" s="109"/>
      <c r="J27" s="46" t="str">
        <f>VLOOKUP(C27,Extrusion!B:N,8,0)</f>
        <v>T-Slots</v>
      </c>
      <c r="K27" s="46" t="str">
        <f>VLOOKUP(C27,Extrusion!B:N,9,0)</f>
        <v>1 not acounted for, added 8/14/2024 tj</v>
      </c>
      <c r="L27" s="46">
        <f>VLOOKUP(C27,Extrusion!B:N,10,0)</f>
        <v>0</v>
      </c>
      <c r="M27" s="46">
        <f>VLOOKUP(C27,Extrusion!B:N,11,0)</f>
        <v>0</v>
      </c>
      <c r="N27" s="47">
        <f>VLOOKUP(C27,Extrusion!B:O,12,0)</f>
        <v>0</v>
      </c>
      <c r="O27" s="47">
        <f ca="1">B27*$L$2</f>
        <v>4</v>
      </c>
      <c r="P27" s="51">
        <f>VLOOKUP(C27,Extrusion!B:G,4,0)</f>
        <v>18</v>
      </c>
      <c r="Q27" s="52">
        <f>B27*P27</f>
        <v>72</v>
      </c>
    </row>
    <row r="28" spans="1:17" s="2" customFormat="1" ht="12" customHeight="1" thickBot="1" x14ac:dyDescent="0.3">
      <c r="A28" s="4">
        <v>706</v>
      </c>
      <c r="B28" s="2">
        <v>1</v>
      </c>
      <c r="C28" s="123" t="s">
        <v>379</v>
      </c>
      <c r="D28" s="325" t="str">
        <f>VLOOKUP(C28,Extrusion!B:C,2,0)</f>
        <v>APPROVED EL 8/1</v>
      </c>
      <c r="E28" s="326"/>
      <c r="F28" s="108" t="str">
        <f ca="1">VLOOKUP(C28,Extrusion!B:N,5,0)</f>
        <v/>
      </c>
      <c r="G28" s="108">
        <f>VLOOKUP(C28,Extrusion!B:N,6,0)</f>
        <v>1</v>
      </c>
      <c r="H28" s="108">
        <f>VLOOKUP(C28,Extrusion!B:N,7,0)</f>
        <v>0</v>
      </c>
      <c r="I28" s="109"/>
      <c r="J28" s="46" t="str">
        <f>VLOOKUP(C28,Extrusion!B:N,8,0)</f>
        <v>T-Slots</v>
      </c>
      <c r="K28" s="46">
        <f>VLOOKUP(C28,Extrusion!B:N,9,0)</f>
        <v>0</v>
      </c>
      <c r="L28" s="46">
        <f>VLOOKUP(C28,Extrusion!B:N,10,0)</f>
        <v>0</v>
      </c>
      <c r="M28" s="46">
        <f>VLOOKUP(C28,Extrusion!B:N,11,0)</f>
        <v>0</v>
      </c>
      <c r="N28" s="47">
        <f>VLOOKUP(C28,Extrusion!B:O,12,0)</f>
        <v>0</v>
      </c>
      <c r="O28" s="47">
        <f ca="1">B28*$L$2</f>
        <v>1</v>
      </c>
      <c r="P28" s="51">
        <f>VLOOKUP(C28,Extrusion!B:G,4,0)</f>
        <v>2</v>
      </c>
      <c r="Q28" s="52">
        <f>B28*P28</f>
        <v>2</v>
      </c>
    </row>
    <row r="29" spans="1:17" ht="15.75" thickBot="1" x14ac:dyDescent="0.3">
      <c r="A29" s="34"/>
      <c r="B29" s="35"/>
      <c r="C29" s="35"/>
      <c r="D29" s="316"/>
      <c r="E29" s="317"/>
      <c r="F29" s="35"/>
      <c r="G29" s="35"/>
      <c r="H29" s="309"/>
      <c r="I29" s="310"/>
      <c r="J29" s="36"/>
      <c r="K29" s="36"/>
      <c r="L29" s="36"/>
      <c r="M29" s="37"/>
      <c r="N29" s="132"/>
      <c r="O29" s="38"/>
      <c r="P29" s="99" t="s">
        <v>43</v>
      </c>
      <c r="Q29" s="104">
        <f>SUM(Q5:Q28)</f>
        <v>4210.1099999999997</v>
      </c>
    </row>
    <row r="30" spans="1:17" x14ac:dyDescent="0.25">
      <c r="A30" s="2"/>
      <c r="B30" s="2"/>
      <c r="C30" s="2"/>
      <c r="D30" s="21"/>
      <c r="E30" s="21"/>
      <c r="F30" s="2"/>
      <c r="G30" s="2"/>
      <c r="H30" s="2"/>
      <c r="I30" s="2"/>
      <c r="J30" s="8"/>
      <c r="K30" s="8"/>
      <c r="L30" s="8"/>
      <c r="M30" s="8"/>
      <c r="N30" s="131"/>
      <c r="O30" s="5"/>
      <c r="P30" s="98"/>
      <c r="Q30" s="105"/>
    </row>
  </sheetData>
  <sheetProtection selectLockedCells="1"/>
  <mergeCells count="35">
    <mergeCell ref="D29:E29"/>
    <mergeCell ref="H29:I29"/>
    <mergeCell ref="D22:E22"/>
    <mergeCell ref="H22:I22"/>
    <mergeCell ref="D23:E23"/>
    <mergeCell ref="D24:E24"/>
    <mergeCell ref="D26:E26"/>
    <mergeCell ref="D27:E27"/>
    <mergeCell ref="D25:E25"/>
    <mergeCell ref="D1:E1"/>
    <mergeCell ref="D4:E4"/>
    <mergeCell ref="H4:I4"/>
    <mergeCell ref="D10:E10"/>
    <mergeCell ref="D9:E9"/>
    <mergeCell ref="D5:E5"/>
    <mergeCell ref="D6:E6"/>
    <mergeCell ref="D7:E7"/>
    <mergeCell ref="H19:I19"/>
    <mergeCell ref="D20:E20"/>
    <mergeCell ref="H20:I20"/>
    <mergeCell ref="D21:E21"/>
    <mergeCell ref="H21:I21"/>
    <mergeCell ref="H16:I16"/>
    <mergeCell ref="D17:E17"/>
    <mergeCell ref="H17:I17"/>
    <mergeCell ref="D18:E18"/>
    <mergeCell ref="H18:I18"/>
    <mergeCell ref="D13:E13"/>
    <mergeCell ref="D14:E14"/>
    <mergeCell ref="D11:E11"/>
    <mergeCell ref="D15:E15"/>
    <mergeCell ref="D28:E28"/>
    <mergeCell ref="D16:E16"/>
    <mergeCell ref="D19:E19"/>
    <mergeCell ref="D12:E12"/>
  </mergeCells>
  <conditionalFormatting sqref="M16 M18 M22:M28">
    <cfRule type="cellIs" dxfId="1858" priority="9" stopIfTrue="1" operator="lessThanOrEqual">
      <formula>$L16</formula>
    </cfRule>
    <cfRule type="cellIs" dxfId="1857" priority="10" operator="greaterThan">
      <formula>L16</formula>
    </cfRule>
  </conditionalFormatting>
  <conditionalFormatting sqref="M19">
    <cfRule type="cellIs" dxfId="1856" priority="5" stopIfTrue="1" operator="lessThanOrEqual">
      <formula>$L19</formula>
    </cfRule>
    <cfRule type="cellIs" dxfId="1855" priority="6" operator="greaterThan">
      <formula>L19</formula>
    </cfRule>
  </conditionalFormatting>
  <conditionalFormatting sqref="M20">
    <cfRule type="cellIs" dxfId="1854" priority="3" stopIfTrue="1" operator="lessThanOrEqual">
      <formula>$L20</formula>
    </cfRule>
    <cfRule type="cellIs" dxfId="1853" priority="4" operator="greaterThan">
      <formula>L20</formula>
    </cfRule>
  </conditionalFormatting>
  <conditionalFormatting sqref="M21">
    <cfRule type="cellIs" dxfId="1852" priority="1" stopIfTrue="1" operator="lessThanOrEqual">
      <formula>$L21</formula>
    </cfRule>
    <cfRule type="cellIs" dxfId="1851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54249CF-EBB9-47E8-B39F-869BB067E312}">
          <x14:formula1>
            <xm:f>Extrusion!$B:$B</xm:f>
          </x14:formula1>
          <xm:sqref>C23:C28</xm:sqref>
        </x14:dataValidation>
        <x14:dataValidation type="list" allowBlank="1" showInputMessage="1" showErrorMessage="1" xr:uid="{D9F7FC13-10DB-4F63-9A85-81B2D586ED5F}">
          <x14:formula1>
            <xm:f>Assemblies!$E:$E</xm:f>
          </x14:formula1>
          <xm:sqref>C5:C15</xm:sqref>
        </x14:dataValidation>
        <x14:dataValidation type="list" allowBlank="1" showInputMessage="1" showErrorMessage="1" xr:uid="{D58D8D8C-0578-43D5-B4F1-9D47C31C5EF4}">
          <x14:formula1>
            <xm:f>Machined!$C:$C</xm:f>
          </x14:formula1>
          <xm:sqref>C17</xm:sqref>
        </x14:dataValidation>
        <x14:dataValidation type="list" allowBlank="1" showInputMessage="1" showErrorMessage="1" xr:uid="{8C1BF3D3-7E7D-4B02-867F-39D1CEFB48A4}">
          <x14:formula1>
            <xm:f>Purchased!$A:$A</xm:f>
          </x14:formula1>
          <xm:sqref>C19:C21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F54EB-0D80-4550-B686-69856752B246}">
  <sheetPr codeName="Sheet57">
    <tabColor theme="6" tint="0.59999389629810485"/>
  </sheetPr>
  <dimension ref="A1:Q11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'2.1'!C5</f>
        <v>PG10.2.1.1.0.A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'2.1'!D5</f>
        <v>Extrusion Joining Assy</v>
      </c>
      <c r="D3" s="85" t="s">
        <v>50</v>
      </c>
      <c r="E3" s="86" t="str">
        <f ca="1">MID(CELL("filename",A1),FIND("]",CELL("filename",A1))+1,256)</f>
        <v>2.1.1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380</v>
      </c>
      <c r="D5" s="314" t="str">
        <f>VLOOKUP(C5,Machined!C:X,2,0)</f>
        <v>Joining Plate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55570</v>
      </c>
      <c r="O5" s="45">
        <f ca="1">B5*$L$2</f>
        <v>14</v>
      </c>
      <c r="P5" s="49">
        <f>VLOOKUP(C5,Machined!C:F,3,0)</f>
        <v>41.35</v>
      </c>
      <c r="Q5" s="50">
        <f>B5*P5</f>
        <v>41.35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8</v>
      </c>
      <c r="C7" s="135" t="s">
        <v>104</v>
      </c>
      <c r="D7" s="325" t="str">
        <f>VLOOKUP(C7,Purchased!A:B,2,0)</f>
        <v>BRX GOTO T-NUT 10 M8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400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" ca="1" si="0">B7*$L$2</f>
        <v>112</v>
      </c>
      <c r="P7" s="51">
        <f>VLOOKUP(C7,Purchased!A:D,3,FALSE)</f>
        <v>0.56000000000000005</v>
      </c>
      <c r="Q7" s="52">
        <f t="shared" ref="Q7" si="1">B7*P7</f>
        <v>4.4800000000000004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thickBot="1" x14ac:dyDescent="0.3">
      <c r="A9" s="4">
        <v>501</v>
      </c>
      <c r="B9" s="2">
        <v>8</v>
      </c>
      <c r="C9" s="122" t="s">
        <v>186</v>
      </c>
      <c r="D9" s="325"/>
      <c r="E9" s="326"/>
      <c r="F9" s="108">
        <f>VLOOKUP(C9,Bolts!A:L,5,0)</f>
        <v>0</v>
      </c>
      <c r="G9" s="108">
        <f>VLOOKUP(C9,Bolts!A:L,6,0)</f>
        <v>0</v>
      </c>
      <c r="H9" s="108">
        <f>VLOOKUP(C9,Bolts!A:L,7,0)</f>
        <v>0</v>
      </c>
      <c r="I9" s="109"/>
      <c r="J9" s="46">
        <f>VLOOKUP(C9,Bolts!A:L,8,0)</f>
        <v>0</v>
      </c>
      <c r="K9" s="46">
        <f>VLOOKUP(C9,Bolts!A:L,9,0)</f>
        <v>0</v>
      </c>
      <c r="L9" s="46">
        <f>VLOOKUP(C9,Bolts!A:L,10,0)</f>
        <v>0</v>
      </c>
      <c r="M9" s="46">
        <f>VLOOKUP(C9,Bolts!A:L,11,0)</f>
        <v>0</v>
      </c>
      <c r="N9" s="130">
        <f>VLOOKUP(C9,Bolts!A:L,12,0)</f>
        <v>0</v>
      </c>
      <c r="O9" s="47">
        <f ca="1">B9*$L$2</f>
        <v>112</v>
      </c>
      <c r="P9" s="51">
        <f>VLOOKUP(C9,Bolts!A:B,2,FALSE)</f>
        <v>0</v>
      </c>
      <c r="Q9" s="52">
        <f>B9*P9</f>
        <v>0</v>
      </c>
    </row>
    <row r="10" spans="1:17" s="2" customFormat="1" ht="12" customHeight="1" thickBot="1" x14ac:dyDescent="0.3">
      <c r="A10" s="34"/>
      <c r="B10" s="35"/>
      <c r="C10" s="35"/>
      <c r="D10" s="316"/>
      <c r="E10" s="317"/>
      <c r="F10" s="35"/>
      <c r="G10" s="35"/>
      <c r="H10" s="309"/>
      <c r="I10" s="310"/>
      <c r="J10" s="36"/>
      <c r="K10" s="36"/>
      <c r="L10" s="36"/>
      <c r="M10" s="37"/>
      <c r="N10" s="132"/>
      <c r="O10" s="38"/>
      <c r="P10" s="99" t="s">
        <v>43</v>
      </c>
      <c r="Q10" s="104">
        <f>SUM(Q5:Q9)</f>
        <v>45.83</v>
      </c>
    </row>
    <row r="11" spans="1:17" s="2" customFormat="1" ht="12" customHeight="1" x14ac:dyDescent="0.2">
      <c r="D11" s="21"/>
      <c r="E11" s="21"/>
      <c r="J11" s="8"/>
      <c r="K11" s="8"/>
      <c r="L11" s="8"/>
      <c r="M11" s="8"/>
      <c r="N11" s="131"/>
      <c r="O11" s="5"/>
      <c r="P11" s="98"/>
      <c r="Q11" s="105"/>
    </row>
  </sheetData>
  <sheetProtection selectLockedCells="1"/>
  <mergeCells count="14">
    <mergeCell ref="D8:E8"/>
    <mergeCell ref="H8:I8"/>
    <mergeCell ref="D10:E10"/>
    <mergeCell ref="H10:I10"/>
    <mergeCell ref="D9:E9"/>
    <mergeCell ref="D6:E6"/>
    <mergeCell ref="H6:I6"/>
    <mergeCell ref="D7:E7"/>
    <mergeCell ref="H7:I7"/>
    <mergeCell ref="D1:E1"/>
    <mergeCell ref="D4:E4"/>
    <mergeCell ref="H4:I4"/>
    <mergeCell ref="D5:E5"/>
    <mergeCell ref="H5:I5"/>
  </mergeCells>
  <conditionalFormatting sqref="M6 M8:M9">
    <cfRule type="cellIs" dxfId="1850" priority="3" stopIfTrue="1" operator="lessThanOrEqual">
      <formula>$L6</formula>
    </cfRule>
    <cfRule type="cellIs" dxfId="1849" priority="4" operator="greaterThan">
      <formula>L6</formula>
    </cfRule>
  </conditionalFormatting>
  <conditionalFormatting sqref="M7">
    <cfRule type="cellIs" dxfId="1848" priority="1" stopIfTrue="1" operator="lessThanOrEqual">
      <formula>$L7</formula>
    </cfRule>
    <cfRule type="cellIs" dxfId="1847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E8E632-6C36-420E-B665-51F3B91D41E7}">
          <x14:formula1>
            <xm:f>Bolts!$A:$A</xm:f>
          </x14:formula1>
          <xm:sqref>C9</xm:sqref>
        </x14:dataValidation>
        <x14:dataValidation type="list" allowBlank="1" showInputMessage="1" showErrorMessage="1" xr:uid="{DDEA9971-85FC-498C-BE27-57979D2B6947}">
          <x14:formula1>
            <xm:f>Machined!$C:$C</xm:f>
          </x14:formula1>
          <xm:sqref>C5</xm:sqref>
        </x14:dataValidation>
        <x14:dataValidation type="list" allowBlank="1" showInputMessage="1" showErrorMessage="1" xr:uid="{D2BE9BE4-B9AC-469D-A5D2-3661087600DB}">
          <x14:formula1>
            <xm:f>Purchased!$A:$A</xm:f>
          </x14:formula1>
          <xm:sqref>C7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0CA1A-EA13-425A-8CCF-EE57FE0BA6C2}">
  <sheetPr codeName="Sheet58">
    <tabColor theme="6" tint="0.59999389629810485"/>
  </sheetPr>
  <dimension ref="A1:Q11"/>
  <sheetViews>
    <sheetView zoomScale="115" zoomScaleNormal="115" workbookViewId="0">
      <selection activeCell="C5" sqref="C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'2.1'!C6</f>
        <v>PG10.2.1.2.0.A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'2.1'!D6</f>
        <v>Main Frame 1 Gear Rack Assy</v>
      </c>
      <c r="D3" s="85" t="s">
        <v>50</v>
      </c>
      <c r="E3" s="86" t="str">
        <f ca="1">MID(CELL("filename",A1),FIND("]",CELL("filename",A1))+1,256)</f>
        <v>2.1.2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381</v>
      </c>
      <c r="D5" s="314" t="str">
        <f>VLOOKUP(C5,Machined!C:X,2,0)</f>
        <v>Main Frame 1 Gear Rack</v>
      </c>
      <c r="E5" s="329"/>
      <c r="F5" s="107" t="str">
        <f>VLOOKUP($C5,Machined!C:Z,13,0)</f>
        <v xml:space="preserve">PURCHASED GEAR RACK </v>
      </c>
      <c r="G5" s="44" t="str">
        <f>IF(VLOOKUP($C5,Machined!C:Z,16,0) = 0, " ", VLOOKUP($C5,Machined!C:Z,16,0))</f>
        <v xml:space="preserve">Nuline </v>
      </c>
      <c r="H5" s="320" t="str">
        <f>IF(VLOOKUP($C5,Machined!C:Z,17,0) = 0, " ", VLOOKUP($C5,Machined!C:Z,17,0))</f>
        <v>P.O. for material</v>
      </c>
      <c r="I5" s="321" t="str">
        <f>IF(VLOOKUP($C5,Machined!$C:$Y,13,0) = 0, " ", VLOOKUP($C5,Machined!$C:$Y,13,0))</f>
        <v xml:space="preserve">PURCHASED GEAR RACK </v>
      </c>
      <c r="J5" s="44">
        <f>IF(VLOOKUP($C5,Machined!C:Z,18,0) = 0, " ", VLOOKUP($C5,Machined!C:Z,18,0))</f>
        <v>45502</v>
      </c>
      <c r="K5" s="44">
        <f>IF(VLOOKUP($C5,Machined!C:Z,19,0) = 0, " ", VLOOKUP($C5,Machined!C:Z,19,0))</f>
        <v>45520</v>
      </c>
      <c r="L5" s="44">
        <f>IF(VLOOKUP($C5,Machined!C:Z,20,0) = 0, " ", VLOOKUP($C5,Machined!C:Z,20,0))</f>
        <v>46993</v>
      </c>
      <c r="M5" s="44">
        <f>IF(VLOOKUP($C5,Machined!C:Z,21,0) = 0, " ", VLOOKUP($C5,Machined!C:Z,21,0))</f>
        <v>45532</v>
      </c>
      <c r="N5" s="129">
        <f>IF(VLOOKUP($C5,Machined!C:Z,22,0) = 0, " ", VLOOKUP($C5,Machined!C:Z,22,0))</f>
        <v>55687</v>
      </c>
      <c r="O5" s="45">
        <f ca="1">B5*$L$2</f>
        <v>2</v>
      </c>
      <c r="P5" s="49">
        <f>VLOOKUP(C5,Machined!C:F,3,0)</f>
        <v>219.41</v>
      </c>
      <c r="Q5" s="50">
        <f>B5*P5</f>
        <v>219.41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300</v>
      </c>
      <c r="D7" s="325" t="str">
        <f>VLOOKUP(C7,Purchased!A:B,2,0)</f>
        <v>Dowel Pin 52100 Alloy Steel, 10 mm Diameter, 30 mm Long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>4 Additional Quantity Added to 55697</v>
      </c>
      <c r="I7" s="328"/>
      <c r="J7" s="46">
        <f>IF(VLOOKUP($C7,Purchased!A:Z,14,0)=0, " ", VLOOKUP($C7,Purchased!A:Z,14,0))</f>
        <v>45460</v>
      </c>
      <c r="K7" s="46">
        <f>IF(VLOOKUP(C7,Purchased!A:R,14,0)=0, " ", VLOOKUP(C7,Purchased!A:R,14,0))</f>
        <v>45460</v>
      </c>
      <c r="L7" s="46">
        <f>IF(VLOOKUP(C7,Purchased!A:R,15,0)=0, " ", VLOOKUP(C7,Purchased!A:R,15,0))</f>
        <v>45460</v>
      </c>
      <c r="M7" s="46">
        <f>IF(VLOOKUP(C7,Purchased!A:R,16,0)=0, " ",VLOOKUP(C7,Purchased!A:R,16,0))</f>
        <v>45462</v>
      </c>
      <c r="N7" s="130">
        <f>IF(VLOOKUP(C7,Purchased!A:R,17,0)=0, " ", VLOOKUP(C7,Purchased!A:R,17,0))</f>
        <v>45462</v>
      </c>
      <c r="O7" s="47">
        <f ca="1">B7*$L$2</f>
        <v>4</v>
      </c>
      <c r="P7" s="51">
        <f>VLOOKUP(C7,Purchased!A:D,3,FALSE)</f>
        <v>12.91</v>
      </c>
      <c r="Q7" s="52">
        <f>B7*P7</f>
        <v>25.82</v>
      </c>
    </row>
    <row r="8" spans="1:17" s="2" customFormat="1" ht="12" customHeight="1" x14ac:dyDescent="0.25">
      <c r="A8" s="4">
        <v>302</v>
      </c>
      <c r="B8" s="2">
        <v>6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ca="1">B8*$L$2</f>
        <v>12</v>
      </c>
      <c r="P8" s="51">
        <f>VLOOKUP(C8,Purchased!A:D,3,FALSE)</f>
        <v>0.56000000000000005</v>
      </c>
      <c r="Q8" s="52">
        <f>B8*P8</f>
        <v>3.3600000000000003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6</v>
      </c>
      <c r="C10" s="122" t="s">
        <v>382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ca="1">B10*$L$2</f>
        <v>12</v>
      </c>
      <c r="P10" s="51">
        <f>VLOOKUP(C10,Bolts!A:B,2,FALSE)</f>
        <v>0</v>
      </c>
      <c r="Q10" s="52">
        <f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248.59</v>
      </c>
    </row>
  </sheetData>
  <mergeCells count="16">
    <mergeCell ref="D11:E11"/>
    <mergeCell ref="H11:I11"/>
    <mergeCell ref="D9:E9"/>
    <mergeCell ref="H9:I9"/>
    <mergeCell ref="D10:E10"/>
    <mergeCell ref="D8:E8"/>
    <mergeCell ref="H8:I8"/>
    <mergeCell ref="D6:E6"/>
    <mergeCell ref="H6:I6"/>
    <mergeCell ref="D7:E7"/>
    <mergeCell ref="H7:I7"/>
    <mergeCell ref="D5:E5"/>
    <mergeCell ref="H5:I5"/>
    <mergeCell ref="D1:E1"/>
    <mergeCell ref="D4:E4"/>
    <mergeCell ref="H4:I4"/>
  </mergeCells>
  <conditionalFormatting sqref="M6 M9:M10">
    <cfRule type="cellIs" dxfId="1846" priority="5" stopIfTrue="1" operator="lessThanOrEqual">
      <formula>$L6</formula>
    </cfRule>
    <cfRule type="cellIs" dxfId="1845" priority="6" operator="greaterThan">
      <formula>L6</formula>
    </cfRule>
  </conditionalFormatting>
  <conditionalFormatting sqref="M7">
    <cfRule type="cellIs" dxfId="1844" priority="3" stopIfTrue="1" operator="lessThanOrEqual">
      <formula>$L7</formula>
    </cfRule>
    <cfRule type="cellIs" dxfId="1843" priority="4" operator="greaterThan">
      <formula>L7</formula>
    </cfRule>
  </conditionalFormatting>
  <conditionalFormatting sqref="M8">
    <cfRule type="cellIs" dxfId="1842" priority="1" stopIfTrue="1" operator="lessThanOrEqual">
      <formula>$L8</formula>
    </cfRule>
    <cfRule type="cellIs" dxfId="1841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9F0CA73-B099-4DDC-85B6-BCBF761C3683}">
          <x14:formula1>
            <xm:f>Bolts!$A:$A</xm:f>
          </x14:formula1>
          <xm:sqref>C9:C10</xm:sqref>
        </x14:dataValidation>
        <x14:dataValidation type="list" allowBlank="1" showInputMessage="1" showErrorMessage="1" xr:uid="{21A9E883-6E67-49F5-AD19-CBE9D4ADB646}">
          <x14:formula1>
            <xm:f>Machined!$C:$C</xm:f>
          </x14:formula1>
          <xm:sqref>C5</xm:sqref>
        </x14:dataValidation>
        <x14:dataValidation type="list" allowBlank="1" showInputMessage="1" showErrorMessage="1" xr:uid="{69A91B63-99D4-4782-8610-C9E08DD27B4A}">
          <x14:formula1>
            <xm:f>Purchased!$A:$A</xm:f>
          </x14:formula1>
          <xm:sqref>C6:C8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3BDB-2A17-4BD9-BE00-44F980ABF0A7}">
  <sheetPr codeName="Sheet59">
    <tabColor theme="6" tint="0.59999389629810485"/>
  </sheetPr>
  <dimension ref="A1:Q11"/>
  <sheetViews>
    <sheetView zoomScale="115" zoomScaleNormal="115" workbookViewId="0">
      <selection activeCell="C13" sqref="C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'2.1'!C7</f>
        <v>PG10.2.1.3.0.A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'2.1'!D7</f>
        <v>Cam Bar Main Frame 1 Assy</v>
      </c>
      <c r="D3" s="85" t="s">
        <v>50</v>
      </c>
      <c r="E3" s="86" t="str">
        <f ca="1">MID(CELL("filename",A1),FIND("]",CELL("filename",A1))+1,256)</f>
        <v>2.1.3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383</v>
      </c>
      <c r="D5" s="314" t="str">
        <f>VLOOKUP(C5,Machined!C:X,2,0)</f>
        <v>Cam Bar Main Frame 1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Flare Precision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>
        <f>IF(VLOOKUP($C5,Machined!C:Z,18,0) = 0, " ", VLOOKUP($C5,Machined!C:Z,18,0))</f>
        <v>45504</v>
      </c>
      <c r="K5" s="44">
        <f>IF(VLOOKUP($C5,Machined!C:Z,19,0) = 0, " ", VLOOKUP($C5,Machined!C:Z,19,0))</f>
        <v>45511</v>
      </c>
      <c r="L5" s="44">
        <f>IF(VLOOKUP($C5,Machined!C:Z,20,0) = 0, " ", VLOOKUP($C5,Machined!C:Z,20,0))</f>
        <v>45546</v>
      </c>
      <c r="M5" s="44">
        <f>IF(VLOOKUP($C5,Machined!C:Z,21,0) = 0, " ", VLOOKUP($C5,Machined!C:Z,21,0))</f>
        <v>45546</v>
      </c>
      <c r="N5" s="129">
        <f>IF(VLOOKUP($C5,Machined!C:Z,22,0) = 0, " ", VLOOKUP($C5,Machined!C:Z,22,0))</f>
        <v>55663</v>
      </c>
      <c r="O5" s="45">
        <f ca="1">B5*$L$2</f>
        <v>2</v>
      </c>
      <c r="P5" s="49">
        <f>VLOOKUP(C5,Machined!C:F,3,0)</f>
        <v>795</v>
      </c>
      <c r="Q5" s="50">
        <f>B5*P5</f>
        <v>795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4</v>
      </c>
      <c r="C7" s="135" t="s">
        <v>384</v>
      </c>
      <c r="D7" s="325" t="str">
        <f>VLOOKUP(C7,Purchased!A:B,2,0)</f>
        <v>Dowel Pin 52100 Alloy Steel, 10 mm Diameter, 60 mm Long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45526</v>
      </c>
      <c r="K7" s="46">
        <f>IF(VLOOKUP(C7,Purchased!A:R,14,0)=0, " ", VLOOKUP(C7,Purchased!A:R,14,0))</f>
        <v>45526</v>
      </c>
      <c r="L7" s="46">
        <f>IF(VLOOKUP(C7,Purchased!A:R,15,0)=0, " ", VLOOKUP(C7,Purchased!A:R,15,0))</f>
        <v>45526</v>
      </c>
      <c r="M7" s="46" t="str">
        <f>IF(VLOOKUP(C7,Purchased!A:R,16,0)=0, " ",VLOOKUP(C7,Purchased!A:R,16,0))</f>
        <v xml:space="preserve"> </v>
      </c>
      <c r="N7" s="130" t="str">
        <f>IF(VLOOKUP(C7,Purchased!A:R,17,0)=0, " ", VLOOKUP(C7,Purchased!A:R,17,0))</f>
        <v xml:space="preserve"> </v>
      </c>
      <c r="O7" s="47">
        <f ca="1">B7*$L$2</f>
        <v>8</v>
      </c>
      <c r="P7" s="51">
        <f>VLOOKUP(C7,Purchased!A:D,3,FALSE)</f>
        <v>11.15</v>
      </c>
      <c r="Q7" s="52">
        <f>B7*P7</f>
        <v>44.6</v>
      </c>
    </row>
    <row r="8" spans="1:17" s="2" customFormat="1" ht="12" customHeight="1" x14ac:dyDescent="0.25">
      <c r="A8" s="4">
        <v>302</v>
      </c>
      <c r="B8" s="2">
        <v>8</v>
      </c>
      <c r="C8" s="135" t="s">
        <v>104</v>
      </c>
      <c r="D8" s="325" t="str">
        <f>VLOOKUP(C8,Purchased!A:B,2,0)</f>
        <v>BRX GOTO T-NUT 10 M8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>400 additional quantity added to 55710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ca="1">B8*$L$2</f>
        <v>16</v>
      </c>
      <c r="P8" s="51">
        <f>VLOOKUP(C8,Purchased!A:D,3,FALSE)</f>
        <v>0.56000000000000005</v>
      </c>
      <c r="Q8" s="52">
        <f>B8*P8</f>
        <v>4.4800000000000004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8</v>
      </c>
      <c r="C10" s="122" t="s">
        <v>324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ca="1">B10*$L$2</f>
        <v>16</v>
      </c>
      <c r="P10" s="51">
        <f>VLOOKUP(C10,Bolts!A:B,2,FALSE)</f>
        <v>0</v>
      </c>
      <c r="Q10" s="52">
        <f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844.08</v>
      </c>
    </row>
  </sheetData>
  <mergeCells count="16">
    <mergeCell ref="D11:E11"/>
    <mergeCell ref="H11:I11"/>
    <mergeCell ref="D9:E9"/>
    <mergeCell ref="H9:I9"/>
    <mergeCell ref="D10:E10"/>
    <mergeCell ref="D8:E8"/>
    <mergeCell ref="H8:I8"/>
    <mergeCell ref="D6:E6"/>
    <mergeCell ref="H6:I6"/>
    <mergeCell ref="D7:E7"/>
    <mergeCell ref="H7:I7"/>
    <mergeCell ref="D5:E5"/>
    <mergeCell ref="H5:I5"/>
    <mergeCell ref="D1:E1"/>
    <mergeCell ref="D4:E4"/>
    <mergeCell ref="H4:I4"/>
  </mergeCells>
  <conditionalFormatting sqref="M6 M9:M10">
    <cfRule type="cellIs" dxfId="1840" priority="5" stopIfTrue="1" operator="lessThanOrEqual">
      <formula>$L6</formula>
    </cfRule>
    <cfRule type="cellIs" dxfId="1839" priority="6" operator="greaterThan">
      <formula>L6</formula>
    </cfRule>
  </conditionalFormatting>
  <conditionalFormatting sqref="M7">
    <cfRule type="cellIs" dxfId="1838" priority="3" stopIfTrue="1" operator="lessThanOrEqual">
      <formula>$L7</formula>
    </cfRule>
    <cfRule type="cellIs" dxfId="1837" priority="4" operator="greaterThan">
      <formula>L7</formula>
    </cfRule>
  </conditionalFormatting>
  <conditionalFormatting sqref="M8">
    <cfRule type="cellIs" dxfId="1836" priority="1" stopIfTrue="1" operator="lessThanOrEqual">
      <formula>$L8</formula>
    </cfRule>
    <cfRule type="cellIs" dxfId="1835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E4373C-415A-4551-BEC2-0C545A35B4A0}">
          <x14:formula1>
            <xm:f>Bolts!$A:$A</xm:f>
          </x14:formula1>
          <xm:sqref>C9:C10</xm:sqref>
        </x14:dataValidation>
        <x14:dataValidation type="list" allowBlank="1" showInputMessage="1" showErrorMessage="1" xr:uid="{15F188C5-E5D0-40E2-BA7E-7E551BDA18A2}">
          <x14:formula1>
            <xm:f>Machined!$C:$C</xm:f>
          </x14:formula1>
          <xm:sqref>C5</xm:sqref>
        </x14:dataValidation>
        <x14:dataValidation type="list" allowBlank="1" showInputMessage="1" showErrorMessage="1" xr:uid="{E396DB8B-2688-4072-9F31-7A6D678A1C15}">
          <x14:formula1>
            <xm:f>Purchased!$A:$A</xm:f>
          </x14:formula1>
          <xm:sqref>C6:C8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707B6-D78F-47D3-A694-09ED5E9FD832}">
  <sheetPr codeName="Sheet60">
    <tabColor theme="6" tint="0.59999389629810485"/>
  </sheetPr>
  <dimension ref="A1:Q14"/>
  <sheetViews>
    <sheetView zoomScale="115" zoomScaleNormal="115" workbookViewId="0">
      <selection activeCell="C16" sqref="C1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'2.1'!C11</f>
        <v>PG10.2.1.4.0.A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'2.1'!D11</f>
        <v>Cuff Opening Guard L Assy</v>
      </c>
      <c r="D3" s="85" t="s">
        <v>50</v>
      </c>
      <c r="E3" s="86" t="str">
        <f ca="1">MID(CELL("filename",A1),FIND("]",CELL("filename",A1))+1,256)</f>
        <v>2.1.4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385</v>
      </c>
      <c r="D5" s="314" t="str">
        <f>VLOOKUP(C5,Machined!C:X,2,0)</f>
        <v>Cuff Opening Guard L</v>
      </c>
      <c r="E5" s="329"/>
      <c r="F5" s="107" t="str">
        <f>VLOOKUP($C5,Machined!C:Z,13,0)</f>
        <v>POLYCARBONITE-CLEAR</v>
      </c>
      <c r="G5" s="44" t="str">
        <f>IF(VLOOKUP($C5,Machined!C:Z,16,0) = 0, " ", VLOOKUP($C5,Machined!C:Z,16,0))</f>
        <v>Port Plastics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POLYCARBONITE-CLEAR</v>
      </c>
      <c r="J5" s="44" t="str">
        <f>IF(VLOOKUP($C5,Machined!C:Z,18,0) = 0, " ", VLOOKUP($C5,Machined!C:Z,18,0))</f>
        <v>(TJ) 8/8/2024</v>
      </c>
      <c r="K5" s="44">
        <f>IF(VLOOKUP($C5,Machined!C:Z,19,0) = 0, " ", VLOOKUP($C5,Machined!C:Z,19,0))</f>
        <v>45530</v>
      </c>
      <c r="L5" s="44">
        <f>IF(VLOOKUP($C5,Machined!C:Z,20,0) = 0, " ", VLOOKUP($C5,Machined!C:Z,20,0))</f>
        <v>45561</v>
      </c>
      <c r="M5" s="44" t="str">
        <f>IF(VLOOKUP($C5,Machined!C:Z,21,0) = 0, " ", VLOOKUP($C5,Machined!C:Z,21,0))</f>
        <v xml:space="preserve"> </v>
      </c>
      <c r="N5" s="129">
        <f>IF(VLOOKUP($C5,Machined!C:Z,22,0) = 0, " ", VLOOKUP($C5,Machined!C:Z,22,0))</f>
        <v>55708</v>
      </c>
      <c r="O5" s="45">
        <f ca="1">B5*$L$2</f>
        <v>1</v>
      </c>
      <c r="P5" s="49">
        <f>VLOOKUP(C5,Machined!C:F,3,0)</f>
        <v>65</v>
      </c>
      <c r="Q5" s="50">
        <f>B5*P5</f>
        <v>65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386</v>
      </c>
      <c r="D7" s="325" t="str">
        <f>VLOOKUP(C7,Purchased!A:B,2,0)</f>
        <v>Medium-Strength Zinc-Plated Steel Thin Hex Nut, M5x0.8mm Thread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45526</v>
      </c>
      <c r="K7" s="46">
        <f>IF(VLOOKUP(C7,Purchased!A:R,14,0)=0, " ", VLOOKUP(C7,Purchased!A:R,14,0))</f>
        <v>45526</v>
      </c>
      <c r="L7" s="46">
        <f>IF(VLOOKUP(C7,Purchased!A:R,15,0)=0, " ", VLOOKUP(C7,Purchased!A:R,15,0))</f>
        <v>45526</v>
      </c>
      <c r="M7" s="46" t="str">
        <f>IF(VLOOKUP(C7,Purchased!A:R,16,0)=0, " ",VLOOKUP(C7,Purchased!A:R,16,0))</f>
        <v xml:space="preserve"> </v>
      </c>
      <c r="N7" s="130" t="str">
        <f>IF(VLOOKUP(C7,Purchased!A:R,17,0)=0, " ", VLOOKUP(C7,Purchased!A:R,17,0))</f>
        <v xml:space="preserve"> </v>
      </c>
      <c r="O7" s="47">
        <f t="shared" ref="O7:O10" ca="1" si="0">B7*$L$2</f>
        <v>2</v>
      </c>
      <c r="P7" s="51">
        <f>VLOOKUP(C7,Purchased!A:D,3,FALSE)</f>
        <v>3.78</v>
      </c>
      <c r="Q7" s="52">
        <f t="shared" ref="Q7:Q10" si="1">B7*P7</f>
        <v>7.56</v>
      </c>
    </row>
    <row r="8" spans="1:17" s="2" customFormat="1" ht="12" customHeight="1" x14ac:dyDescent="0.25">
      <c r="A8" s="4">
        <v>302</v>
      </c>
      <c r="B8" s="2">
        <v>2</v>
      </c>
      <c r="C8" s="135" t="s">
        <v>387</v>
      </c>
      <c r="D8" s="325" t="str">
        <f>VLOOKUP(C8,Purchased!A:B,2,0)</f>
        <v>18-8 Stainless Steel Unthreaded Spacer, 8 mm OD, 15 mm Long, for M5 Screw Size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ca="1" si="0"/>
        <v>2</v>
      </c>
      <c r="P8" s="51">
        <f>VLOOKUP(C8,Purchased!A:D,3,FALSE)</f>
        <v>2.2599999999999998</v>
      </c>
      <c r="Q8" s="52">
        <f t="shared" si="1"/>
        <v>4.5199999999999996</v>
      </c>
    </row>
    <row r="9" spans="1:17" s="2" customFormat="1" ht="12" customHeight="1" x14ac:dyDescent="0.25">
      <c r="A9" s="4">
        <v>303</v>
      </c>
      <c r="B9" s="2">
        <v>4</v>
      </c>
      <c r="C9" s="135" t="s">
        <v>388</v>
      </c>
      <c r="D9" s="325" t="str">
        <f>VLOOKUP(C9,Purchased!A:B,2,0)</f>
        <v>Zinc-Plated Steel Oversized Washer for M5 Screw Size, 5.3 mm ID, 15 mm OD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45526</v>
      </c>
      <c r="K9" s="46">
        <f>IF(VLOOKUP(C9,Purchased!A:R,14,0)=0, " ", VLOOKUP(C9,Purchased!A:R,14,0))</f>
        <v>45526</v>
      </c>
      <c r="L9" s="46">
        <f>IF(VLOOKUP(C9,Purchased!A:R,15,0)=0, " ", VLOOKUP(C9,Purchased!A:R,15,0))</f>
        <v>45526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t="shared" ca="1" si="0"/>
        <v>4</v>
      </c>
      <c r="P9" s="51">
        <f>VLOOKUP(C9,Purchased!A:D,3,FALSE)</f>
        <v>4.7</v>
      </c>
      <c r="Q9" s="52">
        <f t="shared" si="1"/>
        <v>18.8</v>
      </c>
    </row>
    <row r="10" spans="1:17" s="2" customFormat="1" ht="12" customHeight="1" x14ac:dyDescent="0.25">
      <c r="A10" s="4">
        <v>304</v>
      </c>
      <c r="B10" s="2">
        <v>6</v>
      </c>
      <c r="C10" s="135">
        <v>3842530283</v>
      </c>
      <c r="D10" s="325" t="str">
        <f>VLOOKUP(C10,Purchased!A:B,2,0)</f>
        <v>BRX GOTO T-NUT 10 M5</v>
      </c>
      <c r="E10" s="326"/>
      <c r="F10" s="108" t="str">
        <f>IF(VLOOKUP($C10,Purchased!A:Z,11,0) = 0, " ", VLOOKUP($C10,Purchased!A:Z,11,0))</f>
        <v>BRX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>100 additional quantity added to 55710</v>
      </c>
      <c r="I10" s="328"/>
      <c r="J10" s="46">
        <f>IF(VLOOKUP($C10,Purchased!A:Z,14,0)=0, " ", VLOOKUP($C10,Purchased!A:Z,14,0))</f>
        <v>45463</v>
      </c>
      <c r="K10" s="46">
        <f>IF(VLOOKUP(C10,Purchased!A:R,14,0)=0, " ", VLOOKUP(C10,Purchased!A:R,14,0))</f>
        <v>45463</v>
      </c>
      <c r="L10" s="46">
        <f>IF(VLOOKUP(C10,Purchased!A:R,15,0)=0, " ", VLOOKUP(C10,Purchased!A:R,15,0))</f>
        <v>45463</v>
      </c>
      <c r="M10" s="46">
        <f>IF(VLOOKUP(C10,Purchased!A:R,16,0)=0, " ",VLOOKUP(C10,Purchased!A:R,16,0))</f>
        <v>45481</v>
      </c>
      <c r="N10" s="130">
        <f>IF(VLOOKUP(C10,Purchased!A:R,17,0)=0, " ", VLOOKUP(C10,Purchased!A:R,17,0))</f>
        <v>45481</v>
      </c>
      <c r="O10" s="47">
        <f t="shared" ca="1" si="0"/>
        <v>6</v>
      </c>
      <c r="P10" s="51">
        <f>VLOOKUP(C10,Purchased!A:D,3,FALSE)</f>
        <v>0.56000000000000005</v>
      </c>
      <c r="Q10" s="52">
        <f t="shared" si="1"/>
        <v>3.3600000000000003</v>
      </c>
    </row>
    <row r="11" spans="1:17" s="2" customFormat="1" ht="12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" customHeight="1" x14ac:dyDescent="0.25">
      <c r="A12" s="4">
        <v>501</v>
      </c>
      <c r="B12" s="2">
        <v>2</v>
      </c>
      <c r="C12" s="122" t="s">
        <v>389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t="shared" ref="O12:O13" ca="1" si="2">B12*$L$2</f>
        <v>2</v>
      </c>
      <c r="P12" s="51">
        <f>VLOOKUP(C12,Bolts!A:B,2,FALSE)</f>
        <v>0</v>
      </c>
      <c r="Q12" s="52">
        <f t="shared" ref="Q12:Q13" si="3">B12*P12</f>
        <v>0</v>
      </c>
    </row>
    <row r="13" spans="1:17" s="2" customFormat="1" ht="12" customHeight="1" thickBot="1" x14ac:dyDescent="0.3">
      <c r="A13" s="4">
        <v>502</v>
      </c>
      <c r="B13" s="2">
        <v>6</v>
      </c>
      <c r="C13" s="122" t="s">
        <v>390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ca="1" si="2"/>
        <v>6</v>
      </c>
      <c r="P13" s="51">
        <f>VLOOKUP(C13,Bolts!A:B,2,FALSE)</f>
        <v>0</v>
      </c>
      <c r="Q13" s="52">
        <f t="shared" si="3"/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99.24</v>
      </c>
    </row>
  </sheetData>
  <sheetProtection selectLockedCells="1"/>
  <mergeCells count="21">
    <mergeCell ref="D1:E1"/>
    <mergeCell ref="D4:E4"/>
    <mergeCell ref="H4:I4"/>
    <mergeCell ref="D6:E6"/>
    <mergeCell ref="H6:I6"/>
    <mergeCell ref="D7:E7"/>
    <mergeCell ref="H7:I7"/>
    <mergeCell ref="D5:E5"/>
    <mergeCell ref="H5:I5"/>
    <mergeCell ref="D8:E8"/>
    <mergeCell ref="H8:I8"/>
    <mergeCell ref="D9:E9"/>
    <mergeCell ref="H9:I9"/>
    <mergeCell ref="D10:E10"/>
    <mergeCell ref="H10:I10"/>
    <mergeCell ref="D14:E14"/>
    <mergeCell ref="H14:I14"/>
    <mergeCell ref="D11:E11"/>
    <mergeCell ref="H11:I11"/>
    <mergeCell ref="D12:E12"/>
    <mergeCell ref="D13:E13"/>
  </mergeCells>
  <conditionalFormatting sqref="M6 M11:M13">
    <cfRule type="cellIs" dxfId="1834" priority="9" stopIfTrue="1" operator="lessThanOrEqual">
      <formula>$L6</formula>
    </cfRule>
    <cfRule type="cellIs" dxfId="1833" priority="10" operator="greaterThan">
      <formula>L6</formula>
    </cfRule>
  </conditionalFormatting>
  <conditionalFormatting sqref="M7">
    <cfRule type="cellIs" dxfId="1832" priority="7" stopIfTrue="1" operator="lessThanOrEqual">
      <formula>$L7</formula>
    </cfRule>
    <cfRule type="cellIs" dxfId="1831" priority="8" operator="greaterThan">
      <formula>L7</formula>
    </cfRule>
  </conditionalFormatting>
  <conditionalFormatting sqref="M8">
    <cfRule type="cellIs" dxfId="1830" priority="5" stopIfTrue="1" operator="lessThanOrEqual">
      <formula>$L8</formula>
    </cfRule>
    <cfRule type="cellIs" dxfId="1829" priority="6" operator="greaterThan">
      <formula>L8</formula>
    </cfRule>
  </conditionalFormatting>
  <conditionalFormatting sqref="M9">
    <cfRule type="cellIs" dxfId="1828" priority="3" stopIfTrue="1" operator="lessThanOrEqual">
      <formula>$L9</formula>
    </cfRule>
    <cfRule type="cellIs" dxfId="1827" priority="4" operator="greaterThan">
      <formula>L9</formula>
    </cfRule>
  </conditionalFormatting>
  <conditionalFormatting sqref="M10">
    <cfRule type="cellIs" dxfId="1826" priority="1" stopIfTrue="1" operator="lessThanOrEqual">
      <formula>$L10</formula>
    </cfRule>
    <cfRule type="cellIs" dxfId="1825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E102F5-8D30-45D1-A8FD-1803E5CE4365}">
          <x14:formula1>
            <xm:f>Bolts!$A:$A</xm:f>
          </x14:formula1>
          <xm:sqref>C11:C13</xm:sqref>
        </x14:dataValidation>
        <x14:dataValidation type="list" allowBlank="1" showInputMessage="1" showErrorMessage="1" xr:uid="{63529DA9-56EC-4A02-8A7C-E399150FD03A}">
          <x14:formula1>
            <xm:f>Machined!$C:$C</xm:f>
          </x14:formula1>
          <xm:sqref>C5</xm:sqref>
        </x14:dataValidation>
        <x14:dataValidation type="list" allowBlank="1" showInputMessage="1" showErrorMessage="1" xr:uid="{5EAF4788-964B-4BE4-9B41-D40D6889AA55}">
          <x14:formula1>
            <xm:f>Purchased!$A:$A</xm:f>
          </x14:formula1>
          <xm:sqref>C6:C10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3B9BF-9D29-4977-9A60-8D03E95220D6}">
  <sheetPr codeName="Sheet61">
    <tabColor theme="6" tint="0.59999389629810485"/>
  </sheetPr>
  <dimension ref="A1:Q14"/>
  <sheetViews>
    <sheetView zoomScale="115" zoomScaleNormal="115" workbookViewId="0">
      <selection activeCell="C21" sqref="C2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'2.1'!C15</f>
        <v>PG10.2.1.8.0.A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'2.1'!D15</f>
        <v>Bottom Guarding 3 and 4</v>
      </c>
      <c r="D3" s="85" t="s">
        <v>50</v>
      </c>
      <c r="E3" s="86" t="str">
        <f ca="1">MID(CELL("filename",A1),FIND("]",CELL("filename",A1))+1,256)</f>
        <v>2.1.5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391</v>
      </c>
      <c r="D5" s="314" t="str">
        <f>VLOOKUP(C5,Machined!C:X,2,0)</f>
        <v>Cuff Opening Guard R</v>
      </c>
      <c r="E5" s="329"/>
      <c r="F5" s="107" t="str">
        <f>VLOOKUP($C5,Machined!C:Z,13,0)</f>
        <v>POLYCARBONITE-CLEAR</v>
      </c>
      <c r="G5" s="44" t="str">
        <f>IF(VLOOKUP($C5,Machined!C:Z,16,0) = 0, " ", VLOOKUP($C5,Machined!C:Z,16,0))</f>
        <v>Port Plastics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POLYCARBONITE-CLEAR</v>
      </c>
      <c r="J5" s="44" t="str">
        <f>IF(VLOOKUP($C5,Machined!C:Z,18,0) = 0, " ", VLOOKUP($C5,Machined!C:Z,18,0))</f>
        <v>(TJ) 8/8/2024</v>
      </c>
      <c r="K5" s="44">
        <f>IF(VLOOKUP($C5,Machined!C:Z,19,0) = 0, " ", VLOOKUP($C5,Machined!C:Z,19,0))</f>
        <v>45530</v>
      </c>
      <c r="L5" s="44">
        <f>IF(VLOOKUP($C5,Machined!C:Z,20,0) = 0, " ", VLOOKUP($C5,Machined!C:Z,20,0))</f>
        <v>45561</v>
      </c>
      <c r="M5" s="44" t="str">
        <f>IF(VLOOKUP($C5,Machined!C:Z,21,0) = 0, " ", VLOOKUP($C5,Machined!C:Z,21,0))</f>
        <v xml:space="preserve"> </v>
      </c>
      <c r="N5" s="129">
        <f>IF(VLOOKUP($C5,Machined!C:Z,22,0) = 0, " ", VLOOKUP($C5,Machined!C:Z,22,0))</f>
        <v>55708</v>
      </c>
      <c r="O5" s="45">
        <f ca="1">B5*$L$2</f>
        <v>1</v>
      </c>
      <c r="P5" s="49">
        <f>VLOOKUP(C5,Machined!C:F,3,0)</f>
        <v>70</v>
      </c>
      <c r="Q5" s="50">
        <f>B5*P5</f>
        <v>70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386</v>
      </c>
      <c r="D7" s="325" t="str">
        <f>VLOOKUP(C7,Purchased!A:B,2,0)</f>
        <v>Medium-Strength Zinc-Plated Steel Thin Hex Nut, M5x0.8mm Thread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45526</v>
      </c>
      <c r="K7" s="46">
        <f>IF(VLOOKUP(C7,Purchased!A:R,14,0)=0, " ", VLOOKUP(C7,Purchased!A:R,14,0))</f>
        <v>45526</v>
      </c>
      <c r="L7" s="46">
        <f>IF(VLOOKUP(C7,Purchased!A:R,15,0)=0, " ", VLOOKUP(C7,Purchased!A:R,15,0))</f>
        <v>45526</v>
      </c>
      <c r="M7" s="46" t="str">
        <f>IF(VLOOKUP(C7,Purchased!A:R,16,0)=0, " ",VLOOKUP(C7,Purchased!A:R,16,0))</f>
        <v xml:space="preserve"> </v>
      </c>
      <c r="N7" s="130" t="str">
        <f>IF(VLOOKUP(C7,Purchased!A:R,17,0)=0, " ", VLOOKUP(C7,Purchased!A:R,17,0))</f>
        <v xml:space="preserve"> </v>
      </c>
      <c r="O7" s="47">
        <f t="shared" ref="O7:O10" ca="1" si="0">B7*$L$2</f>
        <v>2</v>
      </c>
      <c r="P7" s="51">
        <f>VLOOKUP(C7,Purchased!A:D,3,FALSE)</f>
        <v>3.78</v>
      </c>
      <c r="Q7" s="52">
        <f t="shared" ref="Q7:Q10" si="1">B7*P7</f>
        <v>7.56</v>
      </c>
    </row>
    <row r="8" spans="1:17" s="2" customFormat="1" ht="12" customHeight="1" x14ac:dyDescent="0.25">
      <c r="A8" s="4">
        <v>302</v>
      </c>
      <c r="B8" s="2">
        <v>2</v>
      </c>
      <c r="C8" s="135" t="s">
        <v>387</v>
      </c>
      <c r="D8" s="325" t="str">
        <f>VLOOKUP(C8,Purchased!A:B,2,0)</f>
        <v>18-8 Stainless Steel Unthreaded Spacer, 8 mm OD, 15 mm Long, for M5 Screw Size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ca="1" si="0"/>
        <v>2</v>
      </c>
      <c r="P8" s="51">
        <f>VLOOKUP(C8,Purchased!A:D,3,FALSE)</f>
        <v>2.2599999999999998</v>
      </c>
      <c r="Q8" s="52">
        <f t="shared" si="1"/>
        <v>4.5199999999999996</v>
      </c>
    </row>
    <row r="9" spans="1:17" s="2" customFormat="1" ht="12" customHeight="1" x14ac:dyDescent="0.25">
      <c r="A9" s="4">
        <v>303</v>
      </c>
      <c r="B9" s="2">
        <v>4</v>
      </c>
      <c r="C9" s="135" t="s">
        <v>388</v>
      </c>
      <c r="D9" s="325" t="str">
        <f>VLOOKUP(C9,Purchased!A:B,2,0)</f>
        <v>Zinc-Plated Steel Oversized Washer for M5 Screw Size, 5.3 mm ID, 15 mm OD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45526</v>
      </c>
      <c r="K9" s="46">
        <f>IF(VLOOKUP(C9,Purchased!A:R,14,0)=0, " ", VLOOKUP(C9,Purchased!A:R,14,0))</f>
        <v>45526</v>
      </c>
      <c r="L9" s="46">
        <f>IF(VLOOKUP(C9,Purchased!A:R,15,0)=0, " ", VLOOKUP(C9,Purchased!A:R,15,0))</f>
        <v>45526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t="shared" ca="1" si="0"/>
        <v>4</v>
      </c>
      <c r="P9" s="51">
        <f>VLOOKUP(C9,Purchased!A:D,3,FALSE)</f>
        <v>4.7</v>
      </c>
      <c r="Q9" s="52">
        <f t="shared" si="1"/>
        <v>18.8</v>
      </c>
    </row>
    <row r="10" spans="1:17" s="2" customFormat="1" ht="12" customHeight="1" x14ac:dyDescent="0.25">
      <c r="A10" s="4">
        <v>304</v>
      </c>
      <c r="B10" s="2">
        <v>7</v>
      </c>
      <c r="C10" s="135">
        <v>3842530283</v>
      </c>
      <c r="D10" s="325" t="str">
        <f>VLOOKUP(C10,Purchased!A:B,2,0)</f>
        <v>BRX GOTO T-NUT 10 M5</v>
      </c>
      <c r="E10" s="326"/>
      <c r="F10" s="108" t="str">
        <f>IF(VLOOKUP($C10,Purchased!A:Z,11,0) = 0, " ", VLOOKUP($C10,Purchased!A:Z,11,0))</f>
        <v>BRX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>100 additional quantity added to 55710</v>
      </c>
      <c r="I10" s="328"/>
      <c r="J10" s="46">
        <f>IF(VLOOKUP($C10,Purchased!A:Z,14,0)=0, " ", VLOOKUP($C10,Purchased!A:Z,14,0))</f>
        <v>45463</v>
      </c>
      <c r="K10" s="46">
        <f>IF(VLOOKUP(C10,Purchased!A:R,14,0)=0, " ", VLOOKUP(C10,Purchased!A:R,14,0))</f>
        <v>45463</v>
      </c>
      <c r="L10" s="46">
        <f>IF(VLOOKUP(C10,Purchased!A:R,15,0)=0, " ", VLOOKUP(C10,Purchased!A:R,15,0))</f>
        <v>45463</v>
      </c>
      <c r="M10" s="46">
        <f>IF(VLOOKUP(C10,Purchased!A:R,16,0)=0, " ",VLOOKUP(C10,Purchased!A:R,16,0))</f>
        <v>45481</v>
      </c>
      <c r="N10" s="130">
        <f>IF(VLOOKUP(C10,Purchased!A:R,17,0)=0, " ", VLOOKUP(C10,Purchased!A:R,17,0))</f>
        <v>45481</v>
      </c>
      <c r="O10" s="47">
        <f t="shared" ca="1" si="0"/>
        <v>7</v>
      </c>
      <c r="P10" s="51">
        <f>VLOOKUP(C10,Purchased!A:D,3,FALSE)</f>
        <v>0.56000000000000005</v>
      </c>
      <c r="Q10" s="52">
        <f t="shared" si="1"/>
        <v>3.9200000000000004</v>
      </c>
    </row>
    <row r="11" spans="1:17" s="2" customFormat="1" ht="12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" customHeight="1" x14ac:dyDescent="0.25">
      <c r="A12" s="4">
        <v>501</v>
      </c>
      <c r="B12" s="2">
        <v>2</v>
      </c>
      <c r="C12" s="122" t="s">
        <v>389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t="shared" ref="O12:O13" ca="1" si="2">B12*$L$2</f>
        <v>2</v>
      </c>
      <c r="P12" s="51">
        <f>VLOOKUP(C12,Bolts!A:B,2,FALSE)</f>
        <v>0</v>
      </c>
      <c r="Q12" s="52">
        <f t="shared" ref="Q12:Q13" si="3">B12*P12</f>
        <v>0</v>
      </c>
    </row>
    <row r="13" spans="1:17" s="2" customFormat="1" ht="12" customHeight="1" thickBot="1" x14ac:dyDescent="0.3">
      <c r="A13" s="4">
        <v>502</v>
      </c>
      <c r="B13" s="2">
        <v>7</v>
      </c>
      <c r="C13" s="122" t="s">
        <v>390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ca="1" si="2"/>
        <v>7</v>
      </c>
      <c r="P13" s="51">
        <f>VLOOKUP(C13,Bolts!A:B,2,FALSE)</f>
        <v>0</v>
      </c>
      <c r="Q13" s="52">
        <f t="shared" si="3"/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104.8</v>
      </c>
    </row>
  </sheetData>
  <sheetProtection selectLockedCells="1"/>
  <mergeCells count="21">
    <mergeCell ref="D1:E1"/>
    <mergeCell ref="D4:E4"/>
    <mergeCell ref="H4:I4"/>
    <mergeCell ref="D6:E6"/>
    <mergeCell ref="H6:I6"/>
    <mergeCell ref="D7:E7"/>
    <mergeCell ref="H7:I7"/>
    <mergeCell ref="D5:E5"/>
    <mergeCell ref="H5:I5"/>
    <mergeCell ref="D8:E8"/>
    <mergeCell ref="H8:I8"/>
    <mergeCell ref="D9:E9"/>
    <mergeCell ref="H9:I9"/>
    <mergeCell ref="D10:E10"/>
    <mergeCell ref="H10:I10"/>
    <mergeCell ref="D14:E14"/>
    <mergeCell ref="H14:I14"/>
    <mergeCell ref="D11:E11"/>
    <mergeCell ref="H11:I11"/>
    <mergeCell ref="D12:E12"/>
    <mergeCell ref="D13:E13"/>
  </mergeCells>
  <conditionalFormatting sqref="M6 M11:M13">
    <cfRule type="cellIs" dxfId="1824" priority="9" stopIfTrue="1" operator="lessThanOrEqual">
      <formula>$L6</formula>
    </cfRule>
    <cfRule type="cellIs" dxfId="1823" priority="10" operator="greaterThan">
      <formula>L6</formula>
    </cfRule>
  </conditionalFormatting>
  <conditionalFormatting sqref="M7">
    <cfRule type="cellIs" dxfId="1822" priority="7" stopIfTrue="1" operator="lessThanOrEqual">
      <formula>$L7</formula>
    </cfRule>
    <cfRule type="cellIs" dxfId="1821" priority="8" operator="greaterThan">
      <formula>L7</formula>
    </cfRule>
  </conditionalFormatting>
  <conditionalFormatting sqref="M8:M10">
    <cfRule type="cellIs" dxfId="1820" priority="1" stopIfTrue="1" operator="lessThanOrEqual">
      <formula>$L8</formula>
    </cfRule>
    <cfRule type="cellIs" dxfId="1819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8A88D41-832C-46D7-A06F-7AD72E64BC87}">
          <x14:formula1>
            <xm:f>Bolts!$A:$A</xm:f>
          </x14:formula1>
          <xm:sqref>C11:C13</xm:sqref>
        </x14:dataValidation>
        <x14:dataValidation type="list" allowBlank="1" showInputMessage="1" showErrorMessage="1" xr:uid="{3D0BF017-BA22-4B57-8A43-30A4A883178A}">
          <x14:formula1>
            <xm:f>Machined!$C:$C</xm:f>
          </x14:formula1>
          <xm:sqref>C5</xm:sqref>
        </x14:dataValidation>
        <x14:dataValidation type="list" allowBlank="1" showInputMessage="1" showErrorMessage="1" xr:uid="{C8562A72-8798-4F0E-9147-6A7A5E294D7D}">
          <x14:formula1>
            <xm:f>Purchased!$A:$A</xm:f>
          </x14:formula1>
          <xm:sqref>C6:C10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F3C88-EBE4-4F92-AA93-BC37825FE2FA}">
  <sheetPr codeName="Sheet270">
    <tabColor theme="6" tint="0.59999389629810485"/>
  </sheetPr>
  <dimension ref="A1:Q9"/>
  <sheetViews>
    <sheetView zoomScale="114" zoomScaleNormal="115" workbookViewId="0">
      <selection activeCell="C19" sqref="C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'2.1'!C13</f>
        <v>PG10.2.1.6.0.A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'2.1'!D13</f>
        <v>Bottom Guarding 1</v>
      </c>
      <c r="D3" s="85" t="s">
        <v>50</v>
      </c>
      <c r="E3" s="86" t="str">
        <f ca="1">MID(CELL("filename",A1),FIND("]",CELL("filename",A1))+1,256)</f>
        <v>2.1.6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>
        <f>'1.1.11.1'!Q9</f>
        <v>7.1199999999999992</v>
      </c>
      <c r="Q5" s="152">
        <f>B5*P5</f>
        <v>71.199999999999989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3737</v>
      </c>
      <c r="D7" s="314" t="str">
        <f>VLOOKUP(C7,Machined!C:X,2,0)</f>
        <v>Bottom Guarding 1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71.199999999999989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818" priority="1" stopIfTrue="1" operator="lessThanOrEqual">
      <formula>$L6</formula>
    </cfRule>
    <cfRule type="cellIs" dxfId="181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4D8996-9EDA-4950-BF59-77DF703CD07F}">
          <x14:formula1>
            <xm:f>Assemblies!$E:$E</xm:f>
          </x14:formula1>
          <xm:sqref>C5</xm:sqref>
        </x14:dataValidation>
        <x14:dataValidation type="list" allowBlank="1" showInputMessage="1" showErrorMessage="1" xr:uid="{EAF37503-DBBA-446B-AFBA-A8654E672A0C}">
          <x14:formula1>
            <xm:f>Machined!$C:$C</xm:f>
          </x14:formula1>
          <xm:sqref>C7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C1F53-24C3-4AE8-9975-49A1381B9078}">
  <sheetPr codeName="Sheet271">
    <tabColor theme="6" tint="0.59999389629810485"/>
  </sheetPr>
  <dimension ref="A1:Q9"/>
  <sheetViews>
    <sheetView zoomScale="114" zoomScaleNormal="115" workbookViewId="0">
      <selection activeCell="C19" sqref="C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'2.1'!C14</f>
        <v>PG10.2.1.7.0.A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'2.1'!D14</f>
        <v>Bottom Guarding 2</v>
      </c>
      <c r="D3" s="85" t="s">
        <v>50</v>
      </c>
      <c r="E3" s="86" t="str">
        <f ca="1">MID(CELL("filename",A1),FIND("]",CELL("filename",A1))+1,256)</f>
        <v>2.1.7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>
        <f>'1.1.11.1'!Q9</f>
        <v>7.1199999999999992</v>
      </c>
      <c r="Q5" s="152">
        <f>B5*P5</f>
        <v>71.199999999999989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3738</v>
      </c>
      <c r="D7" s="314" t="str">
        <f>VLOOKUP(C7,Machined!C:X,2,0)</f>
        <v>Bottom Guarding 2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71.199999999999989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816" priority="1" stopIfTrue="1" operator="lessThanOrEqual">
      <formula>$L6</formula>
    </cfRule>
    <cfRule type="cellIs" dxfId="181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54972E-1BA4-4EEE-89D3-F07206940345}">
          <x14:formula1>
            <xm:f>Assemblies!$E:$E</xm:f>
          </x14:formula1>
          <xm:sqref>C5</xm:sqref>
        </x14:dataValidation>
        <x14:dataValidation type="list" allowBlank="1" showInputMessage="1" showErrorMessage="1" xr:uid="{89A4B6C7-0378-4665-80F2-854D237226AB}">
          <x14:formula1>
            <xm:f>Machined!$C:$C</xm:f>
          </x14:formula1>
          <xm:sqref>C7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49B7-94D3-4188-9C44-E6C2F347EB14}">
  <sheetPr codeName="Sheet272">
    <tabColor theme="6" tint="0.59999389629810485"/>
  </sheetPr>
  <dimension ref="A1:Q9"/>
  <sheetViews>
    <sheetView zoomScale="114" zoomScaleNormal="115" workbookViewId="0">
      <selection activeCell="C19" sqref="C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'2.1'!C15</f>
        <v>PG10.2.1.8.0.A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'2.1'!D15</f>
        <v>Bottom Guarding 3 and 4</v>
      </c>
      <c r="D3" s="85" t="s">
        <v>50</v>
      </c>
      <c r="E3" s="86" t="str">
        <f ca="1">MID(CELL("filename",A1),FIND("]",CELL("filename",A1))+1,256)</f>
        <v>2.1.8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8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8</v>
      </c>
      <c r="P5" s="117">
        <f>'1.1.11.1'!Q9</f>
        <v>7.1199999999999992</v>
      </c>
      <c r="Q5" s="152">
        <f>B5*P5</f>
        <v>56.959999999999994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3739</v>
      </c>
      <c r="D7" s="314" t="str">
        <f>VLOOKUP(C7,Machined!C:X,2,0)</f>
        <v>Bottom Guarding 3 and 4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56.959999999999994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814" priority="1" stopIfTrue="1" operator="lessThanOrEqual">
      <formula>$L6</formula>
    </cfRule>
    <cfRule type="cellIs" dxfId="1813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7E5661-192C-4EFF-99C6-051A0CADCD12}">
          <x14:formula1>
            <xm:f>Assemblies!$E:$E</xm:f>
          </x14:formula1>
          <xm:sqref>C5</xm:sqref>
        </x14:dataValidation>
        <x14:dataValidation type="list" allowBlank="1" showInputMessage="1" showErrorMessage="1" xr:uid="{EC81CE72-431E-4C08-9DD3-2BBCB3ADBBA5}">
          <x14:formula1>
            <xm:f>Machined!$C:$C</xm:f>
          </x14:formula1>
          <xm:sqref>C7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4B930-F94B-4609-9BFB-B8E2F255174A}">
  <sheetPr codeName="Sheet62">
    <tabColor theme="9" tint="0.59999389629810485"/>
    <pageSetUpPr fitToPage="1"/>
  </sheetPr>
  <dimension ref="A1:Q22"/>
  <sheetViews>
    <sheetView zoomScale="115" zoomScaleNormal="115" workbookViewId="0">
      <selection activeCell="C24" sqref="C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'2'!C6</f>
        <v>PG10.2.2.0.A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'2'!D6</f>
        <v>Upper Main Frame 1</v>
      </c>
      <c r="D3" s="85" t="s">
        <v>50</v>
      </c>
      <c r="E3" s="86" t="str">
        <f ca="1">MID(CELL("filename",A1),FIND("]",CELL("filename",A1))+1,256)</f>
        <v>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12</v>
      </c>
      <c r="C5" s="112" t="s">
        <v>131</v>
      </c>
      <c r="D5" s="336" t="str">
        <f ca="1">VLOOKUP(C5,Assemblies!E:P,2,0)</f>
        <v>Frame Gusset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0" ca="1" si="0">B5*$L$2</f>
        <v>12</v>
      </c>
      <c r="P5" s="117">
        <f>'1.1.3'!Q9</f>
        <v>0</v>
      </c>
      <c r="Q5" s="118">
        <f t="shared" ref="Q5:Q10" si="1">B5*P5</f>
        <v>0</v>
      </c>
    </row>
    <row r="6" spans="1:17" s="1" customFormat="1" ht="12" customHeight="1" x14ac:dyDescent="0.2">
      <c r="A6" s="150" t="s">
        <v>56</v>
      </c>
      <c r="B6" s="1">
        <v>1</v>
      </c>
      <c r="C6" s="145" t="s">
        <v>392</v>
      </c>
      <c r="D6" s="314" t="str">
        <f ca="1">VLOOKUP(C6,Assemblies!E:P,2,0)</f>
        <v>Door 3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'2.2.1'!Q22</f>
        <v>991.46</v>
      </c>
      <c r="Q6" s="151">
        <f t="shared" si="1"/>
        <v>991.46</v>
      </c>
    </row>
    <row r="7" spans="1:17" s="1" customFormat="1" ht="12" customHeight="1" x14ac:dyDescent="0.2">
      <c r="A7" s="150" t="s">
        <v>58</v>
      </c>
      <c r="B7" s="1">
        <v>1</v>
      </c>
      <c r="C7" s="145" t="s">
        <v>393</v>
      </c>
      <c r="D7" s="314" t="str">
        <f ca="1">VLOOKUP(C7,Assemblies!E:P,2,0)</f>
        <v>Door 4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'2.2.2'!Q22</f>
        <v>991.71</v>
      </c>
      <c r="Q7" s="151">
        <f t="shared" si="1"/>
        <v>991.71</v>
      </c>
    </row>
    <row r="8" spans="1:17" s="1" customFormat="1" ht="12" customHeight="1" x14ac:dyDescent="0.2">
      <c r="A8" s="150" t="s">
        <v>60</v>
      </c>
      <c r="B8" s="1">
        <v>1</v>
      </c>
      <c r="C8" s="145" t="s">
        <v>394</v>
      </c>
      <c r="D8" s="314" t="str">
        <f ca="1">VLOOKUP(C8,Assemblies!E:P,2,0)</f>
        <v>Door 5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'2.2.3'!Q19</f>
        <v>768.82</v>
      </c>
      <c r="Q8" s="151">
        <f t="shared" si="1"/>
        <v>768.82</v>
      </c>
    </row>
    <row r="9" spans="1:17" s="1" customFormat="1" ht="12" customHeight="1" x14ac:dyDescent="0.2">
      <c r="A9" s="150" t="s">
        <v>62</v>
      </c>
      <c r="B9" s="1">
        <v>1</v>
      </c>
      <c r="C9" s="145" t="s">
        <v>395</v>
      </c>
      <c r="D9" s="314" t="str">
        <f ca="1">VLOOKUP(C9,Assemblies!E:P,2,0)</f>
        <v>Door 6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1</v>
      </c>
      <c r="P9" s="147">
        <f>'2.2.4'!Q18</f>
        <v>0</v>
      </c>
      <c r="Q9" s="151">
        <f t="shared" si="1"/>
        <v>0</v>
      </c>
    </row>
    <row r="10" spans="1:17" s="1" customFormat="1" ht="12" customHeight="1" x14ac:dyDescent="0.2">
      <c r="A10" s="150" t="s">
        <v>64</v>
      </c>
      <c r="B10" s="1">
        <v>1</v>
      </c>
      <c r="C10" s="145" t="s">
        <v>396</v>
      </c>
      <c r="D10" s="314" t="str">
        <f ca="1">VLOOKUP(C10,Assemblies!E:P,2,0)</f>
        <v>Twin Wall Top Guard 2</v>
      </c>
      <c r="E10" s="315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ca="1" si="0"/>
        <v>1</v>
      </c>
      <c r="P10" s="147">
        <f>'2.2.5'!Q8</f>
        <v>340.68</v>
      </c>
      <c r="Q10" s="151">
        <f t="shared" si="1"/>
        <v>340.68</v>
      </c>
    </row>
    <row r="11" spans="1:17" s="1" customFormat="1" ht="12.75" customHeight="1" x14ac:dyDescent="0.2">
      <c r="A11" s="150" t="s">
        <v>66</v>
      </c>
      <c r="B11" s="1">
        <v>1</v>
      </c>
      <c r="C11" s="145" t="s">
        <v>397</v>
      </c>
      <c r="D11" s="314" t="str">
        <f ca="1">VLOOKUP(C11,Assemblies!E:P,2,0)</f>
        <v>Twin Wall Top Guard 3</v>
      </c>
      <c r="E11" s="315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ref="O11" ca="1" si="2">B11*$L$2</f>
        <v>1</v>
      </c>
      <c r="P11" s="147">
        <f>'2.2.5'!Q8</f>
        <v>340.68</v>
      </c>
      <c r="Q11" s="151">
        <f t="shared" ref="Q11" si="3">B11*P11</f>
        <v>340.68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301</v>
      </c>
      <c r="B13" s="2">
        <v>4</v>
      </c>
      <c r="C13" s="135">
        <v>3842551606</v>
      </c>
      <c r="D13" s="325" t="str">
        <f>VLOOKUP(C13,Purchased!A:B,2,0)</f>
        <v>BRX 45X45 Frame Gusset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2 additional quantity added to 55710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45524</v>
      </c>
      <c r="M13" s="46">
        <f>IF(VLOOKUP(C13,Purchased!A:R,16,0)=0, " ",VLOOKUP(C13,Purchased!A:R,16,0))</f>
        <v>45547</v>
      </c>
      <c r="N13" s="130" t="str">
        <f>IF(VLOOKUP(C13,Purchased!A:R,17,0)=0, " ", VLOOKUP(C13,Purchased!A:R,17,0))</f>
        <v xml:space="preserve"> </v>
      </c>
      <c r="O13" s="47">
        <f t="shared" ref="O13:O14" ca="1" si="4">B13*$L$2</f>
        <v>4</v>
      </c>
      <c r="P13" s="51">
        <f>VLOOKUP(C13,Purchased!A:D,3,FALSE)</f>
        <v>5.83</v>
      </c>
      <c r="Q13" s="52">
        <f t="shared" ref="Q13:Q14" si="5">B13*P13</f>
        <v>23.32</v>
      </c>
    </row>
    <row r="14" spans="1:17" s="2" customFormat="1" ht="12.75" customHeight="1" x14ac:dyDescent="0.25">
      <c r="A14" s="4">
        <v>302</v>
      </c>
      <c r="B14" s="2">
        <v>76</v>
      </c>
      <c r="C14" s="135" t="s">
        <v>149</v>
      </c>
      <c r="D14" s="325" t="str">
        <f>VLOOKUP(C14,Purchased!A:B,2,0)</f>
        <v>BRX GOTO QUICK CONNECTOR N10 0°</v>
      </c>
      <c r="E14" s="326"/>
      <c r="F14" s="108" t="str">
        <f>IF(VLOOKUP($C14,Purchased!A:Z,11,0) = 0, " ", VLOOKUP($C14,Purchased!A:Z,11,0))</f>
        <v>T-SLOTS</v>
      </c>
      <c r="G14" s="108" t="str">
        <f>IF(VLOOKUP($C14,Purchased!A:Z,12,0)=0, " ", VLOOKUP($C14,Purchased!A:Z,12,0))</f>
        <v>Process Tech</v>
      </c>
      <c r="H14" s="327" t="str">
        <f>IF(VLOOKUP($C14,Purchased!A:Z,13,0)=0, " ", VLOOKUP($C14,Purchased!A:Z,13,0))</f>
        <v>500 More on P.O. #55639 Part# 659730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45362</v>
      </c>
      <c r="M14" s="46">
        <f>IF(VLOOKUP(C14,Purchased!A:R,16,0)=0, " ",VLOOKUP(C14,Purchased!A:R,16,0))</f>
        <v>45378</v>
      </c>
      <c r="N14" s="130">
        <f>IF(VLOOKUP(C14,Purchased!A:R,17,0)=0, " ", VLOOKUP(C14,Purchased!A:R,17,0))</f>
        <v>45378</v>
      </c>
      <c r="O14" s="47">
        <f t="shared" ca="1" si="4"/>
        <v>76</v>
      </c>
      <c r="P14" s="51">
        <f>VLOOKUP(C14,Purchased!A:D,3,FALSE)</f>
        <v>4.17</v>
      </c>
      <c r="Q14" s="52">
        <f t="shared" si="5"/>
        <v>316.92</v>
      </c>
    </row>
    <row r="15" spans="1:17" s="2" customFormat="1" ht="12.75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.75" customHeight="1" x14ac:dyDescent="0.25">
      <c r="A16" s="4">
        <v>701</v>
      </c>
      <c r="B16" s="2">
        <v>6</v>
      </c>
      <c r="C16" s="123" t="s">
        <v>398</v>
      </c>
      <c r="D16" s="325" t="str">
        <f>VLOOKUP(C16,Extrusion!B:C,2,0)</f>
        <v>APPROVED EL 8/1</v>
      </c>
      <c r="E16" s="326"/>
      <c r="F16" s="108" t="str">
        <f ca="1">VLOOKUP(C16,Extrusion!B:N,5,0)</f>
        <v/>
      </c>
      <c r="G16" s="108">
        <f>VLOOKUP(C16,Extrusion!B:N,6,0)</f>
        <v>1</v>
      </c>
      <c r="H16" s="108">
        <f>VLOOKUP(C16,Extrusion!B:N,7,0)</f>
        <v>0</v>
      </c>
      <c r="I16" s="109"/>
      <c r="J16" s="46" t="str">
        <f>VLOOKUP(C16,Extrusion!B:N,8,0)</f>
        <v>T-Slots</v>
      </c>
      <c r="K16" s="46">
        <f>VLOOKUP(C16,Extrusion!B:N,9,0)</f>
        <v>0</v>
      </c>
      <c r="L16" s="46">
        <f>VLOOKUP(C16,Extrusion!B:N,10,0)</f>
        <v>0</v>
      </c>
      <c r="M16" s="46">
        <f>VLOOKUP(C16,Extrusion!B:N,11,0)</f>
        <v>0</v>
      </c>
      <c r="N16" s="47">
        <f>VLOOKUP(C16,Extrusion!B:O,12,0)</f>
        <v>0</v>
      </c>
      <c r="O16" s="47">
        <f t="shared" ref="O16:O17" ca="1" si="6">B16*$L$2</f>
        <v>6</v>
      </c>
      <c r="P16" s="51">
        <f>VLOOKUP(C16,Extrusion!B:G,4,0)</f>
        <v>20</v>
      </c>
      <c r="Q16" s="52">
        <f>B16*P16</f>
        <v>120</v>
      </c>
    </row>
    <row r="17" spans="1:17" s="2" customFormat="1" ht="12.75" customHeight="1" x14ac:dyDescent="0.25">
      <c r="A17" s="4">
        <v>702</v>
      </c>
      <c r="B17" s="2">
        <v>3</v>
      </c>
      <c r="C17" s="123" t="s">
        <v>160</v>
      </c>
      <c r="D17" s="325" t="str">
        <f>VLOOKUP(C17,Extrusion!B:C,2,0)</f>
        <v>APPROVED EL 8/1</v>
      </c>
      <c r="E17" s="326"/>
      <c r="F17" s="108" t="str">
        <f ca="1">VLOOKUP(C17,Extrusion!B:N,5,0)</f>
        <v/>
      </c>
      <c r="G17" s="108">
        <f>VLOOKUP(C17,Extrusion!B:N,6,0)</f>
        <v>1</v>
      </c>
      <c r="H17" s="108">
        <f>VLOOKUP(C17,Extrusion!B:N,7,0)</f>
        <v>0</v>
      </c>
      <c r="I17" s="109"/>
      <c r="J17" s="46" t="str">
        <f>VLOOKUP(C17,Extrusion!B:N,8,0)</f>
        <v>T-Slots</v>
      </c>
      <c r="K17" s="46">
        <f>VLOOKUP(C17,Extrusion!B:N,9,0)</f>
        <v>0</v>
      </c>
      <c r="L17" s="46">
        <f>VLOOKUP(C17,Extrusion!B:N,10,0)</f>
        <v>0</v>
      </c>
      <c r="M17" s="46">
        <f>VLOOKUP(C17,Extrusion!B:N,11,0)</f>
        <v>0</v>
      </c>
      <c r="N17" s="47">
        <f>VLOOKUP(C17,Extrusion!B:O,12,0)</f>
        <v>0</v>
      </c>
      <c r="O17" s="47">
        <f t="shared" ca="1" si="6"/>
        <v>3</v>
      </c>
      <c r="P17" s="51">
        <f>VLOOKUP(C17,Extrusion!B:G,4,0)</f>
        <v>34</v>
      </c>
      <c r="Q17" s="52">
        <f>B17*P17</f>
        <v>102</v>
      </c>
    </row>
    <row r="18" spans="1:17" s="2" customFormat="1" ht="12.75" customHeight="1" x14ac:dyDescent="0.25">
      <c r="A18" s="4">
        <v>703</v>
      </c>
      <c r="B18" s="2">
        <v>2</v>
      </c>
      <c r="C18" s="123" t="s">
        <v>376</v>
      </c>
      <c r="D18" s="325" t="str">
        <f>VLOOKUP(C18,Extrusion!B:C,2,0)</f>
        <v>APPROVED EL 8/1</v>
      </c>
      <c r="E18" s="326"/>
      <c r="F18" s="108" t="str">
        <f ca="1">VLOOKUP(C18,Extrusion!B:N,5,0)</f>
        <v/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ca="1">B18*$L$2</f>
        <v>2</v>
      </c>
      <c r="P18" s="51">
        <f>VLOOKUP(C18,Extrusion!B:G,4,0)</f>
        <v>4</v>
      </c>
      <c r="Q18" s="52">
        <f>B18*P18</f>
        <v>8</v>
      </c>
    </row>
    <row r="19" spans="1:17" s="2" customFormat="1" ht="12.75" customHeight="1" x14ac:dyDescent="0.25">
      <c r="A19" s="4">
        <v>704</v>
      </c>
      <c r="B19" s="2">
        <v>1</v>
      </c>
      <c r="C19" s="123" t="s">
        <v>379</v>
      </c>
      <c r="D19" s="325" t="str">
        <f>VLOOKUP(C19,Extrusion!B:C,2,0)</f>
        <v>APPROVED EL 8/1</v>
      </c>
      <c r="E19" s="326"/>
      <c r="F19" s="108" t="str">
        <f ca="1">VLOOKUP(C19,Extrusion!B:N,5,0)</f>
        <v/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ca="1">B19*$L$2</f>
        <v>1</v>
      </c>
      <c r="P19" s="51">
        <f>VLOOKUP(C19,Extrusion!B:G,4,0)</f>
        <v>2</v>
      </c>
      <c r="Q19" s="52">
        <f>B19*P19</f>
        <v>2</v>
      </c>
    </row>
    <row r="20" spans="1:17" s="2" customFormat="1" ht="12.75" customHeight="1" thickBot="1" x14ac:dyDescent="0.3">
      <c r="A20" s="4">
        <v>705</v>
      </c>
      <c r="B20" s="2">
        <v>1</v>
      </c>
      <c r="C20" s="123" t="s">
        <v>399</v>
      </c>
      <c r="D20" s="325" t="str">
        <f>VLOOKUP(C20,Extrusion!B:C,2,0)</f>
        <v>APPROVED EL 8/1</v>
      </c>
      <c r="E20" s="326"/>
      <c r="F20" s="108" t="str">
        <f ca="1">VLOOKUP(C20,Extrusion!B:N,5,0)</f>
        <v/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ca="1">B20*$L$2</f>
        <v>1</v>
      </c>
      <c r="P20" s="51">
        <f>VLOOKUP(C20,Extrusion!B:G,4,0)</f>
        <v>3</v>
      </c>
      <c r="Q20" s="52">
        <f>B20*P20</f>
        <v>3</v>
      </c>
    </row>
    <row r="21" spans="1:17" s="2" customFormat="1" ht="12" customHeight="1" thickBot="1" x14ac:dyDescent="0.3">
      <c r="A21" s="34"/>
      <c r="B21" s="35"/>
      <c r="C21" s="35"/>
      <c r="D21" s="316"/>
      <c r="E21" s="317"/>
      <c r="F21" s="35"/>
      <c r="G21" s="35"/>
      <c r="H21" s="309"/>
      <c r="I21" s="310"/>
      <c r="J21" s="36"/>
      <c r="K21" s="36"/>
      <c r="L21" s="36"/>
      <c r="M21" s="37"/>
      <c r="N21" s="132"/>
      <c r="O21" s="38"/>
      <c r="P21" s="99" t="s">
        <v>43</v>
      </c>
      <c r="Q21" s="104">
        <f>SUM(Q5:Q20)</f>
        <v>4008.59</v>
      </c>
    </row>
    <row r="22" spans="1:17" s="2" customFormat="1" ht="12" customHeight="1" x14ac:dyDescent="0.2">
      <c r="D22" s="21"/>
      <c r="E22" s="21"/>
      <c r="J22" s="8"/>
      <c r="K22" s="8"/>
      <c r="L22" s="8"/>
      <c r="M22" s="8"/>
      <c r="N22" s="131"/>
      <c r="O22" s="5"/>
      <c r="P22" s="98"/>
      <c r="Q22" s="105"/>
    </row>
  </sheetData>
  <sheetProtection selectLockedCells="1"/>
  <mergeCells count="32">
    <mergeCell ref="H10:I10"/>
    <mergeCell ref="D21:E21"/>
    <mergeCell ref="H21:I21"/>
    <mergeCell ref="D15:E15"/>
    <mergeCell ref="H15:I15"/>
    <mergeCell ref="D16:E16"/>
    <mergeCell ref="D17:E17"/>
    <mergeCell ref="D18:E18"/>
    <mergeCell ref="D19:E19"/>
    <mergeCell ref="D20:E20"/>
    <mergeCell ref="D12:E12"/>
    <mergeCell ref="H12:I12"/>
    <mergeCell ref="D13:E13"/>
    <mergeCell ref="H13:I13"/>
    <mergeCell ref="D14:E14"/>
    <mergeCell ref="H14:I14"/>
    <mergeCell ref="D1:E1"/>
    <mergeCell ref="D4:E4"/>
    <mergeCell ref="H4:I4"/>
    <mergeCell ref="D11:E11"/>
    <mergeCell ref="H11:I11"/>
    <mergeCell ref="D5:E5"/>
    <mergeCell ref="H5:I5"/>
    <mergeCell ref="D8:E8"/>
    <mergeCell ref="H8:I8"/>
    <mergeCell ref="D6:E6"/>
    <mergeCell ref="H6:I6"/>
    <mergeCell ref="D7:E7"/>
    <mergeCell ref="H7:I7"/>
    <mergeCell ref="D9:E9"/>
    <mergeCell ref="H9:I9"/>
    <mergeCell ref="D10:E10"/>
  </mergeCells>
  <conditionalFormatting sqref="M12 M15:M20">
    <cfRule type="cellIs" dxfId="1812" priority="5" stopIfTrue="1" operator="lessThanOrEqual">
      <formula>$L12</formula>
    </cfRule>
    <cfRule type="cellIs" dxfId="1811" priority="6" operator="greaterThan">
      <formula>L12</formula>
    </cfRule>
  </conditionalFormatting>
  <conditionalFormatting sqref="M13">
    <cfRule type="cellIs" dxfId="1810" priority="3" stopIfTrue="1" operator="lessThanOrEqual">
      <formula>$L13</formula>
    </cfRule>
    <cfRule type="cellIs" dxfId="1809" priority="4" operator="greaterThan">
      <formula>L13</formula>
    </cfRule>
  </conditionalFormatting>
  <conditionalFormatting sqref="M14">
    <cfRule type="cellIs" dxfId="1808" priority="1" stopIfTrue="1" operator="lessThanOrEqual">
      <formula>$L14</formula>
    </cfRule>
    <cfRule type="cellIs" dxfId="1807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1C00659-6434-4CFE-BB09-66D8C3C95F45}">
          <x14:formula1>
            <xm:f>Extrusion!$B:$B</xm:f>
          </x14:formula1>
          <xm:sqref>C16:C20</xm:sqref>
        </x14:dataValidation>
        <x14:dataValidation type="list" allowBlank="1" showInputMessage="1" showErrorMessage="1" xr:uid="{3865772E-905D-4869-8388-3CCE33E56548}">
          <x14:formula1>
            <xm:f>Assemblies!$E:$E</xm:f>
          </x14:formula1>
          <xm:sqref>C5:C11</xm:sqref>
        </x14:dataValidation>
        <x14:dataValidation type="list" allowBlank="1" showInputMessage="1" showErrorMessage="1" xr:uid="{4FB2C328-395A-4F73-8484-FF878BC0611A}">
          <x14:formula1>
            <xm:f>Purchased!$A:$A</xm:f>
          </x14:formula1>
          <xm:sqref>C13:C14</xm:sqref>
        </x14:dataValidation>
      </x14:dataValidation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DE7D2-5738-471E-9C19-44930820B715}">
  <sheetPr codeName="Sheet63">
    <tabColor theme="6" tint="0.59999389629810485"/>
  </sheetPr>
  <dimension ref="A1:Q23"/>
  <sheetViews>
    <sheetView zoomScale="115" zoomScaleNormal="115" workbookViewId="0">
      <selection activeCell="C27" sqref="C2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'2.2'!C6</f>
        <v>PG10.2.2.1.0.A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'2.2'!D6</f>
        <v>Door 3</v>
      </c>
      <c r="D3" s="85" t="s">
        <v>50</v>
      </c>
      <c r="E3" s="86" t="str">
        <f ca="1">MID(CELL("filename",A1),FIND("]",CELL("filename",A1))+1,256)</f>
        <v>2.2.1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'1.4.1'!Q16</f>
        <v>441.74</v>
      </c>
      <c r="Q5" s="118">
        <f>B5*P5</f>
        <v>441.74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'1.4.2'!Q9</f>
        <v>11.93</v>
      </c>
      <c r="Q6" s="153">
        <f>B6*P6</f>
        <v>23.86</v>
      </c>
    </row>
    <row r="7" spans="1:17" s="1" customFormat="1" ht="12" customHeight="1" x14ac:dyDescent="0.2">
      <c r="A7" s="150" t="s">
        <v>58</v>
      </c>
      <c r="B7" s="1">
        <v>2</v>
      </c>
      <c r="C7" s="145" t="s">
        <v>400</v>
      </c>
      <c r="D7" s="314" t="str">
        <f ca="1">VLOOKUP(C7,Assemblies!E:P,2,0)</f>
        <v>Guard Pivot Assy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'2.2.1.1'!Q13</f>
        <v>37.954999999999998</v>
      </c>
      <c r="Q7" s="153">
        <f>B7*P7</f>
        <v>75.91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401</v>
      </c>
      <c r="D8" s="314" t="str">
        <f ca="1">VLOOKUP(C8,Assemblies!E:P,2,0)</f>
        <v>Door Support Assem</v>
      </c>
      <c r="E8" s="347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2</v>
      </c>
      <c r="P8" s="147">
        <f>'2.2.1.2'!Q10</f>
        <v>69.69</v>
      </c>
      <c r="Q8" s="153">
        <f>B8*P8</f>
        <v>139.38</v>
      </c>
    </row>
    <row r="9" spans="1:17" s="2" customFormat="1" ht="12.75" customHeight="1" x14ac:dyDescent="0.2">
      <c r="A9" s="25"/>
      <c r="B9" s="26"/>
      <c r="C9" s="26"/>
      <c r="D9" s="332"/>
      <c r="E9" s="346"/>
      <c r="F9" s="26"/>
      <c r="G9" s="26"/>
      <c r="H9" s="322"/>
      <c r="I9" s="322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402</v>
      </c>
      <c r="D10" s="314" t="str">
        <f>VLOOKUP(C10,Machined!C:X,2,0)</f>
        <v>Clear Poly Panel long Door 3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ca="1">B10*$L$2</f>
        <v>1</v>
      </c>
      <c r="P10" s="49">
        <f>VLOOKUP(C10,Machined!C:F,3,0)</f>
        <v>65</v>
      </c>
      <c r="Q10" s="50">
        <f>B10*P10</f>
        <v>65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403</v>
      </c>
      <c r="D11" s="314" t="str">
        <f>VLOOKUP(C11,Machined!C:X,2,0)</f>
        <v>Clear PolyPanel Short Door 3</v>
      </c>
      <c r="E11" s="329"/>
      <c r="F11" s="107" t="str">
        <f>VLOOKUP($C11,Machined!C:Z,13,0)</f>
        <v>POLYCARBONITE-CLEAR</v>
      </c>
      <c r="G11" s="44" t="str">
        <f>IF(VLOOKUP($C11,Machined!C:Z,16,0) = 0, " ", VLOOKUP($C11,Machined!C:Z,16,0))</f>
        <v>Port Plastics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POLYCARBONITE-CLEAR</v>
      </c>
      <c r="J11" s="44" t="str">
        <f>IF(VLOOKUP($C11,Machined!C:Z,18,0) = 0, " ", VLOOKUP($C11,Machined!C:Z,18,0))</f>
        <v>(TJ) 8/8/2024</v>
      </c>
      <c r="K11" s="44">
        <f>IF(VLOOKUP($C11,Machined!C:Z,19,0) = 0, " ", VLOOKUP($C11,Machined!C:Z,19,0))</f>
        <v>45530</v>
      </c>
      <c r="L11" s="44">
        <f>IF(VLOOKUP($C11,Machined!C:Z,20,0) = 0, " ", VLOOKUP($C11,Machined!C:Z,20,0))</f>
        <v>45561</v>
      </c>
      <c r="M11" s="44" t="str">
        <f>IF(VLOOKUP($C11,Machined!C:Z,21,0) = 0, " ", VLOOKUP($C11,Machined!C:Z,21,0))</f>
        <v xml:space="preserve"> </v>
      </c>
      <c r="N11" s="129">
        <f>IF(VLOOKUP($C11,Machined!C:Z,22,0) = 0, " ", VLOOKUP($C11,Machined!C:Z,22,0))</f>
        <v>55708</v>
      </c>
      <c r="O11" s="45">
        <f ca="1">B11*$L$2</f>
        <v>1</v>
      </c>
      <c r="P11" s="49">
        <f>VLOOKUP(C11,Machined!C:F,3,0)</f>
        <v>60</v>
      </c>
      <c r="Q11" s="50">
        <f>B11*P11</f>
        <v>60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301</v>
      </c>
      <c r="B13" s="2">
        <v>8</v>
      </c>
      <c r="C13" s="135" t="s">
        <v>149</v>
      </c>
      <c r="D13" s="325" t="str">
        <f>VLOOKUP(C13,Purchased!A:B,2,0)</f>
        <v>BRX GOTO QUICK CONNECTOR N10 0°</v>
      </c>
      <c r="E13" s="326"/>
      <c r="F13" s="108" t="str">
        <f>IF(VLOOKUP($C13,Purchased!A:Z,11,0) = 0, " ", VLOOKUP($C13,Purchased!A:Z,11,0))</f>
        <v>T-SLOTS</v>
      </c>
      <c r="G13" s="108" t="str">
        <f>IF(VLOOKUP($C13,Purchased!A:Z,12,0)=0, " ", VLOOKUP($C13,Purchased!A:Z,12,0))</f>
        <v>Process Tech</v>
      </c>
      <c r="H13" s="327" t="str">
        <f>IF(VLOOKUP($C13,Purchased!A:Z,13,0)=0, " ", VLOOKUP($C13,Purchased!A:Z,13,0))</f>
        <v>500 More on P.O. #55639 Part# 659730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45362</v>
      </c>
      <c r="M13" s="46">
        <f>IF(VLOOKUP(C13,Purchased!A:R,16,0)=0, " ",VLOOKUP(C13,Purchased!A:R,16,0))</f>
        <v>45378</v>
      </c>
      <c r="N13" s="130">
        <f>IF(VLOOKUP(C13,Purchased!A:R,17,0)=0, " ", VLOOKUP(C13,Purchased!A:R,17,0))</f>
        <v>45378</v>
      </c>
      <c r="O13" s="47">
        <f ca="1">B13*$L$2</f>
        <v>8</v>
      </c>
      <c r="P13" s="51">
        <f>VLOOKUP(C13,Purchased!A:D,3,FALSE)</f>
        <v>4.17</v>
      </c>
      <c r="Q13" s="52">
        <f>B13*P13</f>
        <v>33.36</v>
      </c>
    </row>
    <row r="14" spans="1:17" s="2" customFormat="1" ht="12.75" customHeight="1" x14ac:dyDescent="0.25">
      <c r="A14" s="4">
        <v>302</v>
      </c>
      <c r="B14" s="2">
        <v>6</v>
      </c>
      <c r="C14" s="135" t="s">
        <v>341</v>
      </c>
      <c r="D14" s="325" t="str">
        <f>VLOOKUP(C14,Purchased!A:B,2,0)</f>
        <v>BRX GOTO HINGE AL 45/45, 2PK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Nuline has 40X Quantity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ca="1">B14*$L$2</f>
        <v>6</v>
      </c>
      <c r="P14" s="51">
        <f>VLOOKUP(C14,Purchased!A:D,3,FALSE)</f>
        <v>22.16</v>
      </c>
      <c r="Q14" s="52">
        <f>B14*P14</f>
        <v>132.96</v>
      </c>
    </row>
    <row r="15" spans="1:17" s="2" customFormat="1" ht="12.75" customHeight="1" x14ac:dyDescent="0.25">
      <c r="A15" s="4">
        <v>303</v>
      </c>
      <c r="B15" s="2">
        <v>7700</v>
      </c>
      <c r="C15" s="135">
        <v>3842146906</v>
      </c>
      <c r="D15" s="325" t="str">
        <f>VLOOKUP(C15,Purchased!A:B,2,0)</f>
        <v>SLOT PROFILE SCHWARZ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P/N changed to 3842555270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45532</v>
      </c>
      <c r="M15" s="46">
        <f>IF(VLOOKUP(C15,Purchased!A:R,16,0)=0, " ",VLOOKUP(C15,Purchased!A:R,16,0))</f>
        <v>45561</v>
      </c>
      <c r="N15" s="130" t="str">
        <f>IF(VLOOKUP(C15,Purchased!A:R,17,0)=0, " ", VLOOKUP(C15,Purchased!A:R,17,0))</f>
        <v xml:space="preserve"> </v>
      </c>
      <c r="O15" s="47">
        <f ca="1">B15*$L$2</f>
        <v>7700</v>
      </c>
      <c r="P15" s="51">
        <f>VLOOKUP(C15,Purchased!A:D,3,FALSE)</f>
        <v>5</v>
      </c>
      <c r="Q15" s="52">
        <f>(B15/2000)*P15</f>
        <v>19.25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24</v>
      </c>
      <c r="C17" s="122" t="s">
        <v>277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24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701</v>
      </c>
      <c r="B19" s="2">
        <v>2</v>
      </c>
      <c r="C19" s="123" t="s">
        <v>404</v>
      </c>
      <c r="D19" s="325" t="str">
        <f>VLOOKUP(C19,Extrusion!B:C,2,0)</f>
        <v>APPROVED EL 9/3</v>
      </c>
      <c r="E19" s="326"/>
      <c r="F19" s="108" t="str">
        <f ca="1">VLOOKUP(C19,Extrusion!B:N,5,0)</f>
        <v>YES</v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ca="1">B19*$L$2</f>
        <v>2</v>
      </c>
      <c r="P19" s="51">
        <f>VLOOKUP(C19,Extrusion!B:G,4,0)</f>
        <v>0</v>
      </c>
      <c r="Q19" s="52">
        <f>B19*P19</f>
        <v>0</v>
      </c>
    </row>
    <row r="20" spans="1:17" s="2" customFormat="1" ht="12.75" customHeight="1" x14ac:dyDescent="0.25">
      <c r="A20" s="4">
        <v>702</v>
      </c>
      <c r="B20" s="2">
        <v>2</v>
      </c>
      <c r="C20" s="123" t="s">
        <v>405</v>
      </c>
      <c r="D20" s="325" t="str">
        <f>VLOOKUP(C20,Extrusion!B:C,2,0)</f>
        <v>APPROVED EL 9/3</v>
      </c>
      <c r="E20" s="326"/>
      <c r="F20" s="108" t="str">
        <f ca="1">VLOOKUP(C20,Extrusion!B:N,5,0)</f>
        <v>YES</v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ca="1">B20*$L$2</f>
        <v>2</v>
      </c>
      <c r="P20" s="51">
        <f>VLOOKUP(C20,Extrusion!B:G,4,0)</f>
        <v>0</v>
      </c>
      <c r="Q20" s="52">
        <f>B20*P20</f>
        <v>0</v>
      </c>
    </row>
    <row r="21" spans="1:17" s="2" customFormat="1" ht="12.75" customHeight="1" thickBot="1" x14ac:dyDescent="0.3">
      <c r="A21" s="4">
        <v>703</v>
      </c>
      <c r="B21" s="2">
        <v>4</v>
      </c>
      <c r="C21" s="123" t="s">
        <v>406</v>
      </c>
      <c r="D21" s="325" t="str">
        <f>VLOOKUP(C21,Extrusion!B:C,2,0)</f>
        <v>APPROVED EL 9/3</v>
      </c>
      <c r="E21" s="326"/>
      <c r="F21" s="108" t="str">
        <f ca="1">VLOOKUP(C21,Extrusion!B:N,5,0)</f>
        <v>YES</v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4</v>
      </c>
      <c r="P21" s="51">
        <f>VLOOKUP(C21,Extrusion!B:G,4,0)</f>
        <v>0</v>
      </c>
      <c r="Q21" s="52">
        <f>B21*P21</f>
        <v>0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SUM(Q5:Q21)</f>
        <v>991.46</v>
      </c>
    </row>
    <row r="23" spans="1:17" s="2" customFormat="1" ht="12" customHeight="1" x14ac:dyDescent="0.2">
      <c r="D23" s="21"/>
      <c r="E23" s="21"/>
      <c r="J23" s="8"/>
      <c r="K23" s="8"/>
      <c r="L23" s="8"/>
      <c r="M23" s="8"/>
      <c r="N23" s="131"/>
      <c r="O23" s="5"/>
      <c r="P23" s="98"/>
      <c r="Q23" s="105"/>
    </row>
  </sheetData>
  <mergeCells count="34">
    <mergeCell ref="D22:E22"/>
    <mergeCell ref="H22:I22"/>
    <mergeCell ref="D20:E20"/>
    <mergeCell ref="D14:E14"/>
    <mergeCell ref="H14:I14"/>
    <mergeCell ref="D15:E15"/>
    <mergeCell ref="H15:I15"/>
    <mergeCell ref="D16:E16"/>
    <mergeCell ref="H16:I16"/>
    <mergeCell ref="D18:E18"/>
    <mergeCell ref="H18:I18"/>
    <mergeCell ref="D19:E19"/>
    <mergeCell ref="D21:E21"/>
    <mergeCell ref="D12:E12"/>
    <mergeCell ref="H12:I12"/>
    <mergeCell ref="D13:E13"/>
    <mergeCell ref="H13:I13"/>
    <mergeCell ref="D8:E8"/>
    <mergeCell ref="H8:I8"/>
    <mergeCell ref="D9:E9"/>
    <mergeCell ref="H9:I9"/>
    <mergeCell ref="D10:E10"/>
    <mergeCell ref="H10:I10"/>
    <mergeCell ref="D11:E11"/>
    <mergeCell ref="H11:I11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9 M12 M16:M21">
    <cfRule type="cellIs" dxfId="1806" priority="9" stopIfTrue="1" operator="lessThanOrEqual">
      <formula>$L9</formula>
    </cfRule>
    <cfRule type="cellIs" dxfId="1805" priority="10" operator="greaterThan">
      <formula>L9</formula>
    </cfRule>
  </conditionalFormatting>
  <conditionalFormatting sqref="M13:M15">
    <cfRule type="cellIs" dxfId="1804" priority="1" stopIfTrue="1" operator="lessThanOrEqual">
      <formula>$L13</formula>
    </cfRule>
    <cfRule type="cellIs" dxfId="1803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BA8E1F9-CC8C-4787-9F17-52C66A767FDD}">
          <x14:formula1>
            <xm:f>Extrusion!$B:$B</xm:f>
          </x14:formula1>
          <xm:sqref>C19:C21</xm:sqref>
        </x14:dataValidation>
        <x14:dataValidation type="list" allowBlank="1" showInputMessage="1" showErrorMessage="1" xr:uid="{36B15622-8813-4394-BD19-AB50C3EA6B2D}">
          <x14:formula1>
            <xm:f>Bolts!$A:$A</xm:f>
          </x14:formula1>
          <xm:sqref>C17</xm:sqref>
        </x14:dataValidation>
        <x14:dataValidation type="list" allowBlank="1" showInputMessage="1" showErrorMessage="1" xr:uid="{00E2512D-4ED9-43DD-ACAF-54C0958FC810}">
          <x14:formula1>
            <xm:f>Assemblies!$E:$E</xm:f>
          </x14:formula1>
          <xm:sqref>C5:C8</xm:sqref>
        </x14:dataValidation>
        <x14:dataValidation type="list" allowBlank="1" showInputMessage="1" showErrorMessage="1" xr:uid="{78AC6F6F-3498-4946-86B3-20BDF70D5B52}">
          <x14:formula1>
            <xm:f>Machined!$C:$C</xm:f>
          </x14:formula1>
          <xm:sqref>C10:C11</xm:sqref>
        </x14:dataValidation>
        <x14:dataValidation type="list" allowBlank="1" showInputMessage="1" showErrorMessage="1" xr:uid="{83AAF7D0-3A3B-4B76-9B3B-3CB3ACAE38B7}">
          <x14:formula1>
            <xm:f>Purchased!$A:$A</xm:f>
          </x14:formula1>
          <xm:sqref>C13:C15</xm:sqref>
        </x14:dataValidation>
      </x14:dataValidation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8AAB2-88C4-4BF0-B150-A50CB506874B}">
  <sheetPr codeName="Sheet64">
    <tabColor theme="8" tint="0.59999389629810485"/>
  </sheetPr>
  <dimension ref="A1:Q14"/>
  <sheetViews>
    <sheetView zoomScale="115" zoomScaleNormal="115" workbookViewId="0">
      <selection activeCell="D19" sqref="D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0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'2.2.1'!C7</f>
        <v>PG10.2.2.1.1.0.A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'2.2.1'!D7</f>
        <v>Guard Pivot Assy</v>
      </c>
      <c r="D3" s="85" t="s">
        <v>50</v>
      </c>
      <c r="E3" s="86" t="str">
        <f ca="1">MID(CELL("filename",A1),FIND("]",CELL("filename",A1))+1,256)</f>
        <v>2.2.1.1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25">
      <c r="A4" s="90" t="s">
        <v>13</v>
      </c>
      <c r="B4" s="91" t="s">
        <v>14</v>
      </c>
      <c r="C4" s="91" t="s">
        <v>15</v>
      </c>
      <c r="D4" s="338" t="s">
        <v>16</v>
      </c>
      <c r="E4" s="338"/>
      <c r="F4" s="119" t="s">
        <v>17</v>
      </c>
      <c r="G4" s="91" t="s">
        <v>18</v>
      </c>
      <c r="H4" s="340" t="s">
        <v>19</v>
      </c>
      <c r="I4" s="340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77">
        <v>1</v>
      </c>
      <c r="B5" s="20">
        <v>1</v>
      </c>
      <c r="C5" s="121" t="s">
        <v>407</v>
      </c>
      <c r="D5" s="314" t="str">
        <f>VLOOKUP(C5,Machined!C:X,2,0)</f>
        <v>GUARD PIVOT PLATE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 t="str">
        <f>IF(VLOOKUP($C5,Machined!C:Z,18,0) = 0, " ", VLOOKUP($C5,Machined!C:Z,18,0))</f>
        <v>8/08/24 JP</v>
      </c>
      <c r="K5" s="44">
        <f>IF(VLOOKUP($C5,Machined!C:Z,19,0) = 0, " ", VLOOKUP($C5,Machined!C:Z,19,0))</f>
        <v>45513</v>
      </c>
      <c r="L5" s="44">
        <f>IF(VLOOKUP($C5,Machined!C:Z,20,0) = 0, " ", VLOOKUP($C5,Machined!C:Z,20,0))</f>
        <v>45534</v>
      </c>
      <c r="M5" s="44">
        <f>IF(VLOOKUP($C5,Machined!C:Z,21,0) = 0, " ", VLOOKUP($C5,Machined!C:Z,21,0))</f>
        <v>45534</v>
      </c>
      <c r="N5" s="129">
        <f>IF(VLOOKUP($C5,Machined!C:Z,22,0) = 0, " ", VLOOKUP($C5,Machined!C:Z,22,0))</f>
        <v>55675</v>
      </c>
      <c r="O5" s="45">
        <f ca="1">B5*$L$2</f>
        <v>24</v>
      </c>
      <c r="P5" s="49">
        <f>VLOOKUP(C5,Machined!C:F,3,0)</f>
        <v>17.899999999999999</v>
      </c>
      <c r="Q5" s="50">
        <f>B5*P5</f>
        <v>17.899999999999999</v>
      </c>
    </row>
    <row r="6" spans="1:17" s="2" customFormat="1" ht="12.75" customHeight="1" x14ac:dyDescent="0.25">
      <c r="A6" s="77">
        <v>2</v>
      </c>
      <c r="B6" s="20">
        <v>0.5</v>
      </c>
      <c r="C6" s="121" t="s">
        <v>408</v>
      </c>
      <c r="D6" s="314" t="str">
        <f>VLOOKUP(C6,Machined!C:X,2,0)</f>
        <v>GUARD PIVOT FLANGE</v>
      </c>
      <c r="E6" s="329"/>
      <c r="F6" s="107" t="str">
        <f>VLOOKUP($C6,Machined!C:Z,13,0)</f>
        <v>DELRIN 150-BLACK (OR EQUIVILANT)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DELRIN 150-BLACK (OR EQUIVILANT)</v>
      </c>
      <c r="J6" s="44" t="str">
        <f>IF(VLOOKUP($C6,Machined!C:Z,18,0) = 0, " ", VLOOKUP($C6,Machined!C:Z,18,0))</f>
        <v>8/08/24 JP</v>
      </c>
      <c r="K6" s="44">
        <f>IF(VLOOKUP($C6,Machined!C:Z,19,0) = 0, " ", VLOOKUP($C6,Machined!C:Z,19,0))</f>
        <v>45513</v>
      </c>
      <c r="L6" s="44">
        <f>IF(VLOOKUP($C6,Machined!C:Z,20,0) = 0, " ", VLOOKUP($C6,Machined!C:Z,20,0))</f>
        <v>45534</v>
      </c>
      <c r="M6" s="44">
        <f>IF(VLOOKUP($C6,Machined!C:Z,21,0) = 0, " ", VLOOKUP($C6,Machined!C:Z,21,0))</f>
        <v>45534</v>
      </c>
      <c r="N6" s="129">
        <f>IF(VLOOKUP($C6,Machined!C:Z,22,0) = 0, " ", VLOOKUP($C6,Machined!C:Z,22,0))</f>
        <v>55675</v>
      </c>
      <c r="O6" s="45">
        <f ca="1">B6*$L$2</f>
        <v>12</v>
      </c>
      <c r="P6" s="49">
        <f>VLOOKUP(C6,Machined!C:F,3,0)</f>
        <v>9.6</v>
      </c>
      <c r="Q6" s="50">
        <f>B6*P6</f>
        <v>4.8</v>
      </c>
    </row>
    <row r="7" spans="1:17" s="2" customFormat="1" ht="12.75" customHeight="1" x14ac:dyDescent="0.25">
      <c r="A7" s="77">
        <v>3</v>
      </c>
      <c r="B7" s="20">
        <v>0.5</v>
      </c>
      <c r="C7" s="121" t="s">
        <v>409</v>
      </c>
      <c r="D7" s="314" t="str">
        <f>VLOOKUP(C7,Machined!C:X,2,0)</f>
        <v>GUARD PIVOT NO FLANGE</v>
      </c>
      <c r="E7" s="329"/>
      <c r="F7" s="107" t="str">
        <f>VLOOKUP($C7,Machined!C:Z,13,0)</f>
        <v>DELRIN 150-BLACK (OR EQUIVILANT)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DELRIN 150-BLACK (OR EQUIVILANT)</v>
      </c>
      <c r="J7" s="44" t="str">
        <f>IF(VLOOKUP($C7,Machined!C:Z,18,0) = 0, " ", VLOOKUP($C7,Machined!C:Z,18,0))</f>
        <v>8/08/24 JP</v>
      </c>
      <c r="K7" s="44">
        <f>IF(VLOOKUP($C7,Machined!C:Z,19,0) = 0, " ", VLOOKUP($C7,Machined!C:Z,19,0))</f>
        <v>45513</v>
      </c>
      <c r="L7" s="44">
        <f>IF(VLOOKUP($C7,Machined!C:Z,20,0) = 0, " ", VLOOKUP($C7,Machined!C:Z,20,0))</f>
        <v>45534</v>
      </c>
      <c r="M7" s="44">
        <f>IF(VLOOKUP($C7,Machined!C:Z,21,0) = 0, " ", VLOOKUP($C7,Machined!C:Z,21,0))</f>
        <v>45534</v>
      </c>
      <c r="N7" s="129">
        <f>IF(VLOOKUP($C7,Machined!C:Z,22,0) = 0, " ", VLOOKUP($C7,Machined!C:Z,22,0))</f>
        <v>55675</v>
      </c>
      <c r="O7" s="45">
        <f ca="1">B7*$L$2</f>
        <v>12</v>
      </c>
      <c r="P7" s="49">
        <f>VLOOKUP(C7,Machined!C:F,3,0)</f>
        <v>8.15</v>
      </c>
      <c r="Q7" s="50">
        <f>B7*P7</f>
        <v>4.0750000000000002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4">
        <v>301</v>
      </c>
      <c r="B9" s="2">
        <v>2</v>
      </c>
      <c r="C9" s="135">
        <v>3842530283</v>
      </c>
      <c r="D9" s="325" t="str">
        <f>VLOOKUP(C9,Purchased!A:B,2,0)</f>
        <v>BRX GOTO T-NUT 10 M5</v>
      </c>
      <c r="E9" s="326"/>
      <c r="F9" s="108" t="str">
        <f>IF(VLOOKUP($C9,Purchased!A:Z,11,0) = 0, " ", VLOOKUP($C9,Purchased!A:Z,11,0))</f>
        <v>BRX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>100 additional quantity added to 55710</v>
      </c>
      <c r="I9" s="328"/>
      <c r="J9" s="46">
        <f>IF(VLOOKUP($C9,Purchased!A:Z,14,0)=0, " ", VLOOKUP($C9,Purchased!A:Z,14,0))</f>
        <v>45463</v>
      </c>
      <c r="K9" s="46">
        <f>IF(VLOOKUP(C9,Purchased!A:R,14,0)=0, " ", VLOOKUP(C9,Purchased!A:R,14,0))</f>
        <v>45463</v>
      </c>
      <c r="L9" s="46">
        <f>IF(VLOOKUP(C9,Purchased!A:R,15,0)=0, " ", VLOOKUP(C9,Purchased!A:R,15,0))</f>
        <v>45463</v>
      </c>
      <c r="M9" s="46">
        <f>IF(VLOOKUP(C9,Purchased!A:R,16,0)=0, " ",VLOOKUP(C9,Purchased!A:R,16,0))</f>
        <v>45481</v>
      </c>
      <c r="N9" s="130">
        <f>IF(VLOOKUP(C9,Purchased!A:R,17,0)=0, " ", VLOOKUP(C9,Purchased!A:R,17,0))</f>
        <v>45481</v>
      </c>
      <c r="O9" s="47">
        <f ca="1">B9*$L$2</f>
        <v>48</v>
      </c>
      <c r="P9" s="51">
        <f>VLOOKUP(C9,Purchased!A:D,3,FALSE)</f>
        <v>0.56000000000000005</v>
      </c>
      <c r="Q9" s="52">
        <f>B9*P9</f>
        <v>1.1200000000000001</v>
      </c>
    </row>
    <row r="10" spans="1:17" s="2" customFormat="1" ht="12.75" customHeight="1" x14ac:dyDescent="0.25">
      <c r="A10" s="4">
        <v>302</v>
      </c>
      <c r="B10" s="2">
        <v>1</v>
      </c>
      <c r="C10" s="135" t="s">
        <v>410</v>
      </c>
      <c r="D10" s="325" t="str">
        <f>VLOOKUP(C10,Purchased!A:B,2,0)</f>
        <v>52100 Alloy Steel, 5 mm Diameter, 22 mm Long Dowel Pin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 t="str">
        <f>IF(VLOOKUP($C10,Purchased!A:Z,14,0)=0, " ", VLOOKUP($C10,Purchased!A:Z,14,0))</f>
        <v xml:space="preserve"> </v>
      </c>
      <c r="K10" s="46" t="str">
        <f>IF(VLOOKUP(C10,Purchased!A:R,14,0)=0, " ", VLOOKUP(C10,Purchased!A:R,14,0))</f>
        <v xml:space="preserve"> </v>
      </c>
      <c r="L10" s="46" t="str">
        <f>IF(VLOOKUP(C10,Purchased!A:R,15,0)=0, " ", VLOOKUP(C10,Purchased!A:R,15,0))</f>
        <v xml:space="preserve"> 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ca="1">B10*$L$2</f>
        <v>24</v>
      </c>
      <c r="P10" s="51">
        <f>VLOOKUP(C10,Purchased!A:D,3,FALSE)</f>
        <v>10.06</v>
      </c>
      <c r="Q10" s="52">
        <f>B10*P10</f>
        <v>10.06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thickBot="1" x14ac:dyDescent="0.3">
      <c r="A12" s="4">
        <v>501</v>
      </c>
      <c r="B12" s="2">
        <v>2</v>
      </c>
      <c r="C12" s="122" t="s">
        <v>390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48</v>
      </c>
      <c r="P12" s="51">
        <f>VLOOKUP(C12,Bolts!A:B,2,FALSE)</f>
        <v>0</v>
      </c>
      <c r="Q12" s="52">
        <f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37.954999999999998</v>
      </c>
    </row>
    <row r="14" spans="1:17" s="2" customFormat="1" ht="12" customHeight="1" x14ac:dyDescent="0.2">
      <c r="D14" s="21"/>
      <c r="E14" s="21"/>
      <c r="J14" s="8"/>
      <c r="K14" s="8"/>
      <c r="L14" s="8"/>
      <c r="M14" s="8"/>
      <c r="N14" s="131"/>
      <c r="O14" s="5"/>
      <c r="P14" s="98"/>
      <c r="Q14" s="105"/>
    </row>
  </sheetData>
  <mergeCells count="20">
    <mergeCell ref="D6:E6"/>
    <mergeCell ref="H6:I6"/>
    <mergeCell ref="H8:I8"/>
    <mergeCell ref="H7:I7"/>
    <mergeCell ref="D8:E8"/>
    <mergeCell ref="D7:E7"/>
    <mergeCell ref="D12:E12"/>
    <mergeCell ref="D13:E13"/>
    <mergeCell ref="H13:I13"/>
    <mergeCell ref="D9:E9"/>
    <mergeCell ref="H9:I9"/>
    <mergeCell ref="D10:E10"/>
    <mergeCell ref="H10:I10"/>
    <mergeCell ref="D11:E11"/>
    <mergeCell ref="H11:I11"/>
    <mergeCell ref="D5:E5"/>
    <mergeCell ref="H5:I5"/>
    <mergeCell ref="D1:E1"/>
    <mergeCell ref="D4:E4"/>
    <mergeCell ref="H4:I4"/>
  </mergeCells>
  <conditionalFormatting sqref="M8 M11:M12">
    <cfRule type="cellIs" dxfId="1802" priority="5" stopIfTrue="1" operator="lessThanOrEqual">
      <formula>$L8</formula>
    </cfRule>
    <cfRule type="cellIs" dxfId="1801" priority="6" operator="greaterThan">
      <formula>L8</formula>
    </cfRule>
  </conditionalFormatting>
  <conditionalFormatting sqref="M9">
    <cfRule type="cellIs" dxfId="1800" priority="3" stopIfTrue="1" operator="lessThanOrEqual">
      <formula>$L9</formula>
    </cfRule>
    <cfRule type="cellIs" dxfId="1799" priority="4" operator="greaterThan">
      <formula>L9</formula>
    </cfRule>
  </conditionalFormatting>
  <conditionalFormatting sqref="M10">
    <cfRule type="cellIs" dxfId="1798" priority="1" stopIfTrue="1" operator="lessThanOrEqual">
      <formula>$L10</formula>
    </cfRule>
    <cfRule type="cellIs" dxfId="1797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27C82B3-A2E2-4BB5-834B-3DE420F31EE5}">
          <x14:formula1>
            <xm:f>Bolts!$A:$A</xm:f>
          </x14:formula1>
          <xm:sqref>C12</xm:sqref>
        </x14:dataValidation>
        <x14:dataValidation type="list" allowBlank="1" showInputMessage="1" showErrorMessage="1" xr:uid="{05CF5EA9-8EA2-43CB-9687-12996A03A14C}">
          <x14:formula1>
            <xm:f>Machined!$C:$C</xm:f>
          </x14:formula1>
          <xm:sqref>C5:C7</xm:sqref>
        </x14:dataValidation>
        <x14:dataValidation type="list" allowBlank="1" showInputMessage="1" showErrorMessage="1" xr:uid="{76A882B5-BEF8-4E1B-BC1E-3A37C8EF88CC}">
          <x14:formula1>
            <xm:f>Purchased!$A:$A</xm:f>
          </x14:formula1>
          <xm:sqref>C9:C10</xm:sqref>
        </x14:dataValidation>
      </x14:dataValidation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7B5F-1E5D-4555-BDEC-3DED21134960}">
  <sheetPr codeName="Sheet65">
    <tabColor theme="8" tint="0.59999389629810485"/>
  </sheetPr>
  <dimension ref="A1:Q11"/>
  <sheetViews>
    <sheetView zoomScale="115" zoomScaleNormal="115" workbookViewId="0">
      <selection activeCell="C15" sqref="C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0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'2.2.1'!C8</f>
        <v>PG10.2.2.1.2.0.A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36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'2.2.1'!D8</f>
        <v>Door Support Assem</v>
      </c>
      <c r="D3" s="85" t="s">
        <v>50</v>
      </c>
      <c r="E3" s="86" t="str">
        <f ca="1">MID(CELL("filename",A1),FIND("]",CELL("filename",A1))+1,256)</f>
        <v>2.2.1.2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25">
      <c r="A4" s="90" t="s">
        <v>13</v>
      </c>
      <c r="B4" s="91" t="s">
        <v>14</v>
      </c>
      <c r="C4" s="91" t="s">
        <v>15</v>
      </c>
      <c r="D4" s="338" t="s">
        <v>16</v>
      </c>
      <c r="E4" s="338"/>
      <c r="F4" s="119" t="s">
        <v>17</v>
      </c>
      <c r="G4" s="91" t="s">
        <v>18</v>
      </c>
      <c r="H4" s="340" t="s">
        <v>19</v>
      </c>
      <c r="I4" s="340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77">
        <v>1</v>
      </c>
      <c r="B5" s="20">
        <v>1</v>
      </c>
      <c r="C5" s="121" t="s">
        <v>339</v>
      </c>
      <c r="D5" s="314" t="str">
        <f>VLOOKUP(C5,Machined!C:X,2,0)</f>
        <v>Door Support</v>
      </c>
      <c r="E5" s="329"/>
      <c r="F5" s="107" t="str">
        <f>VLOOKUP($C5,Machined!C:Z,13,0)</f>
        <v>DELRIN 150-WHITE (OR EQUIVILANT)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>4x more on PO 55744</v>
      </c>
      <c r="I5" s="321" t="str">
        <f>IF(VLOOKUP($C5,Machined!$C:$Y,13,0) = 0, " ", VLOOKUP($C5,Machined!$C:$Y,13,0))</f>
        <v>DELRIN 150-WHITE (OR EQUIVILANT)</v>
      </c>
      <c r="J5" s="44">
        <f>IF(VLOOKUP($C5,Machined!C:Z,18,0) = 0, " ", VLOOKUP($C5,Machined!C:Z,18,0))</f>
        <v>45448</v>
      </c>
      <c r="K5" s="44">
        <f>IF(VLOOKUP($C5,Machined!C:Z,19,0) = 0, " ", VLOOKUP($C5,Machined!C:Z,19,0))</f>
        <v>45453</v>
      </c>
      <c r="L5" s="44">
        <f>IF(VLOOKUP($C5,Machined!C:Z,20,0) = 0, " ", VLOOKUP($C5,Machined!C:Z,20,0))</f>
        <v>45490</v>
      </c>
      <c r="M5" s="44">
        <f>IF(VLOOKUP($C5,Machined!C:Z,21,0) = 0, " ", VLOOKUP($C5,Machined!C:Z,21,0))</f>
        <v>45490</v>
      </c>
      <c r="N5" s="129">
        <f>IF(VLOOKUP($C5,Machined!C:Z,22,0) = 0, " ", VLOOKUP($C5,Machined!C:Z,22,0))</f>
        <v>55545</v>
      </c>
      <c r="O5" s="45">
        <f ca="1">B5*$L$2</f>
        <v>36</v>
      </c>
      <c r="P5" s="49">
        <f>VLOOKUP(C5,Machined!C:F,3,0)</f>
        <v>67.45</v>
      </c>
      <c r="Q5" s="50">
        <f>B5*P5</f>
        <v>67.45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4</v>
      </c>
      <c r="C7" s="135">
        <v>3842530281</v>
      </c>
      <c r="D7" s="325" t="str">
        <f>VLOOKUP(C7,Purchased!A:B,2,0)</f>
        <v>BRX GOTO T-NUT 10 M4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100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ca="1">B7*$L$2</f>
        <v>144</v>
      </c>
      <c r="P7" s="51">
        <f>VLOOKUP(C7,Purchased!A:D,3,FALSE)</f>
        <v>0.56000000000000005</v>
      </c>
      <c r="Q7" s="52">
        <f>B7*P7</f>
        <v>2.2400000000000002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thickBot="1" x14ac:dyDescent="0.3">
      <c r="A9" s="4">
        <v>501</v>
      </c>
      <c r="B9" s="2">
        <v>4</v>
      </c>
      <c r="C9" s="122" t="s">
        <v>411</v>
      </c>
      <c r="D9" s="325"/>
      <c r="E9" s="326"/>
      <c r="F9" s="108">
        <f>VLOOKUP(C9,Bolts!A:L,5,0)</f>
        <v>0</v>
      </c>
      <c r="G9" s="108">
        <f>VLOOKUP(C9,Bolts!A:L,6,0)</f>
        <v>0</v>
      </c>
      <c r="H9" s="108">
        <f>VLOOKUP(C9,Bolts!A:L,7,0)</f>
        <v>0</v>
      </c>
      <c r="I9" s="109"/>
      <c r="J9" s="46">
        <f>VLOOKUP(C9,Bolts!A:L,8,0)</f>
        <v>0</v>
      </c>
      <c r="K9" s="46">
        <f>VLOOKUP(C9,Bolts!A:L,9,0)</f>
        <v>0</v>
      </c>
      <c r="L9" s="46">
        <f>VLOOKUP(C9,Bolts!A:L,10,0)</f>
        <v>0</v>
      </c>
      <c r="M9" s="46">
        <f>VLOOKUP(C9,Bolts!A:L,11,0)</f>
        <v>0</v>
      </c>
      <c r="N9" s="130">
        <f>VLOOKUP(C9,Bolts!A:L,12,0)</f>
        <v>0</v>
      </c>
      <c r="O9" s="47">
        <f ca="1">B9*$L$2</f>
        <v>144</v>
      </c>
      <c r="P9" s="51">
        <f>VLOOKUP(C9,Bolts!A:B,2,FALSE)</f>
        <v>0</v>
      </c>
      <c r="Q9" s="52">
        <f>B9*P9</f>
        <v>0</v>
      </c>
    </row>
    <row r="10" spans="1:17" s="2" customFormat="1" ht="12" customHeight="1" thickBot="1" x14ac:dyDescent="0.3">
      <c r="A10" s="34"/>
      <c r="B10" s="35"/>
      <c r="C10" s="35"/>
      <c r="D10" s="316"/>
      <c r="E10" s="317"/>
      <c r="F10" s="35"/>
      <c r="G10" s="35"/>
      <c r="H10" s="309"/>
      <c r="I10" s="310"/>
      <c r="J10" s="36"/>
      <c r="K10" s="36"/>
      <c r="L10" s="36"/>
      <c r="M10" s="37"/>
      <c r="N10" s="132"/>
      <c r="O10" s="38"/>
      <c r="P10" s="99" t="s">
        <v>43</v>
      </c>
      <c r="Q10" s="104">
        <f>SUM(Q5:Q9)</f>
        <v>69.69</v>
      </c>
    </row>
    <row r="11" spans="1:17" s="2" customFormat="1" ht="12" customHeight="1" x14ac:dyDescent="0.2">
      <c r="D11" s="21"/>
      <c r="E11" s="21"/>
      <c r="J11" s="8"/>
      <c r="K11" s="8"/>
      <c r="L11" s="8"/>
      <c r="M11" s="8"/>
      <c r="N11" s="131"/>
      <c r="O11" s="5"/>
      <c r="P11" s="98"/>
      <c r="Q11" s="105"/>
    </row>
  </sheetData>
  <mergeCells count="14">
    <mergeCell ref="D6:E6"/>
    <mergeCell ref="H6:I6"/>
    <mergeCell ref="D7:E7"/>
    <mergeCell ref="H7:I7"/>
    <mergeCell ref="D1:E1"/>
    <mergeCell ref="D4:E4"/>
    <mergeCell ref="H4:I4"/>
    <mergeCell ref="D5:E5"/>
    <mergeCell ref="H5:I5"/>
    <mergeCell ref="D8:E8"/>
    <mergeCell ref="H8:I8"/>
    <mergeCell ref="D9:E9"/>
    <mergeCell ref="D10:E10"/>
    <mergeCell ref="H10:I10"/>
  </mergeCells>
  <conditionalFormatting sqref="M6 M8:M9">
    <cfRule type="cellIs" dxfId="1796" priority="3" stopIfTrue="1" operator="lessThanOrEqual">
      <formula>$L6</formula>
    </cfRule>
    <cfRule type="cellIs" dxfId="1795" priority="4" operator="greaterThan">
      <formula>L6</formula>
    </cfRule>
  </conditionalFormatting>
  <conditionalFormatting sqref="M7">
    <cfRule type="cellIs" dxfId="1794" priority="1" stopIfTrue="1" operator="lessThanOrEqual">
      <formula>$L7</formula>
    </cfRule>
    <cfRule type="cellIs" dxfId="1793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FE75BD0-FA4C-4693-85DF-3241A3226A16}">
          <x14:formula1>
            <xm:f>Bolts!$A:$A</xm:f>
          </x14:formula1>
          <xm:sqref>C9</xm:sqref>
        </x14:dataValidation>
        <x14:dataValidation type="list" allowBlank="1" showInputMessage="1" showErrorMessage="1" xr:uid="{5B0B9DE8-D0ED-4DF7-9CA6-A5748502F992}">
          <x14:formula1>
            <xm:f>Machined!$C:$C</xm:f>
          </x14:formula1>
          <xm:sqref>C5</xm:sqref>
        </x14:dataValidation>
        <x14:dataValidation type="list" allowBlank="1" showInputMessage="1" showErrorMessage="1" xr:uid="{2B680570-BE9F-429D-B020-3A7C87439B63}">
          <x14:formula1>
            <xm:f>Purchased!$A:$A</xm:f>
          </x14:formula1>
          <xm:sqref>C7</xm:sqref>
        </x14:dataValidation>
      </x14:dataValidation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1F30-9AD7-48C9-A334-1D07D194C6FF}">
  <sheetPr codeName="Sheet66">
    <tabColor theme="6" tint="0.59999389629810485"/>
  </sheetPr>
  <dimension ref="A1:Q23"/>
  <sheetViews>
    <sheetView zoomScale="115" zoomScaleNormal="115" workbookViewId="0">
      <selection activeCell="D28" sqref="D2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'2.2'!C7</f>
        <v>PG10.2.2.2.0.A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'2.2'!D7</f>
        <v>Door 4</v>
      </c>
      <c r="D3" s="85" t="s">
        <v>50</v>
      </c>
      <c r="E3" s="86" t="str">
        <f ca="1">MID(CELL("filename",A1),FIND("]",CELL("filename",A1))+1,256)</f>
        <v>2.2.2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'1.4.1'!Q16</f>
        <v>441.74</v>
      </c>
      <c r="Q5" s="118">
        <f>B5*P5</f>
        <v>441.74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'1.4.2'!Q9</f>
        <v>11.93</v>
      </c>
      <c r="Q6" s="153">
        <f>B6*P6</f>
        <v>23.86</v>
      </c>
    </row>
    <row r="7" spans="1:17" s="1" customFormat="1" ht="12" customHeight="1" x14ac:dyDescent="0.2">
      <c r="A7" s="150" t="s">
        <v>58</v>
      </c>
      <c r="B7" s="1">
        <v>2</v>
      </c>
      <c r="C7" s="145" t="s">
        <v>400</v>
      </c>
      <c r="D7" s="314" t="str">
        <f ca="1">VLOOKUP(C7,Assemblies!E:P,2,0)</f>
        <v>Guard Pivot Assy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'2.2.1.1'!Q13</f>
        <v>37.954999999999998</v>
      </c>
      <c r="Q7" s="153">
        <f>B7*P7</f>
        <v>75.91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401</v>
      </c>
      <c r="D8" s="314" t="str">
        <f ca="1">VLOOKUP(C8,Assemblies!E:P,2,0)</f>
        <v>Door Support Assem</v>
      </c>
      <c r="E8" s="347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2</v>
      </c>
      <c r="P8" s="147">
        <f>'2.2.1.2'!Q10</f>
        <v>69.69</v>
      </c>
      <c r="Q8" s="153">
        <f>B8*P8</f>
        <v>139.38</v>
      </c>
    </row>
    <row r="9" spans="1:17" s="2" customFormat="1" ht="12.75" customHeight="1" x14ac:dyDescent="0.2">
      <c r="A9" s="25"/>
      <c r="B9" s="26"/>
      <c r="C9" s="26"/>
      <c r="D9" s="332"/>
      <c r="E9" s="346"/>
      <c r="F9" s="26"/>
      <c r="G9" s="26"/>
      <c r="H9" s="322"/>
      <c r="I9" s="322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412</v>
      </c>
      <c r="D10" s="314" t="str">
        <f>VLOOKUP(C10,Machined!C:X,2,0)</f>
        <v>Clear PolyPanel Short Door 4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ca="1">B10*$L$2</f>
        <v>1</v>
      </c>
      <c r="P10" s="49">
        <f>VLOOKUP(C10,Machined!C:F,3,0)</f>
        <v>60</v>
      </c>
      <c r="Q10" s="50">
        <f>B10*P10</f>
        <v>60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413</v>
      </c>
      <c r="D11" s="314" t="str">
        <f>VLOOKUP(C11,Machined!C:X,2,0)</f>
        <v>Clear PolyPanel Long Door 4</v>
      </c>
      <c r="E11" s="329"/>
      <c r="F11" s="107" t="str">
        <f>VLOOKUP($C11,Machined!C:Z,13,0)</f>
        <v>POLYCARBONITE-CLEAR</v>
      </c>
      <c r="G11" s="44" t="str">
        <f>IF(VLOOKUP($C11,Machined!C:Z,16,0) = 0, " ", VLOOKUP($C11,Machined!C:Z,16,0))</f>
        <v>Port Plastics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POLYCARBONITE-CLEAR</v>
      </c>
      <c r="J11" s="44" t="str">
        <f>IF(VLOOKUP($C11,Machined!C:Z,18,0) = 0, " ", VLOOKUP($C11,Machined!C:Z,18,0))</f>
        <v>(TJ) 8/8/2024</v>
      </c>
      <c r="K11" s="44">
        <f>IF(VLOOKUP($C11,Machined!C:Z,19,0) = 0, " ", VLOOKUP($C11,Machined!C:Z,19,0))</f>
        <v>45530</v>
      </c>
      <c r="L11" s="44">
        <f>IF(VLOOKUP($C11,Machined!C:Z,20,0) = 0, " ", VLOOKUP($C11,Machined!C:Z,20,0))</f>
        <v>45561</v>
      </c>
      <c r="M11" s="44" t="str">
        <f>IF(VLOOKUP($C11,Machined!C:Z,21,0) = 0, " ", VLOOKUP($C11,Machined!C:Z,21,0))</f>
        <v xml:space="preserve"> </v>
      </c>
      <c r="N11" s="129">
        <f>IF(VLOOKUP($C11,Machined!C:Z,22,0) = 0, " ", VLOOKUP($C11,Machined!C:Z,22,0))</f>
        <v>55708</v>
      </c>
      <c r="O11" s="45">
        <f ca="1">B11*$L$2</f>
        <v>1</v>
      </c>
      <c r="P11" s="49">
        <f>VLOOKUP(C11,Machined!C:F,3,0)</f>
        <v>65</v>
      </c>
      <c r="Q11" s="50">
        <f>B11*P11</f>
        <v>65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301</v>
      </c>
      <c r="B13" s="2">
        <v>8</v>
      </c>
      <c r="C13" s="135" t="s">
        <v>149</v>
      </c>
      <c r="D13" s="325" t="str">
        <f>VLOOKUP(C13,Purchased!A:B,2,0)</f>
        <v>BRX GOTO QUICK CONNECTOR N10 0°</v>
      </c>
      <c r="E13" s="326"/>
      <c r="F13" s="108" t="str">
        <f>IF(VLOOKUP($C13,Purchased!A:Z,11,0) = 0, " ", VLOOKUP($C13,Purchased!A:Z,11,0))</f>
        <v>T-SLOTS</v>
      </c>
      <c r="G13" s="108" t="str">
        <f>IF(VLOOKUP($C13,Purchased!A:Z,12,0)=0, " ", VLOOKUP($C13,Purchased!A:Z,12,0))</f>
        <v>Process Tech</v>
      </c>
      <c r="H13" s="327" t="str">
        <f>IF(VLOOKUP($C13,Purchased!A:Z,13,0)=0, " ", VLOOKUP($C13,Purchased!A:Z,13,0))</f>
        <v>500 More on P.O. #55639 Part# 659730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45362</v>
      </c>
      <c r="M13" s="46">
        <f>IF(VLOOKUP(C13,Purchased!A:R,16,0)=0, " ",VLOOKUP(C13,Purchased!A:R,16,0))</f>
        <v>45378</v>
      </c>
      <c r="N13" s="130">
        <f>IF(VLOOKUP(C13,Purchased!A:R,17,0)=0, " ", VLOOKUP(C13,Purchased!A:R,17,0))</f>
        <v>45378</v>
      </c>
      <c r="O13" s="47">
        <f ca="1">B13*$L$2</f>
        <v>8</v>
      </c>
      <c r="P13" s="51">
        <f>VLOOKUP(C13,Purchased!A:D,3,FALSE)</f>
        <v>4.17</v>
      </c>
      <c r="Q13" s="52">
        <f>B13*P13</f>
        <v>33.36</v>
      </c>
    </row>
    <row r="14" spans="1:17" s="2" customFormat="1" ht="12.75" customHeight="1" x14ac:dyDescent="0.25">
      <c r="A14" s="4">
        <v>302</v>
      </c>
      <c r="B14" s="2">
        <v>6</v>
      </c>
      <c r="C14" s="135" t="s">
        <v>341</v>
      </c>
      <c r="D14" s="325" t="str">
        <f>VLOOKUP(C14,Purchased!A:B,2,0)</f>
        <v>BRX GOTO HINGE AL 45/45, 2PK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Nuline has 40X Quantity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ca="1">B14*$L$2</f>
        <v>6</v>
      </c>
      <c r="P14" s="51">
        <f>VLOOKUP(C14,Purchased!A:D,3,FALSE)</f>
        <v>22.16</v>
      </c>
      <c r="Q14" s="52">
        <f>B14*P14</f>
        <v>132.96</v>
      </c>
    </row>
    <row r="15" spans="1:17" s="2" customFormat="1" ht="12.75" customHeight="1" x14ac:dyDescent="0.25">
      <c r="A15" s="4">
        <v>303</v>
      </c>
      <c r="B15" s="2">
        <v>7800</v>
      </c>
      <c r="C15" s="135">
        <v>3842146906</v>
      </c>
      <c r="D15" s="325" t="str">
        <f>VLOOKUP(C15,Purchased!A:B,2,0)</f>
        <v>SLOT PROFILE SCHWARZ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P/N changed to 3842555270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45532</v>
      </c>
      <c r="M15" s="46">
        <f>IF(VLOOKUP(C15,Purchased!A:R,16,0)=0, " ",VLOOKUP(C15,Purchased!A:R,16,0))</f>
        <v>45561</v>
      </c>
      <c r="N15" s="130" t="str">
        <f>IF(VLOOKUP(C15,Purchased!A:R,17,0)=0, " ", VLOOKUP(C15,Purchased!A:R,17,0))</f>
        <v xml:space="preserve"> </v>
      </c>
      <c r="O15" s="47">
        <f ca="1">B15*$L$2</f>
        <v>7800</v>
      </c>
      <c r="P15" s="51">
        <f>VLOOKUP(C15,Purchased!A:D,3,FALSE)</f>
        <v>5</v>
      </c>
      <c r="Q15" s="52">
        <f>(B15/2000)*P15</f>
        <v>19.5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24</v>
      </c>
      <c r="C17" s="122" t="s">
        <v>277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24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701</v>
      </c>
      <c r="B19" s="2">
        <v>2</v>
      </c>
      <c r="C19" s="123" t="s">
        <v>404</v>
      </c>
      <c r="D19" s="325" t="str">
        <f>VLOOKUP(C19,Extrusion!B:C,2,0)</f>
        <v>APPROVED EL 9/3</v>
      </c>
      <c r="E19" s="326"/>
      <c r="F19" s="108" t="str">
        <f ca="1">VLOOKUP(C19,Extrusion!B:N,5,0)</f>
        <v>YES</v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ca="1">B19*$L$2</f>
        <v>2</v>
      </c>
      <c r="P19" s="51">
        <f>VLOOKUP(C19,Extrusion!B:G,4,0)</f>
        <v>0</v>
      </c>
      <c r="Q19" s="52">
        <f>B19*P19</f>
        <v>0</v>
      </c>
    </row>
    <row r="20" spans="1:17" s="2" customFormat="1" ht="12.75" customHeight="1" x14ac:dyDescent="0.25">
      <c r="A20" s="4">
        <v>702</v>
      </c>
      <c r="B20" s="2">
        <v>2</v>
      </c>
      <c r="C20" s="123" t="s">
        <v>405</v>
      </c>
      <c r="D20" s="325" t="str">
        <f>VLOOKUP(C20,Extrusion!B:C,2,0)</f>
        <v>APPROVED EL 9/3</v>
      </c>
      <c r="E20" s="326"/>
      <c r="F20" s="108" t="str">
        <f ca="1">VLOOKUP(C20,Extrusion!B:N,5,0)</f>
        <v>YES</v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ca="1">B20*$L$2</f>
        <v>2</v>
      </c>
      <c r="P20" s="51">
        <f>VLOOKUP(C20,Extrusion!B:G,4,0)</f>
        <v>0</v>
      </c>
      <c r="Q20" s="52">
        <f>B20*P20</f>
        <v>0</v>
      </c>
    </row>
    <row r="21" spans="1:17" s="2" customFormat="1" ht="12.75" customHeight="1" thickBot="1" x14ac:dyDescent="0.3">
      <c r="A21" s="4">
        <v>703</v>
      </c>
      <c r="B21" s="2">
        <v>4</v>
      </c>
      <c r="C21" s="123" t="s">
        <v>414</v>
      </c>
      <c r="D21" s="325" t="str">
        <f>VLOOKUP(C21,Extrusion!B:C,2,0)</f>
        <v>APPROVED EL 9/3</v>
      </c>
      <c r="E21" s="326"/>
      <c r="F21" s="108" t="str">
        <f ca="1">VLOOKUP(C21,Extrusion!B:N,5,0)</f>
        <v>YES</v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4</v>
      </c>
      <c r="P21" s="51">
        <f>VLOOKUP(C21,Extrusion!B:G,4,0)</f>
        <v>0</v>
      </c>
      <c r="Q21" s="52">
        <f>B21*P21</f>
        <v>0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SUM(Q5:Q21)</f>
        <v>991.71</v>
      </c>
    </row>
    <row r="23" spans="1:17" s="2" customFormat="1" ht="12" customHeight="1" x14ac:dyDescent="0.2">
      <c r="D23" s="21"/>
      <c r="E23" s="21"/>
      <c r="J23" s="8"/>
      <c r="K23" s="8"/>
      <c r="L23" s="8"/>
      <c r="M23" s="8"/>
      <c r="N23" s="131"/>
      <c r="O23" s="5"/>
      <c r="P23" s="98"/>
      <c r="Q23" s="105"/>
    </row>
  </sheetData>
  <mergeCells count="34">
    <mergeCell ref="D19:E19"/>
    <mergeCell ref="D20:E20"/>
    <mergeCell ref="D21:E21"/>
    <mergeCell ref="D22:E22"/>
    <mergeCell ref="H22:I22"/>
    <mergeCell ref="D11:E11"/>
    <mergeCell ref="H11:I11"/>
    <mergeCell ref="D12:E12"/>
    <mergeCell ref="H12:I12"/>
    <mergeCell ref="D18:E18"/>
    <mergeCell ref="H18:I18"/>
    <mergeCell ref="D13:E13"/>
    <mergeCell ref="H13:I13"/>
    <mergeCell ref="D14:E14"/>
    <mergeCell ref="H14:I14"/>
    <mergeCell ref="D15:E15"/>
    <mergeCell ref="H15:I15"/>
    <mergeCell ref="D16:E16"/>
    <mergeCell ref="H16:I16"/>
    <mergeCell ref="D8:E8"/>
    <mergeCell ref="H8:I8"/>
    <mergeCell ref="D9:E9"/>
    <mergeCell ref="H9:I9"/>
    <mergeCell ref="D10:E10"/>
    <mergeCell ref="H10:I10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9 M12 M16:M21">
    <cfRule type="cellIs" dxfId="1792" priority="9" stopIfTrue="1" operator="lessThanOrEqual">
      <formula>$L9</formula>
    </cfRule>
    <cfRule type="cellIs" dxfId="1791" priority="10" operator="greaterThan">
      <formula>L9</formula>
    </cfRule>
  </conditionalFormatting>
  <conditionalFormatting sqref="M13">
    <cfRule type="cellIs" dxfId="1790" priority="5" stopIfTrue="1" operator="lessThanOrEqual">
      <formula>$L13</formula>
    </cfRule>
    <cfRule type="cellIs" dxfId="1789" priority="6" operator="greaterThan">
      <formula>L13</formula>
    </cfRule>
  </conditionalFormatting>
  <conditionalFormatting sqref="M14">
    <cfRule type="cellIs" dxfId="1788" priority="3" stopIfTrue="1" operator="lessThanOrEqual">
      <formula>$L14</formula>
    </cfRule>
    <cfRule type="cellIs" dxfId="1787" priority="4" operator="greaterThan">
      <formula>L14</formula>
    </cfRule>
  </conditionalFormatting>
  <conditionalFormatting sqref="M15">
    <cfRule type="cellIs" dxfId="1786" priority="1" stopIfTrue="1" operator="lessThanOrEqual">
      <formula>$L15</formula>
    </cfRule>
    <cfRule type="cellIs" dxfId="1785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8B494EC-734A-488A-B0CC-29EAE518AE1E}">
          <x14:formula1>
            <xm:f>Extrusion!$B:$B</xm:f>
          </x14:formula1>
          <xm:sqref>C19:C21</xm:sqref>
        </x14:dataValidation>
        <x14:dataValidation type="list" allowBlank="1" showInputMessage="1" showErrorMessage="1" xr:uid="{DE2D7E98-1C4A-41BE-9D29-708BA469C225}">
          <x14:formula1>
            <xm:f>Bolts!$A:$A</xm:f>
          </x14:formula1>
          <xm:sqref>C17</xm:sqref>
        </x14:dataValidation>
        <x14:dataValidation type="list" allowBlank="1" showInputMessage="1" showErrorMessage="1" xr:uid="{D8549055-B3CC-4E3A-ABA4-0AC8FC9DEA98}">
          <x14:formula1>
            <xm:f>Assemblies!$E:$E</xm:f>
          </x14:formula1>
          <xm:sqref>C5:C8</xm:sqref>
        </x14:dataValidation>
        <x14:dataValidation type="list" allowBlank="1" showInputMessage="1" showErrorMessage="1" xr:uid="{15AE8850-3F82-4F1F-A625-2CA072BB0255}">
          <x14:formula1>
            <xm:f>Machined!$C:$C</xm:f>
          </x14:formula1>
          <xm:sqref>C10:C11</xm:sqref>
        </x14:dataValidation>
        <x14:dataValidation type="list" allowBlank="1" showInputMessage="1" showErrorMessage="1" xr:uid="{7C333648-E798-4BD0-AF73-6ED136A1AE26}">
          <x14:formula1>
            <xm:f>Purchased!$A:$A</xm:f>
          </x14:formula1>
          <xm:sqref>C13:C15</xm:sqref>
        </x14:dataValidation>
      </x14:dataValidation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F7D29-D785-4D02-A387-4A80B46A8E2E}">
  <sheetPr codeName="Sheet67">
    <tabColor theme="6" tint="0.59999389629810485"/>
  </sheetPr>
  <dimension ref="A1:Q20"/>
  <sheetViews>
    <sheetView zoomScale="115" zoomScaleNormal="115" workbookViewId="0">
      <selection activeCell="C23" sqref="C2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'2.2'!C8</f>
        <v>PG10.2.2.3.0.A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'2.2'!D8</f>
        <v>Door 5</v>
      </c>
      <c r="D3" s="85" t="s">
        <v>50</v>
      </c>
      <c r="E3" s="86" t="str">
        <f ca="1">MID(CELL("filename",A1),FIND("]",CELL("filename",A1))+1,256)</f>
        <v>2.2.3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'1.4.1'!Q16</f>
        <v>441.74</v>
      </c>
      <c r="Q5" s="118">
        <f>B5*P5</f>
        <v>441.74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'1.4.2'!Q9</f>
        <v>11.93</v>
      </c>
      <c r="Q6" s="153">
        <f>B6*P6</f>
        <v>23.86</v>
      </c>
    </row>
    <row r="7" spans="1:17" s="1" customFormat="1" ht="12.75" customHeight="1" x14ac:dyDescent="0.2">
      <c r="A7" s="150" t="s">
        <v>58</v>
      </c>
      <c r="B7" s="1">
        <v>2</v>
      </c>
      <c r="C7" s="145" t="s">
        <v>401</v>
      </c>
      <c r="D7" s="314" t="str">
        <f ca="1">VLOOKUP(C7,Assemblies!E:P,2,0)</f>
        <v>Door Support Assem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'2.2.1.2'!Q10</f>
        <v>69.69</v>
      </c>
      <c r="Q7" s="153">
        <f>B7*P7</f>
        <v>139.38</v>
      </c>
    </row>
    <row r="8" spans="1:17" s="2" customFormat="1" ht="12.75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415</v>
      </c>
      <c r="D9" s="314" t="str">
        <f>VLOOKUP(C9,Machined!C:X,2,0)</f>
        <v>Clear PolyPanel Door 5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ca="1">B9*$L$2</f>
        <v>1</v>
      </c>
      <c r="P9" s="49">
        <f>VLOOKUP(C9,Machined!C:F,3,0)</f>
        <v>55</v>
      </c>
      <c r="Q9" s="50">
        <f>B9*P9</f>
        <v>55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 t="s">
        <v>149</v>
      </c>
      <c r="D11" s="325" t="str">
        <f>VLOOKUP(C11,Purchased!A:B,2,0)</f>
        <v>BRX GOTO QUICK CONNECTOR N10 0°</v>
      </c>
      <c r="E11" s="326"/>
      <c r="F11" s="108" t="str">
        <f>IF(VLOOKUP($C11,Purchased!A:Z,11,0) = 0, " ", VLOOKUP($C11,Purchased!A:Z,11,0))</f>
        <v>T-SLOTS</v>
      </c>
      <c r="G11" s="108" t="str">
        <f>IF(VLOOKUP($C11,Purchased!A:Z,12,0)=0, " ", VLOOKUP($C11,Purchased!A:Z,12,0))</f>
        <v>Process Tech</v>
      </c>
      <c r="H11" s="327" t="str">
        <f>IF(VLOOKUP($C11,Purchased!A:Z,13,0)=0, " ", VLOOKUP($C11,Purchased!A:Z,13,0))</f>
        <v>500 More on P.O. #55639 Part# 659730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45362</v>
      </c>
      <c r="M11" s="46">
        <f>IF(VLOOKUP(C11,Purchased!A:R,16,0)=0, " ",VLOOKUP(C11,Purchased!A:R,16,0))</f>
        <v>45378</v>
      </c>
      <c r="N11" s="130">
        <f>IF(VLOOKUP(C11,Purchased!A:R,17,0)=0, " ", VLOOKUP(C11,Purchased!A:R,17,0))</f>
        <v>45378</v>
      </c>
      <c r="O11" s="47">
        <f ca="1">B11*$L$2</f>
        <v>8</v>
      </c>
      <c r="P11" s="51">
        <f>VLOOKUP(C11,Purchased!A:D,3,FALSE)</f>
        <v>4.17</v>
      </c>
      <c r="Q11" s="52">
        <f>B11*P11</f>
        <v>33.36</v>
      </c>
    </row>
    <row r="12" spans="1:17" s="2" customFormat="1" ht="12.75" customHeight="1" x14ac:dyDescent="0.25">
      <c r="A12" s="4">
        <v>302</v>
      </c>
      <c r="B12" s="2">
        <v>3</v>
      </c>
      <c r="C12" s="135" t="s">
        <v>341</v>
      </c>
      <c r="D12" s="325" t="str">
        <f>VLOOKUP(C12,Purchased!A:B,2,0)</f>
        <v>BRX GOTO HINGE AL 45/45, 2PK</v>
      </c>
      <c r="E12" s="326"/>
      <c r="F12" s="108" t="str">
        <f>IF(VLOOKUP($C12,Purchased!A:Z,11,0) = 0, " ", VLOOKUP($C12,Purchased!A:Z,11,0))</f>
        <v>BRX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Nuline has 40X Quantity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45532</v>
      </c>
      <c r="M12" s="46">
        <f>IF(VLOOKUP(C12,Purchased!A:R,16,0)=0, " ",VLOOKUP(C12,Purchased!A:R,16,0))</f>
        <v>45561</v>
      </c>
      <c r="N12" s="130" t="str">
        <f>IF(VLOOKUP(C12,Purchased!A:R,17,0)=0, " ", VLOOKUP(C12,Purchased!A:R,17,0))</f>
        <v xml:space="preserve"> </v>
      </c>
      <c r="O12" s="47">
        <f ca="1">B12*$L$2</f>
        <v>3</v>
      </c>
      <c r="P12" s="51">
        <f>VLOOKUP(C12,Purchased!A:D,3,FALSE)</f>
        <v>22.16</v>
      </c>
      <c r="Q12" s="52">
        <f>B12*P12</f>
        <v>66.48</v>
      </c>
    </row>
    <row r="13" spans="1:17" s="2" customFormat="1" ht="12.75" customHeight="1" x14ac:dyDescent="0.25">
      <c r="A13" s="4">
        <v>303</v>
      </c>
      <c r="B13" s="2">
        <v>3600</v>
      </c>
      <c r="C13" s="135">
        <v>3842146906</v>
      </c>
      <c r="D13" s="325" t="str">
        <f>VLOOKUP(C13,Purchased!A:B,2,0)</f>
        <v>SLOT PROFILE SCHWARZ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P/N changed to 3842555270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ca="1">B13*$L$2</f>
        <v>3600</v>
      </c>
      <c r="P13" s="51">
        <f>VLOOKUP(C13,Purchased!A:D,3,FALSE)</f>
        <v>5</v>
      </c>
      <c r="Q13" s="52">
        <f>(B13/2000)*P13</f>
        <v>9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501</v>
      </c>
      <c r="B15" s="2">
        <v>24</v>
      </c>
      <c r="C15" s="122" t="s">
        <v>277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24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701</v>
      </c>
      <c r="B17" s="2">
        <v>2</v>
      </c>
      <c r="C17" s="123" t="s">
        <v>416</v>
      </c>
      <c r="D17" s="325" t="str">
        <f>VLOOKUP(C17,Extrusion!B:C,2,0)</f>
        <v>APPROVED EL 9/3</v>
      </c>
      <c r="E17" s="326"/>
      <c r="F17" s="108" t="str">
        <f ca="1">VLOOKUP(C17,Extrusion!B:N,5,0)</f>
        <v>YES</v>
      </c>
      <c r="G17" s="108">
        <f>VLOOKUP(C17,Extrusion!B:N,6,0)</f>
        <v>1</v>
      </c>
      <c r="H17" s="108">
        <f>VLOOKUP(C17,Extrusion!B:N,7,0)</f>
        <v>0</v>
      </c>
      <c r="I17" s="109"/>
      <c r="J17" s="46" t="str">
        <f>VLOOKUP(C17,Extrusion!B:N,8,0)</f>
        <v>T-Slots</v>
      </c>
      <c r="K17" s="46">
        <f>VLOOKUP(C17,Extrusion!B:N,9,0)</f>
        <v>0</v>
      </c>
      <c r="L17" s="46">
        <f>VLOOKUP(C17,Extrusion!B:N,10,0)</f>
        <v>0</v>
      </c>
      <c r="M17" s="46">
        <f>VLOOKUP(C17,Extrusion!B:N,11,0)</f>
        <v>0</v>
      </c>
      <c r="N17" s="47">
        <f>VLOOKUP(C17,Extrusion!B:O,12,0)</f>
        <v>0</v>
      </c>
      <c r="O17" s="47">
        <f ca="1">B17*$L$2</f>
        <v>2</v>
      </c>
      <c r="P17" s="51">
        <f>VLOOKUP(C17,Extrusion!B:G,4,0)</f>
        <v>0</v>
      </c>
      <c r="Q17" s="52">
        <f>B17*P17</f>
        <v>0</v>
      </c>
    </row>
    <row r="18" spans="1:17" s="2" customFormat="1" ht="12.75" customHeight="1" thickBot="1" x14ac:dyDescent="0.3">
      <c r="A18" s="4">
        <v>702</v>
      </c>
      <c r="B18" s="2">
        <v>2</v>
      </c>
      <c r="C18" s="123" t="s">
        <v>414</v>
      </c>
      <c r="D18" s="325" t="str">
        <f>VLOOKUP(C18,Extrusion!B:C,2,0)</f>
        <v>APPROVED EL 9/3</v>
      </c>
      <c r="E18" s="326"/>
      <c r="F18" s="108" t="str">
        <f ca="1">VLOOKUP(C18,Extrusion!B:N,5,0)</f>
        <v>YES</v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ca="1">B18*$L$2</f>
        <v>2</v>
      </c>
      <c r="P18" s="51">
        <f>VLOOKUP(C18,Extrusion!B:G,4,0)</f>
        <v>0</v>
      </c>
      <c r="Q18" s="52">
        <f>B18*P18</f>
        <v>0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SUM(Q5:Q18)</f>
        <v>768.82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</sheetData>
  <mergeCells count="29">
    <mergeCell ref="D17:E17"/>
    <mergeCell ref="D18:E18"/>
    <mergeCell ref="D19:E19"/>
    <mergeCell ref="H19:I19"/>
    <mergeCell ref="D10:E10"/>
    <mergeCell ref="H10:I10"/>
    <mergeCell ref="D16:E16"/>
    <mergeCell ref="H16:I16"/>
    <mergeCell ref="D11:E11"/>
    <mergeCell ref="H11:I11"/>
    <mergeCell ref="D12:E12"/>
    <mergeCell ref="H12:I12"/>
    <mergeCell ref="D13:E13"/>
    <mergeCell ref="H13:I13"/>
    <mergeCell ref="D14:E14"/>
    <mergeCell ref="H14:I14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8 M10 M14:M18">
    <cfRule type="cellIs" dxfId="1784" priority="9" stopIfTrue="1" operator="lessThanOrEqual">
      <formula>$L8</formula>
    </cfRule>
    <cfRule type="cellIs" dxfId="1783" priority="10" operator="greaterThan">
      <formula>L8</formula>
    </cfRule>
  </conditionalFormatting>
  <conditionalFormatting sqref="M11">
    <cfRule type="cellIs" dxfId="1782" priority="5" stopIfTrue="1" operator="lessThanOrEqual">
      <formula>$L11</formula>
    </cfRule>
    <cfRule type="cellIs" dxfId="1781" priority="6" operator="greaterThan">
      <formula>L11</formula>
    </cfRule>
  </conditionalFormatting>
  <conditionalFormatting sqref="M12">
    <cfRule type="cellIs" dxfId="1780" priority="3" stopIfTrue="1" operator="lessThanOrEqual">
      <formula>$L12</formula>
    </cfRule>
    <cfRule type="cellIs" dxfId="1779" priority="4" operator="greaterThan">
      <formula>L12</formula>
    </cfRule>
  </conditionalFormatting>
  <conditionalFormatting sqref="M13">
    <cfRule type="cellIs" dxfId="1778" priority="1" stopIfTrue="1" operator="lessThanOrEqual">
      <formula>$L13</formula>
    </cfRule>
    <cfRule type="cellIs" dxfId="1777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436373E-B50F-41A8-AABC-264CF240474E}">
          <x14:formula1>
            <xm:f>Extrusion!$B:$B</xm:f>
          </x14:formula1>
          <xm:sqref>C17:C18</xm:sqref>
        </x14:dataValidation>
        <x14:dataValidation type="list" allowBlank="1" showInputMessage="1" showErrorMessage="1" xr:uid="{353A9965-580C-471F-87E3-DCFC5DC38E79}">
          <x14:formula1>
            <xm:f>Bolts!$A:$A</xm:f>
          </x14:formula1>
          <xm:sqref>C15</xm:sqref>
        </x14:dataValidation>
        <x14:dataValidation type="list" allowBlank="1" showInputMessage="1" showErrorMessage="1" xr:uid="{8CFE9024-0D15-4F28-9E8F-7D2CFFD42553}">
          <x14:formula1>
            <xm:f>Assemblies!$E:$E</xm:f>
          </x14:formula1>
          <xm:sqref>C5:C7</xm:sqref>
        </x14:dataValidation>
        <x14:dataValidation type="list" allowBlank="1" showInputMessage="1" showErrorMessage="1" xr:uid="{8CAAA33F-2D0E-431E-BAED-3D341D2D9613}">
          <x14:formula1>
            <xm:f>Machined!$C:$C</xm:f>
          </x14:formula1>
          <xm:sqref>C9</xm:sqref>
        </x14:dataValidation>
        <x14:dataValidation type="list" allowBlank="1" showInputMessage="1" showErrorMessage="1" xr:uid="{5A313C11-0BC9-49BD-8013-591B1C13C307}">
          <x14:formula1>
            <xm:f>Purchased!$A:$A</xm:f>
          </x14:formula1>
          <xm:sqref>C11:C13</xm:sqref>
        </x14:dataValidation>
      </x14:dataValidation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459D-312F-4F7B-8DFE-55ADE99CFAAF}">
  <sheetPr codeName="Sheet68">
    <tabColor theme="6" tint="0.59999389629810485"/>
  </sheetPr>
  <dimension ref="A1:Q20"/>
  <sheetViews>
    <sheetView zoomScale="115" zoomScaleNormal="115" workbookViewId="0">
      <selection activeCell="C22" sqref="C2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'2.2'!C11</f>
        <v>PG10.2.2.6.0.A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'2.2'!D11</f>
        <v>Twin Wall Top Guard 3</v>
      </c>
      <c r="D3" s="85" t="s">
        <v>50</v>
      </c>
      <c r="E3" s="86" t="str">
        <f ca="1">MID(CELL("filename",A1),FIND("]",CELL("filename",A1))+1,256)</f>
        <v>2.2.4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'1.4.1'!Q16</f>
        <v>441.74</v>
      </c>
      <c r="Q5" s="118">
        <f>B5*P5</f>
        <v>441.74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'1.4.2'!Q9</f>
        <v>11.93</v>
      </c>
      <c r="Q6" s="153">
        <f>B6*P6</f>
        <v>23.86</v>
      </c>
    </row>
    <row r="7" spans="1:17" s="1" customFormat="1" ht="12.75" customHeight="1" x14ac:dyDescent="0.2">
      <c r="A7" s="150" t="s">
        <v>58</v>
      </c>
      <c r="B7" s="1">
        <v>2</v>
      </c>
      <c r="C7" s="145" t="s">
        <v>401</v>
      </c>
      <c r="D7" s="314" t="str">
        <f ca="1">VLOOKUP(C7,Assemblies!E:P,2,0)</f>
        <v>Door Support Assem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'2.2.1.2'!Q10</f>
        <v>69.69</v>
      </c>
      <c r="Q7" s="153">
        <f>B7*P7</f>
        <v>139.38</v>
      </c>
    </row>
    <row r="8" spans="1:17" s="2" customFormat="1" ht="12.75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417</v>
      </c>
      <c r="D9" s="314" t="str">
        <f>VLOOKUP(C9,Machined!C:X,2,0)</f>
        <v>Clear PolyPanel Door 6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ca="1">B9*$L$2</f>
        <v>1</v>
      </c>
      <c r="P9" s="49">
        <f>VLOOKUP(C9,Machined!C:F,3,0)</f>
        <v>55</v>
      </c>
      <c r="Q9" s="50">
        <f>B9*P9</f>
        <v>55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 t="s">
        <v>149</v>
      </c>
      <c r="D11" s="325" t="str">
        <f>VLOOKUP(C11,Purchased!A:B,2,0)</f>
        <v>BRX GOTO QUICK CONNECTOR N10 0°</v>
      </c>
      <c r="E11" s="326"/>
      <c r="F11" s="108" t="str">
        <f>IF(VLOOKUP($C11,Purchased!A:Z,11,0) = 0, " ", VLOOKUP($C11,Purchased!A:Z,11,0))</f>
        <v>T-SLOTS</v>
      </c>
      <c r="G11" s="108" t="str">
        <f>IF(VLOOKUP($C11,Purchased!A:Z,12,0)=0, " ", VLOOKUP($C11,Purchased!A:Z,12,0))</f>
        <v>Process Tech</v>
      </c>
      <c r="H11" s="327" t="str">
        <f>IF(VLOOKUP($C11,Purchased!A:Z,13,0)=0, " ", VLOOKUP($C11,Purchased!A:Z,13,0))</f>
        <v>500 More on P.O. #55639 Part# 659730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45362</v>
      </c>
      <c r="M11" s="46">
        <f>IF(VLOOKUP(C11,Purchased!A:R,16,0)=0, " ",VLOOKUP(C11,Purchased!A:R,16,0))</f>
        <v>45378</v>
      </c>
      <c r="N11" s="130">
        <f>IF(VLOOKUP(C11,Purchased!A:R,17,0)=0, " ", VLOOKUP(C11,Purchased!A:R,17,0))</f>
        <v>45378</v>
      </c>
      <c r="O11" s="47">
        <f ca="1">B11*$L$2</f>
        <v>8</v>
      </c>
      <c r="P11" s="51">
        <f>VLOOKUP(C11,Purchased!A:D,3,FALSE)</f>
        <v>4.17</v>
      </c>
      <c r="Q11" s="52">
        <f>B11*P11</f>
        <v>33.36</v>
      </c>
    </row>
    <row r="12" spans="1:17" s="2" customFormat="1" ht="12.75" customHeight="1" x14ac:dyDescent="0.25">
      <c r="A12" s="4">
        <v>302</v>
      </c>
      <c r="B12" s="2">
        <v>3</v>
      </c>
      <c r="C12" s="135" t="s">
        <v>341</v>
      </c>
      <c r="D12" s="325" t="str">
        <f>VLOOKUP(C12,Purchased!A:B,2,0)</f>
        <v>BRX GOTO HINGE AL 45/45, 2PK</v>
      </c>
      <c r="E12" s="326"/>
      <c r="F12" s="108" t="str">
        <f>IF(VLOOKUP($C12,Purchased!A:Z,11,0) = 0, " ", VLOOKUP($C12,Purchased!A:Z,11,0))</f>
        <v>BRX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Nuline has 40X Quantity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45532</v>
      </c>
      <c r="M12" s="46">
        <f>IF(VLOOKUP(C12,Purchased!A:R,16,0)=0, " ",VLOOKUP(C12,Purchased!A:R,16,0))</f>
        <v>45561</v>
      </c>
      <c r="N12" s="130" t="str">
        <f>IF(VLOOKUP(C12,Purchased!A:R,17,0)=0, " ", VLOOKUP(C12,Purchased!A:R,17,0))</f>
        <v xml:space="preserve"> </v>
      </c>
      <c r="O12" s="47">
        <f ca="1">B12*$L$2</f>
        <v>3</v>
      </c>
      <c r="P12" s="51">
        <f>VLOOKUP(C12,Purchased!A:D,3,FALSE)</f>
        <v>22.16</v>
      </c>
      <c r="Q12" s="52">
        <f>B12*P12</f>
        <v>66.48</v>
      </c>
    </row>
    <row r="13" spans="1:17" s="2" customFormat="1" ht="12.75" customHeight="1" x14ac:dyDescent="0.25">
      <c r="A13" s="4">
        <v>303</v>
      </c>
      <c r="B13" s="2">
        <v>3700</v>
      </c>
      <c r="C13" s="135">
        <v>3842146906</v>
      </c>
      <c r="D13" s="325" t="str">
        <f>VLOOKUP(C13,Purchased!A:B,2,0)</f>
        <v>SLOT PROFILE SCHWARZ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P/N changed to 3842555270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ca="1">B13*$L$2</f>
        <v>3700</v>
      </c>
      <c r="P13" s="51">
        <f>VLOOKUP(C13,Purchased!A:D,3,FALSE)</f>
        <v>5</v>
      </c>
      <c r="Q13" s="52">
        <f>(B13/2000)*P13</f>
        <v>9.25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501</v>
      </c>
      <c r="B15" s="2">
        <v>24</v>
      </c>
      <c r="C15" s="122" t="s">
        <v>277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24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701</v>
      </c>
      <c r="B17" s="2">
        <v>2</v>
      </c>
      <c r="C17" s="123" t="s">
        <v>416</v>
      </c>
      <c r="D17" s="325" t="str">
        <f>VLOOKUP(C17,Extrusion!B:C,2,0)</f>
        <v>APPROVED EL 9/3</v>
      </c>
      <c r="E17" s="326"/>
      <c r="F17" s="108" t="str">
        <f ca="1">VLOOKUP(C17,Extrusion!B:N,5,0)</f>
        <v>YES</v>
      </c>
      <c r="G17" s="108">
        <f>VLOOKUP(C17,Extrusion!B:N,6,0)</f>
        <v>1</v>
      </c>
      <c r="H17" s="108">
        <f>VLOOKUP(C17,Extrusion!B:N,7,0)</f>
        <v>0</v>
      </c>
      <c r="I17" s="109"/>
      <c r="J17" s="46" t="str">
        <f>VLOOKUP(C17,Extrusion!B:N,8,0)</f>
        <v>T-Slots</v>
      </c>
      <c r="K17" s="46">
        <f>VLOOKUP(C17,Extrusion!B:N,9,0)</f>
        <v>0</v>
      </c>
      <c r="L17" s="46">
        <f>VLOOKUP(C17,Extrusion!B:N,10,0)</f>
        <v>0</v>
      </c>
      <c r="M17" s="46">
        <f>VLOOKUP(C17,Extrusion!B:N,11,0)</f>
        <v>0</v>
      </c>
      <c r="N17" s="47">
        <f>VLOOKUP(C17,Extrusion!B:O,12,0)</f>
        <v>0</v>
      </c>
      <c r="O17" s="47">
        <f ca="1">B17*$L$2</f>
        <v>2</v>
      </c>
      <c r="P17" s="51">
        <f>VLOOKUP(C17,Extrusion!B:G,4,0)</f>
        <v>0</v>
      </c>
      <c r="Q17" s="52">
        <f>B17*P17</f>
        <v>0</v>
      </c>
    </row>
    <row r="18" spans="1:17" s="2" customFormat="1" ht="12.75" customHeight="1" thickBot="1" x14ac:dyDescent="0.3">
      <c r="A18" s="4">
        <v>702</v>
      </c>
      <c r="B18" s="2">
        <v>2</v>
      </c>
      <c r="C18" s="123" t="s">
        <v>414</v>
      </c>
      <c r="D18" s="325" t="str">
        <f>VLOOKUP(C18,Extrusion!B:C,2,0)</f>
        <v>APPROVED EL 9/3</v>
      </c>
      <c r="E18" s="326"/>
      <c r="F18" s="108" t="str">
        <f ca="1">VLOOKUP(C18,Extrusion!B:N,5,0)</f>
        <v>YES</v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ca="1">B18*$L$2</f>
        <v>2</v>
      </c>
      <c r="P18" s="51">
        <f>VLOOKUP(C18,Extrusion!B:G,4,0)</f>
        <v>0</v>
      </c>
      <c r="Q18" s="52">
        <f>B18*P18</f>
        <v>0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SUM(Q5:Q18)</f>
        <v>769.07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</sheetData>
  <mergeCells count="29">
    <mergeCell ref="D17:E17"/>
    <mergeCell ref="D18:E18"/>
    <mergeCell ref="D19:E19"/>
    <mergeCell ref="H19:I19"/>
    <mergeCell ref="D10:E10"/>
    <mergeCell ref="H10:I10"/>
    <mergeCell ref="D16:E16"/>
    <mergeCell ref="H16:I16"/>
    <mergeCell ref="D11:E11"/>
    <mergeCell ref="H11:I11"/>
    <mergeCell ref="D12:E12"/>
    <mergeCell ref="H12:I12"/>
    <mergeCell ref="D13:E13"/>
    <mergeCell ref="H13:I13"/>
    <mergeCell ref="D14:E14"/>
    <mergeCell ref="H14:I14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8 M10 M14:M18">
    <cfRule type="cellIs" dxfId="1776" priority="9" stopIfTrue="1" operator="lessThanOrEqual">
      <formula>$L8</formula>
    </cfRule>
    <cfRule type="cellIs" dxfId="1775" priority="10" operator="greaterThan">
      <formula>L8</formula>
    </cfRule>
  </conditionalFormatting>
  <conditionalFormatting sqref="M11:M12">
    <cfRule type="cellIs" dxfId="1774" priority="3" stopIfTrue="1" operator="lessThanOrEqual">
      <formula>$L11</formula>
    </cfRule>
    <cfRule type="cellIs" dxfId="1773" priority="4" operator="greaterThan">
      <formula>L11</formula>
    </cfRule>
  </conditionalFormatting>
  <conditionalFormatting sqref="M13">
    <cfRule type="cellIs" dxfId="1772" priority="1" stopIfTrue="1" operator="lessThanOrEqual">
      <formula>$L13</formula>
    </cfRule>
    <cfRule type="cellIs" dxfId="1771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F53F11-FB1C-4695-B8C2-00DEE53EBD75}">
          <x14:formula1>
            <xm:f>Extrusion!$B:$B</xm:f>
          </x14:formula1>
          <xm:sqref>C17:C18</xm:sqref>
        </x14:dataValidation>
        <x14:dataValidation type="list" allowBlank="1" showInputMessage="1" showErrorMessage="1" xr:uid="{0D21EAC7-B5AF-409F-90C8-862505C834BF}">
          <x14:formula1>
            <xm:f>Bolts!$A:$A</xm:f>
          </x14:formula1>
          <xm:sqref>C15</xm:sqref>
        </x14:dataValidation>
        <x14:dataValidation type="list" allowBlank="1" showInputMessage="1" showErrorMessage="1" xr:uid="{470A899D-6E35-4861-91A9-448D807933D0}">
          <x14:formula1>
            <xm:f>Assemblies!$E:$E</xm:f>
          </x14:formula1>
          <xm:sqref>C5:C7</xm:sqref>
        </x14:dataValidation>
        <x14:dataValidation type="list" allowBlank="1" showInputMessage="1" showErrorMessage="1" xr:uid="{DA48B481-1980-4F86-AC0B-D37DD02DF4B9}">
          <x14:formula1>
            <xm:f>Machined!$C:$C</xm:f>
          </x14:formula1>
          <xm:sqref>C9</xm:sqref>
        </x14:dataValidation>
        <x14:dataValidation type="list" allowBlank="1" showInputMessage="1" showErrorMessage="1" xr:uid="{70AF028C-A289-4846-AFD8-BBD6631C7352}">
          <x14:formula1>
            <xm:f>Purchased!$A:$A</xm:f>
          </x14:formula1>
          <xm:sqref>C11:C13</xm:sqref>
        </x14:dataValidation>
      </x14:dataValidation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108B-8A06-4773-809F-30B23691137B}">
  <sheetPr codeName="Sheet32">
    <tabColor theme="6" tint="0.59999389629810485"/>
  </sheetPr>
  <dimension ref="A1:Q9"/>
  <sheetViews>
    <sheetView zoomScale="115" zoomScaleNormal="115" workbookViewId="0">
      <selection activeCell="C14" sqref="C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'2.2'!C10</f>
        <v>PG10.2.2.5.0.A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'2.2'!D10</f>
        <v>Twin Wall Top Guard 2</v>
      </c>
      <c r="D3" s="85" t="s">
        <v>50</v>
      </c>
      <c r="E3" s="86" t="str">
        <f ca="1">MID(CELL("filename",A1),FIND("]",CELL("filename",A1))+1,256)</f>
        <v>2.2.5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24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24</v>
      </c>
      <c r="P5" s="117">
        <f>'1.1.11.1'!Q9</f>
        <v>7.1199999999999992</v>
      </c>
      <c r="Q5" s="152">
        <f>B5*P5</f>
        <v>170.88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2</v>
      </c>
      <c r="C7" s="121" t="s">
        <v>418</v>
      </c>
      <c r="D7" s="314" t="str">
        <f>VLOOKUP(C7,Machined!C:X,2,0)</f>
        <v>Twin Wall Top Guard 2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ca="1">B7*$L$2</f>
        <v>2</v>
      </c>
      <c r="P7" s="49">
        <f>VLOOKUP(C7,Machined!C:F,3,0)</f>
        <v>84.9</v>
      </c>
      <c r="Q7" s="50">
        <f>B7*P7</f>
        <v>169.8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340.68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770" priority="1" stopIfTrue="1" operator="lessThanOrEqual">
      <formula>$L6</formula>
    </cfRule>
    <cfRule type="cellIs" dxfId="1769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726BB9-2EAB-4F86-AF1B-76BCDC907626}">
          <x14:formula1>
            <xm:f>Assemblies!$E:$E</xm:f>
          </x14:formula1>
          <xm:sqref>C5</xm:sqref>
        </x14:dataValidation>
        <x14:dataValidation type="list" allowBlank="1" showInputMessage="1" showErrorMessage="1" xr:uid="{41EC9AEB-4A89-4E80-8E49-67DF0DA006EF}">
          <x14:formula1>
            <xm:f>Machined!$C:$C</xm:f>
          </x14:formula1>
          <xm:sqref>C7</xm:sqref>
        </x14:dataValidation>
      </x14:dataValidation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A8581-D8B7-441E-BC59-EEDCDE9599B7}">
  <sheetPr codeName="Sheet210">
    <tabColor theme="6" tint="0.59999389629810485"/>
  </sheetPr>
  <dimension ref="A1:Q9"/>
  <sheetViews>
    <sheetView zoomScale="114" zoomScaleNormal="115" workbookViewId="0">
      <selection activeCell="E21" sqref="E2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'2.2'!C11</f>
        <v>PG10.2.2.6.0.A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'2.2'!D11</f>
        <v>Twin Wall Top Guard 3</v>
      </c>
      <c r="D3" s="85" t="s">
        <v>50</v>
      </c>
      <c r="E3" s="86" t="str">
        <f ca="1">MID(CELL("filename",A1),FIND("]",CELL("filename",A1))+1,256)</f>
        <v>2.2.6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12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12</v>
      </c>
      <c r="P5" s="117">
        <f>'1.1.11.1'!Q9</f>
        <v>7.1199999999999992</v>
      </c>
      <c r="Q5" s="152">
        <f>B5*P5</f>
        <v>85.44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419</v>
      </c>
      <c r="D7" s="314" t="str">
        <f>VLOOKUP(C7,Machined!C:X,2,0)</f>
        <v>Twin Wall Top Guard 3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ca="1">B7*$L$2</f>
        <v>1</v>
      </c>
      <c r="P7" s="49">
        <f>VLOOKUP(C7,Machined!C:F,3,0)</f>
        <v>84.9</v>
      </c>
      <c r="Q7" s="50">
        <f>B7*P7</f>
        <v>84.9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170.34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768" priority="1" stopIfTrue="1" operator="lessThanOrEqual">
      <formula>$L6</formula>
    </cfRule>
    <cfRule type="cellIs" dxfId="176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7D247F2-9F35-4E21-BCE4-C60E690B04CA}">
          <x14:formula1>
            <xm:f>Assemblies!$E:$E</xm:f>
          </x14:formula1>
          <xm:sqref>C5</xm:sqref>
        </x14:dataValidation>
        <x14:dataValidation type="list" allowBlank="1" showInputMessage="1" showErrorMessage="1" xr:uid="{E2AE3CFD-DA8B-4636-BB61-E0D6A199DB16}">
          <x14:formula1>
            <xm:f>Machined!$C:$C</xm:f>
          </x14:formula1>
          <xm:sqref>C7</xm:sqref>
        </x14:dataValidation>
      </x14:dataValidation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81E94-62C6-407F-BEEA-9F32EF5A232C}">
  <sheetPr codeName="Sheet69">
    <tabColor theme="9" tint="0.59999389629810485"/>
    <pageSetUpPr fitToPage="1"/>
  </sheetPr>
  <dimension ref="A1:Q64"/>
  <sheetViews>
    <sheetView zoomScale="115" zoomScaleNormal="115" workbookViewId="0">
      <selection activeCell="C19" sqref="C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'2'!C7</f>
        <v>PG10.2.3.0.A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3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'2'!D7</f>
        <v>Segmented Nip Assy</v>
      </c>
      <c r="D3" s="85" t="s">
        <v>50</v>
      </c>
      <c r="E3" s="86" t="str">
        <f ca="1">MID(CELL("filename",A1),FIND("]",CELL("filename",A1))+1,256)</f>
        <v>2.3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20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278</v>
      </c>
      <c r="D5" s="336" t="str">
        <f ca="1">VLOOKUP(C5,Assemblies!E:P,2,0)</f>
        <v>Solid Driven Nip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3" ca="1" si="0">B5*$L$2</f>
        <v>3</v>
      </c>
      <c r="P5" s="117">
        <f>'1.3.1'!Q11</f>
        <v>2204.614</v>
      </c>
      <c r="Q5" s="118">
        <f t="shared" ref="Q5:Q13" si="1">B5*P5</f>
        <v>2204.614</v>
      </c>
    </row>
    <row r="6" spans="1:17" s="1" customFormat="1" ht="12.75" customHeight="1" x14ac:dyDescent="0.2">
      <c r="A6" s="76" t="s">
        <v>56</v>
      </c>
      <c r="B6" s="1">
        <v>1</v>
      </c>
      <c r="C6" s="145" t="s">
        <v>279</v>
      </c>
      <c r="D6" s="314" t="str">
        <f ca="1">VLOOKUP(C6,Assemblies!E:P,2,0)</f>
        <v>Servo Assembly</v>
      </c>
      <c r="E6" s="315"/>
      <c r="F6" s="32"/>
      <c r="G6" s="32"/>
      <c r="H6" s="32"/>
      <c r="I6" s="32"/>
      <c r="J6" s="28"/>
      <c r="K6" s="28"/>
      <c r="L6" s="28"/>
      <c r="M6" s="28"/>
      <c r="N6" s="33"/>
      <c r="O6" s="146">
        <f t="shared" ca="1" si="0"/>
        <v>3</v>
      </c>
      <c r="P6" s="147">
        <f>'1.3.2'!Q16</f>
        <v>3922.4009000000001</v>
      </c>
      <c r="Q6" s="103">
        <f t="shared" si="1"/>
        <v>3922.4009000000001</v>
      </c>
    </row>
    <row r="7" spans="1:17" s="1" customFormat="1" ht="12.75" customHeight="1" x14ac:dyDescent="0.2">
      <c r="A7" s="76" t="s">
        <v>58</v>
      </c>
      <c r="B7" s="1">
        <v>1</v>
      </c>
      <c r="C7" s="145" t="s">
        <v>420</v>
      </c>
      <c r="D7" s="314" t="str">
        <f ca="1">VLOOKUP(C7,Assemblies!E:P,2,0)</f>
        <v>Manifold 3,4,5 Segmented Nips</v>
      </c>
      <c r="E7" s="315"/>
      <c r="F7" s="32"/>
      <c r="G7" s="32"/>
      <c r="H7" s="32"/>
      <c r="I7" s="32"/>
      <c r="J7" s="28"/>
      <c r="K7" s="28"/>
      <c r="L7" s="28"/>
      <c r="M7" s="28"/>
      <c r="N7" s="33"/>
      <c r="O7" s="146">
        <f t="shared" ca="1" si="0"/>
        <v>3</v>
      </c>
      <c r="P7" s="147">
        <f>'2.3.1'!Q8</f>
        <v>536.61500000000001</v>
      </c>
      <c r="Q7" s="103">
        <f t="shared" si="1"/>
        <v>536.61500000000001</v>
      </c>
    </row>
    <row r="8" spans="1:17" s="1" customFormat="1" ht="12.75" customHeight="1" x14ac:dyDescent="0.2">
      <c r="A8" s="76" t="s">
        <v>60</v>
      </c>
      <c r="B8" s="1">
        <v>1</v>
      </c>
      <c r="C8" s="145" t="s">
        <v>421</v>
      </c>
      <c r="D8" s="314" t="str">
        <f ca="1">VLOOKUP(C8,Assemblies!E:P,2,0)</f>
        <v>Segmented Idler Nip Assy</v>
      </c>
      <c r="E8" s="315"/>
      <c r="F8" s="32"/>
      <c r="G8" s="32"/>
      <c r="H8" s="32"/>
      <c r="I8" s="32"/>
      <c r="J8" s="28"/>
      <c r="K8" s="28"/>
      <c r="L8" s="28"/>
      <c r="M8" s="28"/>
      <c r="N8" s="33"/>
      <c r="O8" s="146">
        <f t="shared" ca="1" si="0"/>
        <v>3</v>
      </c>
      <c r="P8" s="147">
        <f>'2.3.4'!Q12</f>
        <v>8056</v>
      </c>
      <c r="Q8" s="103">
        <f t="shared" si="1"/>
        <v>8056</v>
      </c>
    </row>
    <row r="9" spans="1:17" s="1" customFormat="1" ht="12.75" customHeight="1" x14ac:dyDescent="0.2">
      <c r="A9" s="76" t="s">
        <v>62</v>
      </c>
      <c r="B9" s="1">
        <v>1</v>
      </c>
      <c r="C9" s="145" t="s">
        <v>281</v>
      </c>
      <c r="D9" s="314" t="str">
        <f ca="1">VLOOKUP(C9,Assemblies!E:P,2,0)</f>
        <v>Nip Speed Controller Assy</v>
      </c>
      <c r="E9" s="315"/>
      <c r="F9" s="32"/>
      <c r="G9" s="32"/>
      <c r="H9" s="32"/>
      <c r="I9" s="32"/>
      <c r="J9" s="28"/>
      <c r="K9" s="28"/>
      <c r="L9" s="28"/>
      <c r="M9" s="28"/>
      <c r="N9" s="33"/>
      <c r="O9" s="146">
        <f t="shared" ca="1" si="0"/>
        <v>3</v>
      </c>
      <c r="P9" s="147">
        <f>'1.3.5'!Q14</f>
        <v>99.86</v>
      </c>
      <c r="Q9" s="103">
        <f t="shared" si="1"/>
        <v>99.86</v>
      </c>
    </row>
    <row r="10" spans="1:17" s="1" customFormat="1" ht="12.75" customHeight="1" x14ac:dyDescent="0.2">
      <c r="A10" s="76" t="s">
        <v>64</v>
      </c>
      <c r="B10" s="1">
        <v>1</v>
      </c>
      <c r="C10" s="145" t="s">
        <v>282</v>
      </c>
      <c r="D10" s="314" t="str">
        <f ca="1">VLOOKUP(C10,Assemblies!E:P,2,0)</f>
        <v>Nip Mech Regulator Assy</v>
      </c>
      <c r="E10" s="315"/>
      <c r="F10" s="32"/>
      <c r="G10" s="32"/>
      <c r="H10" s="32"/>
      <c r="I10" s="32"/>
      <c r="J10" s="28"/>
      <c r="K10" s="28"/>
      <c r="L10" s="28"/>
      <c r="M10" s="28"/>
      <c r="N10" s="33"/>
      <c r="O10" s="146">
        <f t="shared" ca="1" si="0"/>
        <v>3</v>
      </c>
      <c r="P10" s="147">
        <f>'1.3.6'!Q10</f>
        <v>24.909999999999997</v>
      </c>
      <c r="Q10" s="103">
        <f t="shared" si="1"/>
        <v>24.909999999999997</v>
      </c>
    </row>
    <row r="11" spans="1:17" s="1" customFormat="1" ht="12.75" customHeight="1" x14ac:dyDescent="0.2">
      <c r="A11" s="76" t="s">
        <v>66</v>
      </c>
      <c r="B11" s="1">
        <v>2</v>
      </c>
      <c r="C11" s="145" t="s">
        <v>283</v>
      </c>
      <c r="D11" s="314" t="str">
        <f ca="1">VLOOKUP(C11,Assemblies!E:P,2,0)</f>
        <v>PMA Clamp Size 17 Assy</v>
      </c>
      <c r="E11" s="315"/>
      <c r="F11" s="32"/>
      <c r="G11" s="32"/>
      <c r="H11" s="32"/>
      <c r="I11" s="32"/>
      <c r="J11" s="28"/>
      <c r="K11" s="28"/>
      <c r="L11" s="28"/>
      <c r="M11" s="28"/>
      <c r="N11" s="33"/>
      <c r="O11" s="146">
        <f t="shared" ca="1" si="0"/>
        <v>6</v>
      </c>
      <c r="P11" s="147">
        <f>'1.3.7'!Q12</f>
        <v>3.31</v>
      </c>
      <c r="Q11" s="103">
        <f t="shared" si="1"/>
        <v>6.62</v>
      </c>
    </row>
    <row r="12" spans="1:17" s="1" customFormat="1" ht="12.75" customHeight="1" x14ac:dyDescent="0.2">
      <c r="A12" s="76" t="s">
        <v>68</v>
      </c>
      <c r="B12" s="168">
        <v>0.33333333333333331</v>
      </c>
      <c r="C12" s="145" t="s">
        <v>422</v>
      </c>
      <c r="D12" s="314" t="str">
        <f ca="1">VLOOKUP(C12,Assemblies!E:P,2,0)</f>
        <v>Zipper Encoder Assy</v>
      </c>
      <c r="E12" s="315"/>
      <c r="F12" s="32"/>
      <c r="G12" s="32"/>
      <c r="H12" s="32"/>
      <c r="I12" s="32"/>
      <c r="J12" s="28"/>
      <c r="K12" s="28"/>
      <c r="L12" s="28"/>
      <c r="M12" s="28"/>
      <c r="N12" s="33"/>
      <c r="O12" s="146">
        <f ca="1">B12*$L$2</f>
        <v>1</v>
      </c>
      <c r="P12" s="147">
        <f>'2.3.7'!Q18</f>
        <v>507.11</v>
      </c>
      <c r="Q12" s="103">
        <f>B12*P12</f>
        <v>169.03666666666666</v>
      </c>
    </row>
    <row r="13" spans="1:17" s="1" customFormat="1" ht="12.75" customHeight="1" x14ac:dyDescent="0.2">
      <c r="A13" s="76" t="s">
        <v>70</v>
      </c>
      <c r="B13" s="298">
        <v>2</v>
      </c>
      <c r="C13" s="145" t="s">
        <v>3843</v>
      </c>
      <c r="D13" s="314" t="str">
        <f ca="1">VLOOKUP(C13,Assemblies!E:P,2,0)</f>
        <v>Seg Nips Tube Guide Assy</v>
      </c>
      <c r="E13" s="315"/>
      <c r="F13" s="32"/>
      <c r="G13" s="32"/>
      <c r="H13" s="32"/>
      <c r="I13" s="32"/>
      <c r="J13" s="28"/>
      <c r="K13" s="28"/>
      <c r="L13" s="28"/>
      <c r="M13" s="28"/>
      <c r="N13" s="33"/>
      <c r="O13" s="146">
        <f t="shared" ca="1" si="0"/>
        <v>6</v>
      </c>
      <c r="P13" s="147">
        <f>'2.3.8'!Q13</f>
        <v>9.44</v>
      </c>
      <c r="Q13" s="103">
        <f t="shared" si="1"/>
        <v>18.88</v>
      </c>
    </row>
    <row r="14" spans="1:17" s="2" customFormat="1" ht="12.75" customHeight="1" x14ac:dyDescent="0.2">
      <c r="A14" s="25"/>
      <c r="B14" s="26"/>
      <c r="C14" s="26"/>
      <c r="D14" s="332"/>
      <c r="E14" s="346"/>
      <c r="F14" s="26"/>
      <c r="G14" s="26"/>
      <c r="H14" s="322"/>
      <c r="I14" s="322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77">
        <v>1</v>
      </c>
      <c r="B15" s="20">
        <v>2</v>
      </c>
      <c r="C15" s="121" t="s">
        <v>423</v>
      </c>
      <c r="D15" s="314" t="str">
        <f>VLOOKUP(C15,Machined!C:X,2,0)</f>
        <v>Seg Nip Side Plate</v>
      </c>
      <c r="E15" s="329"/>
      <c r="F15" s="107" t="str">
        <f>VLOOKUP($C15,Machined!C:Z,13,0)</f>
        <v>MIC-6 CAST ALUMINUM</v>
      </c>
      <c r="G15" s="44" t="str">
        <f>IF(VLOOKUP($C15,Machined!C:Z,16,0) = 0, " ", VLOOKUP($C15,Machined!C:Z,16,0))</f>
        <v>3J INC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MIC-6 CAST ALUMINUM</v>
      </c>
      <c r="J15" s="44">
        <f>IF(VLOOKUP($C15,Machined!C:Z,18,0) = 0, " ", VLOOKUP($C15,Machined!C:Z,18,0))</f>
        <v>45435</v>
      </c>
      <c r="K15" s="44">
        <f>IF(VLOOKUP($C15,Machined!C:Z,19,0) = 0, " ", VLOOKUP($C15,Machined!C:Z,19,0))</f>
        <v>45448</v>
      </c>
      <c r="L15" s="44">
        <f>IF(VLOOKUP($C15,Machined!C:Z,20,0) = 0, " ", VLOOKUP($C15,Machined!C:Z,20,0))</f>
        <v>45504</v>
      </c>
      <c r="M15" s="44">
        <f>IF(VLOOKUP($C15,Machined!C:Z,21,0) = 0, " ", VLOOKUP($C15,Machined!C:Z,21,0))</f>
        <v>45504</v>
      </c>
      <c r="N15" s="129">
        <f>IF(VLOOKUP($C15,Machined!C:Z,22,0) = 0, " ", VLOOKUP($C15,Machined!C:Z,22,0))</f>
        <v>55540</v>
      </c>
      <c r="O15" s="45">
        <f ca="1">B15*$L$2</f>
        <v>6</v>
      </c>
      <c r="P15" s="49">
        <f>VLOOKUP(C15,Machined!C:F,3,0)</f>
        <v>622.54999999999995</v>
      </c>
      <c r="Q15" s="50">
        <f>B15*P15</f>
        <v>1245.0999999999999</v>
      </c>
    </row>
    <row r="16" spans="1:17" s="2" customFormat="1" ht="12.75" customHeight="1" x14ac:dyDescent="0.25">
      <c r="A16" s="77">
        <v>2</v>
      </c>
      <c r="B16" s="20">
        <v>2</v>
      </c>
      <c r="C16" s="121" t="s">
        <v>285</v>
      </c>
      <c r="D16" s="314" t="str">
        <f>VLOOKUP(C16,Machined!C:X,2,0)</f>
        <v>Nip Support Bar</v>
      </c>
      <c r="E16" s="329"/>
      <c r="F16" s="107" t="str">
        <f>VLOOKUP($C16,Machined!C:Z,13,0)</f>
        <v>6061-T6 ALUMINUM</v>
      </c>
      <c r="G16" s="44" t="str">
        <f>IF(VLOOKUP($C16,Machined!C:Z,16,0) = 0, " ", VLOOKUP($C16,Machined!C:Z,16,0))</f>
        <v>3J INC</v>
      </c>
      <c r="H16" s="320" t="str">
        <f>IF(VLOOKUP($C16,Machined!C:Z,17,0) = 0, " ", VLOOKUP($C16,Machined!C:Z,17,0))</f>
        <v>1 Extra Shipped</v>
      </c>
      <c r="I16" s="321" t="str">
        <f>IF(VLOOKUP($C16,Machined!$C:$Y,13,0) = 0, " ", VLOOKUP($C16,Machined!$C:$Y,13,0))</f>
        <v>6061-T6 ALUMINUM</v>
      </c>
      <c r="J16" s="44">
        <f>IF(VLOOKUP($C16,Machined!C:Z,18,0) = 0, " ", VLOOKUP($C16,Machined!C:Z,18,0))</f>
        <v>45435</v>
      </c>
      <c r="K16" s="44">
        <f>IF(VLOOKUP($C16,Machined!C:Z,19,0) = 0, " ", VLOOKUP($C16,Machined!C:Z,19,0))</f>
        <v>45448</v>
      </c>
      <c r="L16" s="44">
        <f>IF(VLOOKUP($C16,Machined!C:Z,20,0) = 0, " ", VLOOKUP($C16,Machined!C:Z,20,0))</f>
        <v>45504</v>
      </c>
      <c r="M16" s="44">
        <f>IF(VLOOKUP($C16,Machined!C:Z,21,0) = 0, " ", VLOOKUP($C16,Machined!C:Z,21,0))</f>
        <v>45504</v>
      </c>
      <c r="N16" s="129">
        <f>IF(VLOOKUP($C16,Machined!C:Z,22,0) = 0, " ", VLOOKUP($C16,Machined!C:Z,22,0))</f>
        <v>55540</v>
      </c>
      <c r="O16" s="45">
        <f t="shared" ref="O16" ca="1" si="2">B16*$L$2</f>
        <v>6</v>
      </c>
      <c r="P16" s="49">
        <f>VLOOKUP(C16,Machined!C:F,3,0)</f>
        <v>235.65</v>
      </c>
      <c r="Q16" s="50">
        <f t="shared" ref="Q16" si="3">B16*P16</f>
        <v>471.3</v>
      </c>
    </row>
    <row r="17" spans="1:17" s="2" customFormat="1" ht="12.75" customHeight="1" x14ac:dyDescent="0.25">
      <c r="A17" s="77">
        <v>3</v>
      </c>
      <c r="B17" s="20">
        <v>2</v>
      </c>
      <c r="C17" s="121" t="s">
        <v>286</v>
      </c>
      <c r="D17" s="314" t="str">
        <f>VLOOKUP(C17,Machined!C:X,2,0)</f>
        <v>Drive Bearing Base</v>
      </c>
      <c r="E17" s="329"/>
      <c r="F17" s="107" t="str">
        <f>VLOOKUP($C17,Machined!C:Z,13,0)</f>
        <v>1018 COLD ROLLED STEEL</v>
      </c>
      <c r="G17" s="44" t="str">
        <f>IF(VLOOKUP($C17,Machined!C:Z,16,0) = 0, " ", VLOOKUP($C17,Machined!C:Z,16,0))</f>
        <v>Big Sky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1018 COLD ROLLED STEEL</v>
      </c>
      <c r="J17" s="44">
        <f>IF(VLOOKUP($C17,Machined!C:Z,18,0) = 0, " ", VLOOKUP($C17,Machined!C:Z,18,0))</f>
        <v>45434</v>
      </c>
      <c r="K17" s="44">
        <f>IF(VLOOKUP($C17,Machined!C:Z,19,0) = 0, " ", VLOOKUP($C17,Machined!C:Z,19,0))</f>
        <v>45435</v>
      </c>
      <c r="L17" s="44">
        <f>IF(VLOOKUP($C17,Machined!C:Z,20,0) = 0, " ", VLOOKUP($C17,Machined!C:Z,20,0))</f>
        <v>45467</v>
      </c>
      <c r="M17" s="44">
        <f>IF(VLOOKUP($C17,Machined!C:Z,21,0) = 0, " ", VLOOKUP($C17,Machined!C:Z,21,0))</f>
        <v>45467</v>
      </c>
      <c r="N17" s="129">
        <f>IF(VLOOKUP($C17,Machined!C:Z,22,0) = 0, " ", VLOOKUP($C17,Machined!C:Z,22,0))</f>
        <v>55523</v>
      </c>
      <c r="O17" s="45">
        <f t="shared" ref="O17:O25" ca="1" si="4">B17*$L$2</f>
        <v>6</v>
      </c>
      <c r="P17" s="49">
        <f>VLOOKUP(C17,Machined!C:F,3,0)</f>
        <v>128.5</v>
      </c>
      <c r="Q17" s="50">
        <f t="shared" ref="Q17:Q25" si="5">B17*P17</f>
        <v>257</v>
      </c>
    </row>
    <row r="18" spans="1:17" s="2" customFormat="1" ht="12.75" customHeight="1" x14ac:dyDescent="0.25">
      <c r="A18" s="77">
        <v>4</v>
      </c>
      <c r="B18" s="20">
        <v>2</v>
      </c>
      <c r="C18" s="121" t="s">
        <v>287</v>
      </c>
      <c r="D18" s="314" t="str">
        <f>VLOOKUP(C18,Machined!C:X,2,0)</f>
        <v>Drive Bearing Cap</v>
      </c>
      <c r="E18" s="329"/>
      <c r="F18" s="107" t="str">
        <f>VLOOKUP($C18,Machined!C:Z,13,0)</f>
        <v>1018 COLD ROLLED STEEL</v>
      </c>
      <c r="G18" s="44" t="str">
        <f>IF(VLOOKUP($C18,Machined!C:Z,16,0) = 0, " ", VLOOKUP($C18,Machined!C:Z,16,0))</f>
        <v>Big Sky</v>
      </c>
      <c r="H18" s="320" t="str">
        <f>IF(VLOOKUP($C18,Machined!C:Z,17,0) = 0, " ", VLOOKUP($C18,Machined!C:Z,17,0))</f>
        <v xml:space="preserve"> </v>
      </c>
      <c r="I18" s="321" t="str">
        <f>IF(VLOOKUP($C18,Machined!$C:$Y,13,0) = 0, " ", VLOOKUP($C18,Machined!$C:$Y,13,0))</f>
        <v>1018 COLD ROLLED STEEL</v>
      </c>
      <c r="J18" s="44">
        <f>IF(VLOOKUP($C18,Machined!C:Z,18,0) = 0, " ", VLOOKUP($C18,Machined!C:Z,18,0))</f>
        <v>45434</v>
      </c>
      <c r="K18" s="44">
        <f>IF(VLOOKUP($C18,Machined!C:Z,19,0) = 0, " ", VLOOKUP($C18,Machined!C:Z,19,0))</f>
        <v>45435</v>
      </c>
      <c r="L18" s="44">
        <f>IF(VLOOKUP($C18,Machined!C:Z,20,0) = 0, " ", VLOOKUP($C18,Machined!C:Z,20,0))</f>
        <v>45467</v>
      </c>
      <c r="M18" s="44">
        <f>IF(VLOOKUP($C18,Machined!C:Z,21,0) = 0, " ", VLOOKUP($C18,Machined!C:Z,21,0))</f>
        <v>45467</v>
      </c>
      <c r="N18" s="129">
        <f>IF(VLOOKUP($C18,Machined!C:Z,22,0) = 0, " ", VLOOKUP($C18,Machined!C:Z,22,0))</f>
        <v>55523</v>
      </c>
      <c r="O18" s="45">
        <f t="shared" ca="1" si="4"/>
        <v>6</v>
      </c>
      <c r="P18" s="49">
        <f>VLOOKUP(C18,Machined!C:F,3,0)</f>
        <v>122.5</v>
      </c>
      <c r="Q18" s="50">
        <f t="shared" si="5"/>
        <v>245</v>
      </c>
    </row>
    <row r="19" spans="1:17" s="2" customFormat="1" ht="12.75" customHeight="1" x14ac:dyDescent="0.25">
      <c r="A19" s="77">
        <v>5</v>
      </c>
      <c r="B19" s="20">
        <v>2</v>
      </c>
      <c r="C19" s="121" t="s">
        <v>424</v>
      </c>
      <c r="D19" s="314" t="str">
        <f>VLOOKUP(C19,Machined!C:X,2,0)</f>
        <v>Idler Bearing Mount Segmented Nips</v>
      </c>
      <c r="E19" s="329"/>
      <c r="F19" s="107" t="str">
        <f>VLOOKUP($C19,Machined!C:Z,13,0)</f>
        <v>1018 COLD ROLLED STEEL</v>
      </c>
      <c r="G19" s="44" t="str">
        <f>IF(VLOOKUP($C19,Machined!C:Z,16,0) = 0, " ", VLOOKUP($C19,Machined!C:Z,16,0))</f>
        <v>Frontier Mach</v>
      </c>
      <c r="H19" s="320" t="str">
        <f>IF(VLOOKUP($C19,Machined!C:Z,17,0) = 0, " ", VLOOKUP($C19,Machined!C:Z,17,0))</f>
        <v>CHECK NAME Drawing has Seg Nips Idler Bearing Mount</v>
      </c>
      <c r="I19" s="321" t="str">
        <f>IF(VLOOKUP($C19,Machined!$C:$Y,13,0) = 0, " ", VLOOKUP($C19,Machined!$C:$Y,13,0))</f>
        <v>1018 COLD ROLLED STEEL</v>
      </c>
      <c r="J19" s="44">
        <f>IF(VLOOKUP($C19,Machined!C:Z,18,0) = 0, " ", VLOOKUP($C19,Machined!C:Z,18,0))</f>
        <v>45453</v>
      </c>
      <c r="K19" s="44">
        <f>IF(VLOOKUP($C19,Machined!C:Z,19,0) = 0, " ", VLOOKUP($C19,Machined!C:Z,19,0))</f>
        <v>45453</v>
      </c>
      <c r="L19" s="44">
        <f>IF(VLOOKUP($C19,Machined!C:Z,20,0) = 0, " ", VLOOKUP($C19,Machined!C:Z,20,0))</f>
        <v>45481</v>
      </c>
      <c r="M19" s="44">
        <f>IF(VLOOKUP($C19,Machined!C:Z,21,0) = 0, " ", VLOOKUP($C19,Machined!C:Z,21,0))</f>
        <v>45481</v>
      </c>
      <c r="N19" s="129">
        <f>IF(VLOOKUP($C19,Machined!C:Z,22,0) = 0, " ", VLOOKUP($C19,Machined!C:Z,22,0))</f>
        <v>55532</v>
      </c>
      <c r="O19" s="45">
        <f t="shared" ca="1" si="4"/>
        <v>6</v>
      </c>
      <c r="P19" s="49">
        <f>VLOOKUP(C19,Machined!C:F,3,0)</f>
        <v>238.95</v>
      </c>
      <c r="Q19" s="50">
        <f t="shared" si="5"/>
        <v>477.9</v>
      </c>
    </row>
    <row r="20" spans="1:17" s="2" customFormat="1" ht="12.75" customHeight="1" x14ac:dyDescent="0.25">
      <c r="A20" s="77">
        <v>6</v>
      </c>
      <c r="B20" s="20">
        <v>2</v>
      </c>
      <c r="C20" s="121" t="s">
        <v>289</v>
      </c>
      <c r="D20" s="314" t="str">
        <f>VLOOKUP(C20,Machined!C:X,2,0)</f>
        <v>Cylinder Mount Plate</v>
      </c>
      <c r="E20" s="329"/>
      <c r="F20" s="107" t="str">
        <f>VLOOKUP($C20,Machined!C:Z,13,0)</f>
        <v>1018 COLD ROLLED STEEL</v>
      </c>
      <c r="G20" s="44" t="str">
        <f>IF(VLOOKUP($C20,Machined!C:Z,16,0) = 0, " ", VLOOKUP($C20,Machined!C:Z,16,0))</f>
        <v>Frontier Mach</v>
      </c>
      <c r="H20" s="320" t="str">
        <f>IF(VLOOKUP($C20,Machined!C:Z,17,0) = 0, " ", VLOOKUP($C20,Machined!C:Z,17,0))</f>
        <v xml:space="preserve"> </v>
      </c>
      <c r="I20" s="321" t="str">
        <f>IF(VLOOKUP($C20,Machined!$C:$Y,13,0) = 0, " ", VLOOKUP($C20,Machined!$C:$Y,13,0))</f>
        <v>1018 COLD ROLLED STEEL</v>
      </c>
      <c r="J20" s="44">
        <f>IF(VLOOKUP($C20,Machined!C:Z,18,0) = 0, " ", VLOOKUP($C20,Machined!C:Z,18,0))</f>
        <v>45435</v>
      </c>
      <c r="K20" s="44">
        <f>IF(VLOOKUP($C20,Machined!C:Z,19,0) = 0, " ", VLOOKUP($C20,Machined!C:Z,19,0))</f>
        <v>45446</v>
      </c>
      <c r="L20" s="44">
        <f>IF(VLOOKUP($C20,Machined!C:Z,20,0) = 0, " ", VLOOKUP($C20,Machined!C:Z,20,0))</f>
        <v>45481</v>
      </c>
      <c r="M20" s="44">
        <f>IF(VLOOKUP($C20,Machined!C:Z,21,0) = 0, " ", VLOOKUP($C20,Machined!C:Z,21,0))</f>
        <v>45481</v>
      </c>
      <c r="N20" s="129">
        <f>IF(VLOOKUP($C20,Machined!C:Z,22,0) = 0, " ", VLOOKUP($C20,Machined!C:Z,22,0))</f>
        <v>55532</v>
      </c>
      <c r="O20" s="45">
        <f t="shared" ca="1" si="4"/>
        <v>6</v>
      </c>
      <c r="P20" s="49">
        <f>VLOOKUP(C20,Machined!C:F,3,0)</f>
        <v>99.4</v>
      </c>
      <c r="Q20" s="50">
        <f t="shared" si="5"/>
        <v>198.8</v>
      </c>
    </row>
    <row r="21" spans="1:17" s="2" customFormat="1" ht="12.75" customHeight="1" x14ac:dyDescent="0.25">
      <c r="A21" s="77">
        <v>7</v>
      </c>
      <c r="B21" s="20">
        <v>1</v>
      </c>
      <c r="C21" s="121" t="s">
        <v>290</v>
      </c>
      <c r="D21" s="314" t="str">
        <f>VLOOKUP(C21,Machined!C:X,2,0)</f>
        <v>Lower Nip Support Strut</v>
      </c>
      <c r="E21" s="329"/>
      <c r="F21" s="107" t="str">
        <f>VLOOKUP($C21,Machined!C:Z,13,0)</f>
        <v>6061-T6 ALUMINUM</v>
      </c>
      <c r="G21" s="44" t="str">
        <f>IF(VLOOKUP($C21,Machined!C:Z,16,0) = 0, " ", VLOOKUP($C21,Machined!C:Z,16,0))</f>
        <v>3J INC</v>
      </c>
      <c r="H21" s="320" t="str">
        <f>IF(VLOOKUP($C21,Machined!C:Z,17,0) = 0, " ", VLOOKUP($C21,Machined!C:Z,17,0))</f>
        <v>1 Extra Shipped</v>
      </c>
      <c r="I21" s="321" t="str">
        <f>IF(VLOOKUP($C21,Machined!$C:$Y,13,0) = 0, " ", VLOOKUP($C21,Machined!$C:$Y,13,0))</f>
        <v>6061-T6 ALUMINUM</v>
      </c>
      <c r="J21" s="44">
        <f>IF(VLOOKUP($C21,Machined!C:Z,18,0) = 0, " ", VLOOKUP($C21,Machined!C:Z,18,0))</f>
        <v>45435</v>
      </c>
      <c r="K21" s="44">
        <f>IF(VLOOKUP($C21,Machined!C:Z,19,0) = 0, " ", VLOOKUP($C21,Machined!C:Z,19,0))</f>
        <v>45448</v>
      </c>
      <c r="L21" s="44">
        <f>IF(VLOOKUP($C21,Machined!C:Z,20,0) = 0, " ", VLOOKUP($C21,Machined!C:Z,20,0))</f>
        <v>45504</v>
      </c>
      <c r="M21" s="44">
        <f>IF(VLOOKUP($C21,Machined!C:Z,21,0) = 0, " ", VLOOKUP($C21,Machined!C:Z,21,0))</f>
        <v>45504</v>
      </c>
      <c r="N21" s="129">
        <f>IF(VLOOKUP($C21,Machined!C:Z,22,0) = 0, " ", VLOOKUP($C21,Machined!C:Z,22,0))</f>
        <v>55540</v>
      </c>
      <c r="O21" s="45">
        <f t="shared" ca="1" si="4"/>
        <v>3</v>
      </c>
      <c r="P21" s="49">
        <f>VLOOKUP(C21,Machined!C:F,3,0)</f>
        <v>622.54999999999995</v>
      </c>
      <c r="Q21" s="50">
        <f t="shared" si="5"/>
        <v>622.54999999999995</v>
      </c>
    </row>
    <row r="22" spans="1:17" s="2" customFormat="1" ht="12.75" customHeight="1" x14ac:dyDescent="0.25">
      <c r="A22" s="77">
        <v>8</v>
      </c>
      <c r="B22" s="20">
        <v>2</v>
      </c>
      <c r="C22" s="121" t="s">
        <v>291</v>
      </c>
      <c r="D22" s="314" t="str">
        <f>VLOOKUP(C22,Machined!C:X,2,0)</f>
        <v>Nip Adjustment Block</v>
      </c>
      <c r="E22" s="329"/>
      <c r="F22" s="107" t="str">
        <f>VLOOKUP($C22,Machined!C:Z,13,0)</f>
        <v>6061-T6 ALUMINUM</v>
      </c>
      <c r="G22" s="44" t="str">
        <f>IF(VLOOKUP($C22,Machined!C:Z,16,0) = 0, " ", VLOOKUP($C22,Machined!C:Z,16,0))</f>
        <v>Frontier Mach</v>
      </c>
      <c r="H22" s="320" t="str">
        <f>IF(VLOOKUP($C22,Machined!C:Z,17,0) = 0, " ", VLOOKUP($C22,Machined!C:Z,17,0))</f>
        <v>5 more on P.O.55571</v>
      </c>
      <c r="I22" s="321" t="str">
        <f>IF(VLOOKUP($C22,Machined!$C:$Y,13,0) = 0, " ", VLOOKUP($C22,Machined!$C:$Y,13,0))</f>
        <v>6061-T6 ALUMINUM</v>
      </c>
      <c r="J22" s="44">
        <f>IF(VLOOKUP($C22,Machined!C:Z,18,0) = 0, " ", VLOOKUP($C22,Machined!C:Z,18,0))</f>
        <v>45435</v>
      </c>
      <c r="K22" s="44">
        <f>IF(VLOOKUP($C22,Machined!C:Z,19,0) = 0, " ", VLOOKUP($C22,Machined!C:Z,19,0))</f>
        <v>45446</v>
      </c>
      <c r="L22" s="44">
        <f>IF(VLOOKUP($C22,Machined!C:Z,20,0) = 0, " ", VLOOKUP($C22,Machined!C:Z,20,0))</f>
        <v>45481</v>
      </c>
      <c r="M22" s="44">
        <f>IF(VLOOKUP($C22,Machined!C:Z,21,0) = 0, " ", VLOOKUP($C22,Machined!C:Z,21,0))</f>
        <v>45481</v>
      </c>
      <c r="N22" s="129">
        <f>IF(VLOOKUP($C22,Machined!C:Z,22,0) = 0, " ", VLOOKUP($C22,Machined!C:Z,22,0))</f>
        <v>55532</v>
      </c>
      <c r="O22" s="45">
        <f t="shared" ca="1" si="4"/>
        <v>6</v>
      </c>
      <c r="P22" s="49">
        <f>VLOOKUP(C22,Machined!C:F,3,0)</f>
        <v>99.35</v>
      </c>
      <c r="Q22" s="50">
        <f t="shared" si="5"/>
        <v>198.7</v>
      </c>
    </row>
    <row r="23" spans="1:17" s="2" customFormat="1" ht="12.75" customHeight="1" x14ac:dyDescent="0.25">
      <c r="A23" s="77">
        <v>9</v>
      </c>
      <c r="B23" s="20">
        <v>2</v>
      </c>
      <c r="C23" s="121" t="s">
        <v>292</v>
      </c>
      <c r="D23" s="314" t="str">
        <f>VLOOKUP(C23,Machined!C:X,2,0)</f>
        <v>Nip Pivot Block</v>
      </c>
      <c r="E23" s="329"/>
      <c r="F23" s="107" t="str">
        <f>VLOOKUP($C23,Machined!C:Z,13,0)</f>
        <v>6061-T6 ALUMINUM</v>
      </c>
      <c r="G23" s="44" t="str">
        <f>IF(VLOOKUP($C23,Machined!C:Z,16,0) = 0, " ", VLOOKUP($C23,Machined!C:Z,16,0))</f>
        <v>Frontier Mach</v>
      </c>
      <c r="H23" s="320" t="str">
        <f>IF(VLOOKUP($C23,Machined!C:Z,17,0) = 0, " ", VLOOKUP($C23,Machined!C:Z,17,0))</f>
        <v>5 more on P.O.55571</v>
      </c>
      <c r="I23" s="321" t="str">
        <f>IF(VLOOKUP($C23,Machined!$C:$Y,13,0) = 0, " ", VLOOKUP($C23,Machined!$C:$Y,13,0))</f>
        <v>6061-T6 ALUMINUM</v>
      </c>
      <c r="J23" s="44">
        <f>IF(VLOOKUP($C23,Machined!C:Z,18,0) = 0, " ", VLOOKUP($C23,Machined!C:Z,18,0))</f>
        <v>45435</v>
      </c>
      <c r="K23" s="44">
        <f>IF(VLOOKUP($C23,Machined!C:Z,19,0) = 0, " ", VLOOKUP($C23,Machined!C:Z,19,0))</f>
        <v>45446</v>
      </c>
      <c r="L23" s="44">
        <f>IF(VLOOKUP($C23,Machined!C:Z,20,0) = 0, " ", VLOOKUP($C23,Machined!C:Z,20,0))</f>
        <v>45481</v>
      </c>
      <c r="M23" s="44">
        <f>IF(VLOOKUP($C23,Machined!C:Z,21,0) = 0, " ", VLOOKUP($C23,Machined!C:Z,21,0))</f>
        <v>45481</v>
      </c>
      <c r="N23" s="129">
        <f>IF(VLOOKUP($C23,Machined!C:Z,22,0) = 0, " ", VLOOKUP($C23,Machined!C:Z,22,0))</f>
        <v>55532</v>
      </c>
      <c r="O23" s="45">
        <f t="shared" ca="1" si="4"/>
        <v>6</v>
      </c>
      <c r="P23" s="49">
        <f>VLOOKUP(C23,Machined!C:F,3,0)</f>
        <v>56.5</v>
      </c>
      <c r="Q23" s="50">
        <f t="shared" si="5"/>
        <v>113</v>
      </c>
    </row>
    <row r="24" spans="1:17" s="2" customFormat="1" ht="12.75" customHeight="1" x14ac:dyDescent="0.25">
      <c r="A24" s="77">
        <v>10</v>
      </c>
      <c r="B24" s="20">
        <v>2</v>
      </c>
      <c r="C24" s="121" t="s">
        <v>293</v>
      </c>
      <c r="D24" s="314" t="str">
        <f>VLOOKUP(C24,Machined!C:X,2,0)</f>
        <v>Adj Side Frame Mount</v>
      </c>
      <c r="E24" s="329"/>
      <c r="F24" s="107" t="str">
        <f>VLOOKUP($C24,Machined!C:Z,13,0)</f>
        <v>6061-T6 ALUMINUM</v>
      </c>
      <c r="G24" s="44" t="str">
        <f>IF(VLOOKUP($C24,Machined!C:Z,16,0) = 0, " ", VLOOKUP($C24,Machined!C:Z,16,0))</f>
        <v>Frontier Mach</v>
      </c>
      <c r="H24" s="320" t="str">
        <f>IF(VLOOKUP($C24,Machined!C:Z,17,0) = 0, " ", VLOOKUP($C24,Machined!C:Z,17,0))</f>
        <v>5 more on P.O.55571</v>
      </c>
      <c r="I24" s="321" t="str">
        <f>IF(VLOOKUP($C24,Machined!$C:$Y,13,0) = 0, " ", VLOOKUP($C24,Machined!$C:$Y,13,0))</f>
        <v>6061-T6 ALUMINUM</v>
      </c>
      <c r="J24" s="44">
        <f>IF(VLOOKUP($C24,Machined!C:Z,18,0) = 0, " ", VLOOKUP($C24,Machined!C:Z,18,0))</f>
        <v>45435</v>
      </c>
      <c r="K24" s="44">
        <f>IF(VLOOKUP($C24,Machined!C:Z,19,0) = 0, " ", VLOOKUP($C24,Machined!C:Z,19,0))</f>
        <v>45446</v>
      </c>
      <c r="L24" s="44">
        <f>IF(VLOOKUP($C24,Machined!C:Z,20,0) = 0, " ", VLOOKUP($C24,Machined!C:Z,20,0))</f>
        <v>45481</v>
      </c>
      <c r="M24" s="44">
        <f>IF(VLOOKUP($C24,Machined!C:Z,21,0) = 0, " ", VLOOKUP($C24,Machined!C:Z,21,0))</f>
        <v>45481</v>
      </c>
      <c r="N24" s="129">
        <f>IF(VLOOKUP($C24,Machined!C:Z,22,0) = 0, " ", VLOOKUP($C24,Machined!C:Z,22,0))</f>
        <v>55532</v>
      </c>
      <c r="O24" s="45">
        <f t="shared" ca="1" si="4"/>
        <v>6</v>
      </c>
      <c r="P24" s="49">
        <f>VLOOKUP(C24,Machined!C:F,3,0)</f>
        <v>120.7</v>
      </c>
      <c r="Q24" s="50">
        <f t="shared" si="5"/>
        <v>241.4</v>
      </c>
    </row>
    <row r="25" spans="1:17" s="2" customFormat="1" ht="12.75" customHeight="1" x14ac:dyDescent="0.25">
      <c r="A25" s="77">
        <v>11</v>
      </c>
      <c r="B25" s="20">
        <v>2</v>
      </c>
      <c r="C25" s="121" t="s">
        <v>294</v>
      </c>
      <c r="D25" s="314" t="str">
        <f>VLOOKUP(C25,Machined!C:X,2,0)</f>
        <v>Pivot Side Frame Mount</v>
      </c>
      <c r="E25" s="329"/>
      <c r="F25" s="107" t="str">
        <f>VLOOKUP($C25,Machined!C:Z,13,0)</f>
        <v>6061-T6 ALUMINUM</v>
      </c>
      <c r="G25" s="44" t="str">
        <f>IF(VLOOKUP($C25,Machined!C:Z,16,0) = 0, " ", VLOOKUP($C25,Machined!C:Z,16,0))</f>
        <v>Frontier Mach</v>
      </c>
      <c r="H25" s="320" t="str">
        <f>IF(VLOOKUP($C25,Machined!C:Z,17,0) = 0, " ", VLOOKUP($C25,Machined!C:Z,17,0))</f>
        <v>5 more on P.O.55571</v>
      </c>
      <c r="I25" s="321" t="str">
        <f>IF(VLOOKUP($C25,Machined!$C:$Y,13,0) = 0, " ", VLOOKUP($C25,Machined!$C:$Y,13,0))</f>
        <v>6061-T6 ALUMINUM</v>
      </c>
      <c r="J25" s="44">
        <f>IF(VLOOKUP($C25,Machined!C:Z,18,0) = 0, " ", VLOOKUP($C25,Machined!C:Z,18,0))</f>
        <v>45435</v>
      </c>
      <c r="K25" s="44">
        <f>IF(VLOOKUP($C25,Machined!C:Z,19,0) = 0, " ", VLOOKUP($C25,Machined!C:Z,19,0))</f>
        <v>45446</v>
      </c>
      <c r="L25" s="44">
        <f>IF(VLOOKUP($C25,Machined!C:Z,20,0) = 0, " ", VLOOKUP($C25,Machined!C:Z,20,0))</f>
        <v>45481</v>
      </c>
      <c r="M25" s="44">
        <f>IF(VLOOKUP($C25,Machined!C:Z,21,0) = 0, " ", VLOOKUP($C25,Machined!C:Z,21,0))</f>
        <v>45481</v>
      </c>
      <c r="N25" s="129">
        <f>IF(VLOOKUP($C25,Machined!C:Z,22,0) = 0, " ", VLOOKUP($C25,Machined!C:Z,22,0))</f>
        <v>55532</v>
      </c>
      <c r="O25" s="45">
        <f t="shared" ca="1" si="4"/>
        <v>6</v>
      </c>
      <c r="P25" s="49">
        <f>VLOOKUP(C25,Machined!C:F,3,0)</f>
        <v>96.25</v>
      </c>
      <c r="Q25" s="50">
        <f t="shared" si="5"/>
        <v>192.5</v>
      </c>
    </row>
    <row r="26" spans="1:17" s="2" customFormat="1" ht="12.75" customHeight="1" x14ac:dyDescent="0.25">
      <c r="A26" s="25"/>
      <c r="B26" s="26"/>
      <c r="C26" s="26"/>
      <c r="D26" s="332"/>
      <c r="E26" s="333"/>
      <c r="F26" s="26"/>
      <c r="G26" s="26"/>
      <c r="H26" s="322"/>
      <c r="I26" s="323"/>
      <c r="J26" s="27"/>
      <c r="K26" s="27"/>
      <c r="L26" s="27"/>
      <c r="M26" s="28"/>
      <c r="N26" s="29"/>
      <c r="O26" s="29"/>
      <c r="P26" s="148"/>
      <c r="Q26" s="149"/>
    </row>
    <row r="27" spans="1:17" s="2" customFormat="1" ht="12.75" customHeight="1" x14ac:dyDescent="0.25">
      <c r="A27" s="4">
        <v>301</v>
      </c>
      <c r="B27" s="2">
        <v>2</v>
      </c>
      <c r="C27" s="135">
        <v>18151838</v>
      </c>
      <c r="D27" s="325" t="str">
        <f>VLOOKUP(C27,Purchased!A:B,2,0)</f>
        <v>Trade num ER16, Set Screw Collar Ball Bearing with Black-Oxide Steel Ring, 
Sealed, Number ER16, for 1" Diameter</v>
      </c>
      <c r="E27" s="326"/>
      <c r="F27" s="108" t="str">
        <f>IF(VLOOKUP($C27,Purchased!A:Z,11,0) = 0, " ", VLOOKUP($C27,Purchased!A:Z,11,0))</f>
        <v>Emerson</v>
      </c>
      <c r="G27" s="108" t="str">
        <f>IF(VLOOKUP($C27,Purchased!A:Z,12,0)=0, " ", VLOOKUP($C27,Purchased!A:Z,12,0))</f>
        <v>BDI</v>
      </c>
      <c r="H27" s="327" t="str">
        <f>IF(VLOOKUP($C27,Purchased!A:Z,13,0)=0, " ", VLOOKUP($C27,Purchased!A:Z,13,0))</f>
        <v xml:space="preserve"> </v>
      </c>
      <c r="I27" s="328"/>
      <c r="J27" s="46">
        <f>IF(VLOOKUP($C27,Purchased!A:Z,14,0)=0, " ", VLOOKUP($C27,Purchased!A:Z,14,0))</f>
        <v>45456</v>
      </c>
      <c r="K27" s="46">
        <f>IF(VLOOKUP(C27,Purchased!A:R,14,0)=0, " ", VLOOKUP(C27,Purchased!A:R,14,0))</f>
        <v>45456</v>
      </c>
      <c r="L27" s="46">
        <f>IF(VLOOKUP(C27,Purchased!A:R,15,0)=0, " ", VLOOKUP(C27,Purchased!A:R,15,0))</f>
        <v>45456</v>
      </c>
      <c r="M27" s="46">
        <f>IF(VLOOKUP(C27,Purchased!A:R,16,0)=0, " ",VLOOKUP(C27,Purchased!A:R,16,0))</f>
        <v>45468</v>
      </c>
      <c r="N27" s="130">
        <f>IF(VLOOKUP(C27,Purchased!A:R,17,0)=0, " ", VLOOKUP(C27,Purchased!A:R,17,0))</f>
        <v>45468</v>
      </c>
      <c r="O27" s="47">
        <f t="shared" ref="O27:O31" ca="1" si="6">B27*$L$2</f>
        <v>6</v>
      </c>
      <c r="P27" s="51">
        <f>VLOOKUP(C27,Purchased!A:D,3,FALSE)</f>
        <v>9.19</v>
      </c>
      <c r="Q27" s="52">
        <f t="shared" ref="Q27:Q31" si="7">B27*P27</f>
        <v>18.38</v>
      </c>
    </row>
    <row r="28" spans="1:17" s="2" customFormat="1" ht="12.75" customHeight="1" x14ac:dyDescent="0.25">
      <c r="A28" s="4">
        <v>302</v>
      </c>
      <c r="B28" s="2">
        <v>2</v>
      </c>
      <c r="C28" s="135">
        <v>21488716</v>
      </c>
      <c r="D28" s="325" t="str">
        <f>VLOOKUP(C28,Purchased!A:B,2,0)</f>
        <v>Trade num ER24, Set Screw Collar Ball Bearing with Black-Oxide Steel Ring, 
Sealed, Number ER24, for 1-1/2" Diameter</v>
      </c>
      <c r="E28" s="326"/>
      <c r="F28" s="108" t="str">
        <f>IF(VLOOKUP($C28,Purchased!A:Z,11,0) = 0, " ", VLOOKUP($C28,Purchased!A:Z,11,0))</f>
        <v>Emerson</v>
      </c>
      <c r="G28" s="108" t="str">
        <f>IF(VLOOKUP($C28,Purchased!A:Z,12,0)=0, " ", VLOOKUP($C28,Purchased!A:Z,12,0))</f>
        <v>BDI</v>
      </c>
      <c r="H28" s="327" t="str">
        <f>IF(VLOOKUP($C28,Purchased!A:Z,13,0)=0, " ", VLOOKUP($C28,Purchased!A:Z,13,0))</f>
        <v xml:space="preserve"> </v>
      </c>
      <c r="I28" s="328"/>
      <c r="J28" s="46">
        <f>IF(VLOOKUP($C28,Purchased!A:Z,14,0)=0, " ", VLOOKUP($C28,Purchased!A:Z,14,0))</f>
        <v>45456</v>
      </c>
      <c r="K28" s="46">
        <f>IF(VLOOKUP(C28,Purchased!A:R,14,0)=0, " ", VLOOKUP(C28,Purchased!A:R,14,0))</f>
        <v>45456</v>
      </c>
      <c r="L28" s="46">
        <f>IF(VLOOKUP(C28,Purchased!A:R,15,0)=0, " ", VLOOKUP(C28,Purchased!A:R,15,0))</f>
        <v>45456</v>
      </c>
      <c r="M28" s="46">
        <f>IF(VLOOKUP(C28,Purchased!A:R,16,0)=0, " ",VLOOKUP(C28,Purchased!A:R,16,0))</f>
        <v>45468</v>
      </c>
      <c r="N28" s="130">
        <f>IF(VLOOKUP(C28,Purchased!A:R,17,0)=0, " ", VLOOKUP(C28,Purchased!A:R,17,0))</f>
        <v>45468</v>
      </c>
      <c r="O28" s="47">
        <f t="shared" ca="1" si="6"/>
        <v>6</v>
      </c>
      <c r="P28" s="51">
        <f>VLOOKUP(C28,Purchased!A:D,3,FALSE)</f>
        <v>21.23</v>
      </c>
      <c r="Q28" s="52">
        <f t="shared" si="7"/>
        <v>42.46</v>
      </c>
    </row>
    <row r="29" spans="1:17" s="2" customFormat="1" ht="12.75" customHeight="1" x14ac:dyDescent="0.25">
      <c r="A29" s="4">
        <v>303</v>
      </c>
      <c r="B29" s="2">
        <v>3</v>
      </c>
      <c r="C29" s="135" t="s">
        <v>172</v>
      </c>
      <c r="D29" s="325" t="str">
        <f>VLOOKUP(C29,Purchased!A:B,2,0)</f>
        <v>BRX GOTO T-NUT 10 M6</v>
      </c>
      <c r="E29" s="326"/>
      <c r="F29" s="108" t="str">
        <f>IF(VLOOKUP($C29,Purchased!A:Z,11,0) = 0, " ", VLOOKUP($C29,Purchased!A:Z,11,0))</f>
        <v>BRX</v>
      </c>
      <c r="G29" s="108" t="str">
        <f>IF(VLOOKUP($C29,Purchased!A:Z,12,0)=0, " ", VLOOKUP($C29,Purchased!A:Z,12,0))</f>
        <v>AAP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45463</v>
      </c>
      <c r="K29" s="46">
        <f>IF(VLOOKUP(C29,Purchased!A:R,14,0)=0, " ", VLOOKUP(C29,Purchased!A:R,14,0))</f>
        <v>45463</v>
      </c>
      <c r="L29" s="46">
        <f>IF(VLOOKUP(C29,Purchased!A:R,15,0)=0, " ", VLOOKUP(C29,Purchased!A:R,15,0))</f>
        <v>45463</v>
      </c>
      <c r="M29" s="46">
        <f>IF(VLOOKUP(C29,Purchased!A:R,16,0)=0, " ",VLOOKUP(C29,Purchased!A:R,16,0))</f>
        <v>45481</v>
      </c>
      <c r="N29" s="130">
        <f>IF(VLOOKUP(C29,Purchased!A:R,17,0)=0, " ", VLOOKUP(C29,Purchased!A:R,17,0))</f>
        <v>45481</v>
      </c>
      <c r="O29" s="47">
        <f t="shared" ca="1" si="6"/>
        <v>9</v>
      </c>
      <c r="P29" s="51">
        <f>VLOOKUP(C29,Purchased!A:D,3,FALSE)</f>
        <v>0.56000000000000005</v>
      </c>
      <c r="Q29" s="52">
        <f t="shared" si="7"/>
        <v>1.6800000000000002</v>
      </c>
    </row>
    <row r="30" spans="1:17" s="2" customFormat="1" ht="12.75" customHeight="1" x14ac:dyDescent="0.25">
      <c r="A30" s="4">
        <v>304</v>
      </c>
      <c r="B30" s="2">
        <v>8</v>
      </c>
      <c r="C30" s="135" t="s">
        <v>104</v>
      </c>
      <c r="D30" s="325" t="str">
        <f>VLOOKUP(C30,Purchased!A:B,2,0)</f>
        <v>BRX GOTO T-NUT 10 M8</v>
      </c>
      <c r="E30" s="326"/>
      <c r="F30" s="108" t="str">
        <f>IF(VLOOKUP($C30,Purchased!A:Z,11,0) = 0, " ", VLOOKUP($C30,Purchased!A:Z,11,0))</f>
        <v>BRX</v>
      </c>
      <c r="G30" s="108" t="str">
        <f>IF(VLOOKUP($C30,Purchased!A:Z,12,0)=0, " ", VLOOKUP($C30,Purchased!A:Z,12,0))</f>
        <v>AAP</v>
      </c>
      <c r="H30" s="327" t="str">
        <f>IF(VLOOKUP($C30,Purchased!A:Z,13,0)=0, " ", VLOOKUP($C30,Purchased!A:Z,13,0))</f>
        <v>400 additional quantity added to 55710</v>
      </c>
      <c r="I30" s="328"/>
      <c r="J30" s="46">
        <f>IF(VLOOKUP($C30,Purchased!A:Z,14,0)=0, " ", VLOOKUP($C30,Purchased!A:Z,14,0))</f>
        <v>45463</v>
      </c>
      <c r="K30" s="46">
        <f>IF(VLOOKUP(C30,Purchased!A:R,14,0)=0, " ", VLOOKUP(C30,Purchased!A:R,14,0))</f>
        <v>45463</v>
      </c>
      <c r="L30" s="46">
        <f>IF(VLOOKUP(C30,Purchased!A:R,15,0)=0, " ", VLOOKUP(C30,Purchased!A:R,15,0))</f>
        <v>45463</v>
      </c>
      <c r="M30" s="46">
        <f>IF(VLOOKUP(C30,Purchased!A:R,16,0)=0, " ",VLOOKUP(C30,Purchased!A:R,16,0))</f>
        <v>45481</v>
      </c>
      <c r="N30" s="130">
        <f>IF(VLOOKUP(C30,Purchased!A:R,17,0)=0, " ", VLOOKUP(C30,Purchased!A:R,17,0))</f>
        <v>45481</v>
      </c>
      <c r="O30" s="47">
        <f t="shared" ca="1" si="6"/>
        <v>24</v>
      </c>
      <c r="P30" s="51">
        <f>VLOOKUP(C30,Purchased!A:D,3,FALSE)</f>
        <v>0.56000000000000005</v>
      </c>
      <c r="Q30" s="52">
        <f t="shared" si="7"/>
        <v>4.4800000000000004</v>
      </c>
    </row>
    <row r="31" spans="1:17" s="2" customFormat="1" ht="12.75" customHeight="1" x14ac:dyDescent="0.25">
      <c r="A31" s="4">
        <v>305</v>
      </c>
      <c r="B31" s="2">
        <v>2</v>
      </c>
      <c r="C31" s="135" t="s">
        <v>295</v>
      </c>
      <c r="D31" s="325" t="str">
        <f>VLOOKUP(C31,Purchased!A:B,2,0)</f>
        <v xml:space="preserve">BRL ball rail 140mm L 25mm nominal size </v>
      </c>
      <c r="E31" s="326"/>
      <c r="F31" s="108" t="str">
        <f>IF(VLOOKUP($C31,Purchased!A:Z,11,0) = 0, " ", VLOOKUP($C31,Purchased!A:Z,11,0))</f>
        <v>BRL</v>
      </c>
      <c r="G31" s="108" t="str">
        <f>IF(VLOOKUP($C31,Purchased!A:Z,12,0)=0, " ", VLOOKUP($C31,Purchased!A:Z,12,0))</f>
        <v>AAP</v>
      </c>
      <c r="H31" s="327" t="str">
        <f>IF(VLOOKUP($C31,Purchased!A:Z,13,0)=0, " ", VLOOKUP($C31,Purchased!A:Z,13,0))</f>
        <v xml:space="preserve"> </v>
      </c>
      <c r="I31" s="328"/>
      <c r="J31" s="46">
        <f>IF(VLOOKUP($C31,Purchased!A:Z,14,0)=0, " ", VLOOKUP($C31,Purchased!A:Z,14,0))</f>
        <v>45456</v>
      </c>
      <c r="K31" s="46">
        <f>IF(VLOOKUP(C31,Purchased!A:R,14,0)=0, " ", VLOOKUP(C31,Purchased!A:R,14,0))</f>
        <v>45456</v>
      </c>
      <c r="L31" s="46">
        <f>IF(VLOOKUP(C31,Purchased!A:R,15,0)=0, " ", VLOOKUP(C31,Purchased!A:R,15,0))</f>
        <v>45456</v>
      </c>
      <c r="M31" s="46">
        <f>IF(VLOOKUP(C31,Purchased!A:R,16,0)=0, " ",VLOOKUP(C31,Purchased!A:R,16,0))</f>
        <v>45502</v>
      </c>
      <c r="N31" s="130">
        <f>IF(VLOOKUP(C31,Purchased!A:R,17,0)=0, " ", VLOOKUP(C31,Purchased!A:R,17,0))</f>
        <v>45509</v>
      </c>
      <c r="O31" s="47">
        <f t="shared" ca="1" si="6"/>
        <v>6</v>
      </c>
      <c r="P31" s="51">
        <f>VLOOKUP(C31,Purchased!A:D,3,FALSE)</f>
        <v>83.248999999999995</v>
      </c>
      <c r="Q31" s="52">
        <f t="shared" si="7"/>
        <v>166.49799999999999</v>
      </c>
    </row>
    <row r="32" spans="1:17" s="2" customFormat="1" ht="12.75" customHeight="1" x14ac:dyDescent="0.25">
      <c r="A32" s="4">
        <v>306</v>
      </c>
      <c r="B32" s="2">
        <v>2</v>
      </c>
      <c r="C32" s="135" t="s">
        <v>256</v>
      </c>
      <c r="D32" s="325" t="str">
        <f>VLOOKUP(C32,Purchased!A:B,2,0)</f>
        <v>BRL Linear Guide Runner Block Sz 25, Standard Flange</v>
      </c>
      <c r="E32" s="326"/>
      <c r="F32" s="108" t="str">
        <f>IF(VLOOKUP($C32,Purchased!A:Z,11,0) = 0, " ", VLOOKUP($C32,Purchased!A:Z,11,0))</f>
        <v>BRL</v>
      </c>
      <c r="G32" s="108" t="str">
        <f>IF(VLOOKUP($C32,Purchased!A:Z,12,0)=0, " ", VLOOKUP($C32,Purchased!A:Z,12,0))</f>
        <v>AAP</v>
      </c>
      <c r="H32" s="327" t="str">
        <f>IF(VLOOKUP($C32,Purchased!A:Z,13,0)=0, " ", VLOOKUP($C32,Purchased!A:Z,13,0))</f>
        <v>Ordered 16 additional PO 55645</v>
      </c>
      <c r="I32" s="328"/>
      <c r="J32" s="46">
        <f>IF(VLOOKUP($C32,Purchased!A:Z,14,0)=0, " ", VLOOKUP($C32,Purchased!A:Z,14,0))</f>
        <v>45456</v>
      </c>
      <c r="K32" s="46">
        <f>IF(VLOOKUP(C32,Purchased!A:R,14,0)=0, " ", VLOOKUP(C32,Purchased!A:R,14,0))</f>
        <v>45456</v>
      </c>
      <c r="L32" s="46">
        <f>IF(VLOOKUP(C32,Purchased!A:R,15,0)=0, " ", VLOOKUP(C32,Purchased!A:R,15,0))</f>
        <v>45456</v>
      </c>
      <c r="M32" s="46">
        <f>IF(VLOOKUP(C32,Purchased!A:R,16,0)=0, " ",VLOOKUP(C32,Purchased!A:R,16,0))</f>
        <v>45502</v>
      </c>
      <c r="N32" s="130">
        <f>IF(VLOOKUP(C32,Purchased!A:R,17,0)=0, " ", VLOOKUP(C32,Purchased!A:R,17,0))</f>
        <v>45505</v>
      </c>
      <c r="O32" s="47">
        <f t="shared" ref="O32:O47" ca="1" si="8">B32*$L$2</f>
        <v>6</v>
      </c>
      <c r="P32" s="51">
        <f>VLOOKUP(C32,Purchased!A:D,3,FALSE)</f>
        <v>138.68</v>
      </c>
      <c r="Q32" s="52">
        <f t="shared" ref="Q32:Q47" si="9">B32*P32</f>
        <v>277.36</v>
      </c>
    </row>
    <row r="33" spans="1:17" s="2" customFormat="1" ht="12.75" customHeight="1" x14ac:dyDescent="0.25">
      <c r="A33" s="4">
        <v>307</v>
      </c>
      <c r="B33" s="2">
        <v>4</v>
      </c>
      <c r="C33" s="135" t="s">
        <v>297</v>
      </c>
      <c r="D33" s="325" t="str">
        <f>VLOOKUP(C33,Purchased!A:B,2,0)</f>
        <v>Zinc-Plated Steel Grease Fitting, 45 Degree Elbow, 1/8 PTF-SAE Male, 57/64" 
Overall Height</v>
      </c>
      <c r="E33" s="326"/>
      <c r="F33" s="108" t="str">
        <f>IF(VLOOKUP($C33,Purchased!A:Z,11,0) = 0, " ", VLOOKUP($C33,Purchased!A:Z,11,0))</f>
        <v>MCM</v>
      </c>
      <c r="G33" s="108" t="str">
        <f>IF(VLOOKUP($C33,Purchased!A:Z,12,0)=0, " ", VLOOKUP($C33,Purchased!A:Z,12,0))</f>
        <v>MCM</v>
      </c>
      <c r="H33" s="327" t="str">
        <f>IF(VLOOKUP($C33,Purchased!A:Z,13,0)=0, " ", VLOOKUP($C33,Purchased!A:Z,13,0))</f>
        <v xml:space="preserve"> </v>
      </c>
      <c r="I33" s="328"/>
      <c r="J33" s="46">
        <f>IF(VLOOKUP($C33,Purchased!A:Z,14,0)=0, " ", VLOOKUP($C33,Purchased!A:Z,14,0))</f>
        <v>45460</v>
      </c>
      <c r="K33" s="46">
        <f>IF(VLOOKUP(C33,Purchased!A:R,14,0)=0, " ", VLOOKUP(C33,Purchased!A:R,14,0))</f>
        <v>45460</v>
      </c>
      <c r="L33" s="46">
        <f>IF(VLOOKUP(C33,Purchased!A:R,15,0)=0, " ", VLOOKUP(C33,Purchased!A:R,15,0))</f>
        <v>45460</v>
      </c>
      <c r="M33" s="46">
        <f>IF(VLOOKUP(C33,Purchased!A:R,16,0)=0, " ",VLOOKUP(C33,Purchased!A:R,16,0))</f>
        <v>45462</v>
      </c>
      <c r="N33" s="130">
        <f>IF(VLOOKUP(C33,Purchased!A:R,17,0)=0, " ", VLOOKUP(C33,Purchased!A:R,17,0))</f>
        <v>45462</v>
      </c>
      <c r="O33" s="47">
        <f t="shared" ca="1" si="8"/>
        <v>12</v>
      </c>
      <c r="P33" s="51">
        <f>VLOOKUP(C33,Purchased!A:D,3,FALSE)</f>
        <v>9.74</v>
      </c>
      <c r="Q33" s="52">
        <f t="shared" si="9"/>
        <v>38.96</v>
      </c>
    </row>
    <row r="34" spans="1:17" s="2" customFormat="1" ht="12.75" customHeight="1" x14ac:dyDescent="0.25">
      <c r="A34" s="4">
        <v>308</v>
      </c>
      <c r="B34" s="2">
        <v>4</v>
      </c>
      <c r="C34" s="135" t="s">
        <v>298</v>
      </c>
      <c r="D34" s="325" t="str">
        <f>VLOOKUP(C34,Purchased!A:B,2,0)</f>
        <v>Alloy Steel Flat-Tip Set Screws, M8 x 1.25 mm Thread, 80 mm Long</v>
      </c>
      <c r="E34" s="326"/>
      <c r="F34" s="108" t="str">
        <f>IF(VLOOKUP($C34,Purchased!A:Z,11,0) = 0, " ", VLOOKUP($C34,Purchased!A:Z,11,0))</f>
        <v>MCM</v>
      </c>
      <c r="G34" s="108" t="str">
        <f>IF(VLOOKUP($C34,Purchased!A:Z,12,0)=0, " ", VLOOKUP($C34,Purchased!A:Z,12,0))</f>
        <v>MCM</v>
      </c>
      <c r="H34" s="327" t="str">
        <f>IF(VLOOKUP($C34,Purchased!A:Z,13,0)=0, " ", VLOOKUP($C34,Purchased!A:Z,13,0))</f>
        <v xml:space="preserve"> </v>
      </c>
      <c r="I34" s="328"/>
      <c r="J34" s="46">
        <f>IF(VLOOKUP($C34,Purchased!A:Z,14,0)=0, " ", VLOOKUP($C34,Purchased!A:Z,14,0))</f>
        <v>45460</v>
      </c>
      <c r="K34" s="46">
        <f>IF(VLOOKUP(C34,Purchased!A:R,14,0)=0, " ", VLOOKUP(C34,Purchased!A:R,14,0))</f>
        <v>45460</v>
      </c>
      <c r="L34" s="46">
        <f>IF(VLOOKUP(C34,Purchased!A:R,15,0)=0, " ", VLOOKUP(C34,Purchased!A:R,15,0))</f>
        <v>45460</v>
      </c>
      <c r="M34" s="46">
        <f>IF(VLOOKUP(C34,Purchased!A:R,16,0)=0, " ",VLOOKUP(C34,Purchased!A:R,16,0))</f>
        <v>45462</v>
      </c>
      <c r="N34" s="130">
        <f>IF(VLOOKUP(C34,Purchased!A:R,17,0)=0, " ", VLOOKUP(C34,Purchased!A:R,17,0))</f>
        <v>45462</v>
      </c>
      <c r="O34" s="47">
        <f t="shared" ca="1" si="8"/>
        <v>12</v>
      </c>
      <c r="P34" s="51">
        <f>VLOOKUP(C34,Purchased!A:D,3,FALSE)</f>
        <v>14.77</v>
      </c>
      <c r="Q34" s="52">
        <f t="shared" si="9"/>
        <v>59.08</v>
      </c>
    </row>
    <row r="35" spans="1:17" s="2" customFormat="1" ht="12.75" customHeight="1" x14ac:dyDescent="0.25">
      <c r="A35" s="4">
        <v>309</v>
      </c>
      <c r="B35" s="2">
        <v>2</v>
      </c>
      <c r="C35" s="135" t="s">
        <v>299</v>
      </c>
      <c r="D35" s="325" t="str">
        <f>VLOOKUP(C35,Purchased!A:B,2,0)</f>
        <v>Steel Oversized Washer for M12 Screw Size, 12 mm ID, 25 mm OD</v>
      </c>
      <c r="E35" s="326"/>
      <c r="F35" s="108" t="str">
        <f>IF(VLOOKUP($C35,Purchased!A:Z,11,0) = 0, " ", VLOOKUP($C35,Purchased!A:Z,11,0))</f>
        <v>MCM</v>
      </c>
      <c r="G35" s="108" t="str">
        <f>IF(VLOOKUP($C35,Purchased!A:Z,12,0)=0, " ", VLOOKUP($C35,Purchased!A:Z,12,0))</f>
        <v>MCM</v>
      </c>
      <c r="H35" s="327" t="str">
        <f>IF(VLOOKUP($C35,Purchased!A:Z,13,0)=0, " ", VLOOKUP($C35,Purchased!A:Z,13,0))</f>
        <v xml:space="preserve"> </v>
      </c>
      <c r="I35" s="328"/>
      <c r="J35" s="46">
        <f>IF(VLOOKUP($C35,Purchased!A:Z,14,0)=0, " ", VLOOKUP($C35,Purchased!A:Z,14,0))</f>
        <v>45460</v>
      </c>
      <c r="K35" s="46">
        <f>IF(VLOOKUP(C35,Purchased!A:R,14,0)=0, " ", VLOOKUP(C35,Purchased!A:R,14,0))</f>
        <v>45460</v>
      </c>
      <c r="L35" s="46">
        <f>IF(VLOOKUP(C35,Purchased!A:R,15,0)=0, " ", VLOOKUP(C35,Purchased!A:R,15,0))</f>
        <v>45460</v>
      </c>
      <c r="M35" s="46">
        <f>IF(VLOOKUP(C35,Purchased!A:R,16,0)=0, " ",VLOOKUP(C35,Purchased!A:R,16,0))</f>
        <v>45462</v>
      </c>
      <c r="N35" s="130">
        <f>IF(VLOOKUP(C35,Purchased!A:R,17,0)=0, " ", VLOOKUP(C35,Purchased!A:R,17,0))</f>
        <v>45462</v>
      </c>
      <c r="O35" s="47">
        <f t="shared" ca="1" si="8"/>
        <v>6</v>
      </c>
      <c r="P35" s="51">
        <f>VLOOKUP(C35,Purchased!A:D,3,FALSE)</f>
        <v>10</v>
      </c>
      <c r="Q35" s="52">
        <f t="shared" si="9"/>
        <v>20</v>
      </c>
    </row>
    <row r="36" spans="1:17" s="2" customFormat="1" ht="12.75" customHeight="1" x14ac:dyDescent="0.25">
      <c r="A36" s="4">
        <v>310</v>
      </c>
      <c r="B36" s="2">
        <v>8</v>
      </c>
      <c r="C36" s="135" t="s">
        <v>300</v>
      </c>
      <c r="D36" s="325" t="str">
        <f>VLOOKUP(C36,Purchased!A:B,2,0)</f>
        <v>Dowel Pin 52100 Alloy Steel, 10 mm Diameter, 30 mm Long</v>
      </c>
      <c r="E36" s="326"/>
      <c r="F36" s="108" t="str">
        <f>IF(VLOOKUP($C36,Purchased!A:Z,11,0) = 0, " ", VLOOKUP($C36,Purchased!A:Z,11,0))</f>
        <v>MCM</v>
      </c>
      <c r="G36" s="108" t="str">
        <f>IF(VLOOKUP($C36,Purchased!A:Z,12,0)=0, " ", VLOOKUP($C36,Purchased!A:Z,12,0))</f>
        <v>MCM</v>
      </c>
      <c r="H36" s="327" t="str">
        <f>IF(VLOOKUP($C36,Purchased!A:Z,13,0)=0, " ", VLOOKUP($C36,Purchased!A:Z,13,0))</f>
        <v>4 Additional Quantity Added to 55697</v>
      </c>
      <c r="I36" s="328"/>
      <c r="J36" s="46">
        <f>IF(VLOOKUP($C36,Purchased!A:Z,14,0)=0, " ", VLOOKUP($C36,Purchased!A:Z,14,0))</f>
        <v>45460</v>
      </c>
      <c r="K36" s="46">
        <f>IF(VLOOKUP(C36,Purchased!A:R,14,0)=0, " ", VLOOKUP(C36,Purchased!A:R,14,0))</f>
        <v>45460</v>
      </c>
      <c r="L36" s="46">
        <f>IF(VLOOKUP(C36,Purchased!A:R,15,0)=0, " ", VLOOKUP(C36,Purchased!A:R,15,0))</f>
        <v>45460</v>
      </c>
      <c r="M36" s="46">
        <f>IF(VLOOKUP(C36,Purchased!A:R,16,0)=0, " ",VLOOKUP(C36,Purchased!A:R,16,0))</f>
        <v>45462</v>
      </c>
      <c r="N36" s="130">
        <f>IF(VLOOKUP(C36,Purchased!A:R,17,0)=0, " ", VLOOKUP(C36,Purchased!A:R,17,0))</f>
        <v>45462</v>
      </c>
      <c r="O36" s="47">
        <f t="shared" ca="1" si="8"/>
        <v>24</v>
      </c>
      <c r="P36" s="51">
        <f>VLOOKUP(C36,Purchased!A:D,3,FALSE)</f>
        <v>12.91</v>
      </c>
      <c r="Q36" s="52">
        <f t="shared" si="9"/>
        <v>103.28</v>
      </c>
    </row>
    <row r="37" spans="1:17" s="2" customFormat="1" ht="12.75" customHeight="1" x14ac:dyDescent="0.25">
      <c r="A37" s="4">
        <v>311</v>
      </c>
      <c r="B37" s="2">
        <v>4</v>
      </c>
      <c r="C37" s="135" t="s">
        <v>301</v>
      </c>
      <c r="D37" s="325" t="str">
        <f>VLOOKUP(C37,Purchased!A:B,2,0)</f>
        <v>Alloy Steel Shoulder Screws, 12 mm Shoulder Diameter, 30 mm Shoulder 
Length, M10 x 1.5 mm Thread</v>
      </c>
      <c r="E37" s="326"/>
      <c r="F37" s="108" t="str">
        <f>IF(VLOOKUP($C37,Purchased!A:Z,11,0) = 0, " ", VLOOKUP($C37,Purchased!A:Z,11,0))</f>
        <v>MCM</v>
      </c>
      <c r="G37" s="108" t="str">
        <f>IF(VLOOKUP($C37,Purchased!A:Z,12,0)=0, " ", VLOOKUP($C37,Purchased!A:Z,12,0))</f>
        <v>MCM</v>
      </c>
      <c r="H37" s="327" t="str">
        <f>IF(VLOOKUP($C37,Purchased!A:Z,13,0)=0, " ", VLOOKUP($C37,Purchased!A:Z,13,0))</f>
        <v xml:space="preserve"> </v>
      </c>
      <c r="I37" s="328"/>
      <c r="J37" s="46">
        <f>IF(VLOOKUP($C37,Purchased!A:Z,14,0)=0, " ", VLOOKUP($C37,Purchased!A:Z,14,0))</f>
        <v>45460</v>
      </c>
      <c r="K37" s="46">
        <f>IF(VLOOKUP(C37,Purchased!A:R,14,0)=0, " ", VLOOKUP(C37,Purchased!A:R,14,0))</f>
        <v>45460</v>
      </c>
      <c r="L37" s="46">
        <f>IF(VLOOKUP(C37,Purchased!A:R,15,0)=0, " ", VLOOKUP(C37,Purchased!A:R,15,0))</f>
        <v>45460</v>
      </c>
      <c r="M37" s="46">
        <f>IF(VLOOKUP(C37,Purchased!A:R,16,0)=0, " ",VLOOKUP(C37,Purchased!A:R,16,0))</f>
        <v>45462</v>
      </c>
      <c r="N37" s="130">
        <f>IF(VLOOKUP(C37,Purchased!A:R,17,0)=0, " ", VLOOKUP(C37,Purchased!A:R,17,0))</f>
        <v>45462</v>
      </c>
      <c r="O37" s="47">
        <f t="shared" ca="1" si="8"/>
        <v>12</v>
      </c>
      <c r="P37" s="51">
        <f>VLOOKUP(C37,Purchased!A:D,3,FALSE)</f>
        <v>4.71</v>
      </c>
      <c r="Q37" s="52">
        <f t="shared" si="9"/>
        <v>18.84</v>
      </c>
    </row>
    <row r="38" spans="1:17" s="2" customFormat="1" ht="12.75" customHeight="1" x14ac:dyDescent="0.25">
      <c r="A38" s="4">
        <v>312</v>
      </c>
      <c r="B38" s="2">
        <v>2</v>
      </c>
      <c r="C38" s="135" t="s">
        <v>227</v>
      </c>
      <c r="D38" s="325" t="str">
        <f>VLOOKUP(C38,Purchased!A:B,2,0)</f>
        <v>KQ2 one touch fitting, 8mm D elbow</v>
      </c>
      <c r="E38" s="326"/>
      <c r="F38" s="108" t="str">
        <f>IF(VLOOKUP($C38,Purchased!A:Z,11,0) = 0, " ", VLOOKUP($C38,Purchased!A:Z,11,0))</f>
        <v>SMC</v>
      </c>
      <c r="G38" s="108" t="str">
        <f>IF(VLOOKUP($C38,Purchased!A:Z,12,0)=0, " ", VLOOKUP($C38,Purchased!A:Z,12,0))</f>
        <v>AAP</v>
      </c>
      <c r="H38" s="327" t="str">
        <f>IF(VLOOKUP($C38,Purchased!A:Z,13,0)=0, " ", VLOOKUP($C38,Purchased!A:Z,13,0))</f>
        <v xml:space="preserve"> </v>
      </c>
      <c r="I38" s="328"/>
      <c r="J38" s="46">
        <f>IF(VLOOKUP($C38,Purchased!A:Z,14,0)=0, " ", VLOOKUP($C38,Purchased!A:Z,14,0))</f>
        <v>45489</v>
      </c>
      <c r="K38" s="46">
        <f>IF(VLOOKUP(C38,Purchased!A:R,14,0)=0, " ", VLOOKUP(C38,Purchased!A:R,14,0))</f>
        <v>45489</v>
      </c>
      <c r="L38" s="46">
        <f>IF(VLOOKUP(C38,Purchased!A:R,15,0)=0, " ", VLOOKUP(C38,Purchased!A:R,15,0))</f>
        <v>45491</v>
      </c>
      <c r="M38" s="46">
        <f>IF(VLOOKUP(C38,Purchased!A:R,16,0)=0, " ",VLOOKUP(C38,Purchased!A:R,16,0))</f>
        <v>45520</v>
      </c>
      <c r="N38" s="130">
        <f>IF(VLOOKUP(C38,Purchased!A:R,17,0)=0, " ", VLOOKUP(C38,Purchased!A:R,17,0))</f>
        <v>45511</v>
      </c>
      <c r="O38" s="47">
        <f t="shared" ca="1" si="8"/>
        <v>6</v>
      </c>
      <c r="P38" s="51">
        <f>VLOOKUP(C38,Purchased!A:D,3,FALSE)</f>
        <v>1.86</v>
      </c>
      <c r="Q38" s="52">
        <f t="shared" si="9"/>
        <v>3.72</v>
      </c>
    </row>
    <row r="39" spans="1:17" s="2" customFormat="1" ht="12.75" customHeight="1" x14ac:dyDescent="0.25">
      <c r="A39" s="4">
        <v>313</v>
      </c>
      <c r="B39" s="2">
        <v>4</v>
      </c>
      <c r="C39" s="135" t="s">
        <v>302</v>
      </c>
      <c r="D39" s="325" t="str">
        <f>VLOOKUP(C39,Purchased!A:B,2,0)</f>
        <v>KQ2 elbow fitting 3/8in port to 8mm dia tubing</v>
      </c>
      <c r="E39" s="326"/>
      <c r="F39" s="108" t="str">
        <f>IF(VLOOKUP($C39,Purchased!A:Z,11,0) = 0, " ", VLOOKUP($C39,Purchased!A:Z,11,0))</f>
        <v>SMC</v>
      </c>
      <c r="G39" s="108" t="str">
        <f>IF(VLOOKUP($C39,Purchased!A:Z,12,0)=0, " ", VLOOKUP($C39,Purchased!A:Z,12,0))</f>
        <v>AAP</v>
      </c>
      <c r="H39" s="327" t="str">
        <f>IF(VLOOKUP($C39,Purchased!A:Z,13,0)=0, " ", VLOOKUP($C39,Purchased!A:Z,13,0))</f>
        <v xml:space="preserve"> </v>
      </c>
      <c r="I39" s="328"/>
      <c r="J39" s="46">
        <f>IF(VLOOKUP($C39,Purchased!A:Z,14,0)=0, " ", VLOOKUP($C39,Purchased!A:Z,14,0))</f>
        <v>45489</v>
      </c>
      <c r="K39" s="46">
        <f>IF(VLOOKUP(C39,Purchased!A:R,14,0)=0, " ", VLOOKUP(C39,Purchased!A:R,14,0))</f>
        <v>45489</v>
      </c>
      <c r="L39" s="46">
        <f>IF(VLOOKUP(C39,Purchased!A:R,15,0)=0, " ", VLOOKUP(C39,Purchased!A:R,15,0))</f>
        <v>45491</v>
      </c>
      <c r="M39" s="46">
        <f>IF(VLOOKUP(C39,Purchased!A:R,16,0)=0, " ",VLOOKUP(C39,Purchased!A:R,16,0))</f>
        <v>45520</v>
      </c>
      <c r="N39" s="130">
        <f>IF(VLOOKUP(C39,Purchased!A:R,17,0)=0, " ", VLOOKUP(C39,Purchased!A:R,17,0))</f>
        <v>45511</v>
      </c>
      <c r="O39" s="47">
        <f t="shared" ca="1" si="8"/>
        <v>12</v>
      </c>
      <c r="P39" s="51">
        <f>VLOOKUP(C39,Purchased!A:D,3,FALSE)</f>
        <v>2.5499999999999998</v>
      </c>
      <c r="Q39" s="52">
        <f t="shared" si="9"/>
        <v>10.199999999999999</v>
      </c>
    </row>
    <row r="40" spans="1:17" s="2" customFormat="1" ht="12.75" customHeight="1" x14ac:dyDescent="0.25">
      <c r="A40" s="4">
        <v>314</v>
      </c>
      <c r="B40" s="2">
        <v>2</v>
      </c>
      <c r="C40" s="135" t="s">
        <v>303</v>
      </c>
      <c r="D40" s="325" t="str">
        <f>VLOOKUP(C40,Purchased!A:B,2,0)</f>
        <v>CDQ2 compact cylinder double acting single rod 80mm bore 25mm stroke</v>
      </c>
      <c r="E40" s="326"/>
      <c r="F40" s="108" t="str">
        <f>IF(VLOOKUP($C40,Purchased!A:Z,11,0) = 0, " ", VLOOKUP($C40,Purchased!A:Z,11,0))</f>
        <v>SMC</v>
      </c>
      <c r="G40" s="108" t="str">
        <f>IF(VLOOKUP($C40,Purchased!A:Z,12,0)=0, " ", VLOOKUP($C40,Purchased!A:Z,12,0))</f>
        <v>AAP</v>
      </c>
      <c r="H40" s="327" t="str">
        <f>IF(VLOOKUP($C40,Purchased!A:Z,13,0)=0, " ", VLOOKUP($C40,Purchased!A:Z,13,0))</f>
        <v xml:space="preserve"> </v>
      </c>
      <c r="I40" s="328"/>
      <c r="J40" s="46">
        <f>IF(VLOOKUP($C40,Purchased!A:Z,14,0)=0, " ", VLOOKUP($C40,Purchased!A:Z,14,0))</f>
        <v>45456</v>
      </c>
      <c r="K40" s="46">
        <f>IF(VLOOKUP(C40,Purchased!A:R,14,0)=0, " ", VLOOKUP(C40,Purchased!A:R,14,0))</f>
        <v>45456</v>
      </c>
      <c r="L40" s="46">
        <f>IF(VLOOKUP(C40,Purchased!A:R,15,0)=0, " ", VLOOKUP(C40,Purchased!A:R,15,0))</f>
        <v>45456</v>
      </c>
      <c r="M40" s="46">
        <f>IF(VLOOKUP(C40,Purchased!A:R,16,0)=0, " ",VLOOKUP(C40,Purchased!A:R,16,0))</f>
        <v>45502</v>
      </c>
      <c r="N40" s="130">
        <f>IF(VLOOKUP(C40,Purchased!A:R,17,0)=0, " ", VLOOKUP(C40,Purchased!A:R,17,0))</f>
        <v>45505</v>
      </c>
      <c r="O40" s="47">
        <f t="shared" ca="1" si="8"/>
        <v>6</v>
      </c>
      <c r="P40" s="51">
        <f>VLOOKUP(C40,Purchased!A:D,3,FALSE)</f>
        <v>91.17</v>
      </c>
      <c r="Q40" s="52">
        <f t="shared" si="9"/>
        <v>182.34</v>
      </c>
    </row>
    <row r="41" spans="1:17" s="2" customFormat="1" ht="12.75" customHeight="1" x14ac:dyDescent="0.25">
      <c r="A41" s="4">
        <v>315</v>
      </c>
      <c r="B41" s="2">
        <v>2</v>
      </c>
      <c r="C41" s="135" t="s">
        <v>304</v>
      </c>
      <c r="D41" s="325" t="str">
        <f>VLOOKUP(C41,Purchased!A:B,2,0)</f>
        <v>KQ2 fitting T junction 8mm tubing for all</v>
      </c>
      <c r="E41" s="326"/>
      <c r="F41" s="108" t="str">
        <f>IF(VLOOKUP($C41,Purchased!A:Z,11,0) = 0, " ", VLOOKUP($C41,Purchased!A:Z,11,0))</f>
        <v>SMC</v>
      </c>
      <c r="G41" s="108" t="str">
        <f>IF(VLOOKUP($C41,Purchased!A:Z,12,0)=0, " ", VLOOKUP($C41,Purchased!A:Z,12,0))</f>
        <v>AAP</v>
      </c>
      <c r="H41" s="327" t="str">
        <f>IF(VLOOKUP($C41,Purchased!A:Z,13,0)=0, " ", VLOOKUP($C41,Purchased!A:Z,13,0))</f>
        <v xml:space="preserve"> </v>
      </c>
      <c r="I41" s="328"/>
      <c r="J41" s="46">
        <f>IF(VLOOKUP($C41,Purchased!A:Z,14,0)=0, " ", VLOOKUP($C41,Purchased!A:Z,14,0))</f>
        <v>45489</v>
      </c>
      <c r="K41" s="46">
        <f>IF(VLOOKUP(C41,Purchased!A:R,14,0)=0, " ", VLOOKUP(C41,Purchased!A:R,14,0))</f>
        <v>45489</v>
      </c>
      <c r="L41" s="46">
        <f>IF(VLOOKUP(C41,Purchased!A:R,15,0)=0, " ", VLOOKUP(C41,Purchased!A:R,15,0))</f>
        <v>45491</v>
      </c>
      <c r="M41" s="46">
        <f>IF(VLOOKUP(C41,Purchased!A:R,16,0)=0, " ",VLOOKUP(C41,Purchased!A:R,16,0))</f>
        <v>45520</v>
      </c>
      <c r="N41" s="130">
        <f>IF(VLOOKUP(C41,Purchased!A:R,17,0)=0, " ", VLOOKUP(C41,Purchased!A:R,17,0))</f>
        <v>45511</v>
      </c>
      <c r="O41" s="47">
        <f t="shared" ca="1" si="8"/>
        <v>6</v>
      </c>
      <c r="P41" s="51">
        <f>VLOOKUP(C41,Purchased!A:D,3,FALSE)</f>
        <v>2.44</v>
      </c>
      <c r="Q41" s="52">
        <f t="shared" si="9"/>
        <v>4.88</v>
      </c>
    </row>
    <row r="42" spans="1:17" s="2" customFormat="1" ht="12.75" customHeight="1" x14ac:dyDescent="0.25">
      <c r="A42" s="4">
        <v>316</v>
      </c>
      <c r="B42" s="54">
        <f>2/3</f>
        <v>0.66666666666666663</v>
      </c>
      <c r="C42" s="135" t="s">
        <v>307</v>
      </c>
      <c r="D42" s="325" t="str">
        <f>VLOOKUP(C42,Purchased!A:B,2,0)</f>
        <v>STOBER - Power cable -56876, 15MTR</v>
      </c>
      <c r="E42" s="326"/>
      <c r="F42" s="108" t="str">
        <f>IF(VLOOKUP($C42,Purchased!A:Z,11,0) = 0, " ", VLOOKUP($C42,Purchased!A:Z,11,0))</f>
        <v>STOBER</v>
      </c>
      <c r="G42" s="108" t="str">
        <f>IF(VLOOKUP($C42,Purchased!A:Z,12,0)=0, " ", VLOOKUP($C42,Purchased!A:Z,12,0))</f>
        <v>AAP</v>
      </c>
      <c r="H42" s="327" t="str">
        <f>IF(VLOOKUP($C42,Purchased!A:Z,13,0)=0, " ", VLOOKUP($C42,Purchased!A:Z,13,0))</f>
        <v xml:space="preserve"> </v>
      </c>
      <c r="I42" s="328"/>
      <c r="J42" s="46">
        <f>IF(VLOOKUP($C42,Purchased!A:Z,14,0)=0, " ", VLOOKUP($C42,Purchased!A:Z,14,0))</f>
        <v>45463</v>
      </c>
      <c r="K42" s="46">
        <f>IF(VLOOKUP(C42,Purchased!A:R,14,0)=0, " ", VLOOKUP(C42,Purchased!A:R,14,0))</f>
        <v>45463</v>
      </c>
      <c r="L42" s="46">
        <f>IF(VLOOKUP(C42,Purchased!A:R,15,0)=0, " ", VLOOKUP(C42,Purchased!A:R,15,0))</f>
        <v>45464</v>
      </c>
      <c r="M42" s="46">
        <f>IF(VLOOKUP(C42,Purchased!A:R,16,0)=0, " ",VLOOKUP(C42,Purchased!A:R,16,0))</f>
        <v>45532</v>
      </c>
      <c r="N42" s="130">
        <f>IF(VLOOKUP(C42,Purchased!A:R,17,0)=0, " ", VLOOKUP(C42,Purchased!A:R,17,0))</f>
        <v>45532</v>
      </c>
      <c r="O42" s="47">
        <f t="shared" ca="1" si="8"/>
        <v>2</v>
      </c>
      <c r="P42" s="51">
        <f>VLOOKUP(C42,Purchased!A:D,3,FALSE)</f>
        <v>325.7473</v>
      </c>
      <c r="Q42" s="52">
        <f t="shared" si="9"/>
        <v>217.16486666666665</v>
      </c>
    </row>
    <row r="43" spans="1:17" s="2" customFormat="1" ht="12.75" customHeight="1" x14ac:dyDescent="0.25">
      <c r="A43" s="4">
        <v>317</v>
      </c>
      <c r="B43" s="54">
        <f>2/3</f>
        <v>0.66666666666666663</v>
      </c>
      <c r="C43" s="135" t="s">
        <v>308</v>
      </c>
      <c r="D43" s="325" t="str">
        <f>VLOOKUP(C43,Purchased!A:B,2,0)</f>
        <v>STOBER - Encoder cable -57815, 15MTR</v>
      </c>
      <c r="E43" s="326"/>
      <c r="F43" s="108" t="str">
        <f>IF(VLOOKUP($C43,Purchased!A:Z,11,0) = 0, " ", VLOOKUP($C43,Purchased!A:Z,11,0))</f>
        <v>STOBER</v>
      </c>
      <c r="G43" s="108" t="str">
        <f>IF(VLOOKUP($C43,Purchased!A:Z,12,0)=0, " ", VLOOKUP($C43,Purchased!A:Z,12,0))</f>
        <v>AAP</v>
      </c>
      <c r="H43" s="327" t="str">
        <f>IF(VLOOKUP($C43,Purchased!A:Z,13,0)=0, " ", VLOOKUP($C43,Purchased!A:Z,13,0))</f>
        <v xml:space="preserve"> </v>
      </c>
      <c r="I43" s="328"/>
      <c r="J43" s="46">
        <f>IF(VLOOKUP($C43,Purchased!A:Z,14,0)=0, " ", VLOOKUP($C43,Purchased!A:Z,14,0))</f>
        <v>45463</v>
      </c>
      <c r="K43" s="46">
        <f>IF(VLOOKUP(C43,Purchased!A:R,14,0)=0, " ", VLOOKUP(C43,Purchased!A:R,14,0))</f>
        <v>45463</v>
      </c>
      <c r="L43" s="46">
        <f>IF(VLOOKUP(C43,Purchased!A:R,15,0)=0, " ", VLOOKUP(C43,Purchased!A:R,15,0))</f>
        <v>45464</v>
      </c>
      <c r="M43" s="46">
        <f>IF(VLOOKUP(C43,Purchased!A:R,16,0)=0, " ",VLOOKUP(C43,Purchased!A:R,16,0))</f>
        <v>45532</v>
      </c>
      <c r="N43" s="130">
        <f>IF(VLOOKUP(C43,Purchased!A:R,17,0)=0, " ", VLOOKUP(C43,Purchased!A:R,17,0))</f>
        <v>45532</v>
      </c>
      <c r="O43" s="47">
        <f t="shared" ca="1" si="8"/>
        <v>2</v>
      </c>
      <c r="P43" s="51">
        <f>VLOOKUP(C43,Purchased!A:D,3,FALSE)</f>
        <v>340.1893</v>
      </c>
      <c r="Q43" s="52">
        <f t="shared" si="9"/>
        <v>226.79286666666667</v>
      </c>
    </row>
    <row r="44" spans="1:17" s="2" customFormat="1" ht="12.75" customHeight="1" x14ac:dyDescent="0.25">
      <c r="A44" s="4">
        <v>318</v>
      </c>
      <c r="B44" s="54">
        <f>1/3</f>
        <v>0.33333333333333331</v>
      </c>
      <c r="C44" s="135" t="s">
        <v>425</v>
      </c>
      <c r="D44" s="325" t="str">
        <f>VLOOKUP(C44,Purchased!A:B,2,0)</f>
        <v>STOBER - Power cable -56876, 10MTR</v>
      </c>
      <c r="E44" s="326"/>
      <c r="F44" s="108" t="str">
        <f>IF(VLOOKUP($C44,Purchased!A:Z,11,0) = 0, " ", VLOOKUP($C44,Purchased!A:Z,11,0))</f>
        <v>STOBER</v>
      </c>
      <c r="G44" s="108" t="str">
        <f>IF(VLOOKUP($C44,Purchased!A:Z,12,0)=0, " ", VLOOKUP($C44,Purchased!A:Z,12,0))</f>
        <v>AAP</v>
      </c>
      <c r="H44" s="327" t="str">
        <f>IF(VLOOKUP($C44,Purchased!A:Z,13,0)=0, " ", VLOOKUP($C44,Purchased!A:Z,13,0))</f>
        <v xml:space="preserve"> </v>
      </c>
      <c r="I44" s="328"/>
      <c r="J44" s="46">
        <f>IF(VLOOKUP($C44,Purchased!A:Z,14,0)=0, " ", VLOOKUP($C44,Purchased!A:Z,14,0))</f>
        <v>45463</v>
      </c>
      <c r="K44" s="46">
        <f>IF(VLOOKUP(C44,Purchased!A:R,14,0)=0, " ", VLOOKUP(C44,Purchased!A:R,14,0))</f>
        <v>45463</v>
      </c>
      <c r="L44" s="46">
        <f>IF(VLOOKUP(C44,Purchased!A:R,15,0)=0, " ", VLOOKUP(C44,Purchased!A:R,15,0))</f>
        <v>45464</v>
      </c>
      <c r="M44" s="46">
        <f>IF(VLOOKUP(C44,Purchased!A:R,16,0)=0, " ",VLOOKUP(C44,Purchased!A:R,16,0))</f>
        <v>45532</v>
      </c>
      <c r="N44" s="130">
        <f>IF(VLOOKUP(C44,Purchased!A:R,17,0)=0, " ", VLOOKUP(C44,Purchased!A:R,17,0))</f>
        <v>45532</v>
      </c>
      <c r="O44" s="47">
        <f t="shared" ca="1" si="8"/>
        <v>1</v>
      </c>
      <c r="P44" s="51">
        <f>VLOOKUP(C44,Purchased!A:D,3,FALSE)</f>
        <v>290.44470000000001</v>
      </c>
      <c r="Q44" s="52">
        <f t="shared" si="9"/>
        <v>96.814899999999994</v>
      </c>
    </row>
    <row r="45" spans="1:17" s="2" customFormat="1" ht="12.75" customHeight="1" x14ac:dyDescent="0.25">
      <c r="A45" s="4">
        <v>319</v>
      </c>
      <c r="B45" s="54">
        <f>1/3</f>
        <v>0.33333333333333331</v>
      </c>
      <c r="C45" s="135" t="s">
        <v>426</v>
      </c>
      <c r="D45" s="325" t="str">
        <f>VLOOKUP(C45,Purchased!A:B,2,0)</f>
        <v>STOBER - Encoder cable -57815, 10MTR</v>
      </c>
      <c r="E45" s="326"/>
      <c r="F45" s="108" t="str">
        <f>IF(VLOOKUP($C45,Purchased!A:Z,11,0) = 0, " ", VLOOKUP($C45,Purchased!A:Z,11,0))</f>
        <v>STOBER</v>
      </c>
      <c r="G45" s="108" t="str">
        <f>IF(VLOOKUP($C45,Purchased!A:Z,12,0)=0, " ", VLOOKUP($C45,Purchased!A:Z,12,0))</f>
        <v>AAP</v>
      </c>
      <c r="H45" s="327" t="str">
        <f>IF(VLOOKUP($C45,Purchased!A:Z,13,0)=0, " ", VLOOKUP($C45,Purchased!A:Z,13,0))</f>
        <v xml:space="preserve"> </v>
      </c>
      <c r="I45" s="328"/>
      <c r="J45" s="46">
        <f>IF(VLOOKUP($C45,Purchased!A:Z,14,0)=0, " ", VLOOKUP($C45,Purchased!A:Z,14,0))</f>
        <v>45463</v>
      </c>
      <c r="K45" s="46">
        <f>IF(VLOOKUP(C45,Purchased!A:R,14,0)=0, " ", VLOOKUP(C45,Purchased!A:R,14,0))</f>
        <v>45463</v>
      </c>
      <c r="L45" s="46">
        <f>IF(VLOOKUP(C45,Purchased!A:R,15,0)=0, " ", VLOOKUP(C45,Purchased!A:R,15,0))</f>
        <v>45464</v>
      </c>
      <c r="M45" s="46">
        <f>IF(VLOOKUP(C45,Purchased!A:R,16,0)=0, " ",VLOOKUP(C45,Purchased!A:R,16,0))</f>
        <v>45532</v>
      </c>
      <c r="N45" s="130">
        <f>IF(VLOOKUP(C45,Purchased!A:R,17,0)=0, " ", VLOOKUP(C45,Purchased!A:R,17,0))</f>
        <v>45532</v>
      </c>
      <c r="O45" s="47">
        <f ca="1">B45*$L$2</f>
        <v>1</v>
      </c>
      <c r="P45" s="51">
        <f>VLOOKUP(C45,Purchased!A:D,3,FALSE)</f>
        <v>259.95600000000002</v>
      </c>
      <c r="Q45" s="52">
        <f>B45*P45</f>
        <v>86.652000000000001</v>
      </c>
    </row>
    <row r="46" spans="1:17" s="2" customFormat="1" ht="12.75" customHeight="1" x14ac:dyDescent="0.25">
      <c r="A46" s="4">
        <v>320</v>
      </c>
      <c r="B46" s="54">
        <v>4</v>
      </c>
      <c r="C46" s="135" t="s">
        <v>427</v>
      </c>
      <c r="D46" s="325" t="str">
        <f>VLOOKUP(C46,Purchased!A:B,2,0)</f>
        <v>GN 300.1-63-M8-25-SW Adjustable handles with threaded screw</v>
      </c>
      <c r="E46" s="326"/>
      <c r="F46" s="108" t="str">
        <f>IF(VLOOKUP($C46,Purchased!A:Z,11,0) = 0, " ", VLOOKUP($C46,Purchased!A:Z,11,0))</f>
        <v>ELESA</v>
      </c>
      <c r="G46" s="108" t="str">
        <f>IF(VLOOKUP($C46,Purchased!A:Z,12,0)=0, " ", VLOOKUP($C46,Purchased!A:Z,12,0))</f>
        <v>ELESA</v>
      </c>
      <c r="H46" s="327" t="str">
        <f>IF(VLOOKUP($C46,Purchased!A:Z,13,0)=0, " ", VLOOKUP($C46,Purchased!A:Z,13,0))</f>
        <v xml:space="preserve"> </v>
      </c>
      <c r="I46" s="328"/>
      <c r="J46" s="46">
        <f>IF(VLOOKUP($C46,Purchased!A:Z,14,0)=0, " ", VLOOKUP($C46,Purchased!A:Z,14,0))</f>
        <v>45506</v>
      </c>
      <c r="K46" s="46">
        <f>IF(VLOOKUP(C46,Purchased!A:R,14,0)=0, " ", VLOOKUP(C46,Purchased!A:R,14,0))</f>
        <v>45506</v>
      </c>
      <c r="L46" s="46">
        <f>IF(VLOOKUP(C46,Purchased!A:R,15,0)=0, " ", VLOOKUP(C46,Purchased!A:R,15,0))</f>
        <v>45526</v>
      </c>
      <c r="M46" s="46">
        <f>IF(VLOOKUP(C46,Purchased!A:R,16,0)=0, " ",VLOOKUP(C46,Purchased!A:R,16,0))</f>
        <v>45551</v>
      </c>
      <c r="N46" s="130">
        <f>IF(VLOOKUP(C46,Purchased!A:R,17,0)=0, " ", VLOOKUP(C46,Purchased!A:R,17,0))</f>
        <v>45551</v>
      </c>
      <c r="O46" s="47">
        <f ca="1">B46*$L$2</f>
        <v>12</v>
      </c>
      <c r="P46" s="51">
        <f>VLOOKUP(C46,Purchased!A:D,3,FALSE)</f>
        <v>11.6</v>
      </c>
      <c r="Q46" s="52">
        <f>B46*P46</f>
        <v>46.4</v>
      </c>
    </row>
    <row r="47" spans="1:17" s="2" customFormat="1" ht="12.75" customHeight="1" x14ac:dyDescent="0.25">
      <c r="A47" s="4">
        <v>321</v>
      </c>
      <c r="B47" s="54">
        <v>4</v>
      </c>
      <c r="C47" s="135">
        <v>3842529323</v>
      </c>
      <c r="D47" s="325" t="str">
        <f>VLOOKUP(C47,Purchased!A:B,2,0)</f>
        <v>BRX 3842529323 - M6 SLIDING BLOCK</v>
      </c>
      <c r="E47" s="326"/>
      <c r="F47" s="108" t="str">
        <f>IF(VLOOKUP($C47,Purchased!A:Z,11,0) = 0, " ", VLOOKUP($C47,Purchased!A:Z,11,0))</f>
        <v>BRX</v>
      </c>
      <c r="G47" s="108" t="str">
        <f>IF(VLOOKUP($C47,Purchased!A:Z,12,0)=0, " ", VLOOKUP($C47,Purchased!A:Z,12,0))</f>
        <v>AAP</v>
      </c>
      <c r="H47" s="327" t="str">
        <f>IF(VLOOKUP($C47,Purchased!A:Z,13,0)=0, " ", VLOOKUP($C47,Purchased!A:Z,13,0))</f>
        <v xml:space="preserve"> </v>
      </c>
      <c r="I47" s="328"/>
      <c r="J47" s="46" t="str">
        <f>IF(VLOOKUP($C47,Purchased!A:Z,14,0)=0, " ", VLOOKUP($C47,Purchased!A:Z,14,0))</f>
        <v xml:space="preserve"> </v>
      </c>
      <c r="K47" s="46" t="str">
        <f>IF(VLOOKUP(C47,Purchased!A:R,14,0)=0, " ", VLOOKUP(C47,Purchased!A:R,14,0))</f>
        <v xml:space="preserve"> </v>
      </c>
      <c r="L47" s="46">
        <f>IF(VLOOKUP(C47,Purchased!A:R,15,0)=0, " ", VLOOKUP(C47,Purchased!A:R,15,0))</f>
        <v>45532</v>
      </c>
      <c r="M47" s="46">
        <f>IF(VLOOKUP(C47,Purchased!A:R,16,0)=0, " ",VLOOKUP(C47,Purchased!A:R,16,0))</f>
        <v>45561</v>
      </c>
      <c r="N47" s="130" t="str">
        <f>IF(VLOOKUP(C47,Purchased!A:R,17,0)=0, " ", VLOOKUP(C47,Purchased!A:R,17,0))</f>
        <v xml:space="preserve"> </v>
      </c>
      <c r="O47" s="47">
        <f t="shared" ca="1" si="8"/>
        <v>12</v>
      </c>
      <c r="P47" s="51">
        <f>VLOOKUP(C47,Purchased!A:D,3,FALSE)</f>
        <v>0.86</v>
      </c>
      <c r="Q47" s="52">
        <f t="shared" si="9"/>
        <v>3.44</v>
      </c>
    </row>
    <row r="48" spans="1:17" s="2" customFormat="1" ht="12.75" customHeight="1" x14ac:dyDescent="0.25">
      <c r="A48" s="25"/>
      <c r="B48" s="26"/>
      <c r="C48" s="26"/>
      <c r="D48" s="332"/>
      <c r="E48" s="333"/>
      <c r="F48" s="26"/>
      <c r="G48" s="26"/>
      <c r="H48" s="322"/>
      <c r="I48" s="323"/>
      <c r="J48" s="27"/>
      <c r="K48" s="27"/>
      <c r="L48" s="27"/>
      <c r="M48" s="28"/>
      <c r="N48" s="29"/>
      <c r="O48" s="29"/>
      <c r="P48" s="148"/>
      <c r="Q48" s="149"/>
    </row>
    <row r="49" spans="1:17" s="2" customFormat="1" ht="12.75" customHeight="1" x14ac:dyDescent="0.25">
      <c r="A49" s="4">
        <v>501</v>
      </c>
      <c r="B49" s="2">
        <v>4</v>
      </c>
      <c r="C49" s="122" t="s">
        <v>108</v>
      </c>
      <c r="D49" s="158"/>
      <c r="E49" s="159"/>
      <c r="F49" s="108">
        <f>VLOOKUP(C49,Bolts!A:L,5,0)</f>
        <v>0</v>
      </c>
      <c r="G49" s="108">
        <f>VLOOKUP(C49,Bolts!A:L,6,0)</f>
        <v>0</v>
      </c>
      <c r="H49" s="108">
        <f>VLOOKUP(C49,Bolts!A:L,7,0)</f>
        <v>0</v>
      </c>
      <c r="I49" s="109"/>
      <c r="J49" s="46">
        <f>VLOOKUP(C49,Bolts!A:L,8,0)</f>
        <v>0</v>
      </c>
      <c r="K49" s="46">
        <f>VLOOKUP(C49,Bolts!A:L,9,0)</f>
        <v>0</v>
      </c>
      <c r="L49" s="46">
        <f>VLOOKUP(C49,Bolts!A:L,10,0)</f>
        <v>0</v>
      </c>
      <c r="M49" s="46">
        <f>VLOOKUP(C49,Bolts!A:L,11,0)</f>
        <v>0</v>
      </c>
      <c r="N49" s="130">
        <f>VLOOKUP(C49,Bolts!A:L,12,0)</f>
        <v>0</v>
      </c>
      <c r="O49" s="47">
        <f ca="1">B49*$L$2</f>
        <v>12</v>
      </c>
      <c r="P49" s="51">
        <f>VLOOKUP(C49,Bolts!A:B,2,FALSE)</f>
        <v>0</v>
      </c>
      <c r="Q49" s="52">
        <f>B49*P49</f>
        <v>0</v>
      </c>
    </row>
    <row r="50" spans="1:17" s="2" customFormat="1" ht="12.75" customHeight="1" x14ac:dyDescent="0.25">
      <c r="A50" s="4">
        <v>502</v>
      </c>
      <c r="B50" s="2">
        <v>3</v>
      </c>
      <c r="C50" s="122" t="s">
        <v>199</v>
      </c>
      <c r="D50" s="158"/>
      <c r="E50" s="159"/>
      <c r="F50" s="108">
        <f>VLOOKUP(C50,Bolts!A:L,5,0)</f>
        <v>0</v>
      </c>
      <c r="G50" s="108">
        <f>VLOOKUP(C50,Bolts!A:L,6,0)</f>
        <v>0</v>
      </c>
      <c r="H50" s="108">
        <f>VLOOKUP(C50,Bolts!A:L,7,0)</f>
        <v>0</v>
      </c>
      <c r="I50" s="109"/>
      <c r="J50" s="46">
        <f>VLOOKUP(C50,Bolts!A:L,8,0)</f>
        <v>0</v>
      </c>
      <c r="K50" s="46">
        <f>VLOOKUP(C50,Bolts!A:L,9,0)</f>
        <v>0</v>
      </c>
      <c r="L50" s="46">
        <f>VLOOKUP(C50,Bolts!A:L,10,0)</f>
        <v>0</v>
      </c>
      <c r="M50" s="46">
        <f>VLOOKUP(C50,Bolts!A:L,11,0)</f>
        <v>0</v>
      </c>
      <c r="N50" s="130">
        <f>VLOOKUP(C50,Bolts!A:L,12,0)</f>
        <v>0</v>
      </c>
      <c r="O50" s="47">
        <f t="shared" ref="O50:O60" ca="1" si="10">B50*$L$2</f>
        <v>9</v>
      </c>
      <c r="P50" s="51">
        <f>VLOOKUP(C50,Bolts!A:B,2,FALSE)</f>
        <v>0</v>
      </c>
      <c r="Q50" s="52">
        <f t="shared" ref="Q50:Q60" si="11">B50*P50</f>
        <v>0</v>
      </c>
    </row>
    <row r="51" spans="1:17" s="2" customFormat="1" ht="12.75" customHeight="1" x14ac:dyDescent="0.25">
      <c r="A51" s="4">
        <v>503</v>
      </c>
      <c r="B51" s="2">
        <v>4</v>
      </c>
      <c r="C51" s="122" t="s">
        <v>176</v>
      </c>
      <c r="D51" s="325"/>
      <c r="E51" s="326"/>
      <c r="F51" s="108" t="str">
        <f>VLOOKUP(C51,Bolts!A:L,5,0)</f>
        <v xml:space="preserve"> </v>
      </c>
      <c r="G51" s="108" t="str">
        <f>VLOOKUP(C51,Bolts!A:L,6,0)</f>
        <v xml:space="preserve"> </v>
      </c>
      <c r="H51" s="108">
        <f>VLOOKUP(C51,Bolts!A:L,7,0)</f>
        <v>0</v>
      </c>
      <c r="I51" s="109"/>
      <c r="J51" s="46">
        <f>VLOOKUP(C51,Bolts!A:L,8,0)</f>
        <v>0</v>
      </c>
      <c r="K51" s="46">
        <f>VLOOKUP(C51,Bolts!A:L,9,0)</f>
        <v>0</v>
      </c>
      <c r="L51" s="46">
        <f>VLOOKUP(C51,Bolts!A:L,10,0)</f>
        <v>0</v>
      </c>
      <c r="M51" s="46">
        <f>VLOOKUP(C51,Bolts!A:L,11,0)</f>
        <v>0</v>
      </c>
      <c r="N51" s="130">
        <f>VLOOKUP(C51,Bolts!A:L,12,0)</f>
        <v>0</v>
      </c>
      <c r="O51" s="47">
        <f t="shared" ca="1" si="10"/>
        <v>12</v>
      </c>
      <c r="P51" s="51">
        <f>VLOOKUP(C51,Bolts!A:B,2,FALSE)</f>
        <v>0</v>
      </c>
      <c r="Q51" s="52">
        <f t="shared" si="11"/>
        <v>0</v>
      </c>
    </row>
    <row r="52" spans="1:17" s="2" customFormat="1" ht="12.75" customHeight="1" x14ac:dyDescent="0.25">
      <c r="A52" s="4">
        <v>504</v>
      </c>
      <c r="B52" s="2">
        <v>2</v>
      </c>
      <c r="C52" s="122" t="s">
        <v>309</v>
      </c>
      <c r="D52" s="158"/>
      <c r="E52" s="159"/>
      <c r="F52" s="108">
        <f>VLOOKUP(C52,Bolts!A:L,5,0)</f>
        <v>0</v>
      </c>
      <c r="G52" s="108">
        <f>VLOOKUP(C52,Bolts!A:L,6,0)</f>
        <v>0</v>
      </c>
      <c r="H52" s="108">
        <f>VLOOKUP(C52,Bolts!A:L,7,0)</f>
        <v>0</v>
      </c>
      <c r="I52" s="109"/>
      <c r="J52" s="46">
        <f>VLOOKUP(C52,Bolts!A:L,8,0)</f>
        <v>0</v>
      </c>
      <c r="K52" s="46">
        <f>VLOOKUP(C52,Bolts!A:L,9,0)</f>
        <v>0</v>
      </c>
      <c r="L52" s="46">
        <f>VLOOKUP(C52,Bolts!A:L,10,0)</f>
        <v>0</v>
      </c>
      <c r="M52" s="46">
        <f>VLOOKUP(C52,Bolts!A:L,11,0)</f>
        <v>0</v>
      </c>
      <c r="N52" s="130">
        <f>VLOOKUP(C52,Bolts!A:L,12,0)</f>
        <v>0</v>
      </c>
      <c r="O52" s="47">
        <f t="shared" ca="1" si="10"/>
        <v>6</v>
      </c>
      <c r="P52" s="51">
        <f>VLOOKUP(C52,Bolts!A:B,2,FALSE)</f>
        <v>0</v>
      </c>
      <c r="Q52" s="52">
        <f t="shared" si="11"/>
        <v>0</v>
      </c>
    </row>
    <row r="53" spans="1:17" s="2" customFormat="1" ht="12.75" customHeight="1" x14ac:dyDescent="0.25">
      <c r="A53" s="4">
        <v>505</v>
      </c>
      <c r="B53" s="2">
        <v>8</v>
      </c>
      <c r="C53" s="122" t="s">
        <v>180</v>
      </c>
      <c r="D53" s="158"/>
      <c r="E53" s="159"/>
      <c r="F53" s="108">
        <f>VLOOKUP(C53,Bolts!A:L,5,0)</f>
        <v>0</v>
      </c>
      <c r="G53" s="108">
        <f>VLOOKUP(C53,Bolts!A:L,6,0)</f>
        <v>0</v>
      </c>
      <c r="H53" s="108">
        <f>VLOOKUP(C53,Bolts!A:L,7,0)</f>
        <v>0</v>
      </c>
      <c r="I53" s="109"/>
      <c r="J53" s="46">
        <f>VLOOKUP(C53,Bolts!A:L,8,0)</f>
        <v>0</v>
      </c>
      <c r="K53" s="46">
        <f>VLOOKUP(C53,Bolts!A:L,9,0)</f>
        <v>0</v>
      </c>
      <c r="L53" s="46">
        <f>VLOOKUP(C53,Bolts!A:L,10,0)</f>
        <v>0</v>
      </c>
      <c r="M53" s="46">
        <f>VLOOKUP(C53,Bolts!A:L,11,0)</f>
        <v>0</v>
      </c>
      <c r="N53" s="130">
        <f>VLOOKUP(C53,Bolts!A:L,12,0)</f>
        <v>0</v>
      </c>
      <c r="O53" s="47">
        <f t="shared" ca="1" si="10"/>
        <v>24</v>
      </c>
      <c r="P53" s="51">
        <f>VLOOKUP(C53,Bolts!A:B,2,FALSE)</f>
        <v>0</v>
      </c>
      <c r="Q53" s="52">
        <f t="shared" si="11"/>
        <v>0</v>
      </c>
    </row>
    <row r="54" spans="1:17" s="2" customFormat="1" ht="12.75" customHeight="1" x14ac:dyDescent="0.25">
      <c r="A54" s="4">
        <v>506</v>
      </c>
      <c r="B54" s="2">
        <v>20</v>
      </c>
      <c r="C54" s="122" t="s">
        <v>310</v>
      </c>
      <c r="D54" s="158"/>
      <c r="E54" s="159"/>
      <c r="F54" s="108">
        <f>VLOOKUP(C54,Bolts!A:L,5,0)</f>
        <v>0</v>
      </c>
      <c r="G54" s="108">
        <f>VLOOKUP(C54,Bolts!A:L,6,0)</f>
        <v>0</v>
      </c>
      <c r="H54" s="108">
        <f>VLOOKUP(C54,Bolts!A:L,7,0)</f>
        <v>0</v>
      </c>
      <c r="I54" s="109"/>
      <c r="J54" s="46">
        <f>VLOOKUP(C54,Bolts!A:L,8,0)</f>
        <v>0</v>
      </c>
      <c r="K54" s="46">
        <f>VLOOKUP(C54,Bolts!A:L,9,0)</f>
        <v>0</v>
      </c>
      <c r="L54" s="46">
        <f>VLOOKUP(C54,Bolts!A:L,10,0)</f>
        <v>0</v>
      </c>
      <c r="M54" s="46">
        <f>VLOOKUP(C54,Bolts!A:L,11,0)</f>
        <v>0</v>
      </c>
      <c r="N54" s="130">
        <f>VLOOKUP(C54,Bolts!A:L,12,0)</f>
        <v>0</v>
      </c>
      <c r="O54" s="47">
        <f t="shared" ca="1" si="10"/>
        <v>60</v>
      </c>
      <c r="P54" s="51">
        <f>VLOOKUP(C54,Bolts!A:B,2,FALSE)</f>
        <v>0</v>
      </c>
      <c r="Q54" s="52">
        <f t="shared" si="11"/>
        <v>0</v>
      </c>
    </row>
    <row r="55" spans="1:17" s="2" customFormat="1" ht="12.75" customHeight="1" x14ac:dyDescent="0.25">
      <c r="A55" s="4">
        <v>507</v>
      </c>
      <c r="B55" s="2">
        <v>16</v>
      </c>
      <c r="C55" s="122" t="s">
        <v>311</v>
      </c>
      <c r="D55" s="158"/>
      <c r="E55" s="159"/>
      <c r="F55" s="108">
        <f>VLOOKUP(C55,Bolts!A:L,5,0)</f>
        <v>0</v>
      </c>
      <c r="G55" s="108">
        <f>VLOOKUP(C55,Bolts!A:L,6,0)</f>
        <v>0</v>
      </c>
      <c r="H55" s="108">
        <f>VLOOKUP(C55,Bolts!A:L,7,0)</f>
        <v>0</v>
      </c>
      <c r="I55" s="109"/>
      <c r="J55" s="46">
        <f>VLOOKUP(C55,Bolts!A:L,8,0)</f>
        <v>0</v>
      </c>
      <c r="K55" s="46">
        <f>VLOOKUP(C55,Bolts!A:L,9,0)</f>
        <v>0</v>
      </c>
      <c r="L55" s="46">
        <f>VLOOKUP(C55,Bolts!A:L,10,0)</f>
        <v>0</v>
      </c>
      <c r="M55" s="46">
        <f>VLOOKUP(C55,Bolts!A:L,11,0)</f>
        <v>0</v>
      </c>
      <c r="N55" s="130">
        <f>VLOOKUP(C55,Bolts!A:L,12,0)</f>
        <v>0</v>
      </c>
      <c r="O55" s="47">
        <f t="shared" ca="1" si="10"/>
        <v>48</v>
      </c>
      <c r="P55" s="51">
        <f>VLOOKUP(C55,Bolts!A:B,2,FALSE)</f>
        <v>0</v>
      </c>
      <c r="Q55" s="52">
        <f t="shared" si="11"/>
        <v>0</v>
      </c>
    </row>
    <row r="56" spans="1:17" s="2" customFormat="1" ht="12.75" customHeight="1" x14ac:dyDescent="0.25">
      <c r="A56" s="4">
        <v>508</v>
      </c>
      <c r="B56" s="2">
        <v>8</v>
      </c>
      <c r="C56" s="122" t="s">
        <v>264</v>
      </c>
      <c r="D56" s="158"/>
      <c r="E56" s="159"/>
      <c r="F56" s="108">
        <f>VLOOKUP(C56,Bolts!A:L,5,0)</f>
        <v>0</v>
      </c>
      <c r="G56" s="108">
        <f>VLOOKUP(C56,Bolts!A:L,6,0)</f>
        <v>0</v>
      </c>
      <c r="H56" s="108">
        <f>VLOOKUP(C56,Bolts!A:L,7,0)</f>
        <v>0</v>
      </c>
      <c r="I56" s="109"/>
      <c r="J56" s="46">
        <f>VLOOKUP(C56,Bolts!A:L,8,0)</f>
        <v>0</v>
      </c>
      <c r="K56" s="46">
        <f>VLOOKUP(C56,Bolts!A:L,9,0)</f>
        <v>0</v>
      </c>
      <c r="L56" s="46">
        <f>VLOOKUP(C56,Bolts!A:L,10,0)</f>
        <v>0</v>
      </c>
      <c r="M56" s="46">
        <f>VLOOKUP(C56,Bolts!A:L,11,0)</f>
        <v>0</v>
      </c>
      <c r="N56" s="130">
        <f>VLOOKUP(C56,Bolts!A:L,12,0)</f>
        <v>0</v>
      </c>
      <c r="O56" s="47">
        <f t="shared" ca="1" si="10"/>
        <v>24</v>
      </c>
      <c r="P56" s="51">
        <f>VLOOKUP(C56,Bolts!A:B,2,FALSE)</f>
        <v>0</v>
      </c>
      <c r="Q56" s="52">
        <f t="shared" si="11"/>
        <v>0</v>
      </c>
    </row>
    <row r="57" spans="1:17" s="2" customFormat="1" ht="12.75" customHeight="1" x14ac:dyDescent="0.25">
      <c r="A57" s="4">
        <v>509</v>
      </c>
      <c r="B57" s="2">
        <v>8</v>
      </c>
      <c r="C57" s="122" t="s">
        <v>269</v>
      </c>
      <c r="D57" s="158"/>
      <c r="E57" s="159"/>
      <c r="F57" s="108">
        <f>VLOOKUP(C57,Bolts!A:L,5,0)</f>
        <v>0</v>
      </c>
      <c r="G57" s="108">
        <f>VLOOKUP(C57,Bolts!A:L,6,0)</f>
        <v>0</v>
      </c>
      <c r="H57" s="108">
        <f>VLOOKUP(C57,Bolts!A:L,7,0)</f>
        <v>0</v>
      </c>
      <c r="I57" s="109"/>
      <c r="J57" s="46">
        <f>VLOOKUP(C57,Bolts!A:L,8,0)</f>
        <v>0</v>
      </c>
      <c r="K57" s="46">
        <f>VLOOKUP(C57,Bolts!A:L,9,0)</f>
        <v>0</v>
      </c>
      <c r="L57" s="46">
        <f>VLOOKUP(C57,Bolts!A:L,10,0)</f>
        <v>0</v>
      </c>
      <c r="M57" s="46">
        <f>VLOOKUP(C57,Bolts!A:L,11,0)</f>
        <v>0</v>
      </c>
      <c r="N57" s="130">
        <f>VLOOKUP(C57,Bolts!A:L,12,0)</f>
        <v>0</v>
      </c>
      <c r="O57" s="47">
        <f t="shared" ca="1" si="10"/>
        <v>24</v>
      </c>
      <c r="P57" s="51">
        <f>VLOOKUP(C57,Bolts!A:B,2,FALSE)</f>
        <v>0</v>
      </c>
      <c r="Q57" s="52">
        <f t="shared" si="11"/>
        <v>0</v>
      </c>
    </row>
    <row r="58" spans="1:17" s="2" customFormat="1" ht="12.75" customHeight="1" x14ac:dyDescent="0.25">
      <c r="A58" s="4">
        <v>510</v>
      </c>
      <c r="B58" s="2">
        <v>4</v>
      </c>
      <c r="C58" s="122" t="s">
        <v>188</v>
      </c>
      <c r="D58" s="158"/>
      <c r="E58" s="159"/>
      <c r="F58" s="108">
        <f>VLOOKUP(C58,Bolts!A:L,5,0)</f>
        <v>0</v>
      </c>
      <c r="G58" s="108">
        <f>VLOOKUP(C58,Bolts!A:L,6,0)</f>
        <v>0</v>
      </c>
      <c r="H58" s="108">
        <f>VLOOKUP(C58,Bolts!A:L,7,0)</f>
        <v>0</v>
      </c>
      <c r="I58" s="109"/>
      <c r="J58" s="46">
        <f>VLOOKUP(C58,Bolts!A:L,8,0)</f>
        <v>0</v>
      </c>
      <c r="K58" s="46">
        <f>VLOOKUP(C58,Bolts!A:L,9,0)</f>
        <v>0</v>
      </c>
      <c r="L58" s="46">
        <f>VLOOKUP(C58,Bolts!A:L,10,0)</f>
        <v>0</v>
      </c>
      <c r="M58" s="46">
        <f>VLOOKUP(C58,Bolts!A:L,11,0)</f>
        <v>0</v>
      </c>
      <c r="N58" s="130">
        <f>VLOOKUP(C58,Bolts!A:L,12,0)</f>
        <v>0</v>
      </c>
      <c r="O58" s="47">
        <f t="shared" ca="1" si="10"/>
        <v>12</v>
      </c>
      <c r="P58" s="51">
        <f>VLOOKUP(C58,Bolts!A:B,2,FALSE)</f>
        <v>0</v>
      </c>
      <c r="Q58" s="52">
        <f t="shared" si="11"/>
        <v>0</v>
      </c>
    </row>
    <row r="59" spans="1:17" s="2" customFormat="1" ht="12.75" customHeight="1" x14ac:dyDescent="0.25">
      <c r="A59" s="4">
        <v>511</v>
      </c>
      <c r="B59" s="2">
        <v>4</v>
      </c>
      <c r="C59" s="122" t="s">
        <v>312</v>
      </c>
      <c r="D59" s="158"/>
      <c r="E59" s="159"/>
      <c r="F59" s="108" t="str">
        <f>VLOOKUP(C59,Bolts!A:L,5,0)</f>
        <v xml:space="preserve"> </v>
      </c>
      <c r="G59" s="108" t="str">
        <f>VLOOKUP(C59,Bolts!A:L,6,0)</f>
        <v xml:space="preserve"> </v>
      </c>
      <c r="H59" s="108">
        <f>VLOOKUP(C59,Bolts!A:L,7,0)</f>
        <v>0</v>
      </c>
      <c r="I59" s="109"/>
      <c r="J59" s="46">
        <f>VLOOKUP(C59,Bolts!A:L,8,0)</f>
        <v>0</v>
      </c>
      <c r="K59" s="46">
        <f>VLOOKUP(C59,Bolts!A:L,9,0)</f>
        <v>0</v>
      </c>
      <c r="L59" s="46">
        <f>VLOOKUP(C59,Bolts!A:L,10,0)</f>
        <v>0</v>
      </c>
      <c r="M59" s="46">
        <f>VLOOKUP(C59,Bolts!A:L,11,0)</f>
        <v>0</v>
      </c>
      <c r="N59" s="130">
        <f>VLOOKUP(C59,Bolts!A:L,12,0)</f>
        <v>0</v>
      </c>
      <c r="O59" s="47">
        <f t="shared" ca="1" si="10"/>
        <v>12</v>
      </c>
      <c r="P59" s="51">
        <f>VLOOKUP(C59,Bolts!A:B,2,FALSE)</f>
        <v>0</v>
      </c>
      <c r="Q59" s="52">
        <f t="shared" si="11"/>
        <v>0</v>
      </c>
    </row>
    <row r="60" spans="1:17" s="2" customFormat="1" ht="12.75" customHeight="1" x14ac:dyDescent="0.25">
      <c r="A60" s="4">
        <v>512</v>
      </c>
      <c r="B60" s="2">
        <v>8</v>
      </c>
      <c r="C60" s="122" t="s">
        <v>313</v>
      </c>
      <c r="D60" s="158"/>
      <c r="E60" s="159"/>
      <c r="F60" s="108">
        <f>VLOOKUP(C60,Bolts!A:L,5,0)</f>
        <v>0</v>
      </c>
      <c r="G60" s="108">
        <f>VLOOKUP(C60,Bolts!A:L,6,0)</f>
        <v>0</v>
      </c>
      <c r="H60" s="108">
        <f>VLOOKUP(C60,Bolts!A:L,7,0)</f>
        <v>0</v>
      </c>
      <c r="I60" s="109"/>
      <c r="J60" s="46">
        <f>VLOOKUP(C60,Bolts!A:L,8,0)</f>
        <v>0</v>
      </c>
      <c r="K60" s="46">
        <f>VLOOKUP(C60,Bolts!A:L,9,0)</f>
        <v>0</v>
      </c>
      <c r="L60" s="46">
        <f>VLOOKUP(C60,Bolts!A:L,10,0)</f>
        <v>0</v>
      </c>
      <c r="M60" s="46">
        <f>VLOOKUP(C60,Bolts!A:L,11,0)</f>
        <v>0</v>
      </c>
      <c r="N60" s="130">
        <f>VLOOKUP(C60,Bolts!A:L,12,0)</f>
        <v>0</v>
      </c>
      <c r="O60" s="47">
        <f t="shared" ca="1" si="10"/>
        <v>24</v>
      </c>
      <c r="P60" s="51">
        <f>VLOOKUP(C60,Bolts!A:B,2,FALSE)</f>
        <v>0</v>
      </c>
      <c r="Q60" s="52">
        <f t="shared" si="11"/>
        <v>0</v>
      </c>
    </row>
    <row r="61" spans="1:17" s="2" customFormat="1" ht="12.75" customHeight="1" x14ac:dyDescent="0.25">
      <c r="A61" s="25"/>
      <c r="B61" s="26"/>
      <c r="C61" s="26"/>
      <c r="D61" s="332"/>
      <c r="E61" s="333"/>
      <c r="F61" s="26"/>
      <c r="G61" s="26"/>
      <c r="H61" s="322"/>
      <c r="I61" s="323"/>
      <c r="J61" s="27"/>
      <c r="K61" s="27"/>
      <c r="L61" s="27"/>
      <c r="M61" s="28"/>
      <c r="N61" s="29"/>
      <c r="O61" s="29"/>
      <c r="P61" s="148"/>
      <c r="Q61" s="149"/>
    </row>
    <row r="62" spans="1:17" s="2" customFormat="1" ht="12.75" customHeight="1" thickBot="1" x14ac:dyDescent="0.3">
      <c r="A62" s="4">
        <v>701</v>
      </c>
      <c r="B62" s="2">
        <v>1</v>
      </c>
      <c r="C62" s="123" t="s">
        <v>428</v>
      </c>
      <c r="D62" s="325" t="str">
        <f>VLOOKUP(C62,Extrusion!B:C,2,0)</f>
        <v>APPROVED EL 8/1</v>
      </c>
      <c r="E62" s="326"/>
      <c r="F62" s="108" t="str">
        <f ca="1">VLOOKUP(C62,Extrusion!B:N,5,0)</f>
        <v/>
      </c>
      <c r="G62" s="108">
        <f>VLOOKUP(C62,Extrusion!B:N,6,0)</f>
        <v>1</v>
      </c>
      <c r="H62" s="108">
        <f>VLOOKUP(C62,Extrusion!B:N,7,0)</f>
        <v>0</v>
      </c>
      <c r="I62" s="109"/>
      <c r="J62" s="46" t="str">
        <f>VLOOKUP(C62,Extrusion!B:N,8,0)</f>
        <v>T-Slots</v>
      </c>
      <c r="K62" s="46">
        <f>VLOOKUP(C62,Extrusion!B:N,9,0)</f>
        <v>0</v>
      </c>
      <c r="L62" s="46">
        <f>VLOOKUP(C62,Extrusion!B:N,10,0)</f>
        <v>0</v>
      </c>
      <c r="M62" s="46">
        <f>VLOOKUP(C62,Extrusion!B:N,11,0)</f>
        <v>0</v>
      </c>
      <c r="N62" s="47">
        <f>VLOOKUP(C62,Extrusion!B:O,12,0)</f>
        <v>0</v>
      </c>
      <c r="O62" s="47">
        <f t="shared" ref="O62" ca="1" si="12">B62*$L$2</f>
        <v>3</v>
      </c>
      <c r="P62" s="51">
        <f>VLOOKUP(C62,Extrusion!B:G,4,0)</f>
        <v>3</v>
      </c>
      <c r="Q62" s="52">
        <f t="shared" ref="Q62" si="13">B62*P62</f>
        <v>3</v>
      </c>
    </row>
    <row r="63" spans="1:17" s="2" customFormat="1" ht="12" customHeight="1" thickBot="1" x14ac:dyDescent="0.3">
      <c r="A63" s="34"/>
      <c r="B63" s="35"/>
      <c r="C63" s="35"/>
      <c r="D63" s="316"/>
      <c r="E63" s="317"/>
      <c r="F63" s="35"/>
      <c r="G63" s="35"/>
      <c r="H63" s="309"/>
      <c r="I63" s="310"/>
      <c r="J63" s="36"/>
      <c r="K63" s="36"/>
      <c r="L63" s="36"/>
      <c r="M63" s="37"/>
      <c r="N63" s="132"/>
      <c r="O63" s="38"/>
      <c r="P63" s="99" t="s">
        <v>43</v>
      </c>
      <c r="Q63" s="104">
        <f>SUM(Q5:Q62)</f>
        <v>20934.609200000006</v>
      </c>
    </row>
    <row r="64" spans="1:17" s="2" customFormat="1" ht="12" customHeight="1" x14ac:dyDescent="0.2">
      <c r="D64" s="21"/>
      <c r="E64" s="21"/>
      <c r="J64" s="8"/>
      <c r="K64" s="8"/>
      <c r="L64" s="8"/>
      <c r="M64" s="8"/>
      <c r="N64" s="131"/>
      <c r="O64" s="5"/>
      <c r="P64" s="98"/>
      <c r="Q64" s="105"/>
    </row>
  </sheetData>
  <sheetProtection selectLockedCells="1"/>
  <mergeCells count="89">
    <mergeCell ref="D47:E47"/>
    <mergeCell ref="H47:I47"/>
    <mergeCell ref="D42:E42"/>
    <mergeCell ref="H42:I42"/>
    <mergeCell ref="D43:E43"/>
    <mergeCell ref="H43:I43"/>
    <mergeCell ref="D44:E44"/>
    <mergeCell ref="H44:I44"/>
    <mergeCell ref="D45:E45"/>
    <mergeCell ref="H45:I45"/>
    <mergeCell ref="D46:E46"/>
    <mergeCell ref="H46:I46"/>
    <mergeCell ref="D40:E40"/>
    <mergeCell ref="H40:I40"/>
    <mergeCell ref="D41:E41"/>
    <mergeCell ref="H41:I41"/>
    <mergeCell ref="D37:E37"/>
    <mergeCell ref="H37:I37"/>
    <mergeCell ref="D38:E38"/>
    <mergeCell ref="H38:I38"/>
    <mergeCell ref="D39:E39"/>
    <mergeCell ref="H39:I39"/>
    <mergeCell ref="D25:E25"/>
    <mergeCell ref="H25:I25"/>
    <mergeCell ref="D22:E22"/>
    <mergeCell ref="H22:I22"/>
    <mergeCell ref="D23:E23"/>
    <mergeCell ref="H23:I23"/>
    <mergeCell ref="D24:E24"/>
    <mergeCell ref="H24:I24"/>
    <mergeCell ref="D63:E63"/>
    <mergeCell ref="H63:I63"/>
    <mergeCell ref="D51:E51"/>
    <mergeCell ref="D61:E61"/>
    <mergeCell ref="H61:I61"/>
    <mergeCell ref="D62:E62"/>
    <mergeCell ref="D30:E30"/>
    <mergeCell ref="H30:I30"/>
    <mergeCell ref="D31:E31"/>
    <mergeCell ref="H31:I31"/>
    <mergeCell ref="D48:E48"/>
    <mergeCell ref="H48:I48"/>
    <mergeCell ref="D32:E32"/>
    <mergeCell ref="H32:I32"/>
    <mergeCell ref="D33:E33"/>
    <mergeCell ref="H33:I33"/>
    <mergeCell ref="D34:E34"/>
    <mergeCell ref="H34:I34"/>
    <mergeCell ref="D35:E35"/>
    <mergeCell ref="H35:I35"/>
    <mergeCell ref="D36:E36"/>
    <mergeCell ref="H36:I36"/>
    <mergeCell ref="D27:E27"/>
    <mergeCell ref="H27:I27"/>
    <mergeCell ref="D28:E28"/>
    <mergeCell ref="H28:I28"/>
    <mergeCell ref="D29:E29"/>
    <mergeCell ref="H29:I29"/>
    <mergeCell ref="D15:E15"/>
    <mergeCell ref="H15:I15"/>
    <mergeCell ref="D16:E16"/>
    <mergeCell ref="H16:I16"/>
    <mergeCell ref="D26:E26"/>
    <mergeCell ref="H26:I26"/>
    <mergeCell ref="D17:E17"/>
    <mergeCell ref="H17:I17"/>
    <mergeCell ref="D18:E18"/>
    <mergeCell ref="H18:I18"/>
    <mergeCell ref="D19:E19"/>
    <mergeCell ref="H19:I19"/>
    <mergeCell ref="D20:E20"/>
    <mergeCell ref="H20:I20"/>
    <mergeCell ref="D21:E21"/>
    <mergeCell ref="H21:I21"/>
    <mergeCell ref="D1:E1"/>
    <mergeCell ref="D4:E4"/>
    <mergeCell ref="H4:I4"/>
    <mergeCell ref="D5:E5"/>
    <mergeCell ref="H5:I5"/>
    <mergeCell ref="D14:E14"/>
    <mergeCell ref="H14:I14"/>
    <mergeCell ref="D6:E6"/>
    <mergeCell ref="D7:E7"/>
    <mergeCell ref="D8:E8"/>
    <mergeCell ref="D9:E9"/>
    <mergeCell ref="D10:E10"/>
    <mergeCell ref="D13:E13"/>
    <mergeCell ref="D11:E11"/>
    <mergeCell ref="D12:E12"/>
  </mergeCells>
  <phoneticPr fontId="8" type="noConversion"/>
  <conditionalFormatting sqref="M14 M26 M48:M62">
    <cfRule type="cellIs" dxfId="1766" priority="41" stopIfTrue="1" operator="lessThanOrEqual">
      <formula>$L14</formula>
    </cfRule>
    <cfRule type="cellIs" dxfId="1765" priority="42" operator="greaterThan">
      <formula>L14</formula>
    </cfRule>
  </conditionalFormatting>
  <conditionalFormatting sqref="M27">
    <cfRule type="cellIs" dxfId="1764" priority="37" stopIfTrue="1" operator="lessThanOrEqual">
      <formula>$L27</formula>
    </cfRule>
    <cfRule type="cellIs" dxfId="1763" priority="38" operator="greaterThan">
      <formula>L27</formula>
    </cfRule>
  </conditionalFormatting>
  <conditionalFormatting sqref="M28">
    <cfRule type="cellIs" dxfId="1762" priority="35" stopIfTrue="1" operator="lessThanOrEqual">
      <formula>$L28</formula>
    </cfRule>
    <cfRule type="cellIs" dxfId="1761" priority="36" operator="greaterThan">
      <formula>L28</formula>
    </cfRule>
  </conditionalFormatting>
  <conditionalFormatting sqref="M29">
    <cfRule type="cellIs" dxfId="1760" priority="33" stopIfTrue="1" operator="lessThanOrEqual">
      <formula>$L29</formula>
    </cfRule>
    <cfRule type="cellIs" dxfId="1759" priority="34" operator="greaterThan">
      <formula>L29</formula>
    </cfRule>
  </conditionalFormatting>
  <conditionalFormatting sqref="M30">
    <cfRule type="cellIs" dxfId="1758" priority="31" stopIfTrue="1" operator="lessThanOrEqual">
      <formula>$L30</formula>
    </cfRule>
    <cfRule type="cellIs" dxfId="1757" priority="32" operator="greaterThan">
      <formula>L30</formula>
    </cfRule>
  </conditionalFormatting>
  <conditionalFormatting sqref="M31">
    <cfRule type="cellIs" dxfId="1756" priority="29" stopIfTrue="1" operator="lessThanOrEqual">
      <formula>$L31</formula>
    </cfRule>
    <cfRule type="cellIs" dxfId="1755" priority="30" operator="greaterThan">
      <formula>L31</formula>
    </cfRule>
  </conditionalFormatting>
  <conditionalFormatting sqref="M32">
    <cfRule type="cellIs" dxfId="1754" priority="27" stopIfTrue="1" operator="lessThanOrEqual">
      <formula>$L32</formula>
    </cfRule>
    <cfRule type="cellIs" dxfId="1753" priority="28" operator="greaterThan">
      <formula>L32</formula>
    </cfRule>
  </conditionalFormatting>
  <conditionalFormatting sqref="M33">
    <cfRule type="cellIs" dxfId="1752" priority="25" stopIfTrue="1" operator="lessThanOrEqual">
      <formula>$L33</formula>
    </cfRule>
    <cfRule type="cellIs" dxfId="1751" priority="26" operator="greaterThan">
      <formula>L33</formula>
    </cfRule>
  </conditionalFormatting>
  <conditionalFormatting sqref="M34">
    <cfRule type="cellIs" dxfId="1750" priority="23" stopIfTrue="1" operator="lessThanOrEqual">
      <formula>$L34</formula>
    </cfRule>
    <cfRule type="cellIs" dxfId="1749" priority="24" operator="greaterThan">
      <formula>L34</formula>
    </cfRule>
  </conditionalFormatting>
  <conditionalFormatting sqref="M35">
    <cfRule type="cellIs" dxfId="1748" priority="21" stopIfTrue="1" operator="lessThanOrEqual">
      <formula>$L35</formula>
    </cfRule>
    <cfRule type="cellIs" dxfId="1747" priority="22" operator="greaterThan">
      <formula>L35</formula>
    </cfRule>
  </conditionalFormatting>
  <conditionalFormatting sqref="M36">
    <cfRule type="cellIs" dxfId="1746" priority="19" stopIfTrue="1" operator="lessThanOrEqual">
      <formula>$L36</formula>
    </cfRule>
    <cfRule type="cellIs" dxfId="1745" priority="20" operator="greaterThan">
      <formula>L36</formula>
    </cfRule>
  </conditionalFormatting>
  <conditionalFormatting sqref="M37">
    <cfRule type="cellIs" dxfId="1744" priority="17" stopIfTrue="1" operator="lessThanOrEqual">
      <formula>$L37</formula>
    </cfRule>
    <cfRule type="cellIs" dxfId="1743" priority="18" operator="greaterThan">
      <formula>L37</formula>
    </cfRule>
  </conditionalFormatting>
  <conditionalFormatting sqref="M38">
    <cfRule type="cellIs" dxfId="1742" priority="15" stopIfTrue="1" operator="lessThanOrEqual">
      <formula>$L38</formula>
    </cfRule>
    <cfRule type="cellIs" dxfId="1741" priority="16" operator="greaterThan">
      <formula>L38</formula>
    </cfRule>
  </conditionalFormatting>
  <conditionalFormatting sqref="M39">
    <cfRule type="cellIs" dxfId="1740" priority="13" stopIfTrue="1" operator="lessThanOrEqual">
      <formula>$L39</formula>
    </cfRule>
    <cfRule type="cellIs" dxfId="1739" priority="14" operator="greaterThan">
      <formula>L39</formula>
    </cfRule>
  </conditionalFormatting>
  <conditionalFormatting sqref="M40">
    <cfRule type="cellIs" dxfId="1738" priority="11" stopIfTrue="1" operator="lessThanOrEqual">
      <formula>$L40</formula>
    </cfRule>
    <cfRule type="cellIs" dxfId="1737" priority="12" operator="greaterThan">
      <formula>L40</formula>
    </cfRule>
  </conditionalFormatting>
  <conditionalFormatting sqref="M41">
    <cfRule type="cellIs" dxfId="1736" priority="9" stopIfTrue="1" operator="lessThanOrEqual">
      <formula>$L41</formula>
    </cfRule>
    <cfRule type="cellIs" dxfId="1735" priority="10" operator="greaterThan">
      <formula>L41</formula>
    </cfRule>
  </conditionalFormatting>
  <conditionalFormatting sqref="M42">
    <cfRule type="cellIs" dxfId="1734" priority="7" stopIfTrue="1" operator="lessThanOrEqual">
      <formula>$L42</formula>
    </cfRule>
    <cfRule type="cellIs" dxfId="1733" priority="8" operator="greaterThan">
      <formula>L42</formula>
    </cfRule>
  </conditionalFormatting>
  <conditionalFormatting sqref="M43">
    <cfRule type="cellIs" dxfId="1732" priority="5" stopIfTrue="1" operator="lessThanOrEqual">
      <formula>$L43</formula>
    </cfRule>
    <cfRule type="cellIs" dxfId="1731" priority="6" operator="greaterThan">
      <formula>L43</formula>
    </cfRule>
  </conditionalFormatting>
  <conditionalFormatting sqref="M44">
    <cfRule type="cellIs" dxfId="1730" priority="3" stopIfTrue="1" operator="lessThanOrEqual">
      <formula>$L44</formula>
    </cfRule>
    <cfRule type="cellIs" dxfId="1729" priority="4" operator="greaterThan">
      <formula>L44</formula>
    </cfRule>
  </conditionalFormatting>
  <conditionalFormatting sqref="M45:M47">
    <cfRule type="cellIs" dxfId="1728" priority="1" stopIfTrue="1" operator="lessThanOrEqual">
      <formula>$L45</formula>
    </cfRule>
    <cfRule type="cellIs" dxfId="1727" priority="2" operator="greaterThan">
      <formula>L45</formula>
    </cfRule>
  </conditionalFormatting>
  <pageMargins left="0.7" right="0.7" top="0.75" bottom="0.75" header="0.3" footer="0.3"/>
  <pageSetup paperSize="17" scale="90" orientation="landscape" r:id="rId1"/>
  <colBreaks count="1" manualBreakCount="1">
    <brk id="15" max="1048575" man="1"/>
  </colBreaks>
  <ignoredErrors>
    <ignoredError sqref="A14:XFD14 E16 O16 Q16:XFD16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898BDAE-AADF-44F4-B4E9-E2DB6E4A93CC}">
          <x14:formula1>
            <xm:f>Extrusion!$B:$B</xm:f>
          </x14:formula1>
          <xm:sqref>C64:C66</xm:sqref>
        </x14:dataValidation>
        <x14:dataValidation type="list" allowBlank="1" showInputMessage="1" showErrorMessage="1" xr:uid="{27463329-4FA0-4017-9947-78B4EABE7A33}">
          <x14:formula1>
            <xm:f>Bolts!$A:$A</xm:f>
          </x14:formula1>
          <xm:sqref>C64:C66 C55:C62</xm:sqref>
        </x14:dataValidation>
        <x14:dataValidation type="list" allowBlank="1" showInputMessage="1" showErrorMessage="1" xr:uid="{EC7BA661-D7E1-4937-8F46-8CFE7E5C5E98}">
          <x14:formula1>
            <xm:f>Assemblies!$E:$E</xm:f>
          </x14:formula1>
          <xm:sqref>C5:C13</xm:sqref>
        </x14:dataValidation>
        <x14:dataValidation type="list" allowBlank="1" showInputMessage="1" showErrorMessage="1" xr:uid="{9286B4D7-FAD9-41CA-9A9B-86ACFD89EB30}">
          <x14:formula1>
            <xm:f>Machined!$C:$C</xm:f>
          </x14:formula1>
          <xm:sqref>C14:C25</xm:sqref>
        </x14:dataValidation>
        <x14:dataValidation type="list" allowBlank="1" showInputMessage="1" showErrorMessage="1" xr:uid="{113128A1-B32A-4626-A5D4-E70CD9332AAC}">
          <x14:formula1>
            <xm:f>Purchased!$A:$A</xm:f>
          </x14:formula1>
          <xm:sqref>C26:C40 C54 C42:C47</xm:sqref>
        </x14:dataValidation>
      </x14:dataValidation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37616-B6B7-4840-8C5B-C166D15C37FE}">
  <sheetPr codeName="Sheet70">
    <tabColor theme="6" tint="0.59999389629810485"/>
    <pageSetUpPr fitToPage="1"/>
  </sheetPr>
  <dimension ref="A1:Q9"/>
  <sheetViews>
    <sheetView zoomScale="115" zoomScaleNormal="115" workbookViewId="0">
      <selection sqref="A1:O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'2.3'!C7</f>
        <v>PG10.2.3.1.0.A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3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'2.3'!D7</f>
        <v>Manifold 3,4,5 Segmented Nips</v>
      </c>
      <c r="D3" s="85" t="s">
        <v>50</v>
      </c>
      <c r="E3" s="86" t="str">
        <f ca="1">MID(CELL("filename",A1),FIND("]",CELL("filename",A1))+1,256)</f>
        <v>2.3.1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429</v>
      </c>
      <c r="D5" s="314" t="str">
        <f>VLOOKUP(C5,Machined!C:X,2,0)</f>
        <v>Manifold 3,4,5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Xometry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45527</v>
      </c>
      <c r="K5" s="44">
        <f>IF(VLOOKUP($C5,Machined!C:Z,19,0) = 0, " ", VLOOKUP($C5,Machined!C:Z,19,0))</f>
        <v>45530</v>
      </c>
      <c r="L5" s="44">
        <f>IF(VLOOKUP($C5,Machined!C:Z,20,0) = 0, " ", VLOOKUP($C5,Machined!C:Z,20,0))</f>
        <v>45560</v>
      </c>
      <c r="M5" s="44">
        <f>IF(VLOOKUP($C5,Machined!C:Z,21,0) = 0, " ", VLOOKUP($C5,Machined!C:Z,21,0))</f>
        <v>45560</v>
      </c>
      <c r="N5" s="129">
        <f>IF(VLOOKUP($C5,Machined!C:Z,22,0) = 0, " ", VLOOKUP($C5,Machined!C:Z,22,0))</f>
        <v>55706</v>
      </c>
      <c r="O5" s="45">
        <f t="shared" ref="O5" ca="1" si="0">B5*$L$2</f>
        <v>3</v>
      </c>
      <c r="P5" s="49">
        <f>VLOOKUP(C5,Machined!C:F,3,0)</f>
        <v>71.400000000000006</v>
      </c>
      <c r="Q5" s="50">
        <f t="shared" ref="Q5" si="1">B5*P5</f>
        <v>71.400000000000006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4">
        <v>301</v>
      </c>
      <c r="B7" s="2">
        <v>1</v>
      </c>
      <c r="C7" s="135" t="s">
        <v>430</v>
      </c>
      <c r="D7" s="325" t="str">
        <f>VLOOKUP(C7,Purchased!A:B,2,0)</f>
        <v>SS5Y5 Nuline PG10 MANIFOLD 3,4,5 REV B</v>
      </c>
      <c r="E7" s="326"/>
      <c r="F7" s="108" t="str">
        <f>IF(VLOOKUP($C7,Purchased!A:Z,11,0) = 0, " ", VLOOKUP($C7,Purchased!A:Z,11,0))</f>
        <v>SMC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45495</v>
      </c>
      <c r="K7" s="46">
        <f>IF(VLOOKUP(C7,Purchased!A:R,14,0)=0, " ", VLOOKUP(C7,Purchased!A:R,14,0))</f>
        <v>45495</v>
      </c>
      <c r="L7" s="46">
        <f>IF(VLOOKUP(C7,Purchased!A:R,15,0)=0, " ", VLOOKUP(C7,Purchased!A:R,15,0))</f>
        <v>45497</v>
      </c>
      <c r="M7" s="46">
        <f>IF(VLOOKUP(C7,Purchased!A:R,16,0)=0, " ",VLOOKUP(C7,Purchased!A:R,16,0))</f>
        <v>45526</v>
      </c>
      <c r="N7" s="130">
        <f>IF(VLOOKUP(C7,Purchased!A:R,17,0)=0, " ", VLOOKUP(C7,Purchased!A:R,17,0))</f>
        <v>45526</v>
      </c>
      <c r="O7" s="47">
        <f t="shared" ref="O7" ca="1" si="2">B7*$L$2</f>
        <v>3</v>
      </c>
      <c r="P7" s="51">
        <f>VLOOKUP(C7,Purchased!A:D,3,FALSE)</f>
        <v>465.21499999999997</v>
      </c>
      <c r="Q7" s="52">
        <f t="shared" ref="Q7" si="3">B7*P7</f>
        <v>465.21499999999997</v>
      </c>
    </row>
    <row r="8" spans="1:17" ht="15.75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536.61500000000001</v>
      </c>
    </row>
    <row r="9" spans="1:17" x14ac:dyDescent="0.25">
      <c r="A9" s="2"/>
      <c r="B9" s="2"/>
      <c r="C9" s="2"/>
      <c r="D9" s="21"/>
      <c r="E9" s="21"/>
      <c r="F9" s="2"/>
      <c r="G9" s="2"/>
      <c r="H9" s="2"/>
      <c r="I9" s="2"/>
      <c r="J9" s="8"/>
      <c r="K9" s="8"/>
      <c r="L9" s="8"/>
      <c r="M9" s="8"/>
      <c r="N9" s="131"/>
      <c r="O9" s="5"/>
      <c r="P9" s="98"/>
      <c r="Q9" s="105"/>
    </row>
  </sheetData>
  <sheetProtection selectLockedCells="1"/>
  <mergeCells count="11">
    <mergeCell ref="D8:E8"/>
    <mergeCell ref="H8:I8"/>
    <mergeCell ref="D1:E1"/>
    <mergeCell ref="D4:E4"/>
    <mergeCell ref="H4:I4"/>
    <mergeCell ref="D7:E7"/>
    <mergeCell ref="H7:I7"/>
    <mergeCell ref="D5:E5"/>
    <mergeCell ref="H5:I5"/>
    <mergeCell ref="D6:E6"/>
    <mergeCell ref="H6:I6"/>
  </mergeCells>
  <conditionalFormatting sqref="M6">
    <cfRule type="cellIs" dxfId="1726" priority="3" stopIfTrue="1" operator="lessThanOrEqual">
      <formula>$L6</formula>
    </cfRule>
    <cfRule type="cellIs" dxfId="1725" priority="4" operator="greaterThan">
      <formula>L6</formula>
    </cfRule>
  </conditionalFormatting>
  <conditionalFormatting sqref="M7">
    <cfRule type="cellIs" dxfId="1724" priority="1" stopIfTrue="1" operator="lessThanOrEqual">
      <formula>$L7</formula>
    </cfRule>
    <cfRule type="cellIs" dxfId="1723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FB3C3DD-4FB1-4E47-8F0C-B4B6350DCF1C}">
          <x14:formula1>
            <xm:f>Machined!$C:$C</xm:f>
          </x14:formula1>
          <xm:sqref>C5</xm:sqref>
        </x14:dataValidation>
        <x14:dataValidation type="list" allowBlank="1" showInputMessage="1" showErrorMessage="1" xr:uid="{9724006B-B278-4281-AE5F-C299B91C5733}">
          <x14:formula1>
            <xm:f>Purchased!$A:$A</xm:f>
          </x14:formula1>
          <xm:sqref>C7</xm:sqref>
        </x14:dataValidation>
      </x14:dataValidation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7BA64-C2D9-43B7-93E6-4931650EAFFC}">
  <sheetPr codeName="Sheet71">
    <tabColor theme="6" tint="0.59999389629810485"/>
    <pageSetUpPr fitToPage="1"/>
  </sheetPr>
  <dimension ref="A1:Q13"/>
  <sheetViews>
    <sheetView zoomScale="115" zoomScaleNormal="115" workbookViewId="0">
      <selection activeCell="C20" sqref="C2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'2.3'!C8</f>
        <v>PG10.2.3.4.0.A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3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'2.3'!D8</f>
        <v>Segmented Idler Nip Assy</v>
      </c>
      <c r="D3" s="85" t="s">
        <v>50</v>
      </c>
      <c r="E3" s="86" t="str">
        <f ca="1">MID(CELL("filename",A1),FIND("]",CELL("filename",A1))+1,256)</f>
        <v>2.3.4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10</v>
      </c>
      <c r="C5" s="121" t="s">
        <v>431</v>
      </c>
      <c r="D5" s="314" t="str">
        <f>VLOOKUP(C5,Machined!C:X,2,0)</f>
        <v>Nip Segment Core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Flare Precision</v>
      </c>
      <c r="H5" s="320" t="str">
        <f>IF(VLOOKUP($C5,Machined!C:Z,17,0) = 0, " ", VLOOKUP($C5,Machined!C:Z,17,0))</f>
        <v>Complete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45413</v>
      </c>
      <c r="K5" s="44">
        <f>IF(VLOOKUP($C5,Machined!C:Z,19,0) = 0, " ", VLOOKUP($C5,Machined!C:Z,19,0))</f>
        <v>45442</v>
      </c>
      <c r="L5" s="44">
        <f>IF(VLOOKUP($C5,Machined!C:Z,20,0) = 0, " ", VLOOKUP($C5,Machined!C:Z,20,0))</f>
        <v>45519</v>
      </c>
      <c r="M5" s="44">
        <f>IF(VLOOKUP($C5,Machined!C:Z,21,0) = 0, " ", VLOOKUP($C5,Machined!C:Z,21,0))</f>
        <v>45541</v>
      </c>
      <c r="N5" s="129">
        <f>IF(VLOOKUP($C5,Machined!C:Z,22,0) = 0, " ", VLOOKUP($C5,Machined!C:Z,22,0))</f>
        <v>55526</v>
      </c>
      <c r="O5" s="45">
        <f ca="1">B5*$L$2</f>
        <v>30</v>
      </c>
      <c r="P5" s="49">
        <f>VLOOKUP(C5,Machined!C:F,3,0)</f>
        <v>435</v>
      </c>
      <c r="Q5" s="50">
        <f>B5*P5</f>
        <v>4350</v>
      </c>
    </row>
    <row r="6" spans="1:17" s="2" customFormat="1" ht="12.75" customHeight="1" x14ac:dyDescent="0.25">
      <c r="A6" s="77">
        <v>2</v>
      </c>
      <c r="B6" s="20">
        <v>1</v>
      </c>
      <c r="C6" s="121" t="s">
        <v>432</v>
      </c>
      <c r="D6" s="314" t="str">
        <f>VLOOKUP(C6,Machined!C:X,2,0)</f>
        <v>Air Shaft Key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Flare Precision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45504</v>
      </c>
      <c r="K6" s="44">
        <f>IF(VLOOKUP($C6,Machined!C:Z,19,0) = 0, " ", VLOOKUP($C6,Machined!C:Z,19,0))</f>
        <v>45511</v>
      </c>
      <c r="L6" s="44">
        <f>IF(VLOOKUP($C6,Machined!C:Z,20,0) = 0, " ", VLOOKUP($C6,Machined!C:Z,20,0))</f>
        <v>45546</v>
      </c>
      <c r="M6" s="44">
        <f>IF(VLOOKUP($C6,Machined!C:Z,21,0) = 0, " ", VLOOKUP($C6,Machined!C:Z,21,0))</f>
        <v>45546</v>
      </c>
      <c r="N6" s="129">
        <f>IF(VLOOKUP($C6,Machined!C:Z,22,0) = 0, " ", VLOOKUP($C6,Machined!C:Z,22,0))</f>
        <v>55663</v>
      </c>
      <c r="O6" s="45">
        <f t="shared" ref="O6" ca="1" si="0">B6*$L$2</f>
        <v>3</v>
      </c>
      <c r="P6" s="49">
        <f>VLOOKUP(C6,Machined!C:F,3,0)</f>
        <v>235</v>
      </c>
      <c r="Q6" s="50">
        <f t="shared" ref="Q6" si="1">B6*P6</f>
        <v>235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4">
        <v>301</v>
      </c>
      <c r="B8" s="2">
        <v>1</v>
      </c>
      <c r="C8" s="135" t="s">
        <v>433</v>
      </c>
      <c r="D8" s="325" t="str">
        <f>VLOOKUP(C8,Purchased!A:B,2,0)</f>
        <v>Drawking 82KS076M1213XA-001 3in Air Shaft with Keway</v>
      </c>
      <c r="E8" s="326"/>
      <c r="F8" s="108" t="str">
        <f>IF(VLOOKUP($C8,Purchased!A:Z,11,0) = 0, " ", VLOOKUP($C8,Purchased!A:Z,11,0))</f>
        <v>Double E</v>
      </c>
      <c r="G8" s="108" t="str">
        <f>IF(VLOOKUP($C8,Purchased!A:Z,12,0)=0, " ", VLOOKUP($C8,Purchased!A:Z,12,0))</f>
        <v>Double E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45435</v>
      </c>
      <c r="K8" s="46">
        <f>IF(VLOOKUP(C8,Purchased!A:R,14,0)=0, " ", VLOOKUP(C8,Purchased!A:R,14,0))</f>
        <v>45435</v>
      </c>
      <c r="L8" s="46">
        <f>IF(VLOOKUP(C8,Purchased!A:R,15,0)=0, " ", VLOOKUP(C8,Purchased!A:R,15,0))</f>
        <v>45435</v>
      </c>
      <c r="M8" s="46">
        <f>IF(VLOOKUP(C8,Purchased!A:R,16,0)=0, " ",VLOOKUP(C8,Purchased!A:R,16,0))</f>
        <v>45499</v>
      </c>
      <c r="N8" s="130">
        <f>IF(VLOOKUP(C8,Purchased!A:R,17,0)=0, " ", VLOOKUP(C8,Purchased!A:R,17,0))</f>
        <v>45499</v>
      </c>
      <c r="O8" s="47">
        <f t="shared" ref="O8:O9" ca="1" si="2">B8*$L$2</f>
        <v>3</v>
      </c>
      <c r="P8" s="51">
        <f>VLOOKUP(C8,Purchased!A:D,3,FALSE)</f>
        <v>3471</v>
      </c>
      <c r="Q8" s="52">
        <f t="shared" ref="Q8:Q9" si="3">B8*P8</f>
        <v>3471</v>
      </c>
    </row>
    <row r="9" spans="1:17" s="2" customFormat="1" ht="12.75" customHeight="1" x14ac:dyDescent="0.25">
      <c r="A9" s="4">
        <v>302</v>
      </c>
      <c r="B9" s="2">
        <v>1</v>
      </c>
      <c r="C9" s="135" t="s">
        <v>434</v>
      </c>
      <c r="D9" s="325" t="str">
        <f>VLOOKUP(C9,Purchased!A:B,2,0)</f>
        <v>High Speed, Rotary, One Touch Fitting, Elbow, 6mm Tubing</v>
      </c>
      <c r="E9" s="326"/>
      <c r="F9" s="108" t="str">
        <f>IF(VLOOKUP($C9,Purchased!A:Z,11,0) = 0, " ", VLOOKUP($C9,Purchased!A:Z,11,0))</f>
        <v>SMC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45489</v>
      </c>
      <c r="K9" s="46">
        <f>IF(VLOOKUP(C9,Purchased!A:R,14,0)=0, " ", VLOOKUP(C9,Purchased!A:R,14,0))</f>
        <v>45489</v>
      </c>
      <c r="L9" s="46">
        <f>IF(VLOOKUP(C9,Purchased!A:R,15,0)=0, " ", VLOOKUP(C9,Purchased!A:R,15,0))</f>
        <v>45491</v>
      </c>
      <c r="M9" s="46">
        <f>IF(VLOOKUP(C9,Purchased!A:R,16,0)=0, " ",VLOOKUP(C9,Purchased!A:R,16,0))</f>
        <v>45520</v>
      </c>
      <c r="N9" s="130">
        <f>IF(VLOOKUP(C9,Purchased!A:R,17,0)=0, " ", VLOOKUP(C9,Purchased!A:R,17,0))</f>
        <v>45511</v>
      </c>
      <c r="O9" s="47">
        <f t="shared" ca="1" si="2"/>
        <v>3</v>
      </c>
      <c r="P9" s="51">
        <f>VLOOKUP(C9,Purchased!A:D,3,FALSE)</f>
        <v>0</v>
      </c>
      <c r="Q9" s="52">
        <f t="shared" si="3"/>
        <v>0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thickBot="1" x14ac:dyDescent="0.3">
      <c r="A11" s="4">
        <v>501</v>
      </c>
      <c r="B11" s="2">
        <v>3</v>
      </c>
      <c r="C11" s="122" t="s">
        <v>246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9</v>
      </c>
      <c r="P11" s="51">
        <f>VLOOKUP(C11,Bolts!A:B,2,FALSE)</f>
        <v>0</v>
      </c>
      <c r="Q11" s="52">
        <f>B11*P11</f>
        <v>0</v>
      </c>
    </row>
    <row r="12" spans="1:17" s="2" customFormat="1" ht="12" customHeight="1" thickBot="1" x14ac:dyDescent="0.3">
      <c r="A12" s="34"/>
      <c r="B12" s="35"/>
      <c r="C12" s="35"/>
      <c r="D12" s="316"/>
      <c r="E12" s="317"/>
      <c r="F12" s="35"/>
      <c r="G12" s="35"/>
      <c r="H12" s="309"/>
      <c r="I12" s="310"/>
      <c r="J12" s="36"/>
      <c r="K12" s="36"/>
      <c r="L12" s="36"/>
      <c r="M12" s="37"/>
      <c r="N12" s="132"/>
      <c r="O12" s="38"/>
      <c r="P12" s="99" t="s">
        <v>43</v>
      </c>
      <c r="Q12" s="104">
        <f>SUM(Q5:Q11)</f>
        <v>8056</v>
      </c>
    </row>
    <row r="13" spans="1:17" s="2" customFormat="1" ht="12" customHeight="1" x14ac:dyDescent="0.2">
      <c r="D13" s="21"/>
      <c r="E13" s="21"/>
      <c r="J13" s="8"/>
      <c r="K13" s="8"/>
      <c r="L13" s="8"/>
      <c r="M13" s="8"/>
      <c r="N13" s="131"/>
      <c r="O13" s="5"/>
      <c r="P13" s="98"/>
      <c r="Q13" s="105"/>
    </row>
  </sheetData>
  <sheetProtection selectLockedCells="1"/>
  <mergeCells count="18">
    <mergeCell ref="D1:E1"/>
    <mergeCell ref="D4:E4"/>
    <mergeCell ref="H4:I4"/>
    <mergeCell ref="D8:E8"/>
    <mergeCell ref="H8:I8"/>
    <mergeCell ref="D9:E9"/>
    <mergeCell ref="H9:I9"/>
    <mergeCell ref="D5:E5"/>
    <mergeCell ref="H5:I5"/>
    <mergeCell ref="D6:E6"/>
    <mergeCell ref="H6:I6"/>
    <mergeCell ref="D7:E7"/>
    <mergeCell ref="H7:I7"/>
    <mergeCell ref="D12:E12"/>
    <mergeCell ref="H12:I12"/>
    <mergeCell ref="D11:E11"/>
    <mergeCell ref="D10:E10"/>
    <mergeCell ref="H10:I10"/>
  </mergeCells>
  <conditionalFormatting sqref="M7 M10:M11">
    <cfRule type="cellIs" dxfId="1722" priority="5" stopIfTrue="1" operator="lessThanOrEqual">
      <formula>$L7</formula>
    </cfRule>
    <cfRule type="cellIs" dxfId="1721" priority="6" operator="greaterThan">
      <formula>L7</formula>
    </cfRule>
  </conditionalFormatting>
  <conditionalFormatting sqref="M8">
    <cfRule type="cellIs" dxfId="1720" priority="3" stopIfTrue="1" operator="lessThanOrEqual">
      <formula>$L8</formula>
    </cfRule>
    <cfRule type="cellIs" dxfId="1719" priority="4" operator="greaterThan">
      <formula>L8</formula>
    </cfRule>
  </conditionalFormatting>
  <conditionalFormatting sqref="M9">
    <cfRule type="cellIs" dxfId="1718" priority="1" stopIfTrue="1" operator="lessThanOrEqual">
      <formula>$L9</formula>
    </cfRule>
    <cfRule type="cellIs" dxfId="1717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4A4F86B-256D-48E6-B8A5-15E25AD251DC}">
          <x14:formula1>
            <xm:f>Bolts!$A:$A</xm:f>
          </x14:formula1>
          <xm:sqref>C11</xm:sqref>
        </x14:dataValidation>
        <x14:dataValidation type="list" allowBlank="1" showInputMessage="1" showErrorMessage="1" xr:uid="{DB971165-7E7A-40D5-A3A1-618447A62D80}">
          <x14:formula1>
            <xm:f>Machined!$C:$C</xm:f>
          </x14:formula1>
          <xm:sqref>C5:C6</xm:sqref>
        </x14:dataValidation>
        <x14:dataValidation type="list" allowBlank="1" showInputMessage="1" showErrorMessage="1" xr:uid="{ABCF460B-2C00-4723-B41A-B21FFB6845A8}">
          <x14:formula1>
            <xm:f>Purchased!$A:$A</xm:f>
          </x14:formula1>
          <xm:sqref>C8:C9</xm:sqref>
        </x14:dataValidation>
      </x14:dataValidation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16C2A-70F7-4330-A695-36714DB9A50B}">
  <sheetPr codeName="Sheet72">
    <tabColor theme="6" tint="0.59999389629810485"/>
  </sheetPr>
  <dimension ref="A1:Q19"/>
  <sheetViews>
    <sheetView zoomScale="115" zoomScaleNormal="115" workbookViewId="0">
      <selection activeCell="E22" sqref="E2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'2.3'!C12</f>
        <v>PG10.2.3.7.0.A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'2.3'!D12</f>
        <v>Zipper Encoder Assy</v>
      </c>
      <c r="D3" s="85" t="s">
        <v>50</v>
      </c>
      <c r="E3" s="86" t="str">
        <f ca="1">MID(CELL("filename",A1),FIND("]",CELL("filename",A1))+1,256)</f>
        <v>2.3.7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435</v>
      </c>
      <c r="D5" s="314" t="str">
        <f>VLOOKUP(C5,Machined!C:X,2,0)</f>
        <v>Encoder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Big Sky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45434</v>
      </c>
      <c r="K5" s="44">
        <f>IF(VLOOKUP($C5,Machined!C:Z,19,0) = 0, " ", VLOOKUP($C5,Machined!C:Z,19,0))</f>
        <v>45435</v>
      </c>
      <c r="L5" s="44">
        <f>IF(VLOOKUP($C5,Machined!C:Z,20,0) = 0, " ", VLOOKUP($C5,Machined!C:Z,20,0))</f>
        <v>45467</v>
      </c>
      <c r="M5" s="44">
        <f>IF(VLOOKUP($C5,Machined!C:Z,21,0) = 0, " ", VLOOKUP($C5,Machined!C:Z,21,0))</f>
        <v>45467</v>
      </c>
      <c r="N5" s="129">
        <f>IF(VLOOKUP($C5,Machined!C:Z,22,0) = 0, " ", VLOOKUP($C5,Machined!C:Z,22,0))</f>
        <v>55523</v>
      </c>
      <c r="O5" s="45">
        <f ca="1">B5*$L$2</f>
        <v>1</v>
      </c>
      <c r="P5" s="49">
        <f>VLOOKUP(C5,Machined!C:F,3,0)</f>
        <v>128</v>
      </c>
      <c r="Q5" s="50">
        <f>B5*P5</f>
        <v>128</v>
      </c>
    </row>
    <row r="6" spans="1:17" s="2" customFormat="1" ht="12.75" customHeight="1" x14ac:dyDescent="0.25">
      <c r="A6" s="77">
        <v>2</v>
      </c>
      <c r="B6" s="20">
        <v>1</v>
      </c>
      <c r="C6" s="121" t="s">
        <v>436</v>
      </c>
      <c r="D6" s="314" t="str">
        <f>VLOOKUP(C6,Machined!C:X,2,0)</f>
        <v>Encoder Spacer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Big Sky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45434</v>
      </c>
      <c r="K6" s="44">
        <f>IF(VLOOKUP($C6,Machined!C:Z,19,0) = 0, " ", VLOOKUP($C6,Machined!C:Z,19,0))</f>
        <v>45435</v>
      </c>
      <c r="L6" s="44">
        <f>IF(VLOOKUP($C6,Machined!C:Z,20,0) = 0, " ", VLOOKUP($C6,Machined!C:Z,20,0))</f>
        <v>45467</v>
      </c>
      <c r="M6" s="44">
        <f>IF(VLOOKUP($C6,Machined!C:Z,21,0) = 0, " ", VLOOKUP($C6,Machined!C:Z,21,0))</f>
        <v>45467</v>
      </c>
      <c r="N6" s="129">
        <f>IF(VLOOKUP($C6,Machined!C:Z,22,0) = 0, " ", VLOOKUP($C6,Machined!C:Z,22,0))</f>
        <v>55523</v>
      </c>
      <c r="O6" s="45">
        <f t="shared" ref="O6" ca="1" si="0">B6*$L$2</f>
        <v>1</v>
      </c>
      <c r="P6" s="49">
        <f>VLOOKUP(C6,Machined!C:F,3,0)</f>
        <v>192.5</v>
      </c>
      <c r="Q6" s="50">
        <f t="shared" ref="Q6" si="1">B6*P6</f>
        <v>192.5</v>
      </c>
    </row>
    <row r="7" spans="1:17" s="2" customFormat="1" ht="12.75" customHeight="1" x14ac:dyDescent="0.25">
      <c r="A7" s="77">
        <v>3</v>
      </c>
      <c r="B7" s="20">
        <v>2</v>
      </c>
      <c r="C7" s="121" t="s">
        <v>320</v>
      </c>
      <c r="D7" s="314" t="str">
        <f>VLOOKUP(C7,Machined!C:X,2,0)</f>
        <v>Gear Box Stand Off</v>
      </c>
      <c r="E7" s="329"/>
      <c r="F7" s="107" t="str">
        <f>VLOOKUP($C7,Machined!C:Z,13,0)</f>
        <v>1018 COLD ROLLED STEEL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1018 COLD ROLLED STEEL</v>
      </c>
      <c r="J7" s="44">
        <f>IF(VLOOKUP($C7,Machined!C:Z,18,0) = 0, " ", VLOOKUP($C7,Machined!C:Z,18,0))</f>
        <v>45435</v>
      </c>
      <c r="K7" s="44">
        <f>IF(VLOOKUP($C7,Machined!C:Z,19,0) = 0, " ", VLOOKUP($C7,Machined!C:Z,19,0))</f>
        <v>45446</v>
      </c>
      <c r="L7" s="44">
        <f>IF(VLOOKUP($C7,Machined!C:Z,20,0) = 0, " ", VLOOKUP($C7,Machined!C:Z,20,0))</f>
        <v>45481</v>
      </c>
      <c r="M7" s="44">
        <f>IF(VLOOKUP($C7,Machined!C:Z,21,0) = 0, " ", VLOOKUP($C7,Machined!C:Z,21,0))</f>
        <v>45481</v>
      </c>
      <c r="N7" s="129">
        <f>IF(VLOOKUP($C7,Machined!C:Z,22,0) = 0, " ", VLOOKUP($C7,Machined!C:Z,22,0))</f>
        <v>55532</v>
      </c>
      <c r="O7" s="45">
        <f t="shared" ref="O7" ca="1" si="2">B7*$L$2</f>
        <v>2</v>
      </c>
      <c r="P7" s="49">
        <f>VLOOKUP(C7,Machined!C:F,3,0)</f>
        <v>58.5</v>
      </c>
      <c r="Q7" s="50">
        <f t="shared" ref="Q7" si="3">B7*P7</f>
        <v>117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4">
        <v>301</v>
      </c>
      <c r="B9" s="2">
        <v>1</v>
      </c>
      <c r="C9" s="135" t="s">
        <v>437</v>
      </c>
      <c r="D9" s="325" t="str">
        <f>VLOOKUP(C9,Purchased!A:B,2,0)</f>
        <v>Encoder Supplied by Presto</v>
      </c>
      <c r="E9" s="326"/>
      <c r="F9" s="108" t="str">
        <f>IF(VLOOKUP($C9,Purchased!A:Z,11,0) = 0, " ", VLOOKUP($C9,Purchased!A:Z,11,0))</f>
        <v>Allen Bradley</v>
      </c>
      <c r="G9" s="108" t="str">
        <f>IF(VLOOKUP($C9,Purchased!A:Z,12,0)=0, " ", VLOOKUP($C9,Purchased!A:Z,12,0))</f>
        <v>Presto</v>
      </c>
      <c r="H9" s="327" t="str">
        <f>IF(VLOOKUP($C9,Purchased!A:Z,13,0)=0, " ", VLOOKUP($C9,Purchased!A:Z,13,0))</f>
        <v>Supplied by Presto</v>
      </c>
      <c r="I9" s="328"/>
      <c r="J9" s="46" t="str">
        <f>IF(VLOOKUP($C9,Purchased!A:Z,14,0)=0, " ", VLOOKUP($C9,Purchased!A:Z,14,0))</f>
        <v>N/A</v>
      </c>
      <c r="K9" s="46" t="str">
        <f>IF(VLOOKUP(C9,Purchased!A:R,14,0)=0, " ", VLOOKUP(C9,Purchased!A:R,14,0))</f>
        <v>N/A</v>
      </c>
      <c r="L9" s="46">
        <f>IF(VLOOKUP(C9,Purchased!A:R,15,0)=0, " ", VLOOKUP(C9,Purchased!A:R,15,0))</f>
        <v>45307</v>
      </c>
      <c r="M9" s="46">
        <f>IF(VLOOKUP(C9,Purchased!A:R,16,0)=0, " ",VLOOKUP(C9,Purchased!A:R,16,0))</f>
        <v>45561</v>
      </c>
      <c r="N9" s="130">
        <f>IF(VLOOKUP(C9,Purchased!A:R,17,0)=0, " ", VLOOKUP(C9,Purchased!A:R,17,0))</f>
        <v>45561</v>
      </c>
      <c r="O9" s="47">
        <f t="shared" ref="O9:O11" ca="1" si="4">B9*$L$2</f>
        <v>1</v>
      </c>
      <c r="P9" s="51">
        <f>VLOOKUP(C9,Purchased!A:D,3,FALSE)</f>
        <v>0</v>
      </c>
      <c r="Q9" s="52">
        <f t="shared" ref="Q9:Q11" si="5">B9*P9</f>
        <v>0</v>
      </c>
    </row>
    <row r="10" spans="1:17" s="2" customFormat="1" ht="12.75" customHeight="1" x14ac:dyDescent="0.25">
      <c r="A10" s="4">
        <v>302</v>
      </c>
      <c r="B10" s="2">
        <v>1</v>
      </c>
      <c r="C10" s="135" t="s">
        <v>438</v>
      </c>
      <c r="D10" s="325" t="str">
        <f>VLOOKUP(C10,Purchased!A:B,2,0)</f>
        <v>L Series Corrosion-Resistant Timing Belt Pulley for 3/4" Maximum Belt Width, 
3.566" OD</v>
      </c>
      <c r="E10" s="326"/>
      <c r="F10" s="108" t="str">
        <f>IF(VLOOKUP($C10,Purchased!A:Z,11,0) = 0, " ", VLOOKUP($C10,Purchased!A:Z,11,0))</f>
        <v>BMF</v>
      </c>
      <c r="G10" s="108" t="str">
        <f>IF(VLOOKUP($C10,Purchased!A:Z,12,0)=0, " ", VLOOKUP($C10,Purchased!A:Z,12,0))</f>
        <v>BDI</v>
      </c>
      <c r="H10" s="327" t="str">
        <f>IF(VLOOKUP($C10,Purchased!A:Z,13,0)=0, " ", VLOOKUP($C10,Purchased!A:Z,13,0))</f>
        <v>22699607 - 28L075-6FA6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45495</v>
      </c>
      <c r="N10" s="130">
        <f>IF(VLOOKUP(C10,Purchased!A:R,17,0)=0, " ", VLOOKUP(C10,Purchased!A:R,17,0))</f>
        <v>45495</v>
      </c>
      <c r="O10" s="47">
        <f t="shared" ca="1" si="4"/>
        <v>1</v>
      </c>
      <c r="P10" s="51">
        <f>VLOOKUP(C10,Purchased!A:D,3,FALSE)</f>
        <v>50.84</v>
      </c>
      <c r="Q10" s="52">
        <f t="shared" si="5"/>
        <v>50.84</v>
      </c>
    </row>
    <row r="11" spans="1:17" s="2" customFormat="1" ht="12.75" customHeight="1" x14ac:dyDescent="0.25">
      <c r="A11" s="4">
        <v>303</v>
      </c>
      <c r="B11" s="2">
        <v>1</v>
      </c>
      <c r="C11" s="135" t="s">
        <v>439</v>
      </c>
      <c r="D11" s="325" t="str">
        <f>VLOOKUP(C11,Purchased!A:B,2,0)</f>
        <v>Prod num 92572205 64 tooth belt 0.75in width</v>
      </c>
      <c r="E11" s="326"/>
      <c r="F11" s="108" t="str">
        <f>IF(VLOOKUP($C11,Purchased!A:Z,11,0) = 0, " ", VLOOKUP($C11,Purchased!A:Z,11,0))</f>
        <v>Gates</v>
      </c>
      <c r="G11" s="108" t="str">
        <f>IF(VLOOKUP($C11,Purchased!A:Z,12,0)=0, " ", VLOOKUP($C11,Purchased!A:Z,12,0))</f>
        <v>BDI</v>
      </c>
      <c r="H11" s="327" t="str">
        <f>IF(VLOOKUP($C11,Purchased!A:Z,13,0)=0, " ", VLOOKUP($C11,Purchased!A:Z,13,0))</f>
        <v>Part # 1100721</v>
      </c>
      <c r="I11" s="328"/>
      <c r="J11" s="46">
        <f>IF(VLOOKUP($C11,Purchased!A:Z,14,0)=0, " ", VLOOKUP($C11,Purchased!A:Z,14,0))</f>
        <v>45456</v>
      </c>
      <c r="K11" s="46">
        <f>IF(VLOOKUP(C11,Purchased!A:R,14,0)=0, " ", VLOOKUP(C11,Purchased!A:R,14,0))</f>
        <v>45456</v>
      </c>
      <c r="L11" s="46">
        <f>IF(VLOOKUP(C11,Purchased!A:R,15,0)=0, " ", VLOOKUP(C11,Purchased!A:R,15,0))</f>
        <v>45456</v>
      </c>
      <c r="M11" s="46">
        <f>IF(VLOOKUP(C11,Purchased!A:R,16,0)=0, " ",VLOOKUP(C11,Purchased!A:R,16,0))</f>
        <v>45468</v>
      </c>
      <c r="N11" s="130">
        <f>IF(VLOOKUP(C11,Purchased!A:R,17,0)=0, " ", VLOOKUP(C11,Purchased!A:R,17,0))</f>
        <v>45468</v>
      </c>
      <c r="O11" s="47">
        <f t="shared" ca="1" si="4"/>
        <v>1</v>
      </c>
      <c r="P11" s="51">
        <f>VLOOKUP(C11,Purchased!A:D,3,FALSE)</f>
        <v>18.77</v>
      </c>
      <c r="Q11" s="52">
        <f t="shared" si="5"/>
        <v>18.77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4</v>
      </c>
      <c r="C13" s="122" t="s">
        <v>108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4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3</v>
      </c>
      <c r="C14" s="122" t="s">
        <v>440</v>
      </c>
      <c r="D14" s="158"/>
      <c r="E14" s="159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3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x14ac:dyDescent="0.25">
      <c r="A15" s="4">
        <v>503</v>
      </c>
      <c r="B15" s="2">
        <v>4</v>
      </c>
      <c r="C15" s="122" t="s">
        <v>264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ref="O15:O17" ca="1" si="6">B15*$L$2</f>
        <v>4</v>
      </c>
      <c r="P15" s="51">
        <f>VLOOKUP(C15,Bolts!A:B,2,FALSE)</f>
        <v>0</v>
      </c>
      <c r="Q15" s="52">
        <f t="shared" ref="Q15:Q17" si="7">B15*P15</f>
        <v>0</v>
      </c>
    </row>
    <row r="16" spans="1:17" s="2" customFormat="1" ht="12.75" customHeight="1" x14ac:dyDescent="0.25">
      <c r="A16" s="4">
        <v>504</v>
      </c>
      <c r="B16" s="2">
        <v>4</v>
      </c>
      <c r="C16" s="122" t="s">
        <v>441</v>
      </c>
      <c r="D16" s="158"/>
      <c r="E16" s="159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ca="1" si="6"/>
        <v>4</v>
      </c>
      <c r="P16" s="51">
        <f>VLOOKUP(C16,Bolts!A:B,2,FALSE)</f>
        <v>0</v>
      </c>
      <c r="Q16" s="52">
        <f t="shared" si="7"/>
        <v>0</v>
      </c>
    </row>
    <row r="17" spans="1:17" s="2" customFormat="1" ht="12.75" customHeight="1" thickBot="1" x14ac:dyDescent="0.3">
      <c r="A17" s="4">
        <v>505</v>
      </c>
      <c r="B17" s="2">
        <v>4</v>
      </c>
      <c r="C17" s="122" t="s">
        <v>324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6"/>
        <v>4</v>
      </c>
      <c r="P17" s="51">
        <f>VLOOKUP(C17,Bolts!A:B,2,FALSE)</f>
        <v>0</v>
      </c>
      <c r="Q17" s="52">
        <f t="shared" si="7"/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SUM(Q5:Q17)</f>
        <v>507.11</v>
      </c>
    </row>
    <row r="19" spans="1:17" s="2" customFormat="1" ht="12" customHeight="1" x14ac:dyDescent="0.2">
      <c r="D19" s="21"/>
      <c r="E19" s="21"/>
      <c r="J19" s="8"/>
      <c r="K19" s="8"/>
      <c r="L19" s="8"/>
      <c r="M19" s="8"/>
      <c r="N19" s="131"/>
      <c r="O19" s="5"/>
      <c r="P19" s="98"/>
      <c r="Q19" s="105"/>
    </row>
  </sheetData>
  <sheetProtection selectLockedCells="1"/>
  <mergeCells count="22">
    <mergeCell ref="D1:E1"/>
    <mergeCell ref="D4:E4"/>
    <mergeCell ref="H4:I4"/>
    <mergeCell ref="D5:E5"/>
    <mergeCell ref="H5:I5"/>
    <mergeCell ref="D6:E6"/>
    <mergeCell ref="H6:I6"/>
    <mergeCell ref="D8:E8"/>
    <mergeCell ref="H8:I8"/>
    <mergeCell ref="D7:E7"/>
    <mergeCell ref="H7:I7"/>
    <mergeCell ref="D9:E9"/>
    <mergeCell ref="H9:I9"/>
    <mergeCell ref="D10:E10"/>
    <mergeCell ref="H10:I10"/>
    <mergeCell ref="D11:E11"/>
    <mergeCell ref="H11:I11"/>
    <mergeCell ref="D18:E18"/>
    <mergeCell ref="H18:I18"/>
    <mergeCell ref="D13:E13"/>
    <mergeCell ref="D12:E12"/>
    <mergeCell ref="H12:I12"/>
  </mergeCells>
  <conditionalFormatting sqref="M8 M12:M17">
    <cfRule type="cellIs" dxfId="1716" priority="7" stopIfTrue="1" operator="lessThanOrEqual">
      <formula>$L8</formula>
    </cfRule>
    <cfRule type="cellIs" dxfId="1715" priority="8" operator="greaterThan">
      <formula>L8</formula>
    </cfRule>
  </conditionalFormatting>
  <conditionalFormatting sqref="M9">
    <cfRule type="cellIs" dxfId="1714" priority="5" stopIfTrue="1" operator="lessThanOrEqual">
      <formula>$L9</formula>
    </cfRule>
    <cfRule type="cellIs" dxfId="1713" priority="6" operator="greaterThan">
      <formula>L9</formula>
    </cfRule>
  </conditionalFormatting>
  <conditionalFormatting sqref="M10">
    <cfRule type="cellIs" dxfId="1712" priority="3" stopIfTrue="1" operator="lessThanOrEqual">
      <formula>$L10</formula>
    </cfRule>
    <cfRule type="cellIs" dxfId="1711" priority="4" operator="greaterThan">
      <formula>L10</formula>
    </cfRule>
  </conditionalFormatting>
  <conditionalFormatting sqref="M11">
    <cfRule type="cellIs" dxfId="1710" priority="1" stopIfTrue="1" operator="lessThanOrEqual">
      <formula>$L11</formula>
    </cfRule>
    <cfRule type="cellIs" dxfId="1709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49BADA3-EA30-422D-ADF5-4D42E9FC69CD}">
          <x14:formula1>
            <xm:f>Bolts!$A:$A</xm:f>
          </x14:formula1>
          <xm:sqref>C13:C17</xm:sqref>
        </x14:dataValidation>
        <x14:dataValidation type="list" allowBlank="1" showInputMessage="1" showErrorMessage="1" xr:uid="{A8B30883-0B42-4C21-90DF-D290092FBF10}">
          <x14:formula1>
            <xm:f>Machined!$C:$C</xm:f>
          </x14:formula1>
          <xm:sqref>C5:C7</xm:sqref>
        </x14:dataValidation>
        <x14:dataValidation type="list" allowBlank="1" showInputMessage="1" showErrorMessage="1" xr:uid="{435C8370-0417-4213-B841-2C9D47FAA8E7}">
          <x14:formula1>
            <xm:f>Purchased!$A:$A</xm:f>
          </x14:formula1>
          <xm:sqref>C9:C11</xm:sqref>
        </x14:dataValidation>
      </x14:dataValidation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45009-F6D0-424C-A39C-FE251B5AFF29}">
  <sheetPr codeName="Sheet280">
    <tabColor theme="6" tint="0.59999389629810485"/>
  </sheetPr>
  <dimension ref="A1:Q14"/>
  <sheetViews>
    <sheetView zoomScale="115" zoomScaleNormal="115" workbookViewId="0">
      <selection activeCell="C17" sqref="C1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'2.3'!C13</f>
        <v>PG10.2.3.8.0.A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'2.3'!D13</f>
        <v>Seg Nips Tube Guide Assy</v>
      </c>
      <c r="D3" s="85" t="s">
        <v>50</v>
      </c>
      <c r="E3" s="86" t="str">
        <f ca="1">MID(CELL("filename",A1),FIND("]",CELL("filename",A1))+1,256)</f>
        <v>2.3.8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3850</v>
      </c>
      <c r="D5" s="314" t="str">
        <f>VLOOKUP(C5,Machined!C:X,2,0)</f>
        <v>Welded Tube Guide 1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Xometry</v>
      </c>
      <c r="H5" s="320" t="str">
        <f>IF(VLOOKUP($C5,Machined!C:Z,17,0) = 0, " ", VLOOKUP($C5,Machined!C:Z,17,0))</f>
        <v xml:space="preserve"> </v>
      </c>
      <c r="I5" s="321"/>
      <c r="J5" s="44" t="str">
        <f>IF(VLOOKUP($C5,Machined!C:Z,18,0) = 0, " ", VLOOKUP($C5,Machined!C:Z,18,0))</f>
        <v>N/A</v>
      </c>
      <c r="K5" s="44">
        <f>IF(VLOOKUP($C5,Machined!C:Z,19,0) = 0, " ", VLOOKUP($C5,Machined!C:Z,19,0))</f>
        <v>45560</v>
      </c>
      <c r="L5" s="44">
        <f>IF(VLOOKUP($C5,Machined!C:Z,20,0) = 0, " ", VLOOKUP($C5,Machined!C:Z,20,0))</f>
        <v>45570</v>
      </c>
      <c r="M5" s="44">
        <f>IF(VLOOKUP($C5,Machined!C:Z,21,0) = 0, " ", VLOOKUP($C5,Machined!C:Z,21,0))</f>
        <v>45570</v>
      </c>
      <c r="N5" s="129">
        <f>IF(VLOOKUP($C5,Machined!C:Z,22,0) = 0, " ", VLOOKUP($C5,Machined!C:Z,22,0))</f>
        <v>55757</v>
      </c>
      <c r="O5" s="45">
        <f ca="1">B5*$L$2</f>
        <v>6</v>
      </c>
      <c r="P5" s="49">
        <f>VLOOKUP(C5,Machined!C:F,3,0)</f>
        <v>0</v>
      </c>
      <c r="Q5" s="50">
        <f>B5*P5</f>
        <v>0</v>
      </c>
    </row>
    <row r="6" spans="1:17" s="2" customFormat="1" ht="12.75" customHeight="1" x14ac:dyDescent="0.25">
      <c r="A6" s="77">
        <v>2</v>
      </c>
      <c r="B6" s="20">
        <v>1</v>
      </c>
      <c r="C6" s="121" t="s">
        <v>3851</v>
      </c>
      <c r="D6" s="314" t="str">
        <f>VLOOKUP(C6,Machined!C:X,2,0)</f>
        <v>Welded Tube Guide 2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Xometry</v>
      </c>
      <c r="H6" s="320" t="str">
        <f>IF(VLOOKUP($C6,Machined!C:Z,17,0) = 0, " ", VLOOKUP($C6,Machined!C:Z,17,0))</f>
        <v xml:space="preserve"> </v>
      </c>
      <c r="I6" s="321"/>
      <c r="J6" s="44" t="str">
        <f>IF(VLOOKUP($C6,Machined!C:Z,18,0) = 0, " ", VLOOKUP($C6,Machined!C:Z,18,0))</f>
        <v>N/A</v>
      </c>
      <c r="K6" s="44">
        <f>IF(VLOOKUP($C6,Machined!C:Z,19,0) = 0, " ", VLOOKUP($C6,Machined!C:Z,19,0))</f>
        <v>45560</v>
      </c>
      <c r="L6" s="44">
        <f>IF(VLOOKUP($C6,Machined!C:Z,20,0) = 0, " ", VLOOKUP($C6,Machined!C:Z,20,0))</f>
        <v>45570</v>
      </c>
      <c r="M6" s="44">
        <f>IF(VLOOKUP($C6,Machined!C:Z,21,0) = 0, " ", VLOOKUP($C6,Machined!C:Z,21,0))</f>
        <v>45570</v>
      </c>
      <c r="N6" s="129">
        <f>IF(VLOOKUP($C6,Machined!C:Z,22,0) = 0, " ", VLOOKUP($C6,Machined!C:Z,22,0))</f>
        <v>55757</v>
      </c>
      <c r="O6" s="45">
        <f ca="1">B6*$L$2</f>
        <v>6</v>
      </c>
      <c r="P6" s="49">
        <f>VLOOKUP(C6,Machined!C:F,3,0)</f>
        <v>0</v>
      </c>
      <c r="Q6" s="50">
        <f>B6*P6</f>
        <v>0</v>
      </c>
    </row>
    <row r="7" spans="1:17" s="2" customFormat="1" ht="12.75" customHeight="1" x14ac:dyDescent="0.25">
      <c r="A7" s="77">
        <v>3</v>
      </c>
      <c r="B7" s="20">
        <v>1</v>
      </c>
      <c r="C7" s="121" t="s">
        <v>3852</v>
      </c>
      <c r="D7" s="314" t="str">
        <f>VLOOKUP(C7,Machined!C:X,2,0)</f>
        <v>Welded Tube Guide 3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Xometry</v>
      </c>
      <c r="H7" s="320" t="str">
        <f>IF(VLOOKUP($C7,Machined!C:Z,17,0) = 0, " ", VLOOKUP($C7,Machined!C:Z,17,0))</f>
        <v xml:space="preserve"> </v>
      </c>
      <c r="I7" s="321"/>
      <c r="J7" s="44" t="str">
        <f>IF(VLOOKUP($C7,Machined!C:Z,18,0) = 0, " ", VLOOKUP($C7,Machined!C:Z,18,0))</f>
        <v>N/A</v>
      </c>
      <c r="K7" s="44">
        <f>IF(VLOOKUP($C7,Machined!C:Z,19,0) = 0, " ", VLOOKUP($C7,Machined!C:Z,19,0))</f>
        <v>45560</v>
      </c>
      <c r="L7" s="44">
        <f>IF(VLOOKUP($C7,Machined!C:Z,20,0) = 0, " ", VLOOKUP($C7,Machined!C:Z,20,0))</f>
        <v>45570</v>
      </c>
      <c r="M7" s="44">
        <f>IF(VLOOKUP($C7,Machined!C:Z,21,0) = 0, " ", VLOOKUP($C7,Machined!C:Z,21,0))</f>
        <v>45570</v>
      </c>
      <c r="N7" s="129">
        <f>IF(VLOOKUP($C7,Machined!C:Z,22,0) = 0, " ", VLOOKUP($C7,Machined!C:Z,22,0))</f>
        <v>55757</v>
      </c>
      <c r="O7" s="45">
        <f ca="1">B7*$L$2</f>
        <v>6</v>
      </c>
      <c r="P7" s="49">
        <f>VLOOKUP(C7,Machined!C:F,3,0)</f>
        <v>0</v>
      </c>
      <c r="Q7" s="50">
        <f>B7*P7</f>
        <v>0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4">
        <v>301</v>
      </c>
      <c r="B9" s="2">
        <v>1</v>
      </c>
      <c r="C9" s="135">
        <v>3842529323</v>
      </c>
      <c r="D9" s="325" t="str">
        <f>VLOOKUP(C9,Purchased!A:B,2,0)</f>
        <v>BRX 3842529323 - M6 SLIDING BLOCK</v>
      </c>
      <c r="E9" s="326"/>
      <c r="F9" s="108" t="str">
        <f>IF(VLOOKUP($C9,Purchased!A:Z,11,0) = 0, " ", VLOOKUP($C9,Purchased!A:Z,11,0))</f>
        <v>BRX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 t="str">
        <f>IF(VLOOKUP($C9,Purchased!A:Z,14,0)=0, " ", VLOOKUP($C9,Purchased!A:Z,14,0))</f>
        <v xml:space="preserve"> </v>
      </c>
      <c r="K9" s="46" t="str">
        <f>IF(VLOOKUP(C9,Purchased!A:R,14,0)=0, " ", VLOOKUP(C9,Purchased!A:R,14,0))</f>
        <v xml:space="preserve"> </v>
      </c>
      <c r="L9" s="46">
        <f>IF(VLOOKUP(C9,Purchased!A:R,15,0)=0, " ", VLOOKUP(C9,Purchased!A:R,15,0))</f>
        <v>45532</v>
      </c>
      <c r="M9" s="46">
        <f>IF(VLOOKUP(C9,Purchased!A:R,16,0)=0, " ",VLOOKUP(C9,Purchased!A:R,16,0))</f>
        <v>45561</v>
      </c>
      <c r="N9" s="130" t="str">
        <f>IF(VLOOKUP(C9,Purchased!A:R,17,0)=0, " ", VLOOKUP(C9,Purchased!A:R,17,0))</f>
        <v xml:space="preserve"> </v>
      </c>
      <c r="O9" s="47">
        <f ca="1">B9*$L$2</f>
        <v>6</v>
      </c>
      <c r="P9" s="51">
        <f>VLOOKUP(C9,Purchased!A:D,3,FALSE)</f>
        <v>0.86</v>
      </c>
      <c r="Q9" s="52">
        <f>B9*P9</f>
        <v>0.86</v>
      </c>
    </row>
    <row r="10" spans="1:17" s="2" customFormat="1" ht="12.75" customHeight="1" x14ac:dyDescent="0.25">
      <c r="A10" s="4">
        <v>302</v>
      </c>
      <c r="B10" s="2">
        <v>1</v>
      </c>
      <c r="C10" s="135" t="s">
        <v>193</v>
      </c>
      <c r="D10" s="325" t="str">
        <f>VLOOKUP(C10,Purchased!A:B,2,0)</f>
        <v>GN 300.1-45-M6-16-SW M6 adjustable handle w threaded bolt</v>
      </c>
      <c r="E10" s="326"/>
      <c r="F10" s="108" t="str">
        <f>IF(VLOOKUP($C10,Purchased!A:Z,11,0) = 0, " ", VLOOKUP($C10,Purchased!A:Z,11,0))</f>
        <v>ELESA</v>
      </c>
      <c r="G10" s="108" t="str">
        <f>IF(VLOOKUP($C10,Purchased!A:Z,12,0)=0, " ", VLOOKUP($C10,Purchased!A:Z,12,0))</f>
        <v>ELESA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45506</v>
      </c>
      <c r="K10" s="46">
        <f>IF(VLOOKUP(C10,Purchased!A:R,14,0)=0, " ", VLOOKUP(C10,Purchased!A:R,14,0))</f>
        <v>45506</v>
      </c>
      <c r="L10" s="46">
        <f>IF(VLOOKUP(C10,Purchased!A:R,15,0)=0, " ", VLOOKUP(C10,Purchased!A:R,15,0))</f>
        <v>45526</v>
      </c>
      <c r="M10" s="46">
        <f>IF(VLOOKUP(C10,Purchased!A:R,16,0)=0, " ",VLOOKUP(C10,Purchased!A:R,16,0))</f>
        <v>45551</v>
      </c>
      <c r="N10" s="130">
        <f>IF(VLOOKUP(C10,Purchased!A:R,17,0)=0, " ", VLOOKUP(C10,Purchased!A:R,17,0))</f>
        <v>45551</v>
      </c>
      <c r="O10" s="47">
        <f ca="1">B10*$L$2</f>
        <v>6</v>
      </c>
      <c r="P10" s="51">
        <f>VLOOKUP(C10,Purchased!A:D,3,FALSE)</f>
        <v>8.58</v>
      </c>
      <c r="Q10" s="52">
        <f>B10*P10</f>
        <v>8.58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thickBot="1" x14ac:dyDescent="0.3">
      <c r="A12" s="4">
        <v>501</v>
      </c>
      <c r="B12" s="2">
        <v>1</v>
      </c>
      <c r="C12" s="122" t="s">
        <v>241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6</v>
      </c>
      <c r="P12" s="51">
        <f>VLOOKUP(C12,Bolts!A:B,2,FALSE)</f>
        <v>0</v>
      </c>
      <c r="Q12" s="52">
        <f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9.44</v>
      </c>
    </row>
    <row r="14" spans="1:17" s="2" customFormat="1" ht="12" customHeight="1" x14ac:dyDescent="0.2">
      <c r="D14" s="21"/>
      <c r="E14" s="21"/>
      <c r="J14" s="8"/>
      <c r="K14" s="8"/>
      <c r="L14" s="8"/>
      <c r="M14" s="8"/>
      <c r="N14" s="131"/>
      <c r="O14" s="5"/>
      <c r="P14" s="98"/>
      <c r="Q14" s="105"/>
    </row>
  </sheetData>
  <mergeCells count="20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D12:E12"/>
    <mergeCell ref="D13:E13"/>
    <mergeCell ref="H13:I13"/>
    <mergeCell ref="D10:E10"/>
    <mergeCell ref="H10:I10"/>
    <mergeCell ref="D11:E11"/>
    <mergeCell ref="H11:I11"/>
  </mergeCells>
  <conditionalFormatting sqref="M8 M11:M12">
    <cfRule type="cellIs" dxfId="1708" priority="7" stopIfTrue="1" operator="lessThanOrEqual">
      <formula>$L8</formula>
    </cfRule>
    <cfRule type="cellIs" dxfId="1707" priority="8" operator="greaterThan">
      <formula>L8</formula>
    </cfRule>
  </conditionalFormatting>
  <conditionalFormatting sqref="M9">
    <cfRule type="cellIs" dxfId="1706" priority="5" stopIfTrue="1" operator="lessThanOrEqual">
      <formula>$L9</formula>
    </cfRule>
    <cfRule type="cellIs" dxfId="1705" priority="6" operator="greaterThan">
      <formula>L9</formula>
    </cfRule>
  </conditionalFormatting>
  <conditionalFormatting sqref="M10">
    <cfRule type="cellIs" dxfId="1704" priority="3" stopIfTrue="1" operator="lessThanOrEqual">
      <formula>$L10</formula>
    </cfRule>
    <cfRule type="cellIs" dxfId="1703" priority="4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FF38C42-DFC0-493A-8367-45484B499B6F}">
          <x14:formula1>
            <xm:f>Bolts!$A:$A</xm:f>
          </x14:formula1>
          <xm:sqref>C12</xm:sqref>
        </x14:dataValidation>
        <x14:dataValidation type="list" allowBlank="1" showInputMessage="1" showErrorMessage="1" xr:uid="{672BB001-0A10-44DC-B85C-06509CF37F7B}">
          <x14:formula1>
            <xm:f>Machined!$C:$C</xm:f>
          </x14:formula1>
          <xm:sqref>C5:C7</xm:sqref>
        </x14:dataValidation>
        <x14:dataValidation type="list" allowBlank="1" showInputMessage="1" showErrorMessage="1" xr:uid="{C8F17151-B4B4-477C-B31B-B7B40EC7B999}">
          <x14:formula1>
            <xm:f>Purchased!$A:$A</xm:f>
          </x14:formula1>
          <xm:sqref>C9:C10</xm:sqref>
        </x14:dataValidation>
      </x14:dataValidation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E179C-DA30-43CC-BF77-B381063D06AC}">
  <sheetPr codeName="Sheet73">
    <tabColor theme="5" tint="0.59999389629810485"/>
  </sheetPr>
  <dimension ref="A1:Q10"/>
  <sheetViews>
    <sheetView zoomScale="115" zoomScaleNormal="115" workbookViewId="0">
      <selection activeCell="C15" sqref="C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'0'!C7</f>
        <v>PG10.3.0.A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'0'!D7</f>
        <v>Main Frame 2</v>
      </c>
      <c r="D3" s="85" t="s">
        <v>50</v>
      </c>
      <c r="E3" s="86" t="str">
        <f ca="1">MID(CELL("filename",A1),FIND("]",CELL("filename",A1))+1,256)</f>
        <v>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442</v>
      </c>
      <c r="D5" s="351" t="str">
        <f ca="1">VLOOKUP(C5,Assemblies!E:P,2,0)</f>
        <v>Lower Main Frame 2</v>
      </c>
      <c r="E5" s="352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8" ca="1" si="0">B5*$L$2</f>
        <v>1</v>
      </c>
      <c r="P5" s="117">
        <f>'3.1'!Q30</f>
        <v>5167.1699999999992</v>
      </c>
      <c r="Q5" s="118">
        <f t="shared" ref="Q5:Q8" si="1">B5*P5</f>
        <v>5167.1699999999992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443</v>
      </c>
      <c r="D6" s="349" t="str">
        <f ca="1">VLOOKUP(C6,Assemblies!E:P,2,0)</f>
        <v>Upper Main Frame 2</v>
      </c>
      <c r="E6" s="350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'3.2'!Q31</f>
        <v>7427.6371999999992</v>
      </c>
      <c r="Q6" s="103">
        <f t="shared" si="1"/>
        <v>7427.6371999999992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368</v>
      </c>
      <c r="D7" s="349" t="str">
        <f ca="1">VLOOKUP(C7,Assemblies!E:P,2,0)</f>
        <v>Segmented Nip Assy</v>
      </c>
      <c r="E7" s="350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'2.3'!Q63</f>
        <v>20934.609200000006</v>
      </c>
      <c r="Q7" s="103">
        <f t="shared" si="1"/>
        <v>20934.609200000006</v>
      </c>
    </row>
    <row r="8" spans="1:17" s="1" customFormat="1" ht="12.75" customHeight="1" thickBot="1" x14ac:dyDescent="0.25">
      <c r="A8" s="150" t="s">
        <v>60</v>
      </c>
      <c r="B8" s="1">
        <v>1</v>
      </c>
      <c r="C8" s="145" t="s">
        <v>444</v>
      </c>
      <c r="D8" s="349" t="str">
        <f ca="1">VLOOKUP(C8,Assemblies!E:P,2,0)</f>
        <v>Presto Track Turners Assy</v>
      </c>
      <c r="E8" s="350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'3.4'!Q24</f>
        <v>1690.3</v>
      </c>
      <c r="Q8" s="103">
        <f t="shared" si="1"/>
        <v>1690.3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35219.716400000005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sheetProtection selectLockedCells="1"/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6637C3-FF6F-4CA1-845E-2FC0EF78897E}">
          <x14:formula1>
            <xm:f>Assemblies!$E:$E</xm:f>
          </x14:formula1>
          <xm:sqref>C5:C8</xm:sqref>
        </x14:dataValidation>
      </x14:dataValidation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6E7FF-173B-44B6-A80B-B2CE12026612}">
  <sheetPr codeName="Sheet74">
    <tabColor theme="9" tint="0.59999389629810485"/>
    <pageSetUpPr fitToPage="1"/>
  </sheetPr>
  <dimension ref="A1:Q30"/>
  <sheetViews>
    <sheetView zoomScale="115" zoomScaleNormal="115" workbookViewId="0">
      <selection activeCell="A16" sqref="A1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0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'3'!C5</f>
        <v>PG10.3.1.0.A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'3'!D5</f>
        <v>Lower Main Frame 2</v>
      </c>
      <c r="D3" s="85" t="s">
        <v>50</v>
      </c>
      <c r="E3" s="86" t="str">
        <f ca="1">MID(CELL("filename",A1),FIND("]",CELL("filename",A1))+1,256)</f>
        <v>3.1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25">
      <c r="A4" s="90" t="s">
        <v>13</v>
      </c>
      <c r="B4" s="91" t="s">
        <v>14</v>
      </c>
      <c r="C4" s="91" t="s">
        <v>15</v>
      </c>
      <c r="D4" s="338" t="s">
        <v>16</v>
      </c>
      <c r="E4" s="338"/>
      <c r="F4" s="119" t="s">
        <v>17</v>
      </c>
      <c r="G4" s="91" t="s">
        <v>18</v>
      </c>
      <c r="H4" s="340" t="s">
        <v>19</v>
      </c>
      <c r="I4" s="340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</v>
      </c>
      <c r="C5" s="112" t="s">
        <v>445</v>
      </c>
      <c r="D5" s="336" t="str">
        <f ca="1">VLOOKUP(C5,Assemblies!E:P,2,0)</f>
        <v>Main Frame 2 Rail Assy</v>
      </c>
      <c r="E5" s="336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4" ca="1" si="0">B5*$L$2</f>
        <v>2</v>
      </c>
      <c r="P5" s="117">
        <f>'3.1.1'!Q11</f>
        <v>926.35</v>
      </c>
      <c r="Q5" s="118">
        <f t="shared" ref="Q5:Q14" si="1">B5*P5</f>
        <v>1852.7</v>
      </c>
    </row>
    <row r="6" spans="1:17" s="2" customFormat="1" ht="12.75" customHeight="1" x14ac:dyDescent="0.2">
      <c r="A6" s="150" t="s">
        <v>56</v>
      </c>
      <c r="B6" s="1">
        <v>2</v>
      </c>
      <c r="C6" s="145" t="s">
        <v>446</v>
      </c>
      <c r="D6" s="314" t="str">
        <f ca="1">VLOOKUP(C6,Assemblies!E:P,2,0)</f>
        <v>Main Frame 2 Rack Assy</v>
      </c>
      <c r="E6" s="314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" ca="1" si="2">B6*$L$2</f>
        <v>2</v>
      </c>
      <c r="P6" s="147">
        <f>'3.1.2'!Q11</f>
        <v>234.63</v>
      </c>
      <c r="Q6" s="103">
        <f t="shared" ref="Q6" si="3">B6*P6</f>
        <v>469.26</v>
      </c>
    </row>
    <row r="7" spans="1:17" s="2" customFormat="1" ht="12.75" customHeight="1" x14ac:dyDescent="0.2">
      <c r="A7" s="150" t="s">
        <v>58</v>
      </c>
      <c r="B7" s="1">
        <v>3</v>
      </c>
      <c r="C7" s="145" t="s">
        <v>130</v>
      </c>
      <c r="D7" s="314" t="str">
        <f ca="1">VLOOKUP(C7,Assemblies!E:P,2,0)</f>
        <v>Single Web Roller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3</v>
      </c>
      <c r="P7" s="147">
        <f>'1.1.2'!Q15</f>
        <v>159.01000000000002</v>
      </c>
      <c r="Q7" s="103">
        <f>B7*P7</f>
        <v>477.03000000000009</v>
      </c>
    </row>
    <row r="8" spans="1:17" s="2" customFormat="1" ht="12.75" customHeight="1" x14ac:dyDescent="0.2">
      <c r="A8" s="150" t="s">
        <v>60</v>
      </c>
      <c r="B8" s="1">
        <v>4</v>
      </c>
      <c r="C8" s="145" t="s">
        <v>131</v>
      </c>
      <c r="D8" s="314" t="str">
        <f ca="1">VLOOKUP(C8,Assemblies!E:P,2,0)</f>
        <v>Frame Gusset</v>
      </c>
      <c r="E8" s="314"/>
      <c r="F8" s="32"/>
      <c r="G8" s="32"/>
      <c r="H8" s="303"/>
      <c r="I8" s="303"/>
      <c r="J8" s="28"/>
      <c r="K8" s="28"/>
      <c r="L8" s="28"/>
      <c r="M8" s="28"/>
      <c r="N8" s="33"/>
      <c r="O8" s="146">
        <f t="shared" ref="O8:O9" ca="1" si="4">B8*$L$2</f>
        <v>4</v>
      </c>
      <c r="P8" s="147">
        <f>'1.1.3'!Q10</f>
        <v>21.919999999999998</v>
      </c>
      <c r="Q8" s="103">
        <f t="shared" ref="Q8:Q9" si="5">B8*P8</f>
        <v>87.679999999999993</v>
      </c>
    </row>
    <row r="9" spans="1:17" s="2" customFormat="1" ht="12.75" customHeight="1" x14ac:dyDescent="0.2">
      <c r="A9" s="150" t="s">
        <v>62</v>
      </c>
      <c r="B9" s="1">
        <v>10</v>
      </c>
      <c r="C9" s="145" t="s">
        <v>129</v>
      </c>
      <c r="D9" s="314" t="str">
        <f ca="1">VLOOKUP(C9,Assemblies!E:P,2,0)</f>
        <v>M8 Leveling Foot Assy</v>
      </c>
      <c r="E9" s="314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4"/>
        <v>10</v>
      </c>
      <c r="P9" s="147">
        <f>'1.1.1'!Q12</f>
        <v>67.819999999999993</v>
      </c>
      <c r="Q9" s="103">
        <f t="shared" si="5"/>
        <v>678.19999999999993</v>
      </c>
    </row>
    <row r="10" spans="1:17" s="2" customFormat="1" ht="12.75" customHeight="1" x14ac:dyDescent="0.2">
      <c r="A10" s="150" t="s">
        <v>64</v>
      </c>
      <c r="B10" s="1">
        <v>4</v>
      </c>
      <c r="C10" s="145" t="s">
        <v>369</v>
      </c>
      <c r="D10" s="314" t="str">
        <f ca="1">VLOOKUP(C10,Assemblies!E:P,2,0)</f>
        <v>Extrusion Joining Assy</v>
      </c>
      <c r="E10" s="314"/>
      <c r="F10" s="32"/>
      <c r="G10" s="32"/>
      <c r="H10" s="32"/>
      <c r="I10" s="32"/>
      <c r="J10" s="28"/>
      <c r="K10" s="28"/>
      <c r="L10" s="28"/>
      <c r="M10" s="28"/>
      <c r="N10" s="33"/>
      <c r="O10" s="146">
        <f ca="1">B10*$L$2</f>
        <v>4</v>
      </c>
      <c r="P10" s="147">
        <f>'2.1.1'!Q10</f>
        <v>45.83</v>
      </c>
      <c r="Q10" s="103">
        <f>B10*P10</f>
        <v>183.32</v>
      </c>
    </row>
    <row r="11" spans="1:17" s="2" customFormat="1" ht="12.75" customHeight="1" x14ac:dyDescent="0.2">
      <c r="A11" s="150" t="s">
        <v>66</v>
      </c>
      <c r="B11" s="1">
        <v>1</v>
      </c>
      <c r="C11" s="145" t="s">
        <v>3723</v>
      </c>
      <c r="D11" s="314" t="str">
        <f ca="1">VLOOKUP(C11,Assemblies!E:P,2,0)</f>
        <v>Bottom Guarding 5 and 6</v>
      </c>
      <c r="E11" s="314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ca="1" si="0"/>
        <v>1</v>
      </c>
      <c r="P11" s="147">
        <f>'3.1.3'!Q8</f>
        <v>71.199999999999989</v>
      </c>
      <c r="Q11" s="103">
        <f t="shared" si="1"/>
        <v>71.199999999999989</v>
      </c>
    </row>
    <row r="12" spans="1:17" s="2" customFormat="1" ht="12.75" customHeight="1" x14ac:dyDescent="0.2">
      <c r="A12" s="150" t="s">
        <v>68</v>
      </c>
      <c r="B12" s="1">
        <v>1</v>
      </c>
      <c r="C12" s="145" t="s">
        <v>3724</v>
      </c>
      <c r="D12" s="314" t="str">
        <f ca="1">VLOOKUP(C12,Assemblies!E:P,2,0)</f>
        <v>Bottom Guarding 7 and 8</v>
      </c>
      <c r="E12" s="315"/>
      <c r="F12" s="32"/>
      <c r="G12" s="32"/>
      <c r="H12" s="303"/>
      <c r="I12" s="303"/>
      <c r="J12" s="28"/>
      <c r="K12" s="28"/>
      <c r="L12" s="28"/>
      <c r="M12" s="28"/>
      <c r="N12" s="33"/>
      <c r="O12" s="146">
        <f ca="1">B12*$L$2</f>
        <v>1</v>
      </c>
      <c r="P12" s="147">
        <f>'3.1.4'!Q8</f>
        <v>42.72</v>
      </c>
      <c r="Q12" s="103">
        <f>B12*P12</f>
        <v>42.72</v>
      </c>
    </row>
    <row r="13" spans="1:17" s="2" customFormat="1" ht="12.75" customHeight="1" x14ac:dyDescent="0.2">
      <c r="A13" s="150" t="s">
        <v>70</v>
      </c>
      <c r="B13" s="1">
        <v>1</v>
      </c>
      <c r="C13" s="145" t="s">
        <v>3725</v>
      </c>
      <c r="D13" s="314" t="str">
        <f ca="1">VLOOKUP(C13,Assemblies!E:P,2,0)</f>
        <v>Bottom Guarding 9 and  10</v>
      </c>
      <c r="E13" s="314"/>
      <c r="F13" s="32"/>
      <c r="G13" s="32"/>
      <c r="H13" s="303"/>
      <c r="I13" s="303"/>
      <c r="J13" s="28"/>
      <c r="K13" s="28"/>
      <c r="L13" s="28"/>
      <c r="M13" s="28"/>
      <c r="N13" s="33"/>
      <c r="O13" s="146">
        <f t="shared" ca="1" si="0"/>
        <v>1</v>
      </c>
      <c r="P13" s="147">
        <f>'3.1.5'!Q8</f>
        <v>71.199999999999989</v>
      </c>
      <c r="Q13" s="103">
        <f t="shared" si="1"/>
        <v>71.199999999999989</v>
      </c>
    </row>
    <row r="14" spans="1:17" s="2" customFormat="1" ht="12.75" customHeight="1" x14ac:dyDescent="0.2">
      <c r="A14" s="150" t="s">
        <v>72</v>
      </c>
      <c r="B14" s="1">
        <v>1</v>
      </c>
      <c r="C14" s="145" t="s">
        <v>3726</v>
      </c>
      <c r="D14" s="314" t="str">
        <f ca="1">VLOOKUP(C14,Assemblies!E:P,2,0)</f>
        <v>Bottom Guarding 11 and 12</v>
      </c>
      <c r="E14" s="314"/>
      <c r="F14" s="32"/>
      <c r="G14" s="32"/>
      <c r="H14" s="303"/>
      <c r="I14" s="303"/>
      <c r="J14" s="28"/>
      <c r="K14" s="28"/>
      <c r="L14" s="28"/>
      <c r="M14" s="28"/>
      <c r="N14" s="33"/>
      <c r="O14" s="146">
        <f t="shared" ca="1" si="0"/>
        <v>1</v>
      </c>
      <c r="P14" s="147">
        <f>'3.1.6'!Q8</f>
        <v>49.839999999999996</v>
      </c>
      <c r="Q14" s="103">
        <f t="shared" si="1"/>
        <v>49.839999999999996</v>
      </c>
    </row>
    <row r="15" spans="1:17" s="2" customFormat="1" ht="12.75" customHeight="1" x14ac:dyDescent="0.2">
      <c r="A15" s="150" t="s">
        <v>74</v>
      </c>
      <c r="B15" s="1">
        <v>1</v>
      </c>
      <c r="C15" s="145" t="s">
        <v>3727</v>
      </c>
      <c r="D15" s="314" t="str">
        <f ca="1">VLOOKUP(C15,Assemblies!E:P,2,0)</f>
        <v>Bottom Guarding 13 and 14</v>
      </c>
      <c r="E15" s="314"/>
      <c r="F15" s="32"/>
      <c r="G15" s="32"/>
      <c r="H15" s="32"/>
      <c r="I15" s="32"/>
      <c r="J15" s="28"/>
      <c r="K15" s="28"/>
      <c r="L15" s="28"/>
      <c r="M15" s="28"/>
      <c r="N15" s="33"/>
      <c r="O15" s="146">
        <f ca="1">B15*$L$2</f>
        <v>1</v>
      </c>
      <c r="P15" s="147">
        <f>'3.1.7'!Q8</f>
        <v>71.199999999999989</v>
      </c>
      <c r="Q15" s="103">
        <f>B15*P15</f>
        <v>71.199999999999989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77">
        <v>1</v>
      </c>
      <c r="B17" s="20">
        <v>2</v>
      </c>
      <c r="C17" s="121" t="s">
        <v>447</v>
      </c>
      <c r="D17" s="314" t="str">
        <f>VLOOKUP(C17,Machined!C:X,2,0)</f>
        <v>MODIFIED BRX 90X90 -|-</v>
      </c>
      <c r="E17" s="329"/>
      <c r="F17" s="107" t="str">
        <f>VLOOKUP($C17,Machined!C:Z,13,0)</f>
        <v>90X90 EXTRUSION</v>
      </c>
      <c r="G17" s="44" t="str">
        <f>IF(VLOOKUP($C17,Machined!C:Z,16,0) = 0, " ", VLOOKUP($C17,Machined!C:Z,16,0))</f>
        <v>Nuline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90X90 EXTRUSION</v>
      </c>
      <c r="J17" s="44">
        <f>IF(VLOOKUP($C17,Machined!C:Z,18,0) = 0, " ", VLOOKUP($C17,Machined!C:Z,18,0))</f>
        <v>45504</v>
      </c>
      <c r="K17" s="44" t="str">
        <f>IF(VLOOKUP($C17,Machined!C:Z,19,0) = 0, " ", VLOOKUP($C17,Machined!C:Z,19,0))</f>
        <v xml:space="preserve"> </v>
      </c>
      <c r="L17" s="44" t="str">
        <f>IF(VLOOKUP($C17,Machined!C:Z,20,0) = 0, " ", VLOOKUP($C17,Machined!C:Z,20,0))</f>
        <v xml:space="preserve"> </v>
      </c>
      <c r="M17" s="44" t="str">
        <f>IF(VLOOKUP($C17,Machined!C:Z,21,0) = 0, " ", VLOOKUP($C17,Machined!C:Z,21,0))</f>
        <v xml:space="preserve"> </v>
      </c>
      <c r="N17" s="129" t="str">
        <f>IF(VLOOKUP($C17,Machined!C:Z,22,0) = 0, " ", VLOOKUP($C17,Machined!C:Z,22,0))</f>
        <v xml:space="preserve"> </v>
      </c>
      <c r="O17" s="45">
        <f ca="1">B17*$L$2</f>
        <v>2</v>
      </c>
      <c r="P17" s="49">
        <f>VLOOKUP(C17,Machined!C:F,3,0)</f>
        <v>0</v>
      </c>
      <c r="Q17" s="50">
        <f>B17*P17</f>
        <v>0</v>
      </c>
    </row>
    <row r="18" spans="1:17" s="2" customFormat="1" ht="12" customHeight="1" x14ac:dyDescent="0.2">
      <c r="A18" s="25"/>
      <c r="B18" s="26"/>
      <c r="C18" s="26"/>
      <c r="D18" s="332"/>
      <c r="E18" s="346"/>
      <c r="F18" s="26"/>
      <c r="G18" s="26"/>
      <c r="H18" s="322"/>
      <c r="I18" s="322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301</v>
      </c>
      <c r="B19" s="2">
        <v>88</v>
      </c>
      <c r="C19" s="135" t="s">
        <v>149</v>
      </c>
      <c r="D19" s="325" t="str">
        <f>VLOOKUP(C19,Purchased!A:B,2,0)</f>
        <v>BRX GOTO QUICK CONNECTOR N10 0°</v>
      </c>
      <c r="E19" s="342"/>
      <c r="F19" s="108" t="str">
        <f>IF(VLOOKUP($C19,Purchased!A:Z,11,0) = 0, " ", VLOOKUP($C19,Purchased!A:Z,11,0))</f>
        <v>T-SLOTS</v>
      </c>
      <c r="G19" s="108" t="str">
        <f>IF(VLOOKUP($C19,Purchased!A:Z,12,0)=0, " ", VLOOKUP($C19,Purchased!A:Z,12,0))</f>
        <v>Process Tech</v>
      </c>
      <c r="H19" s="327" t="str">
        <f>IF(VLOOKUP($C19,Purchased!A:Z,13,0)=0, " ", VLOOKUP($C19,Purchased!A:Z,13,0))</f>
        <v>500 More on P.O. #55639 Part# 659730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45362</v>
      </c>
      <c r="M19" s="46">
        <f>IF(VLOOKUP(C19,Purchased!A:R,16,0)=0, " ",VLOOKUP(C19,Purchased!A:R,16,0))</f>
        <v>45378</v>
      </c>
      <c r="N19" s="130">
        <f>IF(VLOOKUP(C19,Purchased!A:R,17,0)=0, " ", VLOOKUP(C19,Purchased!A:R,17,0))</f>
        <v>45378</v>
      </c>
      <c r="O19" s="47">
        <f ca="1">B19*$L$2</f>
        <v>88</v>
      </c>
      <c r="P19" s="51">
        <f>VLOOKUP(C19,Purchased!A:D,3,FALSE)</f>
        <v>4.17</v>
      </c>
      <c r="Q19" s="52">
        <f>B19*P19</f>
        <v>366.96</v>
      </c>
    </row>
    <row r="20" spans="1:17" s="2" customFormat="1" ht="12" customHeight="1" x14ac:dyDescent="0.25">
      <c r="A20" s="4">
        <v>302</v>
      </c>
      <c r="B20" s="2">
        <v>64</v>
      </c>
      <c r="C20" s="135">
        <v>3842535466</v>
      </c>
      <c r="D20" s="325" t="str">
        <f>VLOOKUP(C20,Purchased!A:B,2,0)</f>
        <v>BRX GOTO QUICK CONNECTOR N10 90°</v>
      </c>
      <c r="E20" s="342"/>
      <c r="F20" s="108" t="str">
        <f>IF(VLOOKUP($C20,Purchased!A:Z,11,0) = 0, " ", VLOOKUP($C20,Purchased!A:Z,11,0))</f>
        <v>T-SLOTS</v>
      </c>
      <c r="G20" s="108" t="str">
        <f>IF(VLOOKUP($C20,Purchased!A:Z,12,0)=0, " ", VLOOKUP($C20,Purchased!A:Z,12,0))</f>
        <v>Process Tech</v>
      </c>
      <c r="H20" s="327" t="str">
        <f>IF(VLOOKUP($C20,Purchased!A:Z,13,0)=0, " ", VLOOKUP($C20,Purchased!A:Z,13,0))</f>
        <v>Ordered 300 8/29/24 JP</v>
      </c>
      <c r="I20" s="328"/>
      <c r="J20" s="46" t="str">
        <f>IF(VLOOKUP($C20,Purchased!A:Z,14,0)=0, " ", VLOOKUP($C20,Purchased!A:Z,14,0))</f>
        <v>N/A</v>
      </c>
      <c r="K20" s="46" t="str">
        <f>IF(VLOOKUP(C20,Purchased!A:R,14,0)=0, " ", VLOOKUP(C20,Purchased!A:R,14,0))</f>
        <v>N/A</v>
      </c>
      <c r="L20" s="46">
        <f>IF(VLOOKUP(C20,Purchased!A:R,15,0)=0, " ", VLOOKUP(C20,Purchased!A:R,15,0))</f>
        <v>45533</v>
      </c>
      <c r="M20" s="46">
        <f>IF(VLOOKUP(C20,Purchased!A:R,16,0)=0, " ",VLOOKUP(C20,Purchased!A:R,16,0))</f>
        <v>45540</v>
      </c>
      <c r="N20" s="130" t="str">
        <f>IF(VLOOKUP(C20,Purchased!A:R,17,0)=0, " ", VLOOKUP(C20,Purchased!A:R,17,0))</f>
        <v xml:space="preserve"> </v>
      </c>
      <c r="O20" s="47">
        <f ca="1">B20*$L$2</f>
        <v>64</v>
      </c>
      <c r="P20" s="51">
        <f>VLOOKUP(C20,Purchased!A:D,3,FALSE)</f>
        <v>4.17</v>
      </c>
      <c r="Q20" s="52">
        <f>B20*P20</f>
        <v>266.88</v>
      </c>
    </row>
    <row r="21" spans="1:17" s="2" customFormat="1" ht="12" customHeight="1" x14ac:dyDescent="0.25">
      <c r="A21" s="4">
        <v>303</v>
      </c>
      <c r="B21" s="2">
        <v>6</v>
      </c>
      <c r="C21" s="135">
        <v>3842548758</v>
      </c>
      <c r="D21" s="325" t="str">
        <f>VLOOKUP(C21,Purchased!A:B,2,0)</f>
        <v>BRX 3842548758 Cover Cap 90x90 Grey</v>
      </c>
      <c r="E21" s="342"/>
      <c r="F21" s="108" t="str">
        <f>IF(VLOOKUP($C21,Purchased!A:Z,11,0) = 0, " ", VLOOKUP($C21,Purchased!A:Z,11,0))</f>
        <v>BRX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 xml:space="preserve"> </v>
      </c>
      <c r="I21" s="328"/>
      <c r="J21" s="46" t="str">
        <f>IF(VLOOKUP($C21,Purchased!A:Z,14,0)=0, " ", VLOOKUP($C21,Purchased!A:Z,14,0))</f>
        <v>N/A</v>
      </c>
      <c r="K21" s="46" t="str">
        <f>IF(VLOOKUP(C21,Purchased!A:R,14,0)=0, " ", VLOOKUP(C21,Purchased!A:R,14,0))</f>
        <v>N/A</v>
      </c>
      <c r="L21" s="46">
        <f>IF(VLOOKUP(C21,Purchased!A:R,15,0)=0, " ", VLOOKUP(C21,Purchased!A:R,15,0))</f>
        <v>45524</v>
      </c>
      <c r="M21" s="46">
        <f>IF(VLOOKUP(C21,Purchased!A:R,16,0)=0, " ",VLOOKUP(C21,Purchased!A:R,16,0))</f>
        <v>45547</v>
      </c>
      <c r="N21" s="130" t="str">
        <f>IF(VLOOKUP(C21,Purchased!A:R,17,0)=0, " ", VLOOKUP(C21,Purchased!A:R,17,0))</f>
        <v xml:space="preserve"> </v>
      </c>
      <c r="O21" s="47">
        <f ca="1">B21*$L$2</f>
        <v>6</v>
      </c>
      <c r="P21" s="51">
        <f>VLOOKUP(C21,Purchased!A:D,3,FALSE)</f>
        <v>2.83</v>
      </c>
      <c r="Q21" s="52">
        <f>B21*P21</f>
        <v>16.98</v>
      </c>
    </row>
    <row r="22" spans="1:17" s="2" customFormat="1" ht="12" customHeight="1" x14ac:dyDescent="0.2">
      <c r="A22" s="25"/>
      <c r="B22" s="26"/>
      <c r="C22" s="26"/>
      <c r="D22" s="332"/>
      <c r="E22" s="346"/>
      <c r="F22" s="26"/>
      <c r="G22" s="26"/>
      <c r="H22" s="322"/>
      <c r="I22" s="322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701</v>
      </c>
      <c r="B23" s="2">
        <v>4</v>
      </c>
      <c r="C23" s="123" t="s">
        <v>160</v>
      </c>
      <c r="D23" s="325" t="str">
        <f>VLOOKUP(C23,Extrusion!B:C,2,0)</f>
        <v>APPROVED EL 8/1</v>
      </c>
      <c r="E23" s="326"/>
      <c r="F23" s="108" t="str">
        <f ca="1">VLOOKUP(C23,Extrusion!B:N,5,0)</f>
        <v/>
      </c>
      <c r="G23" s="108">
        <f>VLOOKUP(C23,Extrusion!B:N,6,0)</f>
        <v>1</v>
      </c>
      <c r="H23" s="108">
        <f>VLOOKUP(C23,Extrusion!B:N,7,0)</f>
        <v>0</v>
      </c>
      <c r="I23" s="109"/>
      <c r="J23" s="46" t="str">
        <f>VLOOKUP(C23,Extrusion!B:N,8,0)</f>
        <v>T-Slots</v>
      </c>
      <c r="K23" s="46">
        <f>VLOOKUP(C23,Extrusion!B:N,9,0)</f>
        <v>0</v>
      </c>
      <c r="L23" s="46">
        <f>VLOOKUP(C23,Extrusion!B:N,10,0)</f>
        <v>0</v>
      </c>
      <c r="M23" s="46">
        <f>VLOOKUP(C23,Extrusion!B:N,11,0)</f>
        <v>0</v>
      </c>
      <c r="N23" s="47">
        <f>VLOOKUP(C23,Extrusion!B:O,12,0)</f>
        <v>0</v>
      </c>
      <c r="O23" s="47">
        <f t="shared" ref="O23:O29" ca="1" si="6">B23*$L$2</f>
        <v>4</v>
      </c>
      <c r="P23" s="51">
        <f>VLOOKUP(C23,Extrusion!B:G,4,0)</f>
        <v>34</v>
      </c>
      <c r="Q23" s="52">
        <f t="shared" ref="Q23:Q29" si="7">B23*P23</f>
        <v>136</v>
      </c>
    </row>
    <row r="24" spans="1:17" s="2" customFormat="1" ht="12" customHeight="1" x14ac:dyDescent="0.25">
      <c r="A24" s="4">
        <v>702</v>
      </c>
      <c r="B24" s="2">
        <v>2</v>
      </c>
      <c r="C24" s="123" t="s">
        <v>448</v>
      </c>
      <c r="D24" s="325" t="str">
        <f>VLOOKUP(C24,Extrusion!B:C,2,0)</f>
        <v>APPROVED EL 8/1</v>
      </c>
      <c r="E24" s="326"/>
      <c r="F24" s="108" t="str">
        <f ca="1">VLOOKUP(C24,Extrusion!B:N,5,0)</f>
        <v/>
      </c>
      <c r="G24" s="108">
        <f>VLOOKUP(C24,Extrusion!B:N,6,0)</f>
        <v>1</v>
      </c>
      <c r="H24" s="108">
        <f>VLOOKUP(C24,Extrusion!B:N,7,0)</f>
        <v>0</v>
      </c>
      <c r="I24" s="109"/>
      <c r="J24" s="46" t="str">
        <f>VLOOKUP(C24,Extrusion!B:N,8,0)</f>
        <v>T-Slots</v>
      </c>
      <c r="K24" s="46">
        <f>VLOOKUP(C24,Extrusion!B:N,9,0)</f>
        <v>0</v>
      </c>
      <c r="L24" s="46">
        <f>VLOOKUP(C24,Extrusion!B:N,10,0)</f>
        <v>0</v>
      </c>
      <c r="M24" s="46">
        <f>VLOOKUP(C24,Extrusion!B:N,11,0)</f>
        <v>0</v>
      </c>
      <c r="N24" s="47">
        <f>VLOOKUP(C24,Extrusion!B:O,12,0)</f>
        <v>0</v>
      </c>
      <c r="O24" s="47">
        <f t="shared" ca="1" si="6"/>
        <v>2</v>
      </c>
      <c r="P24" s="51">
        <f>VLOOKUP(C24,Extrusion!B:G,4,0)</f>
        <v>2</v>
      </c>
      <c r="Q24" s="52">
        <f t="shared" si="7"/>
        <v>4</v>
      </c>
    </row>
    <row r="25" spans="1:17" s="2" customFormat="1" ht="12" customHeight="1" x14ac:dyDescent="0.25">
      <c r="A25" s="4">
        <v>703</v>
      </c>
      <c r="B25" s="2">
        <v>2</v>
      </c>
      <c r="C25" s="123" t="s">
        <v>449</v>
      </c>
      <c r="D25" s="325" t="str">
        <f>VLOOKUP(C25,Extrusion!B:C,2,0)</f>
        <v>APPROVED EL 8/1</v>
      </c>
      <c r="E25" s="326"/>
      <c r="F25" s="108" t="str">
        <f ca="1">VLOOKUP(C25,Extrusion!B:N,5,0)</f>
        <v/>
      </c>
      <c r="G25" s="108">
        <f>VLOOKUP(C25,Extrusion!B:N,6,0)</f>
        <v>1</v>
      </c>
      <c r="H25" s="108">
        <f>VLOOKUP(C25,Extrusion!B:N,7,0)</f>
        <v>0</v>
      </c>
      <c r="I25" s="109"/>
      <c r="J25" s="46" t="str">
        <f>VLOOKUP(C25,Extrusion!B:N,8,0)</f>
        <v>T-Slots</v>
      </c>
      <c r="K25" s="46">
        <f>VLOOKUP(C25,Extrusion!B:N,9,0)</f>
        <v>0</v>
      </c>
      <c r="L25" s="46">
        <f>VLOOKUP(C25,Extrusion!B:N,10,0)</f>
        <v>0</v>
      </c>
      <c r="M25" s="46">
        <f>VLOOKUP(C25,Extrusion!B:N,11,0)</f>
        <v>0</v>
      </c>
      <c r="N25" s="47">
        <f>VLOOKUP(C25,Extrusion!B:O,12,0)</f>
        <v>0</v>
      </c>
      <c r="O25" s="47">
        <f t="shared" ca="1" si="6"/>
        <v>2</v>
      </c>
      <c r="P25" s="51">
        <f>VLOOKUP(C25,Extrusion!B:G,4,0)</f>
        <v>2</v>
      </c>
      <c r="Q25" s="52">
        <f t="shared" si="7"/>
        <v>4</v>
      </c>
    </row>
    <row r="26" spans="1:17" s="2" customFormat="1" ht="12" customHeight="1" x14ac:dyDescent="0.25">
      <c r="A26" s="4">
        <v>704</v>
      </c>
      <c r="B26" s="2">
        <v>10</v>
      </c>
      <c r="C26" s="123" t="s">
        <v>377</v>
      </c>
      <c r="D26" s="325" t="str">
        <f>VLOOKUP(C26,Extrusion!B:C,2,0)</f>
        <v>APPROVED EL 8/1</v>
      </c>
      <c r="E26" s="326"/>
      <c r="F26" s="108" t="str">
        <f ca="1">VLOOKUP(C26,Extrusion!B:N,5,0)</f>
        <v/>
      </c>
      <c r="G26" s="108">
        <f>VLOOKUP(C26,Extrusion!B:N,6,0)</f>
        <v>1</v>
      </c>
      <c r="H26" s="108">
        <f>VLOOKUP(C26,Extrusion!B:N,7,0)</f>
        <v>0</v>
      </c>
      <c r="I26" s="109"/>
      <c r="J26" s="46" t="str">
        <f>VLOOKUP(C26,Extrusion!B:N,8,0)</f>
        <v>T-Slots</v>
      </c>
      <c r="K26" s="46">
        <f>VLOOKUP(C26,Extrusion!B:N,9,0)</f>
        <v>0</v>
      </c>
      <c r="L26" s="46">
        <f>VLOOKUP(C26,Extrusion!B:N,10,0)</f>
        <v>0</v>
      </c>
      <c r="M26" s="46">
        <f>VLOOKUP(C26,Extrusion!B:N,11,0)</f>
        <v>0</v>
      </c>
      <c r="N26" s="47">
        <f>VLOOKUP(C26,Extrusion!B:O,12,0)</f>
        <v>0</v>
      </c>
      <c r="O26" s="47">
        <f t="shared" ca="1" si="6"/>
        <v>10</v>
      </c>
      <c r="P26" s="51">
        <f>VLOOKUP(C26,Extrusion!B:G,4,0)</f>
        <v>22</v>
      </c>
      <c r="Q26" s="52">
        <f t="shared" si="7"/>
        <v>220</v>
      </c>
    </row>
    <row r="27" spans="1:17" s="2" customFormat="1" ht="12" customHeight="1" x14ac:dyDescent="0.25">
      <c r="A27" s="4">
        <v>705</v>
      </c>
      <c r="B27" s="2">
        <v>2</v>
      </c>
      <c r="C27" s="123" t="s">
        <v>450</v>
      </c>
      <c r="D27" s="325" t="str">
        <f>VLOOKUP(C27,Extrusion!B:C,2,0)</f>
        <v>APPROVED EL 8/1</v>
      </c>
      <c r="E27" s="326"/>
      <c r="F27" s="108" t="str">
        <f ca="1">VLOOKUP(C27,Extrusion!B:N,5,0)</f>
        <v/>
      </c>
      <c r="G27" s="108">
        <f>VLOOKUP(C27,Extrusion!B:N,6,0)</f>
        <v>1</v>
      </c>
      <c r="H27" s="108">
        <f>VLOOKUP(C27,Extrusion!B:N,7,0)</f>
        <v>0</v>
      </c>
      <c r="I27" s="109"/>
      <c r="J27" s="46" t="str">
        <f>VLOOKUP(C27,Extrusion!B:N,8,0)</f>
        <v>T-Slots</v>
      </c>
      <c r="K27" s="46">
        <f>VLOOKUP(C27,Extrusion!B:N,9,0)</f>
        <v>0</v>
      </c>
      <c r="L27" s="46">
        <f>VLOOKUP(C27,Extrusion!B:N,10,0)</f>
        <v>0</v>
      </c>
      <c r="M27" s="46">
        <f>VLOOKUP(C27,Extrusion!B:N,11,0)</f>
        <v>0</v>
      </c>
      <c r="N27" s="47">
        <f>VLOOKUP(C27,Extrusion!B:O,12,0)</f>
        <v>0</v>
      </c>
      <c r="O27" s="47">
        <f t="shared" ca="1" si="6"/>
        <v>2</v>
      </c>
      <c r="P27" s="51">
        <f>VLOOKUP(C27,Extrusion!B:G,4,0)</f>
        <v>2</v>
      </c>
      <c r="Q27" s="52">
        <f t="shared" si="7"/>
        <v>4</v>
      </c>
    </row>
    <row r="28" spans="1:17" s="2" customFormat="1" ht="12" customHeight="1" x14ac:dyDescent="0.25">
      <c r="A28" s="4">
        <v>706</v>
      </c>
      <c r="B28" s="2">
        <v>2</v>
      </c>
      <c r="C28" s="123" t="s">
        <v>451</v>
      </c>
      <c r="D28" s="325" t="str">
        <f>VLOOKUP(C28,Extrusion!B:C,2,0)</f>
        <v>APPROVED EL 8/1</v>
      </c>
      <c r="E28" s="326"/>
      <c r="F28" s="108" t="str">
        <f ca="1">VLOOKUP(C28,Extrusion!B:N,5,0)</f>
        <v/>
      </c>
      <c r="G28" s="108">
        <f>VLOOKUP(C28,Extrusion!B:N,6,0)</f>
        <v>1</v>
      </c>
      <c r="H28" s="108">
        <f>VLOOKUP(C28,Extrusion!B:N,7,0)</f>
        <v>0</v>
      </c>
      <c r="I28" s="109"/>
      <c r="J28" s="46" t="str">
        <f>VLOOKUP(C28,Extrusion!B:N,8,0)</f>
        <v>T-Slots</v>
      </c>
      <c r="K28" s="46">
        <f>VLOOKUP(C28,Extrusion!B:N,9,0)</f>
        <v>0</v>
      </c>
      <c r="L28" s="46">
        <f>VLOOKUP(C28,Extrusion!B:N,10,0)</f>
        <v>0</v>
      </c>
      <c r="M28" s="46">
        <f>VLOOKUP(C28,Extrusion!B:N,11,0)</f>
        <v>0</v>
      </c>
      <c r="N28" s="47">
        <f>VLOOKUP(C28,Extrusion!B:O,12,0)</f>
        <v>0</v>
      </c>
      <c r="O28" s="47">
        <f t="shared" ca="1" si="6"/>
        <v>2</v>
      </c>
      <c r="P28" s="51">
        <f>VLOOKUP(C28,Extrusion!B:G,4,0)</f>
        <v>2</v>
      </c>
      <c r="Q28" s="52">
        <f t="shared" si="7"/>
        <v>4</v>
      </c>
    </row>
    <row r="29" spans="1:17" s="2" customFormat="1" ht="12" customHeight="1" thickBot="1" x14ac:dyDescent="0.3">
      <c r="A29" s="4">
        <v>707</v>
      </c>
      <c r="B29" s="192">
        <v>5</v>
      </c>
      <c r="C29" s="123" t="s">
        <v>156</v>
      </c>
      <c r="D29" s="325" t="str">
        <f>VLOOKUP(C29,Extrusion!B:C,2,0)</f>
        <v>APPROVED EL 8/1</v>
      </c>
      <c r="E29" s="326"/>
      <c r="F29" s="108" t="str">
        <f ca="1">VLOOKUP(C29,Extrusion!B:N,5,0)</f>
        <v/>
      </c>
      <c r="G29" s="108">
        <f>VLOOKUP(C29,Extrusion!B:N,6,0)</f>
        <v>1</v>
      </c>
      <c r="H29" s="108">
        <f>VLOOKUP(C29,Extrusion!B:N,7,0)</f>
        <v>0</v>
      </c>
      <c r="I29" s="109"/>
      <c r="J29" s="46" t="str">
        <f>VLOOKUP(C29,Extrusion!B:N,8,0)</f>
        <v>T-Slots</v>
      </c>
      <c r="K29" s="46" t="str">
        <f>VLOOKUP(C29,Extrusion!B:N,9,0)</f>
        <v>1 not acounted for, added 8/14/2024 tj</v>
      </c>
      <c r="L29" s="46">
        <f>VLOOKUP(C29,Extrusion!B:N,10,0)</f>
        <v>0</v>
      </c>
      <c r="M29" s="46">
        <f>VLOOKUP(C29,Extrusion!B:N,11,0)</f>
        <v>0</v>
      </c>
      <c r="N29" s="47">
        <f>VLOOKUP(C29,Extrusion!B:O,12,0)</f>
        <v>0</v>
      </c>
      <c r="O29" s="47">
        <f t="shared" ca="1" si="6"/>
        <v>5</v>
      </c>
      <c r="P29" s="51">
        <f>VLOOKUP(C29,Extrusion!B:G,4,0)</f>
        <v>18</v>
      </c>
      <c r="Q29" s="52">
        <f t="shared" si="7"/>
        <v>90</v>
      </c>
    </row>
    <row r="30" spans="1:17" s="2" customFormat="1" ht="12" customHeight="1" thickBot="1" x14ac:dyDescent="0.3">
      <c r="A30" s="34"/>
      <c r="B30" s="35"/>
      <c r="C30" s="35"/>
      <c r="D30" s="316"/>
      <c r="E30" s="317"/>
      <c r="F30" s="35"/>
      <c r="G30" s="35"/>
      <c r="H30" s="309"/>
      <c r="I30" s="310"/>
      <c r="J30" s="36"/>
      <c r="K30" s="36"/>
      <c r="L30" s="36"/>
      <c r="M30" s="37"/>
      <c r="N30" s="132"/>
      <c r="O30" s="38"/>
      <c r="P30" s="99" t="s">
        <v>43</v>
      </c>
      <c r="Q30" s="104">
        <f>SUM(Q5:Q29)</f>
        <v>5167.1699999999992</v>
      </c>
    </row>
  </sheetData>
  <sheetProtection selectLockedCells="1"/>
  <mergeCells count="46">
    <mergeCell ref="D9:E9"/>
    <mergeCell ref="H9:I9"/>
    <mergeCell ref="D10:E10"/>
    <mergeCell ref="D6:E6"/>
    <mergeCell ref="H6:I6"/>
    <mergeCell ref="D7:E7"/>
    <mergeCell ref="H7:I7"/>
    <mergeCell ref="D8:E8"/>
    <mergeCell ref="H8:I8"/>
    <mergeCell ref="D14:E14"/>
    <mergeCell ref="H14:I14"/>
    <mergeCell ref="D11:E11"/>
    <mergeCell ref="H11:I11"/>
    <mergeCell ref="H20:I20"/>
    <mergeCell ref="D17:E17"/>
    <mergeCell ref="D12:E12"/>
    <mergeCell ref="H12:I12"/>
    <mergeCell ref="D13:E13"/>
    <mergeCell ref="H13:I13"/>
    <mergeCell ref="D16:E16"/>
    <mergeCell ref="H16:I16"/>
    <mergeCell ref="H17:I17"/>
    <mergeCell ref="D15:E15"/>
    <mergeCell ref="D18:E18"/>
    <mergeCell ref="H18:I18"/>
    <mergeCell ref="D1:E1"/>
    <mergeCell ref="D4:E4"/>
    <mergeCell ref="H4:I4"/>
    <mergeCell ref="D5:E5"/>
    <mergeCell ref="H5:I5"/>
    <mergeCell ref="D19:E19"/>
    <mergeCell ref="H19:I19"/>
    <mergeCell ref="D21:E21"/>
    <mergeCell ref="H21:I21"/>
    <mergeCell ref="D23:E23"/>
    <mergeCell ref="H22:I22"/>
    <mergeCell ref="D22:E22"/>
    <mergeCell ref="D20:E20"/>
    <mergeCell ref="D24:E24"/>
    <mergeCell ref="D30:E30"/>
    <mergeCell ref="H30:I30"/>
    <mergeCell ref="D25:E25"/>
    <mergeCell ref="D26:E26"/>
    <mergeCell ref="D27:E27"/>
    <mergeCell ref="D28:E28"/>
    <mergeCell ref="D29:E29"/>
  </mergeCells>
  <conditionalFormatting sqref="M16">
    <cfRule type="cellIs" dxfId="1702" priority="7" stopIfTrue="1" operator="lessThanOrEqual">
      <formula>$L16</formula>
    </cfRule>
    <cfRule type="cellIs" dxfId="1701" priority="8" operator="greaterThan">
      <formula>L16</formula>
    </cfRule>
  </conditionalFormatting>
  <conditionalFormatting sqref="M18 M22:M29">
    <cfRule type="cellIs" dxfId="1700" priority="9" stopIfTrue="1" operator="lessThanOrEqual">
      <formula>$L18</formula>
    </cfRule>
    <cfRule type="cellIs" dxfId="1699" priority="10" operator="greaterThan">
      <formula>L18</formula>
    </cfRule>
  </conditionalFormatting>
  <conditionalFormatting sqref="M19">
    <cfRule type="cellIs" dxfId="1698" priority="5" stopIfTrue="1" operator="lessThanOrEqual">
      <formula>$L19</formula>
    </cfRule>
    <cfRule type="cellIs" dxfId="1697" priority="6" operator="greaterThan">
      <formula>L19</formula>
    </cfRule>
  </conditionalFormatting>
  <conditionalFormatting sqref="M20">
    <cfRule type="cellIs" dxfId="1696" priority="3" stopIfTrue="1" operator="lessThanOrEqual">
      <formula>$L20</formula>
    </cfRule>
    <cfRule type="cellIs" dxfId="1695" priority="4" operator="greaterThan">
      <formula>L20</formula>
    </cfRule>
  </conditionalFormatting>
  <conditionalFormatting sqref="M21">
    <cfRule type="cellIs" dxfId="1694" priority="1" stopIfTrue="1" operator="lessThanOrEqual">
      <formula>$L21</formula>
    </cfRule>
    <cfRule type="cellIs" dxfId="1693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E1C88B-F855-420B-93BC-9246B0DA226F}">
          <x14:formula1>
            <xm:f>Extrusion!$B:$B</xm:f>
          </x14:formula1>
          <xm:sqref>C23:C29</xm:sqref>
        </x14:dataValidation>
        <x14:dataValidation type="list" allowBlank="1" showInputMessage="1" showErrorMessage="1" xr:uid="{FE2F587D-CD1D-4DEA-9668-B14FD1866EF9}">
          <x14:formula1>
            <xm:f>Assemblies!$E:$E</xm:f>
          </x14:formula1>
          <xm:sqref>C5:C15</xm:sqref>
        </x14:dataValidation>
        <x14:dataValidation type="list" allowBlank="1" showInputMessage="1" showErrorMessage="1" xr:uid="{3BA24E0A-B8E6-4FB7-A10E-69260F875749}">
          <x14:formula1>
            <xm:f>Machined!$C:$C</xm:f>
          </x14:formula1>
          <xm:sqref>C16:C17</xm:sqref>
        </x14:dataValidation>
        <x14:dataValidation type="list" allowBlank="1" showInputMessage="1" showErrorMessage="1" xr:uid="{F5D5063A-35BF-4AA8-BBBB-86CF043EA7DD}">
          <x14:formula1>
            <xm:f>Purchased!$A:$A</xm:f>
          </x14:formula1>
          <xm:sqref>C18:C21</xm:sqref>
        </x14:dataValidation>
      </x14:dataValidation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B115D-C4D6-405A-ACA8-B771D2695CA5}">
  <sheetPr codeName="Sheet75">
    <tabColor theme="6" tint="0.59999389629810485"/>
  </sheetPr>
  <dimension ref="A1:Q11"/>
  <sheetViews>
    <sheetView zoomScale="115" zoomScaleNormal="115" workbookViewId="0">
      <selection activeCell="F8" sqref="F8:N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'3.1'!C5</f>
        <v>PG10.3.1.1.0.A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'3.1'!D5</f>
        <v>Main Frame 2 Rail Assy</v>
      </c>
      <c r="D3" s="85" t="s">
        <v>50</v>
      </c>
      <c r="E3" s="86" t="str">
        <f ca="1">MID(CELL("filename",A1),FIND("]",CELL("filename",A1))+1,256)</f>
        <v>3.1.1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452</v>
      </c>
      <c r="D5" s="314" t="str">
        <f>VLOOKUP(C5,Machined!C:X,2,0)</f>
        <v>Cam Bar Main Frame 2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Flare Precision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>
        <f>IF(VLOOKUP($C5,Machined!C:Z,18,0) = 0, " ", VLOOKUP($C5,Machined!C:Z,18,0))</f>
        <v>45504</v>
      </c>
      <c r="K5" s="44">
        <f>IF(VLOOKUP($C5,Machined!C:Z,19,0) = 0, " ", VLOOKUP($C5,Machined!C:Z,19,0))</f>
        <v>45511</v>
      </c>
      <c r="L5" s="44">
        <f>IF(VLOOKUP($C5,Machined!C:Z,20,0) = 0, " ", VLOOKUP($C5,Machined!C:Z,20,0))</f>
        <v>45546</v>
      </c>
      <c r="M5" s="44">
        <f>IF(VLOOKUP($C5,Machined!C:Z,21,0) = 0, " ", VLOOKUP($C5,Machined!C:Z,21,0))</f>
        <v>45546</v>
      </c>
      <c r="N5" s="129">
        <f>IF(VLOOKUP($C5,Machined!C:Z,22,0) = 0, " ", VLOOKUP($C5,Machined!C:Z,22,0))</f>
        <v>55663</v>
      </c>
      <c r="O5" s="45">
        <f ca="1">B5*$L$2</f>
        <v>2</v>
      </c>
      <c r="P5" s="49">
        <f>VLOOKUP(C5,Machined!C:F,3,0)</f>
        <v>865</v>
      </c>
      <c r="Q5" s="50">
        <f>B5*P5</f>
        <v>865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10</v>
      </c>
      <c r="C7" s="135" t="s">
        <v>104</v>
      </c>
      <c r="D7" s="325" t="str">
        <f>VLOOKUP(C7,Purchased!A:B,2,0)</f>
        <v>BRX GOTO T-NUT 10 M8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400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8" ca="1" si="0">B7*$L$2</f>
        <v>20</v>
      </c>
      <c r="P7" s="51">
        <f>VLOOKUP(C7,Purchased!A:D,3,FALSE)</f>
        <v>0.56000000000000005</v>
      </c>
      <c r="Q7" s="52">
        <f t="shared" ref="Q7:Q8" si="1">B7*P7</f>
        <v>5.6000000000000005</v>
      </c>
    </row>
    <row r="8" spans="1:17" s="2" customFormat="1" ht="12" customHeight="1" x14ac:dyDescent="0.25">
      <c r="A8" s="4">
        <v>302</v>
      </c>
      <c r="B8" s="2">
        <v>5</v>
      </c>
      <c r="C8" s="135" t="s">
        <v>384</v>
      </c>
      <c r="D8" s="325" t="str">
        <f>VLOOKUP(C8,Purchased!A:B,2,0)</f>
        <v>Dowel Pin 52100 Alloy Steel, 10 mm Diameter, 60 mm Long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ca="1" si="0"/>
        <v>10</v>
      </c>
      <c r="P8" s="51">
        <f>VLOOKUP(C8,Purchased!A:D,3,FALSE)</f>
        <v>11.15</v>
      </c>
      <c r="Q8" s="52">
        <f t="shared" si="1"/>
        <v>55.75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10</v>
      </c>
      <c r="C10" s="122" t="s">
        <v>324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t="shared" ref="O10" ca="1" si="2">B10*$L$2</f>
        <v>20</v>
      </c>
      <c r="P10" s="51">
        <f>VLOOKUP(C10,Bolts!A:B,2,FALSE)</f>
        <v>0</v>
      </c>
      <c r="Q10" s="52">
        <f t="shared" ref="Q10" si="3"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926.35</v>
      </c>
    </row>
  </sheetData>
  <sheetProtection selectLockedCells="1"/>
  <mergeCells count="16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D11:E11"/>
    <mergeCell ref="H11:I11"/>
  </mergeCells>
  <conditionalFormatting sqref="M6 M9:M10">
    <cfRule type="cellIs" dxfId="1692" priority="5" stopIfTrue="1" operator="lessThanOrEqual">
      <formula>$L6</formula>
    </cfRule>
    <cfRule type="cellIs" dxfId="1691" priority="6" operator="greaterThan">
      <formula>L6</formula>
    </cfRule>
  </conditionalFormatting>
  <conditionalFormatting sqref="M7">
    <cfRule type="cellIs" dxfId="1690" priority="3" stopIfTrue="1" operator="lessThanOrEqual">
      <formula>$L7</formula>
    </cfRule>
    <cfRule type="cellIs" dxfId="1689" priority="4" operator="greaterThan">
      <formula>L7</formula>
    </cfRule>
  </conditionalFormatting>
  <conditionalFormatting sqref="M8">
    <cfRule type="cellIs" dxfId="1688" priority="1" stopIfTrue="1" operator="lessThanOrEqual">
      <formula>$L8</formula>
    </cfRule>
    <cfRule type="cellIs" dxfId="1687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04BF9D6-15FE-41E0-81B9-8760D41DB5EB}">
          <x14:formula1>
            <xm:f>Bolts!$A:$A</xm:f>
          </x14:formula1>
          <xm:sqref>C9:C10</xm:sqref>
        </x14:dataValidation>
        <x14:dataValidation type="list" allowBlank="1" showInputMessage="1" showErrorMessage="1" xr:uid="{10193DE1-535F-4ED7-BD54-FCF86FE17388}">
          <x14:formula1>
            <xm:f>Machined!$C:$C</xm:f>
          </x14:formula1>
          <xm:sqref>C5</xm:sqref>
        </x14:dataValidation>
        <x14:dataValidation type="list" allowBlank="1" showInputMessage="1" showErrorMessage="1" xr:uid="{E896FAE1-7F65-4E9E-9BE5-EE50015EFE3B}">
          <x14:formula1>
            <xm:f>Purchased!$A:$A</xm:f>
          </x14:formula1>
          <xm:sqref>C6:C8</xm:sqref>
        </x14:dataValidation>
      </x14:dataValidation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2443F-122A-4F07-99BE-61222B625418}">
  <sheetPr codeName="Sheet76">
    <tabColor theme="6" tint="0.59999389629810485"/>
  </sheetPr>
  <dimension ref="A1:Q11"/>
  <sheetViews>
    <sheetView zoomScale="115" zoomScaleNormal="115" workbookViewId="0">
      <selection activeCell="C5" sqref="C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'3.1'!C6</f>
        <v>PG10.3.1.2.0.A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'3.1'!D6</f>
        <v>Main Frame 2 Rack Assy</v>
      </c>
      <c r="D3" s="85" t="s">
        <v>50</v>
      </c>
      <c r="E3" s="86" t="str">
        <f ca="1">MID(CELL("filename",A1),FIND("]",CELL("filename",A1))+1,256)</f>
        <v>3.1.2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453</v>
      </c>
      <c r="D5" s="314" t="str">
        <f>VLOOKUP(C5,Machined!C:X,2,0)</f>
        <v>Main Frame 2 Gear Rack</v>
      </c>
      <c r="E5" s="329"/>
      <c r="F5" s="107" t="str">
        <f>VLOOKUP($C5,Machined!C:Z,13,0)</f>
        <v xml:space="preserve">PURCHASED GEAR RACK </v>
      </c>
      <c r="G5" s="44" t="str">
        <f>IF(VLOOKUP($C5,Machined!C:Z,16,0) = 0, " ", VLOOKUP($C5,Machined!C:Z,16,0))</f>
        <v xml:space="preserve">Nuline </v>
      </c>
      <c r="H5" s="320" t="str">
        <f>IF(VLOOKUP($C5,Machined!C:Z,17,0) = 0, " ", VLOOKUP($C5,Machined!C:Z,17,0))</f>
        <v>P.O. for material</v>
      </c>
      <c r="I5" s="321" t="str">
        <f>IF(VLOOKUP($C5,Machined!$C:$Y,13,0) = 0, " ", VLOOKUP($C5,Machined!$C:$Y,13,0))</f>
        <v xml:space="preserve">PURCHASED GEAR RACK </v>
      </c>
      <c r="J5" s="44">
        <f>IF(VLOOKUP($C5,Machined!C:Z,18,0) = 0, " ", VLOOKUP($C5,Machined!C:Z,18,0))</f>
        <v>45502</v>
      </c>
      <c r="K5" s="44">
        <f>IF(VLOOKUP($C5,Machined!C:Z,19,0) = 0, " ", VLOOKUP($C5,Machined!C:Z,19,0))</f>
        <v>45520</v>
      </c>
      <c r="L5" s="44">
        <f>IF(VLOOKUP($C5,Machined!C:Z,20,0) = 0, " ", VLOOKUP($C5,Machined!C:Z,20,0))</f>
        <v>45532</v>
      </c>
      <c r="M5" s="44">
        <f>IF(VLOOKUP($C5,Machined!C:Z,21,0) = 0, " ", VLOOKUP($C5,Machined!C:Z,21,0))</f>
        <v>45532</v>
      </c>
      <c r="N5" s="129">
        <f>IF(VLOOKUP($C5,Machined!C:Z,22,0) = 0, " ", VLOOKUP($C5,Machined!C:Z,22,0))</f>
        <v>55687</v>
      </c>
      <c r="O5" s="45">
        <f ca="1">B5*$L$2</f>
        <v>2</v>
      </c>
      <c r="P5" s="49">
        <f>VLOOKUP(C5,Machined!C:F,3,0)</f>
        <v>205.45</v>
      </c>
      <c r="Q5" s="50">
        <f>B5*P5</f>
        <v>205.45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6</v>
      </c>
      <c r="C7" s="135" t="s">
        <v>172</v>
      </c>
      <c r="D7" s="325" t="str">
        <f>VLOOKUP(C7,Purchased!A:B,2,0)</f>
        <v>BRX GOTO T-NUT 10 M6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8" ca="1" si="0">B7*$L$2</f>
        <v>12</v>
      </c>
      <c r="P7" s="51">
        <f>VLOOKUP(C7,Purchased!A:D,3,FALSE)</f>
        <v>0.56000000000000005</v>
      </c>
      <c r="Q7" s="52">
        <f t="shared" ref="Q7:Q8" si="1">B7*P7</f>
        <v>3.3600000000000003</v>
      </c>
    </row>
    <row r="8" spans="1:17" s="2" customFormat="1" ht="12" customHeight="1" x14ac:dyDescent="0.25">
      <c r="A8" s="4">
        <v>302</v>
      </c>
      <c r="B8" s="2">
        <v>2</v>
      </c>
      <c r="C8" s="135" t="s">
        <v>300</v>
      </c>
      <c r="D8" s="325" t="str">
        <f>VLOOKUP(C8,Purchased!A:B,2,0)</f>
        <v>Dowel Pin 52100 Alloy Steel, 10 mm Diameter, 30 mm Long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>4 Additional Quantity Added to 55697</v>
      </c>
      <c r="I8" s="328"/>
      <c r="J8" s="46">
        <f>IF(VLOOKUP($C8,Purchased!A:Z,14,0)=0, " ", VLOOKUP($C8,Purchased!A:Z,14,0))</f>
        <v>45460</v>
      </c>
      <c r="K8" s="46">
        <f>IF(VLOOKUP(C8,Purchased!A:R,14,0)=0, " ", VLOOKUP(C8,Purchased!A:R,14,0))</f>
        <v>45460</v>
      </c>
      <c r="L8" s="46">
        <f>IF(VLOOKUP(C8,Purchased!A:R,15,0)=0, " ", VLOOKUP(C8,Purchased!A:R,15,0))</f>
        <v>45460</v>
      </c>
      <c r="M8" s="46">
        <f>IF(VLOOKUP(C8,Purchased!A:R,16,0)=0, " ",VLOOKUP(C8,Purchased!A:R,16,0))</f>
        <v>45462</v>
      </c>
      <c r="N8" s="130">
        <f>IF(VLOOKUP(C8,Purchased!A:R,17,0)=0, " ", VLOOKUP(C8,Purchased!A:R,17,0))</f>
        <v>45462</v>
      </c>
      <c r="O8" s="47">
        <f t="shared" ca="1" si="0"/>
        <v>4</v>
      </c>
      <c r="P8" s="51">
        <f>VLOOKUP(C8,Purchased!A:D,3,FALSE)</f>
        <v>12.91</v>
      </c>
      <c r="Q8" s="52">
        <f t="shared" si="1"/>
        <v>25.82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6</v>
      </c>
      <c r="C10" s="122" t="s">
        <v>382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t="shared" ref="O10" ca="1" si="2">B10*$L$2</f>
        <v>12</v>
      </c>
      <c r="P10" s="51">
        <f>VLOOKUP(C10,Bolts!A:B,2,FALSE)</f>
        <v>0</v>
      </c>
      <c r="Q10" s="52">
        <f t="shared" ref="Q10" si="3"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234.63</v>
      </c>
    </row>
  </sheetData>
  <sheetProtection selectLockedCells="1"/>
  <mergeCells count="16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D11:E11"/>
    <mergeCell ref="H11:I11"/>
  </mergeCells>
  <conditionalFormatting sqref="M6 M9:M10">
    <cfRule type="cellIs" dxfId="1686" priority="5" stopIfTrue="1" operator="lessThanOrEqual">
      <formula>$L6</formula>
    </cfRule>
    <cfRule type="cellIs" dxfId="1685" priority="6" operator="greaterThan">
      <formula>L6</formula>
    </cfRule>
  </conditionalFormatting>
  <conditionalFormatting sqref="M7">
    <cfRule type="cellIs" dxfId="1684" priority="3" stopIfTrue="1" operator="lessThanOrEqual">
      <formula>$L7</formula>
    </cfRule>
    <cfRule type="cellIs" dxfId="1683" priority="4" operator="greaterThan">
      <formula>L7</formula>
    </cfRule>
  </conditionalFormatting>
  <conditionalFormatting sqref="M8">
    <cfRule type="cellIs" dxfId="1682" priority="1" stopIfTrue="1" operator="lessThanOrEqual">
      <formula>$L8</formula>
    </cfRule>
    <cfRule type="cellIs" dxfId="1681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E0E707-B366-445C-9EAF-5DD5F1B2A8B1}">
          <x14:formula1>
            <xm:f>Bolts!$A:$A</xm:f>
          </x14:formula1>
          <xm:sqref>C9:C10</xm:sqref>
        </x14:dataValidation>
        <x14:dataValidation type="list" allowBlank="1" showInputMessage="1" showErrorMessage="1" xr:uid="{31645AD6-BD26-4963-A109-BBB84F4DCA05}">
          <x14:formula1>
            <xm:f>Machined!$C:$C</xm:f>
          </x14:formula1>
          <xm:sqref>C5</xm:sqref>
        </x14:dataValidation>
        <x14:dataValidation type="list" allowBlank="1" showInputMessage="1" showErrorMessage="1" xr:uid="{4742E3D0-4861-4DB7-B55D-77FFEE6E0750}">
          <x14:formula1>
            <xm:f>Purchased!$A:$A</xm:f>
          </x14:formula1>
          <xm:sqref>C6:C8</xm:sqref>
        </x14:dataValidation>
      </x14:dataValidation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1230-5EB8-44DB-A293-DCFA1689B4A0}">
  <sheetPr codeName="Sheet265">
    <tabColor theme="6" tint="0.59999389629810485"/>
  </sheetPr>
  <dimension ref="A1:Q9"/>
  <sheetViews>
    <sheetView zoomScale="114" zoomScaleNormal="115" workbookViewId="0">
      <selection activeCell="C19" sqref="C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'3.1'!C11</f>
        <v>PG10.3.1.3.0.A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'3.1'!D11</f>
        <v>Bottom Guarding 5 and 6</v>
      </c>
      <c r="D3" s="85" t="s">
        <v>50</v>
      </c>
      <c r="E3" s="86" t="str">
        <f ca="1">MID(CELL("filename",A1),FIND("]",CELL("filename",A1))+1,256)</f>
        <v>3.1.3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>
        <f>'1.1.11.1'!Q9</f>
        <v>7.1199999999999992</v>
      </c>
      <c r="Q5" s="152">
        <f>B5*P5</f>
        <v>71.199999999999989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3718</v>
      </c>
      <c r="D7" s="314" t="str">
        <f>VLOOKUP(C7,Machined!C:X,2,0)</f>
        <v>Bottom Guarding 5 and 6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71.199999999999989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680" priority="1" stopIfTrue="1" operator="lessThanOrEqual">
      <formula>$L6</formula>
    </cfRule>
    <cfRule type="cellIs" dxfId="1679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9069E20-0014-4E6C-B393-15A36825E734}">
          <x14:formula1>
            <xm:f>Assemblies!$E:$E</xm:f>
          </x14:formula1>
          <xm:sqref>C5</xm:sqref>
        </x14:dataValidation>
        <x14:dataValidation type="list" allowBlank="1" showInputMessage="1" showErrorMessage="1" xr:uid="{081A1D67-8159-47C9-851C-FC165F2CE80C}">
          <x14:formula1>
            <xm:f>Machined!$C:$C</xm:f>
          </x14:formula1>
          <xm:sqref>C7</xm:sqref>
        </x14:dataValidation>
      </x14:dataValidation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CA29C-D46B-490B-93F8-049FF621DE87}">
  <sheetPr codeName="Sheet266">
    <tabColor theme="6" tint="0.59999389629810485"/>
  </sheetPr>
  <dimension ref="A1:Q9"/>
  <sheetViews>
    <sheetView zoomScale="114" zoomScaleNormal="115" workbookViewId="0">
      <selection activeCell="C10" sqref="C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'3.1'!C12</f>
        <v>PG10.3.1.4.0.A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'3.1'!D12</f>
        <v>Bottom Guarding 7 and 8</v>
      </c>
      <c r="D3" s="85" t="s">
        <v>50</v>
      </c>
      <c r="E3" s="86" t="str">
        <f ca="1">MID(CELL("filename",A1),FIND("]",CELL("filename",A1))+1,256)</f>
        <v>3.1.4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6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6</v>
      </c>
      <c r="P5" s="117">
        <f>'1.1.11.1'!Q9</f>
        <v>7.1199999999999992</v>
      </c>
      <c r="Q5" s="152">
        <f>B5*P5</f>
        <v>42.72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3719</v>
      </c>
      <c r="D7" s="314" t="str">
        <f>VLOOKUP(C7,Machined!C:X,2,0)</f>
        <v>Bottom Guarding 7 and 8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42.72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678" priority="1" stopIfTrue="1" operator="lessThanOrEqual">
      <formula>$L6</formula>
    </cfRule>
    <cfRule type="cellIs" dxfId="167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6CF3AE-9F88-48B0-88B2-89ED14E62BDE}">
          <x14:formula1>
            <xm:f>Assemblies!$E:$E</xm:f>
          </x14:formula1>
          <xm:sqref>C5</xm:sqref>
        </x14:dataValidation>
        <x14:dataValidation type="list" allowBlank="1" showInputMessage="1" showErrorMessage="1" xr:uid="{6D57F7C4-E705-4110-BFC6-0F9621DDBD78}">
          <x14:formula1>
            <xm:f>Machined!$C:$C</xm:f>
          </x14:formula1>
          <xm:sqref>C7</xm:sqref>
        </x14:dataValidation>
      </x14:dataValidation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C1B54-1E72-4C7E-BA91-470AEE892BBC}">
  <sheetPr codeName="Sheet267">
    <tabColor theme="6" tint="0.59999389629810485"/>
  </sheetPr>
  <dimension ref="A1:Q9"/>
  <sheetViews>
    <sheetView zoomScale="114" zoomScaleNormal="115" workbookViewId="0">
      <selection activeCell="C11" sqref="C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'3.1'!C13</f>
        <v>PG10.3.1.5.0.A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'3.1'!D13</f>
        <v>Bottom Guarding 9 and  10</v>
      </c>
      <c r="D3" s="85" t="s">
        <v>50</v>
      </c>
      <c r="E3" s="86" t="str">
        <f ca="1">MID(CELL("filename",A1),FIND("]",CELL("filename",A1))+1,256)</f>
        <v>3.1.5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>
        <f>'1.1.11.1'!Q9</f>
        <v>7.1199999999999992</v>
      </c>
      <c r="Q5" s="152">
        <f>B5*P5</f>
        <v>71.199999999999989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3720</v>
      </c>
      <c r="D7" s="314" t="str">
        <f>VLOOKUP(C7,Machined!C:X,2,0)</f>
        <v>Bottom Guarding 9 and 10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71.199999999999989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676" priority="1" stopIfTrue="1" operator="lessThanOrEqual">
      <formula>$L6</formula>
    </cfRule>
    <cfRule type="cellIs" dxfId="167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6C252D-1D00-435D-A3A7-96E1E8C04D35}">
          <x14:formula1>
            <xm:f>Assemblies!$E:$E</xm:f>
          </x14:formula1>
          <xm:sqref>C5</xm:sqref>
        </x14:dataValidation>
        <x14:dataValidation type="list" allowBlank="1" showInputMessage="1" showErrorMessage="1" xr:uid="{E1B85522-5677-4BCD-828E-35AE590BF251}">
          <x14:formula1>
            <xm:f>Machined!$C:$C</xm:f>
          </x14:formula1>
          <xm:sqref>C7</xm:sqref>
        </x14:dataValidation>
      </x14:dataValidation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47CA5-2580-4552-A0EF-253809D70A22}">
  <sheetPr codeName="Sheet268">
    <tabColor theme="6" tint="0.59999389629810485"/>
  </sheetPr>
  <dimension ref="A1:Q9"/>
  <sheetViews>
    <sheetView zoomScale="114" zoomScaleNormal="115" workbookViewId="0">
      <selection activeCell="C10" sqref="C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'3.1'!C14</f>
        <v>PG10.3.1.6.0.A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'3.1'!D14</f>
        <v>Bottom Guarding 11 and 12</v>
      </c>
      <c r="D3" s="85" t="s">
        <v>50</v>
      </c>
      <c r="E3" s="86" t="str">
        <f ca="1">MID(CELL("filename",A1),FIND("]",CELL("filename",A1))+1,256)</f>
        <v>3.1.6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7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7</v>
      </c>
      <c r="P5" s="117">
        <f>'1.1.11.1'!Q9</f>
        <v>7.1199999999999992</v>
      </c>
      <c r="Q5" s="152">
        <f>B5*P5</f>
        <v>49.839999999999996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3721</v>
      </c>
      <c r="D7" s="314" t="str">
        <f>VLOOKUP(C7,Machined!C:X,2,0)</f>
        <v>Bottom Guarding 11 and 12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49.839999999999996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674" priority="1" stopIfTrue="1" operator="lessThanOrEqual">
      <formula>$L6</formula>
    </cfRule>
    <cfRule type="cellIs" dxfId="1673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D08ED9-B93B-4CF3-A587-15F0F05CAC17}">
          <x14:formula1>
            <xm:f>Assemblies!$E:$E</xm:f>
          </x14:formula1>
          <xm:sqref>C5</xm:sqref>
        </x14:dataValidation>
        <x14:dataValidation type="list" allowBlank="1" showInputMessage="1" showErrorMessage="1" xr:uid="{9D21B879-EEA1-4D11-9002-1CC145AEC145}">
          <x14:formula1>
            <xm:f>Machined!$C:$C</xm:f>
          </x14:formula1>
          <xm:sqref>C7</xm:sqref>
        </x14:dataValidation>
      </x14:dataValidation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4495B-F0DE-40F1-B5A4-C29D1DE7D67A}">
  <sheetPr codeName="Sheet269">
    <tabColor theme="6" tint="0.59999389629810485"/>
  </sheetPr>
  <dimension ref="A1:Q9"/>
  <sheetViews>
    <sheetView zoomScale="114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'3.1'!C15</f>
        <v>PG10.3.1.7.0.A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'3.1'!D15</f>
        <v>Bottom Guarding 13 and 14</v>
      </c>
      <c r="D3" s="85" t="s">
        <v>50</v>
      </c>
      <c r="E3" s="86" t="str">
        <f ca="1">MID(CELL("filename",A1),FIND("]",CELL("filename",A1))+1,256)</f>
        <v>3.1.7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>
        <f>'1.1.11.1'!Q9</f>
        <v>7.1199999999999992</v>
      </c>
      <c r="Q5" s="152">
        <f>B5*P5</f>
        <v>71.199999999999989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3722</v>
      </c>
      <c r="D7" s="314" t="str">
        <f>VLOOKUP(C7,Machined!C:X,2,0)</f>
        <v>Bottom Guarding 13 and 14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71.199999999999989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672" priority="1" stopIfTrue="1" operator="lessThanOrEqual">
      <formula>$L6</formula>
    </cfRule>
    <cfRule type="cellIs" dxfId="1671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3208CF7-468C-4833-803A-C1D34B63D507}">
          <x14:formula1>
            <xm:f>Assemblies!$E:$E</xm:f>
          </x14:formula1>
          <xm:sqref>C5</xm:sqref>
        </x14:dataValidation>
        <x14:dataValidation type="list" allowBlank="1" showInputMessage="1" showErrorMessage="1" xr:uid="{0B625B54-BF54-4FB9-95EE-BAF6B1F5CE33}">
          <x14:formula1>
            <xm:f>Machined!$C:$C</xm:f>
          </x14:formula1>
          <xm:sqref>C7</xm:sqref>
        </x14:dataValidation>
      </x14:dataValidation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F9295-366B-46A1-BD35-F56FB212827F}">
  <sheetPr codeName="Sheet77">
    <tabColor theme="9" tint="0.59999389629810485"/>
  </sheetPr>
  <dimension ref="A1:Q31"/>
  <sheetViews>
    <sheetView zoomScale="115" zoomScaleNormal="115" workbookViewId="0">
      <selection sqref="A1:O4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'3'!C6</f>
        <v>PG10.3.2.0.A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'3'!D6</f>
        <v>Upper Main Frame 2</v>
      </c>
      <c r="D3" s="85" t="s">
        <v>50</v>
      </c>
      <c r="E3" s="86" t="str">
        <f ca="1">MID(CELL("filename",A1),FIND("]",CELL("filename",A1))+1,256)</f>
        <v>3.2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50" t="s">
        <v>54</v>
      </c>
      <c r="B5" s="1">
        <v>8</v>
      </c>
      <c r="C5" s="145" t="s">
        <v>131</v>
      </c>
      <c r="D5" s="314" t="str">
        <f ca="1">VLOOKUP(C5,Assemblies!E:P,2,0)</f>
        <v>Frame Gusset</v>
      </c>
      <c r="E5" s="315"/>
      <c r="F5" s="32"/>
      <c r="G5" s="32"/>
      <c r="H5" s="303"/>
      <c r="I5" s="303"/>
      <c r="J5" s="28"/>
      <c r="K5" s="28"/>
      <c r="L5" s="28"/>
      <c r="M5" s="28"/>
      <c r="N5" s="33"/>
      <c r="O5" s="146">
        <f t="shared" ref="O5:O17" ca="1" si="0">B5*$L$2</f>
        <v>8</v>
      </c>
      <c r="P5" s="147">
        <f>'1.1.3'!Q10</f>
        <v>21.919999999999998</v>
      </c>
      <c r="Q5" s="103">
        <f t="shared" ref="Q5:Q17" si="1">B5*P5</f>
        <v>175.35999999999999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454</v>
      </c>
      <c r="D6" s="314" t="str">
        <f ca="1">VLOOKUP(C6,Assemblies!E:P,2,0)</f>
        <v>Tube Opening Guard L A Side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1</v>
      </c>
      <c r="P6" s="147">
        <f>'3.2.1'!Q9</f>
        <v>101.91</v>
      </c>
      <c r="Q6" s="103">
        <f>B6*P6</f>
        <v>101.91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455</v>
      </c>
      <c r="D7" s="314" t="str">
        <f ca="1">VLOOKUP(C7,Assemblies!E:P,2,0)</f>
        <v>Tube Opening Guard R A Side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1</v>
      </c>
      <c r="P7" s="147">
        <f>'3.2.2'!Q9</f>
        <v>101.91</v>
      </c>
      <c r="Q7" s="103">
        <f>B7*P7</f>
        <v>101.91</v>
      </c>
    </row>
    <row r="8" spans="1:17" s="2" customFormat="1" ht="12.75" customHeight="1" x14ac:dyDescent="0.2">
      <c r="A8" s="150" t="s">
        <v>60</v>
      </c>
      <c r="B8" s="1">
        <v>1</v>
      </c>
      <c r="C8" s="145" t="s">
        <v>456</v>
      </c>
      <c r="D8" s="314" t="str">
        <f ca="1">VLOOKUP(C8,Assemblies!E:P,2,0)</f>
        <v>Tube Opening Guard R B Side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1</v>
      </c>
      <c r="P8" s="147">
        <f>'3.2.3'!Q9</f>
        <v>101.91</v>
      </c>
      <c r="Q8" s="103">
        <f>B8*P8</f>
        <v>101.91</v>
      </c>
    </row>
    <row r="9" spans="1:17" s="2" customFormat="1" ht="12.75" customHeight="1" x14ac:dyDescent="0.2">
      <c r="A9" s="150" t="s">
        <v>62</v>
      </c>
      <c r="B9" s="1">
        <v>1</v>
      </c>
      <c r="C9" s="145" t="s">
        <v>457</v>
      </c>
      <c r="D9" s="314" t="str">
        <f ca="1">VLOOKUP(C9,Assemblies!E:P,2,0)</f>
        <v>Tube Opening Guard L B Side</v>
      </c>
      <c r="E9" s="315"/>
      <c r="F9" s="32"/>
      <c r="G9" s="32"/>
      <c r="H9" s="32"/>
      <c r="I9" s="32"/>
      <c r="J9" s="28"/>
      <c r="K9" s="28"/>
      <c r="L9" s="28"/>
      <c r="M9" s="28"/>
      <c r="N9" s="33"/>
      <c r="O9" s="146">
        <f ca="1">B9*$L$2</f>
        <v>1</v>
      </c>
      <c r="P9" s="147">
        <f>'3.2.4'!Q9</f>
        <v>101.91</v>
      </c>
      <c r="Q9" s="103">
        <f>B9*P9</f>
        <v>101.91</v>
      </c>
    </row>
    <row r="10" spans="1:17" s="2" customFormat="1" ht="12.75" customHeight="1" x14ac:dyDescent="0.2">
      <c r="A10" s="150" t="s">
        <v>64</v>
      </c>
      <c r="B10" s="1">
        <v>1</v>
      </c>
      <c r="C10" s="145" t="s">
        <v>458</v>
      </c>
      <c r="D10" s="314" t="str">
        <f ca="1">VLOOKUP(C10,Assemblies!E:P,2,0)</f>
        <v>Door 7</v>
      </c>
      <c r="E10" s="315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ca="1" si="0"/>
        <v>1</v>
      </c>
      <c r="P10" s="147">
        <f>'3.2.5'!Q31</f>
        <v>1152.8500000000001</v>
      </c>
      <c r="Q10" s="103">
        <f t="shared" si="1"/>
        <v>1152.8500000000001</v>
      </c>
    </row>
    <row r="11" spans="1:17" s="2" customFormat="1" ht="12.75" customHeight="1" x14ac:dyDescent="0.2">
      <c r="A11" s="150" t="s">
        <v>66</v>
      </c>
      <c r="B11" s="1">
        <v>1</v>
      </c>
      <c r="C11" s="145" t="s">
        <v>459</v>
      </c>
      <c r="D11" s="314" t="str">
        <f ca="1">VLOOKUP(C11,Assemblies!E:P,2,0)</f>
        <v>Door 8</v>
      </c>
      <c r="E11" s="315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ca="1" si="0"/>
        <v>1</v>
      </c>
      <c r="P11" s="147">
        <f>'3.2.6'!Q31</f>
        <v>1152.8500000000001</v>
      </c>
      <c r="Q11" s="103">
        <f t="shared" si="1"/>
        <v>1152.8500000000001</v>
      </c>
    </row>
    <row r="12" spans="1:17" s="2" customFormat="1" ht="12.75" customHeight="1" x14ac:dyDescent="0.2">
      <c r="A12" s="150" t="s">
        <v>68</v>
      </c>
      <c r="B12" s="1">
        <v>1</v>
      </c>
      <c r="C12" s="145" t="s">
        <v>460</v>
      </c>
      <c r="D12" s="314" t="str">
        <f ca="1">VLOOKUP(C12,Assemblies!E:P,2,0)</f>
        <v>Door 9</v>
      </c>
      <c r="E12" s="315"/>
      <c r="F12" s="32"/>
      <c r="G12" s="32"/>
      <c r="H12" s="303"/>
      <c r="I12" s="303"/>
      <c r="J12" s="28"/>
      <c r="K12" s="28"/>
      <c r="L12" s="28"/>
      <c r="M12" s="28"/>
      <c r="N12" s="33"/>
      <c r="O12" s="146">
        <f ca="1">B12*$L$2</f>
        <v>1</v>
      </c>
      <c r="P12" s="147">
        <f>'3.2.7'!Q22</f>
        <v>289.68</v>
      </c>
      <c r="Q12" s="103">
        <f>B12*P12</f>
        <v>289.68</v>
      </c>
    </row>
    <row r="13" spans="1:17" s="2" customFormat="1" ht="12.75" customHeight="1" x14ac:dyDescent="0.2">
      <c r="A13" s="150" t="s">
        <v>70</v>
      </c>
      <c r="B13" s="1">
        <v>1</v>
      </c>
      <c r="C13" s="145" t="s">
        <v>461</v>
      </c>
      <c r="D13" s="314" t="str">
        <f ca="1">VLOOKUP(C13,Assemblies!E:P,2,0)</f>
        <v>Door 10</v>
      </c>
      <c r="E13" s="315"/>
      <c r="F13" s="32"/>
      <c r="G13" s="32"/>
      <c r="H13" s="32"/>
      <c r="I13" s="32"/>
      <c r="J13" s="28"/>
      <c r="K13" s="28"/>
      <c r="L13" s="28"/>
      <c r="M13" s="28"/>
      <c r="N13" s="33"/>
      <c r="O13" s="146">
        <f ca="1">B13*$L$2</f>
        <v>1</v>
      </c>
      <c r="P13" s="147">
        <f>'3.2.8'!Q21</f>
        <v>0</v>
      </c>
      <c r="Q13" s="103">
        <f>B13*P13</f>
        <v>0</v>
      </c>
    </row>
    <row r="14" spans="1:17" s="2" customFormat="1" ht="12.75" customHeight="1" x14ac:dyDescent="0.2">
      <c r="A14" s="150" t="s">
        <v>72</v>
      </c>
      <c r="B14" s="1">
        <v>1</v>
      </c>
      <c r="C14" s="145" t="s">
        <v>462</v>
      </c>
      <c r="D14" s="314" t="str">
        <f ca="1">VLOOKUP(C14,Assemblies!E:P,2,0)</f>
        <v>Twin Wall Top Guard 4</v>
      </c>
      <c r="E14" s="315"/>
      <c r="F14" s="32"/>
      <c r="G14" s="32"/>
      <c r="H14" s="32"/>
      <c r="I14" s="32"/>
      <c r="J14" s="28"/>
      <c r="K14" s="28"/>
      <c r="L14" s="28"/>
      <c r="M14" s="28"/>
      <c r="N14" s="33"/>
      <c r="O14" s="146">
        <f ca="1">B14*$L$2</f>
        <v>1</v>
      </c>
      <c r="P14" s="147">
        <f>'3.2.9'!Q8</f>
        <v>340.7</v>
      </c>
      <c r="Q14" s="103">
        <f>B14*P14</f>
        <v>340.7</v>
      </c>
    </row>
    <row r="15" spans="1:17" s="2" customFormat="1" ht="12.75" customHeight="1" x14ac:dyDescent="0.2">
      <c r="A15" s="150" t="s">
        <v>74</v>
      </c>
      <c r="B15" s="1">
        <v>1</v>
      </c>
      <c r="C15" s="145" t="s">
        <v>463</v>
      </c>
      <c r="D15" s="314" t="str">
        <f ca="1">VLOOKUP(C15,Assemblies!E:P,2,0)</f>
        <v>Twin Wall Top Guard 5</v>
      </c>
      <c r="E15" s="315"/>
      <c r="F15" s="32"/>
      <c r="G15" s="32"/>
      <c r="H15" s="32"/>
      <c r="I15" s="32"/>
      <c r="J15" s="28"/>
      <c r="K15" s="28"/>
      <c r="L15" s="28"/>
      <c r="M15" s="28"/>
      <c r="N15" s="33"/>
      <c r="O15" s="146">
        <f ca="1">B15*$L$2</f>
        <v>1</v>
      </c>
      <c r="P15" s="147">
        <f>'3.2.10'!Q9</f>
        <v>340.69</v>
      </c>
      <c r="Q15" s="103">
        <f>B15*P15</f>
        <v>340.69</v>
      </c>
    </row>
    <row r="16" spans="1:17" s="2" customFormat="1" ht="12.75" customHeight="1" x14ac:dyDescent="0.2">
      <c r="A16" s="150" t="s">
        <v>76</v>
      </c>
      <c r="B16" s="1">
        <v>1</v>
      </c>
      <c r="C16" s="145" t="s">
        <v>464</v>
      </c>
      <c r="D16" s="314" t="str">
        <f ca="1">VLOOKUP(C16,Assemblies!E:P,2,0)</f>
        <v>Door 11</v>
      </c>
      <c r="E16" s="315"/>
      <c r="F16" s="32"/>
      <c r="G16" s="32"/>
      <c r="H16" s="303"/>
      <c r="I16" s="303"/>
      <c r="J16" s="28"/>
      <c r="K16" s="28"/>
      <c r="L16" s="28"/>
      <c r="M16" s="28"/>
      <c r="N16" s="33"/>
      <c r="O16" s="146">
        <f t="shared" ca="1" si="0"/>
        <v>1</v>
      </c>
      <c r="P16" s="147">
        <f>'4.2.4'!Q19</f>
        <v>203.2</v>
      </c>
      <c r="Q16" s="103">
        <f t="shared" si="1"/>
        <v>203.2</v>
      </c>
    </row>
    <row r="17" spans="1:17" s="2" customFormat="1" ht="12.75" customHeight="1" x14ac:dyDescent="0.2">
      <c r="A17" s="150" t="s">
        <v>78</v>
      </c>
      <c r="B17" s="1">
        <v>1</v>
      </c>
      <c r="C17" s="145" t="s">
        <v>465</v>
      </c>
      <c r="D17" s="314" t="str">
        <f ca="1">VLOOKUP(C17,Assemblies!E:P,2,0)</f>
        <v>Door 12</v>
      </c>
      <c r="E17" s="315"/>
      <c r="F17" s="32"/>
      <c r="G17" s="32"/>
      <c r="H17" s="32"/>
      <c r="I17" s="32"/>
      <c r="J17" s="28"/>
      <c r="K17" s="28"/>
      <c r="L17" s="28"/>
      <c r="M17" s="28"/>
      <c r="N17" s="33"/>
      <c r="O17" s="146">
        <f t="shared" ca="1" si="0"/>
        <v>1</v>
      </c>
      <c r="P17" s="147">
        <f>'4.2.5'!Q19</f>
        <v>203.2</v>
      </c>
      <c r="Q17" s="103">
        <f t="shared" si="1"/>
        <v>203.2</v>
      </c>
    </row>
    <row r="18" spans="1:17" s="2" customFormat="1" ht="12.75" customHeight="1" x14ac:dyDescent="0.2">
      <c r="A18" s="150" t="s">
        <v>142</v>
      </c>
      <c r="B18" s="1">
        <v>2</v>
      </c>
      <c r="C18" s="145" t="s">
        <v>145</v>
      </c>
      <c r="D18" s="314" t="str">
        <f ca="1">VLOOKUP(C18,Assemblies!E:P,2,0)</f>
        <v>Key Station No Reset</v>
      </c>
      <c r="E18" s="315"/>
      <c r="F18" s="32"/>
      <c r="G18" s="32"/>
      <c r="H18" s="32"/>
      <c r="I18" s="32"/>
      <c r="J18" s="28"/>
      <c r="K18" s="28"/>
      <c r="L18" s="28"/>
      <c r="M18" s="28"/>
      <c r="N18" s="33"/>
      <c r="O18" s="146">
        <f ca="1">B18*$L$2</f>
        <v>2</v>
      </c>
      <c r="P18" s="147">
        <f>'1.1.16'!Q14</f>
        <v>1162.8735999999999</v>
      </c>
      <c r="Q18" s="103">
        <f>B18*P18</f>
        <v>2325.7471999999998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301</v>
      </c>
      <c r="B20" s="2">
        <v>104</v>
      </c>
      <c r="C20" s="135" t="s">
        <v>149</v>
      </c>
      <c r="D20" s="325" t="str">
        <f>VLOOKUP(C20,Purchased!A:B,2,0)</f>
        <v>BRX GOTO QUICK CONNECTOR N10 0°</v>
      </c>
      <c r="E20" s="326"/>
      <c r="F20" s="108" t="str">
        <f>IF(VLOOKUP($C20,Purchased!A:Z,11,0) = 0, " ", VLOOKUP($C20,Purchased!A:Z,11,0))</f>
        <v>T-SLOTS</v>
      </c>
      <c r="G20" s="108" t="str">
        <f>IF(VLOOKUP($C20,Purchased!A:Z,12,0)=0, " ", VLOOKUP($C20,Purchased!A:Z,12,0))</f>
        <v>Process Tech</v>
      </c>
      <c r="H20" s="327" t="str">
        <f>IF(VLOOKUP($C20,Purchased!A:Z,13,0)=0, " ", VLOOKUP($C20,Purchased!A:Z,13,0))</f>
        <v>500 More on P.O. #55639 Part# 659730</v>
      </c>
      <c r="I20" s="328"/>
      <c r="J20" s="46" t="str">
        <f>IF(VLOOKUP($C20,Purchased!A:Z,14,0)=0, " ", VLOOKUP($C20,Purchased!A:Z,14,0))</f>
        <v>N/A</v>
      </c>
      <c r="K20" s="46" t="str">
        <f>IF(VLOOKUP(C20,Purchased!A:R,14,0)=0, " ", VLOOKUP(C20,Purchased!A:R,14,0))</f>
        <v>N/A</v>
      </c>
      <c r="L20" s="46">
        <f>IF(VLOOKUP(C20,Purchased!A:R,15,0)=0, " ", VLOOKUP(C20,Purchased!A:R,15,0))</f>
        <v>45362</v>
      </c>
      <c r="M20" s="46">
        <f>IF(VLOOKUP(C20,Purchased!A:R,16,0)=0, " ",VLOOKUP(C20,Purchased!A:R,16,0))</f>
        <v>45378</v>
      </c>
      <c r="N20" s="130">
        <f>IF(VLOOKUP(C20,Purchased!A:R,17,0)=0, " ", VLOOKUP(C20,Purchased!A:R,17,0))</f>
        <v>45378</v>
      </c>
      <c r="O20" s="47">
        <f t="shared" ref="O20:O22" ca="1" si="2">B20*$L$2</f>
        <v>104</v>
      </c>
      <c r="P20" s="51">
        <f>VLOOKUP(C20,Purchased!A:D,3,FALSE)</f>
        <v>4.17</v>
      </c>
      <c r="Q20" s="52">
        <f t="shared" ref="Q20:Q22" si="3">B20*P20</f>
        <v>433.68</v>
      </c>
    </row>
    <row r="21" spans="1:17" s="2" customFormat="1" ht="12" customHeight="1" x14ac:dyDescent="0.25">
      <c r="A21" s="4">
        <v>302</v>
      </c>
      <c r="B21" s="2">
        <v>16</v>
      </c>
      <c r="C21" s="135">
        <v>3842535466</v>
      </c>
      <c r="D21" s="325" t="str">
        <f>VLOOKUP(C21,Purchased!A:B,2,0)</f>
        <v>BRX GOTO QUICK CONNECTOR N10 90°</v>
      </c>
      <c r="E21" s="326"/>
      <c r="F21" s="108" t="str">
        <f>IF(VLOOKUP($C21,Purchased!A:Z,11,0) = 0, " ", VLOOKUP($C21,Purchased!A:Z,11,0))</f>
        <v>T-SLOTS</v>
      </c>
      <c r="G21" s="108" t="str">
        <f>IF(VLOOKUP($C21,Purchased!A:Z,12,0)=0, " ", VLOOKUP($C21,Purchased!A:Z,12,0))</f>
        <v>Process Tech</v>
      </c>
      <c r="H21" s="327" t="str">
        <f>IF(VLOOKUP($C21,Purchased!A:Z,13,0)=0, " ", VLOOKUP($C21,Purchased!A:Z,13,0))</f>
        <v>Ordered 300 8/29/24 JP</v>
      </c>
      <c r="I21" s="328"/>
      <c r="J21" s="46" t="str">
        <f>IF(VLOOKUP($C21,Purchased!A:Z,14,0)=0, " ", VLOOKUP($C21,Purchased!A:Z,14,0))</f>
        <v>N/A</v>
      </c>
      <c r="K21" s="46" t="str">
        <f>IF(VLOOKUP(C21,Purchased!A:R,14,0)=0, " ", VLOOKUP(C21,Purchased!A:R,14,0))</f>
        <v>N/A</v>
      </c>
      <c r="L21" s="46">
        <f>IF(VLOOKUP(C21,Purchased!A:R,15,0)=0, " ", VLOOKUP(C21,Purchased!A:R,15,0))</f>
        <v>45533</v>
      </c>
      <c r="M21" s="46">
        <f>IF(VLOOKUP(C21,Purchased!A:R,16,0)=0, " ",VLOOKUP(C21,Purchased!A:R,16,0))</f>
        <v>45540</v>
      </c>
      <c r="N21" s="130" t="str">
        <f>IF(VLOOKUP(C21,Purchased!A:R,17,0)=0, " ", VLOOKUP(C21,Purchased!A:R,17,0))</f>
        <v xml:space="preserve"> </v>
      </c>
      <c r="O21" s="47">
        <f t="shared" ca="1" si="2"/>
        <v>16</v>
      </c>
      <c r="P21" s="51">
        <f>VLOOKUP(C21,Purchased!A:D,3,FALSE)</f>
        <v>4.17</v>
      </c>
      <c r="Q21" s="52">
        <f t="shared" si="3"/>
        <v>66.72</v>
      </c>
    </row>
    <row r="22" spans="1:17" s="2" customFormat="1" ht="12" customHeight="1" x14ac:dyDescent="0.25">
      <c r="A22" s="4">
        <v>303</v>
      </c>
      <c r="B22" s="2">
        <v>4</v>
      </c>
      <c r="C22" s="135">
        <v>3842551606</v>
      </c>
      <c r="D22" s="325" t="str">
        <f>VLOOKUP(C22,Purchased!A:B,2,0)</f>
        <v>BRX 45X45 Frame Gusset</v>
      </c>
      <c r="E22" s="326"/>
      <c r="F22" s="108" t="str">
        <f>IF(VLOOKUP($C22,Purchased!A:Z,11,0) = 0, " ", VLOOKUP($C22,Purchased!A:Z,11,0))</f>
        <v>BRX</v>
      </c>
      <c r="G22" s="108" t="str">
        <f>IF(VLOOKUP($C22,Purchased!A:Z,12,0)=0, " ", VLOOKUP($C22,Purchased!A:Z,12,0))</f>
        <v>AAP</v>
      </c>
      <c r="H22" s="327" t="str">
        <f>IF(VLOOKUP($C22,Purchased!A:Z,13,0)=0, " ", VLOOKUP($C22,Purchased!A:Z,13,0))</f>
        <v>2 additional quantity added to 55710</v>
      </c>
      <c r="I22" s="328"/>
      <c r="J22" s="46" t="str">
        <f>IF(VLOOKUP($C22,Purchased!A:Z,14,0)=0, " ", VLOOKUP($C22,Purchased!A:Z,14,0))</f>
        <v>N/A</v>
      </c>
      <c r="K22" s="46" t="str">
        <f>IF(VLOOKUP(C22,Purchased!A:R,14,0)=0, " ", VLOOKUP(C22,Purchased!A:R,14,0))</f>
        <v>N/A</v>
      </c>
      <c r="L22" s="46">
        <f>IF(VLOOKUP(C22,Purchased!A:R,15,0)=0, " ", VLOOKUP(C22,Purchased!A:R,15,0))</f>
        <v>45524</v>
      </c>
      <c r="M22" s="46">
        <f>IF(VLOOKUP(C22,Purchased!A:R,16,0)=0, " ",VLOOKUP(C22,Purchased!A:R,16,0))</f>
        <v>45547</v>
      </c>
      <c r="N22" s="130" t="str">
        <f>IF(VLOOKUP(C22,Purchased!A:R,17,0)=0, " ", VLOOKUP(C22,Purchased!A:R,17,0))</f>
        <v xml:space="preserve"> </v>
      </c>
      <c r="O22" s="47">
        <f t="shared" ca="1" si="2"/>
        <v>4</v>
      </c>
      <c r="P22" s="51">
        <f>VLOOKUP(C22,Purchased!A:D,3,FALSE)</f>
        <v>5.83</v>
      </c>
      <c r="Q22" s="52">
        <f t="shared" si="3"/>
        <v>23.32</v>
      </c>
    </row>
    <row r="23" spans="1:17" s="2" customFormat="1" ht="12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" customHeight="1" x14ac:dyDescent="0.25">
      <c r="A24" s="4">
        <v>701</v>
      </c>
      <c r="B24" s="2">
        <v>8</v>
      </c>
      <c r="C24" s="123" t="s">
        <v>398</v>
      </c>
      <c r="D24" s="325" t="str">
        <f>VLOOKUP(C24,Extrusion!B:C,2,0)</f>
        <v>APPROVED EL 8/1</v>
      </c>
      <c r="E24" s="326"/>
      <c r="F24" s="108" t="str">
        <f ca="1">VLOOKUP(C24,Extrusion!B:N,5,0)</f>
        <v/>
      </c>
      <c r="G24" s="108">
        <f>VLOOKUP(C24,Extrusion!B:N,6,0)</f>
        <v>1</v>
      </c>
      <c r="H24" s="108">
        <f>VLOOKUP(C24,Extrusion!B:N,7,0)</f>
        <v>0</v>
      </c>
      <c r="I24" s="109"/>
      <c r="J24" s="46" t="str">
        <f>VLOOKUP(C24,Extrusion!B:N,8,0)</f>
        <v>T-Slots</v>
      </c>
      <c r="K24" s="46">
        <f>VLOOKUP(C24,Extrusion!B:N,9,0)</f>
        <v>0</v>
      </c>
      <c r="L24" s="46">
        <f>VLOOKUP(C24,Extrusion!B:N,10,0)</f>
        <v>0</v>
      </c>
      <c r="M24" s="46">
        <f>VLOOKUP(C24,Extrusion!B:N,11,0)</f>
        <v>0</v>
      </c>
      <c r="N24" s="47">
        <f>VLOOKUP(C24,Extrusion!B:O,12,0)</f>
        <v>0</v>
      </c>
      <c r="O24" s="47">
        <f t="shared" ref="O24:O29" ca="1" si="4">B24*$L$2</f>
        <v>8</v>
      </c>
      <c r="P24" s="51">
        <f>VLOOKUP(C24,Extrusion!B:G,4,0)</f>
        <v>20</v>
      </c>
      <c r="Q24" s="52">
        <f t="shared" ref="Q24:Q29" si="5">B24*P24</f>
        <v>160</v>
      </c>
    </row>
    <row r="25" spans="1:17" s="2" customFormat="1" ht="12" customHeight="1" x14ac:dyDescent="0.25">
      <c r="A25" s="4">
        <v>702</v>
      </c>
      <c r="B25" s="2">
        <v>4</v>
      </c>
      <c r="C25" s="123" t="s">
        <v>160</v>
      </c>
      <c r="D25" s="325" t="str">
        <f>VLOOKUP(C25,Extrusion!B:C,2,0)</f>
        <v>APPROVED EL 8/1</v>
      </c>
      <c r="E25" s="326"/>
      <c r="F25" s="108" t="str">
        <f ca="1">VLOOKUP(C25,Extrusion!B:N,5,0)</f>
        <v/>
      </c>
      <c r="G25" s="108">
        <f>VLOOKUP(C25,Extrusion!B:N,6,0)</f>
        <v>1</v>
      </c>
      <c r="H25" s="108">
        <f>VLOOKUP(C25,Extrusion!B:N,7,0)</f>
        <v>0</v>
      </c>
      <c r="I25" s="109"/>
      <c r="J25" s="46" t="str">
        <f>VLOOKUP(C25,Extrusion!B:N,8,0)</f>
        <v>T-Slots</v>
      </c>
      <c r="K25" s="46">
        <f>VLOOKUP(C25,Extrusion!B:N,9,0)</f>
        <v>0</v>
      </c>
      <c r="L25" s="46">
        <f>VLOOKUP(C25,Extrusion!B:N,10,0)</f>
        <v>0</v>
      </c>
      <c r="M25" s="46">
        <f>VLOOKUP(C25,Extrusion!B:N,11,0)</f>
        <v>0</v>
      </c>
      <c r="N25" s="47">
        <f>VLOOKUP(C25,Extrusion!B:O,12,0)</f>
        <v>0</v>
      </c>
      <c r="O25" s="47">
        <f t="shared" ca="1" si="4"/>
        <v>4</v>
      </c>
      <c r="P25" s="51">
        <f>VLOOKUP(C25,Extrusion!B:G,4,0)</f>
        <v>34</v>
      </c>
      <c r="Q25" s="52">
        <f t="shared" si="5"/>
        <v>136</v>
      </c>
    </row>
    <row r="26" spans="1:17" s="2" customFormat="1" ht="12" customHeight="1" x14ac:dyDescent="0.25">
      <c r="A26" s="4">
        <v>703</v>
      </c>
      <c r="B26" s="2">
        <v>2</v>
      </c>
      <c r="C26" s="123" t="s">
        <v>466</v>
      </c>
      <c r="D26" s="325" t="str">
        <f>VLOOKUP(C26,Extrusion!B:C,2,0)</f>
        <v>APPROVED EL 8/1</v>
      </c>
      <c r="E26" s="326"/>
      <c r="F26" s="108" t="str">
        <f ca="1">VLOOKUP(C26,Extrusion!B:N,5,0)</f>
        <v/>
      </c>
      <c r="G26" s="108">
        <f>VLOOKUP(C26,Extrusion!B:N,6,0)</f>
        <v>1</v>
      </c>
      <c r="H26" s="108">
        <f>VLOOKUP(C26,Extrusion!B:N,7,0)</f>
        <v>0</v>
      </c>
      <c r="I26" s="109"/>
      <c r="J26" s="46" t="str">
        <f>VLOOKUP(C26,Extrusion!B:N,8,0)</f>
        <v>T-Slots</v>
      </c>
      <c r="K26" s="46">
        <f>VLOOKUP(C26,Extrusion!B:N,9,0)</f>
        <v>0</v>
      </c>
      <c r="L26" s="46">
        <f>VLOOKUP(C26,Extrusion!B:N,10,0)</f>
        <v>0</v>
      </c>
      <c r="M26" s="46">
        <f>VLOOKUP(C26,Extrusion!B:N,11,0)</f>
        <v>0</v>
      </c>
      <c r="N26" s="47">
        <f>VLOOKUP(C26,Extrusion!B:O,12,0)</f>
        <v>0</v>
      </c>
      <c r="O26" s="47">
        <f t="shared" ca="1" si="4"/>
        <v>2</v>
      </c>
      <c r="P26" s="51">
        <f>VLOOKUP(C26,Extrusion!B:G,4,0)</f>
        <v>2</v>
      </c>
      <c r="Q26" s="52">
        <f t="shared" si="5"/>
        <v>4</v>
      </c>
    </row>
    <row r="27" spans="1:17" s="2" customFormat="1" ht="12" customHeight="1" x14ac:dyDescent="0.25">
      <c r="A27" s="4">
        <v>704</v>
      </c>
      <c r="B27" s="2">
        <v>1</v>
      </c>
      <c r="C27" s="123" t="s">
        <v>399</v>
      </c>
      <c r="D27" s="325" t="str">
        <f>VLOOKUP(C27,Extrusion!B:C,2,0)</f>
        <v>APPROVED EL 8/1</v>
      </c>
      <c r="E27" s="326"/>
      <c r="F27" s="108" t="str">
        <f ca="1">VLOOKUP(C27,Extrusion!B:N,5,0)</f>
        <v/>
      </c>
      <c r="G27" s="108">
        <f>VLOOKUP(C27,Extrusion!B:N,6,0)</f>
        <v>1</v>
      </c>
      <c r="H27" s="108">
        <f>VLOOKUP(C27,Extrusion!B:N,7,0)</f>
        <v>0</v>
      </c>
      <c r="I27" s="109"/>
      <c r="J27" s="46" t="str">
        <f>VLOOKUP(C27,Extrusion!B:N,8,0)</f>
        <v>T-Slots</v>
      </c>
      <c r="K27" s="46">
        <f>VLOOKUP(C27,Extrusion!B:N,9,0)</f>
        <v>0</v>
      </c>
      <c r="L27" s="46">
        <f>VLOOKUP(C27,Extrusion!B:N,10,0)</f>
        <v>0</v>
      </c>
      <c r="M27" s="46">
        <f>VLOOKUP(C27,Extrusion!B:N,11,0)</f>
        <v>0</v>
      </c>
      <c r="N27" s="47">
        <f>VLOOKUP(C27,Extrusion!B:O,12,0)</f>
        <v>0</v>
      </c>
      <c r="O27" s="47">
        <f t="shared" ca="1" si="4"/>
        <v>1</v>
      </c>
      <c r="P27" s="51">
        <f>VLOOKUP(C27,Extrusion!B:G,4,0)</f>
        <v>3</v>
      </c>
      <c r="Q27" s="52">
        <f t="shared" si="5"/>
        <v>3</v>
      </c>
    </row>
    <row r="28" spans="1:17" s="2" customFormat="1" ht="12" customHeight="1" x14ac:dyDescent="0.25">
      <c r="A28" s="4">
        <v>705</v>
      </c>
      <c r="B28" s="2">
        <v>2</v>
      </c>
      <c r="C28" s="123" t="s">
        <v>467</v>
      </c>
      <c r="D28" s="325" t="str">
        <f>VLOOKUP(C28,Extrusion!B:C,2,0)</f>
        <v>APPROVED EL 8/1</v>
      </c>
      <c r="E28" s="326"/>
      <c r="F28" s="108" t="str">
        <f ca="1">VLOOKUP(C28,Extrusion!B:N,5,0)</f>
        <v/>
      </c>
      <c r="G28" s="108">
        <f>VLOOKUP(C28,Extrusion!B:N,6,0)</f>
        <v>1</v>
      </c>
      <c r="H28" s="108">
        <f>VLOOKUP(C28,Extrusion!B:N,7,0)</f>
        <v>0</v>
      </c>
      <c r="I28" s="109"/>
      <c r="J28" s="46" t="str">
        <f>VLOOKUP(C28,Extrusion!B:N,8,0)</f>
        <v>T-Slots</v>
      </c>
      <c r="K28" s="46">
        <f>VLOOKUP(C28,Extrusion!B:N,9,0)</f>
        <v>0</v>
      </c>
      <c r="L28" s="46">
        <f>VLOOKUP(C28,Extrusion!B:N,10,0)</f>
        <v>0</v>
      </c>
      <c r="M28" s="46">
        <f>VLOOKUP(C28,Extrusion!B:N,11,0)</f>
        <v>0</v>
      </c>
      <c r="N28" s="47">
        <f>VLOOKUP(C28,Extrusion!B:O,12,0)</f>
        <v>0</v>
      </c>
      <c r="O28" s="47">
        <f t="shared" ca="1" si="4"/>
        <v>2</v>
      </c>
      <c r="P28" s="51">
        <f>VLOOKUP(C28,Extrusion!B:G,4,0)</f>
        <v>2</v>
      </c>
      <c r="Q28" s="52">
        <f t="shared" si="5"/>
        <v>4</v>
      </c>
    </row>
    <row r="29" spans="1:17" s="2" customFormat="1" ht="12" customHeight="1" x14ac:dyDescent="0.25">
      <c r="A29" s="4">
        <v>706</v>
      </c>
      <c r="B29" s="2">
        <v>1</v>
      </c>
      <c r="C29" s="123" t="s">
        <v>468</v>
      </c>
      <c r="D29" s="325" t="str">
        <f>VLOOKUP(C29,Extrusion!B:C,2,0)</f>
        <v>APPROVED EL 8/1</v>
      </c>
      <c r="E29" s="326"/>
      <c r="F29" s="108" t="str">
        <f ca="1">VLOOKUP(C29,Extrusion!B:N,5,0)</f>
        <v/>
      </c>
      <c r="G29" s="108">
        <f>VLOOKUP(C29,Extrusion!B:N,6,0)</f>
        <v>1</v>
      </c>
      <c r="H29" s="108">
        <f>VLOOKUP(C29,Extrusion!B:N,7,0)</f>
        <v>0</v>
      </c>
      <c r="I29" s="109"/>
      <c r="J29" s="46" t="str">
        <f>VLOOKUP(C29,Extrusion!B:N,8,0)</f>
        <v>T-Slots</v>
      </c>
      <c r="K29" s="46">
        <f>VLOOKUP(C29,Extrusion!B:N,9,0)</f>
        <v>0</v>
      </c>
      <c r="L29" s="46">
        <f>VLOOKUP(C29,Extrusion!B:N,10,0)</f>
        <v>0</v>
      </c>
      <c r="M29" s="46">
        <f>VLOOKUP(C29,Extrusion!B:N,11,0)</f>
        <v>0</v>
      </c>
      <c r="N29" s="47">
        <f>VLOOKUP(C29,Extrusion!B:O,12,0)</f>
        <v>0</v>
      </c>
      <c r="O29" s="47">
        <f t="shared" ca="1" si="4"/>
        <v>1</v>
      </c>
      <c r="P29" s="51">
        <f>VLOOKUP(C29,Extrusion!B:G,4,0)</f>
        <v>1</v>
      </c>
      <c r="Q29" s="52">
        <f t="shared" si="5"/>
        <v>1</v>
      </c>
    </row>
    <row r="30" spans="1:17" s="2" customFormat="1" ht="12" customHeight="1" thickBot="1" x14ac:dyDescent="0.3">
      <c r="A30" s="4">
        <v>707</v>
      </c>
      <c r="B30" s="2">
        <v>2</v>
      </c>
      <c r="C30" s="123" t="s">
        <v>469</v>
      </c>
      <c r="D30" s="325" t="str">
        <f>VLOOKUP(C30,Extrusion!B:C,2,0)</f>
        <v>APPROVED EL 8/1</v>
      </c>
      <c r="E30" s="326"/>
      <c r="F30" s="108" t="str">
        <f ca="1">VLOOKUP(C30,Extrusion!B:N,5,0)</f>
        <v/>
      </c>
      <c r="G30" s="108">
        <f>VLOOKUP(C30,Extrusion!B:N,6,0)</f>
        <v>1</v>
      </c>
      <c r="H30" s="108">
        <f>VLOOKUP(C30,Extrusion!B:N,7,0)</f>
        <v>0</v>
      </c>
      <c r="I30" s="109"/>
      <c r="J30" s="46" t="str">
        <f>VLOOKUP(C30,Extrusion!B:N,8,0)</f>
        <v>T-Slots</v>
      </c>
      <c r="K30" s="46">
        <f>VLOOKUP(C30,Extrusion!B:N,9,0)</f>
        <v>0</v>
      </c>
      <c r="L30" s="46">
        <f>VLOOKUP(C30,Extrusion!B:N,10,0)</f>
        <v>0</v>
      </c>
      <c r="M30" s="46">
        <f>VLOOKUP(C30,Extrusion!B:N,11,0)</f>
        <v>0</v>
      </c>
      <c r="N30" s="47">
        <f>VLOOKUP(C30,Extrusion!B:O,12,0)</f>
        <v>0</v>
      </c>
      <c r="O30" s="47">
        <f t="shared" ref="O30" ca="1" si="6">B30*$L$2</f>
        <v>2</v>
      </c>
      <c r="P30" s="51">
        <f>VLOOKUP(C30,Extrusion!B:G,4,0)</f>
        <v>2</v>
      </c>
      <c r="Q30" s="52">
        <f t="shared" ref="Q30" si="7">B30*P30</f>
        <v>4</v>
      </c>
    </row>
    <row r="31" spans="1:17" s="2" customFormat="1" ht="12" customHeight="1" thickBot="1" x14ac:dyDescent="0.3">
      <c r="A31" s="34"/>
      <c r="B31" s="35"/>
      <c r="C31" s="35"/>
      <c r="D31" s="316"/>
      <c r="E31" s="317"/>
      <c r="F31" s="35"/>
      <c r="G31" s="35"/>
      <c r="H31" s="309"/>
      <c r="I31" s="310"/>
      <c r="J31" s="36"/>
      <c r="K31" s="36"/>
      <c r="L31" s="36"/>
      <c r="M31" s="37"/>
      <c r="N31" s="132"/>
      <c r="O31" s="38"/>
      <c r="P31" s="99" t="s">
        <v>43</v>
      </c>
      <c r="Q31" s="104">
        <f>SUM(Q5:Q30)</f>
        <v>7427.6371999999992</v>
      </c>
    </row>
  </sheetData>
  <sheetProtection selectLockedCells="1"/>
  <mergeCells count="44">
    <mergeCell ref="D15:E15"/>
    <mergeCell ref="D9:E9"/>
    <mergeCell ref="D6:E6"/>
    <mergeCell ref="H6:I6"/>
    <mergeCell ref="D7:E7"/>
    <mergeCell ref="H7:I7"/>
    <mergeCell ref="D8:E8"/>
    <mergeCell ref="H8:I8"/>
    <mergeCell ref="D13:E13"/>
    <mergeCell ref="D14:E14"/>
    <mergeCell ref="D5:E5"/>
    <mergeCell ref="H5:I5"/>
    <mergeCell ref="D1:E1"/>
    <mergeCell ref="D4:E4"/>
    <mergeCell ref="H4:I4"/>
    <mergeCell ref="D21:E21"/>
    <mergeCell ref="H21:I21"/>
    <mergeCell ref="D10:E10"/>
    <mergeCell ref="H10:I10"/>
    <mergeCell ref="D11:E11"/>
    <mergeCell ref="H11:I11"/>
    <mergeCell ref="D16:E16"/>
    <mergeCell ref="H16:I16"/>
    <mergeCell ref="D17:E17"/>
    <mergeCell ref="D18:E18"/>
    <mergeCell ref="D19:E19"/>
    <mergeCell ref="H19:I19"/>
    <mergeCell ref="D20:E20"/>
    <mergeCell ref="H20:I20"/>
    <mergeCell ref="D12:E12"/>
    <mergeCell ref="H12:I12"/>
    <mergeCell ref="D22:E22"/>
    <mergeCell ref="H22:I22"/>
    <mergeCell ref="D23:E23"/>
    <mergeCell ref="H23:I23"/>
    <mergeCell ref="D24:E24"/>
    <mergeCell ref="D31:E31"/>
    <mergeCell ref="H31:I31"/>
    <mergeCell ref="D25:E25"/>
    <mergeCell ref="D26:E26"/>
    <mergeCell ref="D27:E27"/>
    <mergeCell ref="D28:E28"/>
    <mergeCell ref="D29:E29"/>
    <mergeCell ref="D30:E30"/>
  </mergeCells>
  <conditionalFormatting sqref="M19 M23:M30">
    <cfRule type="cellIs" dxfId="1670" priority="7" stopIfTrue="1" operator="lessThanOrEqual">
      <formula>$L19</formula>
    </cfRule>
    <cfRule type="cellIs" dxfId="1669" priority="8" operator="greaterThan">
      <formula>L19</formula>
    </cfRule>
  </conditionalFormatting>
  <conditionalFormatting sqref="M20:M21">
    <cfRule type="cellIs" dxfId="1668" priority="3" stopIfTrue="1" operator="lessThanOrEqual">
      <formula>$L20</formula>
    </cfRule>
    <cfRule type="cellIs" dxfId="1667" priority="4" operator="greaterThan">
      <formula>L20</formula>
    </cfRule>
  </conditionalFormatting>
  <conditionalFormatting sqref="M22">
    <cfRule type="cellIs" dxfId="1666" priority="1" stopIfTrue="1" operator="lessThanOrEqual">
      <formula>$L22</formula>
    </cfRule>
    <cfRule type="cellIs" dxfId="1665" priority="2" operator="greaterThan">
      <formula>L22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AEDCECD-089F-4F5E-AB85-D5E68E9B53C8}">
          <x14:formula1>
            <xm:f>Extrusion!$B:$B</xm:f>
          </x14:formula1>
          <xm:sqref>C24:C30</xm:sqref>
        </x14:dataValidation>
        <x14:dataValidation type="list" allowBlank="1" showInputMessage="1" showErrorMessage="1" xr:uid="{153BD15C-9E0B-48CC-8C95-F33A11E03132}">
          <x14:formula1>
            <xm:f>Assemblies!$E:$E</xm:f>
          </x14:formula1>
          <xm:sqref>C5:C18</xm:sqref>
        </x14:dataValidation>
        <x14:dataValidation type="list" allowBlank="1" showInputMessage="1" showErrorMessage="1" xr:uid="{656E7601-7A0B-40F2-A20A-CF3306FA8575}">
          <x14:formula1>
            <xm:f>Purchased!$A:$A</xm:f>
          </x14:formula1>
          <xm:sqref>C19:C22</xm:sqref>
        </x14:dataValidation>
      </x14:dataValidation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9EB0B-CE1B-48A6-948E-7F32EC9CF82C}">
  <sheetPr codeName="Sheet78">
    <tabColor theme="6" tint="0.59999389629810485"/>
  </sheetPr>
  <dimension ref="A1:Q9"/>
  <sheetViews>
    <sheetView zoomScale="115" zoomScaleNormal="115" workbookViewId="0">
      <selection activeCell="A46" sqref="A46:XFD4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'3.2'!C6</f>
        <v>PG10.3.2.1.0.A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'3.2'!D6</f>
        <v>Tube Opening Guard L A Side</v>
      </c>
      <c r="D3" s="85" t="s">
        <v>50</v>
      </c>
      <c r="E3" s="86" t="str">
        <f ca="1">MID(CELL("filename",A1),FIND("]",CELL("filename",A1))+1,256)</f>
        <v>3.2.1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6</v>
      </c>
      <c r="C5" s="112" t="s">
        <v>470</v>
      </c>
      <c r="D5" s="336" t="str">
        <f ca="1">VLOOKUP(C5,Assemblies!E:P,2,0)</f>
        <v>Csink Variofix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6</v>
      </c>
      <c r="P5" s="117">
        <f>'3.2.1.1'!Q8</f>
        <v>3.56</v>
      </c>
      <c r="Q5" s="118">
        <f>B5*P5</f>
        <v>21.36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471</v>
      </c>
      <c r="D6" s="314" t="str">
        <f ca="1">VLOOKUP(C6,Assemblies!E:P,2,0)</f>
        <v>Guard Slotted Adjustment Spacer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1</v>
      </c>
      <c r="P6" s="147">
        <f>'3.2.1.2'!Q10</f>
        <v>15.55</v>
      </c>
      <c r="Q6" s="103">
        <f>B6*P6</f>
        <v>15.55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thickBot="1" x14ac:dyDescent="0.3">
      <c r="A8" s="77">
        <v>1</v>
      </c>
      <c r="B8" s="20">
        <v>1</v>
      </c>
      <c r="C8" s="121" t="s">
        <v>472</v>
      </c>
      <c r="D8" s="314" t="str">
        <f>VLOOKUP(C8,Machined!C:X,2,0)</f>
        <v>Tube Opening Guard L A Side</v>
      </c>
      <c r="E8" s="329"/>
      <c r="F8" s="107" t="str">
        <f>VLOOKUP($C8,Machined!C:Z,13,0)</f>
        <v>POLYCARBONITE-CLEAR</v>
      </c>
      <c r="G8" s="44" t="str">
        <f>IF(VLOOKUP($C8,Machined!C:Z,16,0) = 0, " ", VLOOKUP($C8,Machined!C:Z,16,0))</f>
        <v>Port Plastics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POLYCARBONITE-CLEAR</v>
      </c>
      <c r="J8" s="44" t="str">
        <f>IF(VLOOKUP($C8,Machined!C:Z,18,0) = 0, " ", VLOOKUP($C8,Machined!C:Z,18,0))</f>
        <v>(TJ) 8/8/2024</v>
      </c>
      <c r="K8" s="44">
        <f>IF(VLOOKUP($C8,Machined!C:Z,19,0) = 0, " ", VLOOKUP($C8,Machined!C:Z,19,0))</f>
        <v>45530</v>
      </c>
      <c r="L8" s="44">
        <f>IF(VLOOKUP($C8,Machined!C:Z,20,0) = 0, " ", VLOOKUP($C8,Machined!C:Z,20,0))</f>
        <v>45561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55708</v>
      </c>
      <c r="O8" s="45">
        <f ca="1">B8*$L$2</f>
        <v>1</v>
      </c>
      <c r="P8" s="49">
        <f>VLOOKUP(C8,Machined!C:F,3,0)</f>
        <v>65</v>
      </c>
      <c r="Q8" s="50">
        <f>B8*P8</f>
        <v>65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101.91</v>
      </c>
    </row>
  </sheetData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1:E1"/>
    <mergeCell ref="D4:E4"/>
    <mergeCell ref="H4:I4"/>
    <mergeCell ref="D5:E5"/>
    <mergeCell ref="H5:I5"/>
  </mergeCells>
  <conditionalFormatting sqref="M7">
    <cfRule type="cellIs" dxfId="1664" priority="3" stopIfTrue="1" operator="lessThanOrEqual">
      <formula>$L7</formula>
    </cfRule>
    <cfRule type="cellIs" dxfId="1663" priority="4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9A7BF82-EE64-46FB-A834-0C34897E5E81}">
          <x14:formula1>
            <xm:f>Assemblies!$E:$E</xm:f>
          </x14:formula1>
          <xm:sqref>C5:C6</xm:sqref>
        </x14:dataValidation>
        <x14:dataValidation type="list" allowBlank="1" showInputMessage="1" showErrorMessage="1" xr:uid="{6C55DC77-A506-489D-B43E-52935F59D332}">
          <x14:formula1>
            <xm:f>Machined!$C:$C</xm:f>
          </x14:formula1>
          <xm:sqref>C7:C8</xm:sqref>
        </x14:dataValidation>
      </x14:dataValidation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A8CB9-06EE-4814-9246-E330B5F7AA5B}">
  <sheetPr codeName="Sheet79">
    <tabColor theme="4" tint="0.79998168889431442"/>
  </sheetPr>
  <dimension ref="A1:Q8"/>
  <sheetViews>
    <sheetView zoomScale="115" zoomScaleNormal="115" workbookViewId="0">
      <selection activeCell="F5" sqref="F5:Q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'3.2.1'!C5</f>
        <v>PG10.3.2.1.1.0.A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'3.2.1'!D5</f>
        <v>Csink Variofix Assy</v>
      </c>
      <c r="D3" s="85" t="s">
        <v>50</v>
      </c>
      <c r="E3" s="86" t="str">
        <f ca="1">MID(CELL("filename",A1),FIND("]",CELL("filename",A1))+1,256)</f>
        <v>3.2.1.1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4">
        <v>301</v>
      </c>
      <c r="B5" s="2">
        <v>1</v>
      </c>
      <c r="C5" s="135">
        <v>3842548840</v>
      </c>
      <c r="D5" s="325" t="str">
        <f>VLOOKUP(C5,Purchased!A:B,2,0)</f>
        <v>BRX GOTO VARIOFIX BLOCK S,N10,40/45,GREY</v>
      </c>
      <c r="E5" s="326"/>
      <c r="F5" s="108" t="str">
        <f>IF(VLOOKUP($C5,Purchased!A:Z,11,0) = 0, " ", VLOOKUP($C5,Purchased!A:Z,11,0))</f>
        <v>BRX</v>
      </c>
      <c r="G5" s="108" t="str">
        <f>IF(VLOOKUP($C5,Purchased!A:Z,12,0)=0, " ", VLOOKUP($C5,Purchased!A:Z,12,0))</f>
        <v>AAP</v>
      </c>
      <c r="H5" s="327" t="str">
        <f>IF(VLOOKUP($C5,Purchased!A:Z,13,0)=0, " ", VLOOKUP($C5,Purchased!A:Z,13,0))</f>
        <v>P/N changed to 3842564810</v>
      </c>
      <c r="I5" s="328"/>
      <c r="J5" s="46" t="str">
        <f>IF(VLOOKUP($C5,Purchased!A:Z,14,0)=0, " ", VLOOKUP($C5,Purchased!A:Z,14,0))</f>
        <v>N/A</v>
      </c>
      <c r="K5" s="46" t="str">
        <f>IF(VLOOKUP(C5,Purchased!A:R,14,0)=0, " ", VLOOKUP(C5,Purchased!A:R,14,0))</f>
        <v>N/A</v>
      </c>
      <c r="L5" s="46">
        <f>IF(VLOOKUP(C5,Purchased!A:R,15,0)=0, " ", VLOOKUP(C5,Purchased!A:R,15,0))</f>
        <v>45532</v>
      </c>
      <c r="M5" s="46">
        <f>IF(VLOOKUP(C5,Purchased!A:R,16,0)=0, " ",VLOOKUP(C5,Purchased!A:R,16,0))</f>
        <v>45561</v>
      </c>
      <c r="N5" s="130" t="str">
        <f>IF(VLOOKUP(C5,Purchased!A:R,17,0)=0, " ", VLOOKUP(C5,Purchased!A:R,17,0))</f>
        <v xml:space="preserve"> </v>
      </c>
      <c r="O5" s="47">
        <f t="shared" ref="O5" ca="1" si="0">B5*$L$2</f>
        <v>24</v>
      </c>
      <c r="P5" s="51">
        <f>VLOOKUP(C5,Purchased!A:D,3,FALSE)</f>
        <v>3.56</v>
      </c>
      <c r="Q5" s="52">
        <f t="shared" ref="Q5" si="1">B5*P5</f>
        <v>3.56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thickBot="1" x14ac:dyDescent="0.3">
      <c r="A7" s="4">
        <v>501</v>
      </c>
      <c r="B7" s="2">
        <v>1</v>
      </c>
      <c r="C7" s="122" t="s">
        <v>473</v>
      </c>
      <c r="D7" s="325"/>
      <c r="E7" s="326"/>
      <c r="F7" s="108">
        <f>VLOOKUP(C7,Bolts!A:L,5,0)</f>
        <v>0</v>
      </c>
      <c r="G7" s="108">
        <f>VLOOKUP(C7,Bolts!A:L,6,0)</f>
        <v>0</v>
      </c>
      <c r="H7" s="108">
        <f>VLOOKUP(C7,Bolts!A:L,7,0)</f>
        <v>0</v>
      </c>
      <c r="I7" s="109"/>
      <c r="J7" s="46">
        <f>VLOOKUP(C7,Bolts!A:L,8,0)</f>
        <v>0</v>
      </c>
      <c r="K7" s="46">
        <f>VLOOKUP(C7,Bolts!A:L,9,0)</f>
        <v>0</v>
      </c>
      <c r="L7" s="46">
        <f>VLOOKUP(C7,Bolts!A:L,10,0)</f>
        <v>0</v>
      </c>
      <c r="M7" s="46">
        <f>VLOOKUP(C7,Bolts!A:L,11,0)</f>
        <v>0</v>
      </c>
      <c r="N7" s="130">
        <f>VLOOKUP(C7,Bolts!A:L,12,0)</f>
        <v>0</v>
      </c>
      <c r="O7" s="47">
        <f ca="1">B7*$L$2</f>
        <v>24</v>
      </c>
      <c r="P7" s="51">
        <f>VLOOKUP(C7,Bolts!A:B,2,FALSE)</f>
        <v>0</v>
      </c>
      <c r="Q7" s="52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3.56</v>
      </c>
    </row>
  </sheetData>
  <mergeCells count="10">
    <mergeCell ref="D8:E8"/>
    <mergeCell ref="H8:I8"/>
    <mergeCell ref="D6:E6"/>
    <mergeCell ref="H6:I6"/>
    <mergeCell ref="D7:E7"/>
    <mergeCell ref="D5:E5"/>
    <mergeCell ref="H5:I5"/>
    <mergeCell ref="D1:E1"/>
    <mergeCell ref="D4:E4"/>
    <mergeCell ref="H4:I4"/>
  </mergeCells>
  <conditionalFormatting sqref="M6:M7">
    <cfRule type="cellIs" dxfId="1662" priority="5" stopIfTrue="1" operator="lessThanOrEqual">
      <formula>$L6</formula>
    </cfRule>
    <cfRule type="cellIs" dxfId="1661" priority="6" operator="greaterThan">
      <formula>L6</formula>
    </cfRule>
  </conditionalFormatting>
  <conditionalFormatting sqref="M5">
    <cfRule type="cellIs" dxfId="1660" priority="1" stopIfTrue="1" operator="lessThanOrEqual">
      <formula>$L5</formula>
    </cfRule>
    <cfRule type="cellIs" dxfId="1659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ABF30D-67CA-4916-8FAF-4E0F38DB8451}">
          <x14:formula1>
            <xm:f>Bolts!$A:$A</xm:f>
          </x14:formula1>
          <xm:sqref>C6:C7</xm:sqref>
        </x14:dataValidation>
        <x14:dataValidation type="list" allowBlank="1" showInputMessage="1" showErrorMessage="1" xr:uid="{CCA7BAF4-9B7A-466F-9DD6-EC16938CFF74}">
          <x14:formula1>
            <xm:f>Purchased!$A:$A</xm:f>
          </x14:formula1>
          <xm:sqref>C5</xm:sqref>
        </x14:dataValidation>
      </x14:dataValidation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F7AF9-F2EC-4E63-961C-0C6691EA1489}">
  <sheetPr codeName="Sheet80">
    <tabColor theme="4" tint="0.79998168889431442"/>
  </sheetPr>
  <dimension ref="A1:Q10"/>
  <sheetViews>
    <sheetView zoomScale="115" zoomScaleNormal="115" workbookViewId="0">
      <selection activeCell="F7" sqref="F7:Q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'3.2.1'!C6</f>
        <v>PG10.3.2.1.2.0.A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'3.2.1'!D6</f>
        <v>Guard Slotted Adjustment Spacer Assy</v>
      </c>
      <c r="D3" s="85" t="s">
        <v>50</v>
      </c>
      <c r="E3" s="86" t="str">
        <f ca="1">MID(CELL("filename",A1),FIND("]",CELL("filename",A1))+1,256)</f>
        <v>3.2.1.2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4">
        <v>301</v>
      </c>
      <c r="B5" s="2">
        <v>2</v>
      </c>
      <c r="C5" s="135" t="s">
        <v>388</v>
      </c>
      <c r="D5" s="325" t="str">
        <f>VLOOKUP(C5,Purchased!A:B,2,0)</f>
        <v>Zinc-Plated Steel Oversized Washer for M5 Screw Size, 5.3 mm ID, 15 mm OD</v>
      </c>
      <c r="E5" s="326"/>
      <c r="F5" s="108" t="str">
        <f>IF(VLOOKUP($C5,Purchased!A:Z,11,0) = 0, " ", VLOOKUP($C5,Purchased!A:Z,11,0))</f>
        <v>MCM</v>
      </c>
      <c r="G5" s="108" t="str">
        <f>IF(VLOOKUP($C5,Purchased!A:Z,12,0)=0, " ", VLOOKUP($C5,Purchased!A:Z,12,0))</f>
        <v>MCM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45526</v>
      </c>
      <c r="K5" s="46">
        <f>IF(VLOOKUP(C5,Purchased!A:R,14,0)=0, " ", VLOOKUP(C5,Purchased!A:R,14,0))</f>
        <v>45526</v>
      </c>
      <c r="L5" s="46">
        <f>IF(VLOOKUP(C5,Purchased!A:R,15,0)=0, " ", VLOOKUP(C5,Purchased!A:R,15,0))</f>
        <v>45526</v>
      </c>
      <c r="M5" s="46" t="str">
        <f>IF(VLOOKUP(C5,Purchased!A:R,16,0)=0, " ",VLOOKUP(C5,Purchased!A:R,16,0))</f>
        <v xml:space="preserve"> </v>
      </c>
      <c r="N5" s="130" t="str">
        <f>IF(VLOOKUP(C5,Purchased!A:R,17,0)=0, " ", VLOOKUP(C5,Purchased!A:R,17,0))</f>
        <v xml:space="preserve"> </v>
      </c>
      <c r="O5" s="47">
        <f t="shared" ref="O5:O7" ca="1" si="0">B5*$L$2</f>
        <v>8</v>
      </c>
      <c r="P5" s="51">
        <f>VLOOKUP(C5,Purchased!A:D,3,FALSE)</f>
        <v>4.7</v>
      </c>
      <c r="Q5" s="52">
        <f t="shared" ref="Q5:Q7" si="1">B5*P5</f>
        <v>9.4</v>
      </c>
    </row>
    <row r="6" spans="1:17" s="2" customFormat="1" ht="12" customHeight="1" x14ac:dyDescent="0.25">
      <c r="A6" s="4">
        <v>302</v>
      </c>
      <c r="B6" s="2">
        <v>1</v>
      </c>
      <c r="C6" s="135" t="s">
        <v>386</v>
      </c>
      <c r="D6" s="325" t="str">
        <f>VLOOKUP(C6,Purchased!A:B,2,0)</f>
        <v>Medium-Strength Zinc-Plated Steel Thin Hex Nut, M5x0.8mm Thread</v>
      </c>
      <c r="E6" s="326"/>
      <c r="F6" s="108" t="str">
        <f>IF(VLOOKUP($C6,Purchased!A:Z,11,0) = 0, " ", VLOOKUP($C6,Purchased!A:Z,11,0))</f>
        <v>MCM</v>
      </c>
      <c r="G6" s="108" t="str">
        <f>IF(VLOOKUP($C6,Purchased!A:Z,12,0)=0, " ", VLOOKUP($C6,Purchased!A:Z,12,0))</f>
        <v>MCM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45526</v>
      </c>
      <c r="K6" s="46">
        <f>IF(VLOOKUP(C6,Purchased!A:R,14,0)=0, " ", VLOOKUP(C6,Purchased!A:R,14,0))</f>
        <v>45526</v>
      </c>
      <c r="L6" s="46">
        <f>IF(VLOOKUP(C6,Purchased!A:R,15,0)=0, " ", VLOOKUP(C6,Purchased!A:R,15,0))</f>
        <v>45526</v>
      </c>
      <c r="M6" s="46" t="str">
        <f>IF(VLOOKUP(C6,Purchased!A:R,16,0)=0, " ",VLOOKUP(C6,Purchased!A:R,16,0))</f>
        <v xml:space="preserve"> </v>
      </c>
      <c r="N6" s="130" t="str">
        <f>IF(VLOOKUP(C6,Purchased!A:R,17,0)=0, " ", VLOOKUP(C6,Purchased!A:R,17,0))</f>
        <v xml:space="preserve"> </v>
      </c>
      <c r="O6" s="47">
        <f t="shared" ca="1" si="0"/>
        <v>4</v>
      </c>
      <c r="P6" s="51">
        <f>VLOOKUP(C6,Purchased!A:D,3,FALSE)</f>
        <v>3.78</v>
      </c>
      <c r="Q6" s="52">
        <f t="shared" si="1"/>
        <v>3.78</v>
      </c>
    </row>
    <row r="7" spans="1:17" s="2" customFormat="1" ht="12" customHeight="1" x14ac:dyDescent="0.25">
      <c r="A7" s="4">
        <v>303</v>
      </c>
      <c r="B7" s="2">
        <v>1</v>
      </c>
      <c r="C7" s="135" t="s">
        <v>474</v>
      </c>
      <c r="D7" s="325" t="str">
        <f>VLOOKUP(C7,Purchased!A:B,2,0)</f>
        <v>18-8 Stainless Steel Unthreaded Spacer, 8 mm OD, 17 mm Long, for M5 Screw Size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45526</v>
      </c>
      <c r="K7" s="46">
        <f>IF(VLOOKUP(C7,Purchased!A:R,14,0)=0, " ", VLOOKUP(C7,Purchased!A:R,14,0))</f>
        <v>45526</v>
      </c>
      <c r="L7" s="46">
        <f>IF(VLOOKUP(C7,Purchased!A:R,15,0)=0, " ", VLOOKUP(C7,Purchased!A:R,15,0))</f>
        <v>45526</v>
      </c>
      <c r="M7" s="46" t="str">
        <f>IF(VLOOKUP(C7,Purchased!A:R,16,0)=0, " ",VLOOKUP(C7,Purchased!A:R,16,0))</f>
        <v xml:space="preserve"> </v>
      </c>
      <c r="N7" s="130" t="str">
        <f>IF(VLOOKUP(C7,Purchased!A:R,17,0)=0, " ", VLOOKUP(C7,Purchased!A:R,17,0))</f>
        <v xml:space="preserve"> </v>
      </c>
      <c r="O7" s="47">
        <f t="shared" ca="1" si="0"/>
        <v>4</v>
      </c>
      <c r="P7" s="51">
        <f>VLOOKUP(C7,Purchased!A:D,3,FALSE)</f>
        <v>2.37</v>
      </c>
      <c r="Q7" s="52">
        <f t="shared" si="1"/>
        <v>2.37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thickBot="1" x14ac:dyDescent="0.3">
      <c r="A9" s="4">
        <v>501</v>
      </c>
      <c r="B9" s="2">
        <v>1</v>
      </c>
      <c r="C9" s="122" t="s">
        <v>389</v>
      </c>
      <c r="D9" s="325"/>
      <c r="E9" s="326"/>
      <c r="F9" s="108">
        <f>VLOOKUP(C9,Bolts!A:L,5,0)</f>
        <v>0</v>
      </c>
      <c r="G9" s="108">
        <f>VLOOKUP(C9,Bolts!A:L,6,0)</f>
        <v>0</v>
      </c>
      <c r="H9" s="108">
        <f>VLOOKUP(C9,Bolts!A:L,7,0)</f>
        <v>0</v>
      </c>
      <c r="I9" s="109"/>
      <c r="J9" s="46">
        <f>VLOOKUP(C9,Bolts!A:L,8,0)</f>
        <v>0</v>
      </c>
      <c r="K9" s="46">
        <f>VLOOKUP(C9,Bolts!A:L,9,0)</f>
        <v>0</v>
      </c>
      <c r="L9" s="46">
        <f>VLOOKUP(C9,Bolts!A:L,10,0)</f>
        <v>0</v>
      </c>
      <c r="M9" s="46">
        <f>VLOOKUP(C9,Bolts!A:L,11,0)</f>
        <v>0</v>
      </c>
      <c r="N9" s="130">
        <f>VLOOKUP(C9,Bolts!A:L,12,0)</f>
        <v>0</v>
      </c>
      <c r="O9" s="47">
        <f ca="1">B9*$L$2</f>
        <v>4</v>
      </c>
      <c r="P9" s="51">
        <f>VLOOKUP(C9,Bolts!A:B,2,FALSE)</f>
        <v>0</v>
      </c>
      <c r="Q9" s="52">
        <f>B9*P9</f>
        <v>0</v>
      </c>
    </row>
    <row r="10" spans="1:17" s="2" customFormat="1" ht="12" customHeight="1" thickBot="1" x14ac:dyDescent="0.3">
      <c r="A10" s="34"/>
      <c r="B10" s="35"/>
      <c r="C10" s="35"/>
      <c r="D10" s="316"/>
      <c r="E10" s="317"/>
      <c r="F10" s="35"/>
      <c r="G10" s="35"/>
      <c r="H10" s="309"/>
      <c r="I10" s="310"/>
      <c r="J10" s="36"/>
      <c r="K10" s="36"/>
      <c r="L10" s="36"/>
      <c r="M10" s="37"/>
      <c r="N10" s="132"/>
      <c r="O10" s="38"/>
      <c r="P10" s="99" t="s">
        <v>43</v>
      </c>
      <c r="Q10" s="104">
        <f>SUM(Q5:Q9)</f>
        <v>15.55</v>
      </c>
    </row>
  </sheetData>
  <mergeCells count="14">
    <mergeCell ref="D7:E7"/>
    <mergeCell ref="H7:I7"/>
    <mergeCell ref="D5:E5"/>
    <mergeCell ref="H5:I5"/>
    <mergeCell ref="D10:E10"/>
    <mergeCell ref="H10:I10"/>
    <mergeCell ref="D8:E8"/>
    <mergeCell ref="H8:I8"/>
    <mergeCell ref="D9:E9"/>
    <mergeCell ref="D1:E1"/>
    <mergeCell ref="D4:E4"/>
    <mergeCell ref="H4:I4"/>
    <mergeCell ref="D6:E6"/>
    <mergeCell ref="H6:I6"/>
  </mergeCells>
  <conditionalFormatting sqref="M8:M9">
    <cfRule type="cellIs" dxfId="1658" priority="9" stopIfTrue="1" operator="lessThanOrEqual">
      <formula>$L8</formula>
    </cfRule>
    <cfRule type="cellIs" dxfId="1657" priority="10" operator="greaterThan">
      <formula>L8</formula>
    </cfRule>
  </conditionalFormatting>
  <conditionalFormatting sqref="M5">
    <cfRule type="cellIs" dxfId="1656" priority="5" stopIfTrue="1" operator="lessThanOrEqual">
      <formula>$L5</formula>
    </cfRule>
    <cfRule type="cellIs" dxfId="1655" priority="6" operator="greaterThan">
      <formula>L5</formula>
    </cfRule>
  </conditionalFormatting>
  <conditionalFormatting sqref="M6">
    <cfRule type="cellIs" dxfId="1654" priority="3" stopIfTrue="1" operator="lessThanOrEqual">
      <formula>$L6</formula>
    </cfRule>
    <cfRule type="cellIs" dxfId="1653" priority="4" operator="greaterThan">
      <formula>L6</formula>
    </cfRule>
  </conditionalFormatting>
  <conditionalFormatting sqref="M7">
    <cfRule type="cellIs" dxfId="1652" priority="1" stopIfTrue="1" operator="lessThanOrEqual">
      <formula>$L7</formula>
    </cfRule>
    <cfRule type="cellIs" dxfId="1651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47ED67-623F-4988-B881-C0F758573E22}">
          <x14:formula1>
            <xm:f>Bolts!$A:$A</xm:f>
          </x14:formula1>
          <xm:sqref>C8:C9</xm:sqref>
        </x14:dataValidation>
        <x14:dataValidation type="list" allowBlank="1" showInputMessage="1" showErrorMessage="1" xr:uid="{31774EB6-2760-4367-BBA5-03701DEEC43F}">
          <x14:formula1>
            <xm:f>Purchased!$A:$A</xm:f>
          </x14:formula1>
          <xm:sqref>C5:C7</xm:sqref>
        </x14:dataValidation>
      </x14:dataValidation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0831B-64EF-443A-8F48-40EB1EDBBDCB}">
  <sheetPr codeName="Sheet81">
    <tabColor theme="6" tint="0.59999389629810485"/>
  </sheetPr>
  <dimension ref="A1:Q9"/>
  <sheetViews>
    <sheetView zoomScale="115" zoomScaleNormal="115" workbookViewId="0">
      <selection activeCell="A46" sqref="A46:XFD4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'3.2'!C7</f>
        <v>PG10.3.2.2.0.A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'3.2'!D7</f>
        <v>Tube Opening Guard R A Side</v>
      </c>
      <c r="D3" s="85" t="s">
        <v>50</v>
      </c>
      <c r="E3" s="86" t="str">
        <f ca="1">MID(CELL("filename",A1),FIND("]",CELL("filename",A1))+1,256)</f>
        <v>3.2.2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6</v>
      </c>
      <c r="C5" s="112" t="s">
        <v>470</v>
      </c>
      <c r="D5" s="336" t="str">
        <f ca="1">VLOOKUP(C5,Assemblies!E:P,2,0)</f>
        <v>Csink Variofix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6</v>
      </c>
      <c r="P5" s="117">
        <f>'3.2.1.1'!Q8</f>
        <v>3.56</v>
      </c>
      <c r="Q5" s="118">
        <f>B5*P5</f>
        <v>21.36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471</v>
      </c>
      <c r="D6" s="314" t="str">
        <f ca="1">VLOOKUP(C6,Assemblies!E:P,2,0)</f>
        <v>Guard Slotted Adjustment Spacer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1</v>
      </c>
      <c r="P6" s="147">
        <f>'3.2.1.2'!Q10</f>
        <v>15.55</v>
      </c>
      <c r="Q6" s="103">
        <f>B6*P6</f>
        <v>15.55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thickBot="1" x14ac:dyDescent="0.3">
      <c r="A8" s="77">
        <v>1</v>
      </c>
      <c r="B8" s="20">
        <v>1</v>
      </c>
      <c r="C8" s="121" t="s">
        <v>475</v>
      </c>
      <c r="D8" s="314" t="str">
        <f>VLOOKUP(C8,Machined!C:X,2,0)</f>
        <v>Tube Opening Guard R A Side</v>
      </c>
      <c r="E8" s="329"/>
      <c r="F8" s="107" t="str">
        <f>VLOOKUP($C8,Machined!C:Z,13,0)</f>
        <v>POLYCARBONITE-CLEAR</v>
      </c>
      <c r="G8" s="44" t="str">
        <f>IF(VLOOKUP($C8,Machined!C:Z,16,0) = 0, " ", VLOOKUP($C8,Machined!C:Z,16,0))</f>
        <v>Port Plastics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POLYCARBONITE-CLEAR</v>
      </c>
      <c r="J8" s="44" t="str">
        <f>IF(VLOOKUP($C8,Machined!C:Z,18,0) = 0, " ", VLOOKUP($C8,Machined!C:Z,18,0))</f>
        <v>(TJ) 8/8/2024</v>
      </c>
      <c r="K8" s="44">
        <f>IF(VLOOKUP($C8,Machined!C:Z,19,0) = 0, " ", VLOOKUP($C8,Machined!C:Z,19,0))</f>
        <v>45530</v>
      </c>
      <c r="L8" s="44">
        <f>IF(VLOOKUP($C8,Machined!C:Z,20,0) = 0, " ", VLOOKUP($C8,Machined!C:Z,20,0))</f>
        <v>45561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55708</v>
      </c>
      <c r="O8" s="45">
        <f ca="1">B8*$L$2</f>
        <v>1</v>
      </c>
      <c r="P8" s="49">
        <f>VLOOKUP(C8,Machined!C:F,3,0)</f>
        <v>65</v>
      </c>
      <c r="Q8" s="50">
        <f>B8*P8</f>
        <v>65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101.91</v>
      </c>
    </row>
  </sheetData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1:E1"/>
    <mergeCell ref="D4:E4"/>
    <mergeCell ref="H4:I4"/>
    <mergeCell ref="D5:E5"/>
    <mergeCell ref="H5:I5"/>
  </mergeCells>
  <conditionalFormatting sqref="M7">
    <cfRule type="cellIs" dxfId="1650" priority="3" stopIfTrue="1" operator="lessThanOrEqual">
      <formula>$L7</formula>
    </cfRule>
    <cfRule type="cellIs" dxfId="1649" priority="4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3E20651-2000-4DA4-A1D0-88C5312B1710}">
          <x14:formula1>
            <xm:f>Assemblies!$E:$E</xm:f>
          </x14:formula1>
          <xm:sqref>C5:C6</xm:sqref>
        </x14:dataValidation>
        <x14:dataValidation type="list" allowBlank="1" showInputMessage="1" showErrorMessage="1" xr:uid="{4A84269C-3250-4DAB-9385-630D00881A16}">
          <x14:formula1>
            <xm:f>Machined!$C:$C</xm:f>
          </x14:formula1>
          <xm:sqref>C7:C8</xm:sqref>
        </x14:dataValidation>
      </x14:dataValidation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EE0FA-528C-4A83-BD31-24096595DA2C}">
  <sheetPr codeName="Sheet82">
    <tabColor theme="6" tint="0.59999389629810485"/>
  </sheetPr>
  <dimension ref="A1:Q9"/>
  <sheetViews>
    <sheetView zoomScale="115" zoomScaleNormal="115" workbookViewId="0">
      <selection activeCell="A46" sqref="A46:XFD4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'3.2'!C8</f>
        <v>PG10.3.2.3.0.A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'3.2'!D8</f>
        <v>Tube Opening Guard R B Side</v>
      </c>
      <c r="D3" s="85" t="s">
        <v>50</v>
      </c>
      <c r="E3" s="86" t="str">
        <f ca="1">MID(CELL("filename",A1),FIND("]",CELL("filename",A1))+1,256)</f>
        <v>3.2.3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6</v>
      </c>
      <c r="C5" s="112" t="s">
        <v>470</v>
      </c>
      <c r="D5" s="336" t="str">
        <f ca="1">VLOOKUP(C5,Assemblies!E:P,2,0)</f>
        <v>Csink Variofix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6</v>
      </c>
      <c r="P5" s="117">
        <f>'3.2.1.1'!Q8</f>
        <v>3.56</v>
      </c>
      <c r="Q5" s="118">
        <f>B5*P5</f>
        <v>21.36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471</v>
      </c>
      <c r="D6" s="314" t="str">
        <f ca="1">VLOOKUP(C6,Assemblies!E:P,2,0)</f>
        <v>Guard Slotted Adjustment Spacer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1</v>
      </c>
      <c r="P6" s="147">
        <f>'3.2.1.2'!Q10</f>
        <v>15.55</v>
      </c>
      <c r="Q6" s="103">
        <f>B6*P6</f>
        <v>15.55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thickBot="1" x14ac:dyDescent="0.3">
      <c r="A8" s="77">
        <v>1</v>
      </c>
      <c r="B8" s="20">
        <v>1</v>
      </c>
      <c r="C8" s="121" t="s">
        <v>476</v>
      </c>
      <c r="D8" s="314" t="str">
        <f>VLOOKUP(C8,Machined!C:X,2,0)</f>
        <v>Tube Opening Guard R B Side</v>
      </c>
      <c r="E8" s="329"/>
      <c r="F8" s="107" t="str">
        <f>VLOOKUP($C8,Machined!C:Z,13,0)</f>
        <v>POLYCARBONITE-CLEAR</v>
      </c>
      <c r="G8" s="44" t="str">
        <f>IF(VLOOKUP($C8,Machined!C:Z,16,0) = 0, " ", VLOOKUP($C8,Machined!C:Z,16,0))</f>
        <v>Port Plastics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POLYCARBONITE-CLEAR</v>
      </c>
      <c r="J8" s="44" t="str">
        <f>IF(VLOOKUP($C8,Machined!C:Z,18,0) = 0, " ", VLOOKUP($C8,Machined!C:Z,18,0))</f>
        <v>(TJ) 8/8/2024</v>
      </c>
      <c r="K8" s="44">
        <f>IF(VLOOKUP($C8,Machined!C:Z,19,0) = 0, " ", VLOOKUP($C8,Machined!C:Z,19,0))</f>
        <v>45530</v>
      </c>
      <c r="L8" s="44">
        <f>IF(VLOOKUP($C8,Machined!C:Z,20,0) = 0, " ", VLOOKUP($C8,Machined!C:Z,20,0))</f>
        <v>45561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55708</v>
      </c>
      <c r="O8" s="45">
        <f ca="1">B8*$L$2</f>
        <v>1</v>
      </c>
      <c r="P8" s="49">
        <f>VLOOKUP(C8,Machined!C:F,3,0)</f>
        <v>65</v>
      </c>
      <c r="Q8" s="50">
        <f>B8*P8</f>
        <v>65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101.91</v>
      </c>
    </row>
  </sheetData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1:E1"/>
    <mergeCell ref="D4:E4"/>
    <mergeCell ref="H4:I4"/>
    <mergeCell ref="D5:E5"/>
    <mergeCell ref="H5:I5"/>
  </mergeCells>
  <conditionalFormatting sqref="M7">
    <cfRule type="cellIs" dxfId="1648" priority="3" stopIfTrue="1" operator="lessThanOrEqual">
      <formula>$L7</formula>
    </cfRule>
    <cfRule type="cellIs" dxfId="1647" priority="4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480B809-09BA-4935-9EA0-7AB2036C757F}">
          <x14:formula1>
            <xm:f>Assemblies!$E:$E</xm:f>
          </x14:formula1>
          <xm:sqref>C5:C6</xm:sqref>
        </x14:dataValidation>
        <x14:dataValidation type="list" allowBlank="1" showInputMessage="1" showErrorMessage="1" xr:uid="{ABAC64CC-D482-4319-93A5-43D2F0F85436}">
          <x14:formula1>
            <xm:f>Machined!$C:$C</xm:f>
          </x14:formula1>
          <xm:sqref>C7:C8</xm:sqref>
        </x14:dataValidation>
      </x14:dataValidation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FAADB-70FD-448A-899D-1FABDF7368A4}">
  <sheetPr codeName="Sheet83">
    <tabColor theme="6" tint="0.59999389629810485"/>
  </sheetPr>
  <dimension ref="A1:Q9"/>
  <sheetViews>
    <sheetView zoomScale="115" zoomScaleNormal="115" workbookViewId="0">
      <selection activeCell="F65" sqref="F6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'3.2'!C9</f>
        <v>PG10.3.2.4.0.A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'3.2'!D9</f>
        <v>Tube Opening Guard L B Side</v>
      </c>
      <c r="D3" s="85" t="s">
        <v>50</v>
      </c>
      <c r="E3" s="86" t="str">
        <f ca="1">MID(CELL("filename",A1),FIND("]",CELL("filename",A1))+1,256)</f>
        <v>3.2.4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6</v>
      </c>
      <c r="C5" s="112" t="s">
        <v>470</v>
      </c>
      <c r="D5" s="336" t="str">
        <f ca="1">VLOOKUP(C5,Assemblies!E:P,2,0)</f>
        <v>Csink Variofix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6</v>
      </c>
      <c r="P5" s="117">
        <f>'3.2.1.1'!Q8</f>
        <v>3.56</v>
      </c>
      <c r="Q5" s="118">
        <f>B5*P5</f>
        <v>21.36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471</v>
      </c>
      <c r="D6" s="314" t="str">
        <f ca="1">VLOOKUP(C6,Assemblies!E:P,2,0)</f>
        <v>Guard Slotted Adjustment Spacer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1</v>
      </c>
      <c r="P6" s="147">
        <f>'3.2.1.2'!Q10</f>
        <v>15.55</v>
      </c>
      <c r="Q6" s="103">
        <f>B6*P6</f>
        <v>15.55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thickBot="1" x14ac:dyDescent="0.3">
      <c r="A8" s="77">
        <v>1</v>
      </c>
      <c r="B8" s="20">
        <v>1</v>
      </c>
      <c r="C8" s="121" t="s">
        <v>477</v>
      </c>
      <c r="D8" s="314" t="str">
        <f>VLOOKUP(C8,Machined!C:X,2,0)</f>
        <v>Tube Opening Guard L B Side</v>
      </c>
      <c r="E8" s="329"/>
      <c r="F8" s="107" t="str">
        <f>VLOOKUP($C8,Machined!C:Z,13,0)</f>
        <v>POLYCARBONITE-CLEAR</v>
      </c>
      <c r="G8" s="44" t="str">
        <f>IF(VLOOKUP($C8,Machined!C:Z,16,0) = 0, " ", VLOOKUP($C8,Machined!C:Z,16,0))</f>
        <v>Port Plastics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POLYCARBONITE-CLEAR</v>
      </c>
      <c r="J8" s="44" t="str">
        <f>IF(VLOOKUP($C8,Machined!C:Z,18,0) = 0, " ", VLOOKUP($C8,Machined!C:Z,18,0))</f>
        <v>(TJ) 8/8/2024</v>
      </c>
      <c r="K8" s="44">
        <f>IF(VLOOKUP($C8,Machined!C:Z,19,0) = 0, " ", VLOOKUP($C8,Machined!C:Z,19,0))</f>
        <v>45530</v>
      </c>
      <c r="L8" s="44">
        <f>IF(VLOOKUP($C8,Machined!C:Z,20,0) = 0, " ", VLOOKUP($C8,Machined!C:Z,20,0))</f>
        <v>45561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55708</v>
      </c>
      <c r="O8" s="45">
        <f ca="1">B8*$L$2</f>
        <v>1</v>
      </c>
      <c r="P8" s="49">
        <f>VLOOKUP(C8,Machined!C:F,3,0)</f>
        <v>65</v>
      </c>
      <c r="Q8" s="50">
        <f>B8*P8</f>
        <v>65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101.91</v>
      </c>
    </row>
  </sheetData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1:E1"/>
    <mergeCell ref="D4:E4"/>
    <mergeCell ref="H4:I4"/>
    <mergeCell ref="D5:E5"/>
    <mergeCell ref="H5:I5"/>
  </mergeCells>
  <conditionalFormatting sqref="M7">
    <cfRule type="cellIs" dxfId="1646" priority="3" stopIfTrue="1" operator="lessThanOrEqual">
      <formula>$L7</formula>
    </cfRule>
    <cfRule type="cellIs" dxfId="1645" priority="4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4DBF62-45ED-44C6-B061-94858C83070F}">
          <x14:formula1>
            <xm:f>Assemblies!$E:$E</xm:f>
          </x14:formula1>
          <xm:sqref>C5:C6</xm:sqref>
        </x14:dataValidation>
        <x14:dataValidation type="list" allowBlank="1" showInputMessage="1" showErrorMessage="1" xr:uid="{8B5560EA-580C-4640-A890-2DCBAB32798F}">
          <x14:formula1>
            <xm:f>Machined!$C:$C</xm:f>
          </x14:formula1>
          <xm:sqref>C7:C8</xm:sqref>
        </x14:dataValidation>
      </x14:dataValidation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7AE4E-1F6E-48DF-A308-6734ED8F56E6}">
  <sheetPr codeName="Sheet84">
    <tabColor theme="6" tint="0.59999389629810485"/>
  </sheetPr>
  <dimension ref="A1:Q32"/>
  <sheetViews>
    <sheetView zoomScale="115" zoomScaleNormal="115" workbookViewId="0">
      <selection activeCell="E33" sqref="E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'3.2'!C10</f>
        <v>PG10.3.2.5.0.A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'3.2'!D10</f>
        <v>Door 7</v>
      </c>
      <c r="D3" s="85" t="s">
        <v>50</v>
      </c>
      <c r="E3" s="86" t="str">
        <f ca="1">MID(CELL("filename",A1),FIND("]",CELL("filename",A1))+1,256)</f>
        <v>3.2.5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50" t="s">
        <v>54</v>
      </c>
      <c r="B5" s="1">
        <v>4</v>
      </c>
      <c r="C5" s="145" t="s">
        <v>338</v>
      </c>
      <c r="D5" s="314" t="str">
        <f ca="1">VLOOKUP(C5,Assemblies!E:P,2,0)</f>
        <v>Elesa Door Handle Assembly</v>
      </c>
      <c r="E5" s="347"/>
      <c r="F5" s="32"/>
      <c r="G5" s="32"/>
      <c r="H5" s="303"/>
      <c r="I5" s="303"/>
      <c r="J5" s="28"/>
      <c r="K5" s="28"/>
      <c r="L5" s="28"/>
      <c r="M5" s="28"/>
      <c r="N5" s="33"/>
      <c r="O5" s="146">
        <f ca="1">B5*$L$2</f>
        <v>4</v>
      </c>
      <c r="P5" s="147">
        <f>'1.4.2'!Q8</f>
        <v>0</v>
      </c>
      <c r="Q5" s="153">
        <f>B5*P5</f>
        <v>0</v>
      </c>
    </row>
    <row r="6" spans="1:17" s="1" customFormat="1" ht="12" customHeight="1" x14ac:dyDescent="0.2">
      <c r="A6" s="150" t="s">
        <v>56</v>
      </c>
      <c r="B6" s="1">
        <v>4</v>
      </c>
      <c r="C6" s="145" t="s">
        <v>400</v>
      </c>
      <c r="D6" s="314" t="str">
        <f ca="1">VLOOKUP(C6,Assemblies!E:P,2,0)</f>
        <v>Guard Pivot Assy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4</v>
      </c>
      <c r="P6" s="147">
        <f>'1.4.2'!Q8</f>
        <v>0</v>
      </c>
      <c r="Q6" s="153">
        <f>B6*P6</f>
        <v>0</v>
      </c>
    </row>
    <row r="7" spans="1:17" s="1" customFormat="1" ht="12.75" customHeight="1" x14ac:dyDescent="0.2">
      <c r="A7" s="150" t="s">
        <v>58</v>
      </c>
      <c r="B7" s="1">
        <v>4</v>
      </c>
      <c r="C7" s="145" t="s">
        <v>401</v>
      </c>
      <c r="D7" s="314" t="str">
        <f ca="1">VLOOKUP(C7,Assemblies!E:P,2,0)</f>
        <v>Door Support Assem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4</v>
      </c>
      <c r="P7" s="147">
        <f>'1.4.2'!Q9</f>
        <v>11.93</v>
      </c>
      <c r="Q7" s="153">
        <f>B7*P7</f>
        <v>47.72</v>
      </c>
    </row>
    <row r="8" spans="1:17" s="2" customFormat="1" ht="12.75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2</v>
      </c>
      <c r="C9" s="121" t="s">
        <v>478</v>
      </c>
      <c r="D9" s="314" t="str">
        <f>VLOOKUP(C9,Machined!C:X,2,0)</f>
        <v>Clear PolyPanel Long Door 7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ca="1">B9*$L$2</f>
        <v>2</v>
      </c>
      <c r="P9" s="49">
        <f>VLOOKUP(C9,Machined!C:F,3,0)</f>
        <v>50</v>
      </c>
      <c r="Q9" s="50">
        <f>B9*P9</f>
        <v>100</v>
      </c>
    </row>
    <row r="10" spans="1:17" s="2" customFormat="1" ht="12.75" customHeight="1" x14ac:dyDescent="0.25">
      <c r="A10" s="77">
        <v>2</v>
      </c>
      <c r="B10" s="20">
        <v>2</v>
      </c>
      <c r="C10" s="121" t="s">
        <v>479</v>
      </c>
      <c r="D10" s="314" t="str">
        <f>VLOOKUP(C10,Machined!C:X,2,0)</f>
        <v>Clear PolyPanel Short Door 7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ca="1">B10*$L$2</f>
        <v>2</v>
      </c>
      <c r="P10" s="49">
        <f>VLOOKUP(C10,Machined!C:F,3,0)</f>
        <v>50</v>
      </c>
      <c r="Q10" s="50">
        <f>B10*P10</f>
        <v>100</v>
      </c>
    </row>
    <row r="11" spans="1:17" s="2" customFormat="1" ht="12.75" customHeight="1" x14ac:dyDescent="0.25">
      <c r="A11" s="77">
        <v>3</v>
      </c>
      <c r="B11" s="20">
        <v>1</v>
      </c>
      <c r="C11" s="121" t="s">
        <v>480</v>
      </c>
      <c r="D11" s="314" t="str">
        <f>VLOOKUP(C11,Machined!C:X,2,0)</f>
        <v>Closet Door Mag Mount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Craig Miller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45503</v>
      </c>
      <c r="K11" s="44">
        <f>IF(VLOOKUP($C11,Machined!C:Z,19,0) = 0, " ", VLOOKUP($C11,Machined!C:Z,19,0))</f>
        <v>45509</v>
      </c>
      <c r="L11" s="44">
        <f>IF(VLOOKUP($C11,Machined!C:Z,20,0) = 0, " ", VLOOKUP($C11,Machined!C:Z,20,0))</f>
        <v>45540</v>
      </c>
      <c r="M11" s="44">
        <f>IF(VLOOKUP($C11,Machined!C:Z,21,0) = 0, " ", VLOOKUP($C11,Machined!C:Z,21,0))</f>
        <v>45540</v>
      </c>
      <c r="N11" s="129">
        <f>IF(VLOOKUP($C11,Machined!C:Z,22,0) = 0, " ", VLOOKUP($C11,Machined!C:Z,22,0))</f>
        <v>55656</v>
      </c>
      <c r="O11" s="45">
        <f ca="1">B11*$L$2</f>
        <v>1</v>
      </c>
      <c r="P11" s="49">
        <f>VLOOKUP(C11,Machined!C:F,3,0)</f>
        <v>52.5</v>
      </c>
      <c r="Q11" s="50">
        <f>B11*P11</f>
        <v>52.5</v>
      </c>
    </row>
    <row r="12" spans="1:17" s="2" customFormat="1" ht="12.75" customHeight="1" x14ac:dyDescent="0.25">
      <c r="A12" s="77">
        <v>4</v>
      </c>
      <c r="B12" s="20">
        <v>1</v>
      </c>
      <c r="C12" s="121" t="s">
        <v>481</v>
      </c>
      <c r="D12" s="314" t="str">
        <f>VLOOKUP(C12,Machined!C:X,2,0)</f>
        <v>Closet Door Mag Other Mount</v>
      </c>
      <c r="E12" s="329"/>
      <c r="F12" s="107" t="str">
        <f>VLOOKUP($C12,Machined!C:Z,13,0)</f>
        <v>6061-T6 ALUMINUM</v>
      </c>
      <c r="G12" s="44" t="str">
        <f>IF(VLOOKUP($C12,Machined!C:Z,16,0) = 0, " ", VLOOKUP($C12,Machined!C:Z,16,0))</f>
        <v>Craig Miller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6061-T6 ALUMINUM</v>
      </c>
      <c r="J12" s="44">
        <f>IF(VLOOKUP($C12,Machined!C:Z,18,0) = 0, " ", VLOOKUP($C12,Machined!C:Z,18,0))</f>
        <v>45503</v>
      </c>
      <c r="K12" s="44">
        <f>IF(VLOOKUP($C12,Machined!C:Z,19,0) = 0, " ", VLOOKUP($C12,Machined!C:Z,19,0))</f>
        <v>45509</v>
      </c>
      <c r="L12" s="44">
        <f>IF(VLOOKUP($C12,Machined!C:Z,20,0) = 0, " ", VLOOKUP($C12,Machined!C:Z,20,0))</f>
        <v>45540</v>
      </c>
      <c r="M12" s="44">
        <f>IF(VLOOKUP($C12,Machined!C:Z,21,0) = 0, " ", VLOOKUP($C12,Machined!C:Z,21,0))</f>
        <v>45540</v>
      </c>
      <c r="N12" s="129">
        <f>IF(VLOOKUP($C12,Machined!C:Z,22,0) = 0, " ", VLOOKUP($C12,Machined!C:Z,22,0))</f>
        <v>55656</v>
      </c>
      <c r="O12" s="45">
        <f ca="1">B12*$L$2</f>
        <v>1</v>
      </c>
      <c r="P12" s="49">
        <f>VLOOKUP(C12,Machined!C:F,3,0)</f>
        <v>99</v>
      </c>
      <c r="Q12" s="50">
        <f>B12*P12</f>
        <v>99</v>
      </c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.75" customHeight="1" x14ac:dyDescent="0.25">
      <c r="A14" s="4">
        <v>301</v>
      </c>
      <c r="B14" s="2">
        <v>1</v>
      </c>
      <c r="C14" s="135" t="s">
        <v>346</v>
      </c>
      <c r="D14" s="325" t="str">
        <f>VLOOKUP(C14,Purchased!A:B,2,0)</f>
        <v>Keyence Safety interlock</v>
      </c>
      <c r="E14" s="326"/>
      <c r="F14" s="108" t="str">
        <f>IF(VLOOKUP($C14,Purchased!A:Z,11,0) = 0, " ", VLOOKUP($C14,Purchased!A:Z,11,0))</f>
        <v>KEYENCE</v>
      </c>
      <c r="G14" s="108" t="str">
        <f>IF(VLOOKUP($C14,Purchased!A:Z,12,0)=0, " ", VLOOKUP($C14,Purchased!A:Z,12,0))</f>
        <v>KEYENCE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45516</v>
      </c>
      <c r="K14" s="46">
        <f>IF(VLOOKUP(C14,Purchased!A:R,14,0)=0, " ", VLOOKUP(C14,Purchased!A:R,14,0))</f>
        <v>45516</v>
      </c>
      <c r="L14" s="46">
        <f>IF(VLOOKUP(C14,Purchased!A:R,15,0)=0, " ", VLOOKUP(C14,Purchased!A:R,15,0))</f>
        <v>45518</v>
      </c>
      <c r="M14" s="46">
        <f>IF(VLOOKUP(C14,Purchased!A:R,16,0)=0, " ",VLOOKUP(C14,Purchased!A:R,16,0))</f>
        <v>45526</v>
      </c>
      <c r="N14" s="130">
        <f>IF(VLOOKUP(C14,Purchased!A:R,17,0)=0, " ", VLOOKUP(C14,Purchased!A:R,17,0))</f>
        <v>45526</v>
      </c>
      <c r="O14" s="47">
        <f t="shared" ref="O14:O19" ca="1" si="0">B14*$L$2</f>
        <v>1</v>
      </c>
      <c r="P14" s="51">
        <f>VLOOKUP(C14,Purchased!A:D,3,FALSE)</f>
        <v>320</v>
      </c>
      <c r="Q14" s="52">
        <f t="shared" ref="Q14:Q18" si="1">B14*P14</f>
        <v>320</v>
      </c>
    </row>
    <row r="15" spans="1:17" s="2" customFormat="1" ht="12.75" customHeight="1" x14ac:dyDescent="0.25">
      <c r="A15" s="4">
        <v>302</v>
      </c>
      <c r="B15" s="2">
        <v>2</v>
      </c>
      <c r="C15" s="135" t="s">
        <v>172</v>
      </c>
      <c r="D15" s="325" t="str">
        <f>VLOOKUP(C15,Purchased!A:B,2,0)</f>
        <v>BRX GOTO T-NUT 10 M6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45463</v>
      </c>
      <c r="M15" s="46">
        <f>IF(VLOOKUP(C15,Purchased!A:R,16,0)=0, " ",VLOOKUP(C15,Purchased!A:R,16,0))</f>
        <v>45481</v>
      </c>
      <c r="N15" s="130">
        <f>IF(VLOOKUP(C15,Purchased!A:R,17,0)=0, " ", VLOOKUP(C15,Purchased!A:R,17,0))</f>
        <v>45481</v>
      </c>
      <c r="O15" s="47">
        <f t="shared" ca="1" si="0"/>
        <v>2</v>
      </c>
      <c r="P15" s="51">
        <f>VLOOKUP(C15,Purchased!A:D,3,FALSE)</f>
        <v>0.56000000000000005</v>
      </c>
      <c r="Q15" s="52">
        <f t="shared" si="1"/>
        <v>1.1200000000000001</v>
      </c>
    </row>
    <row r="16" spans="1:17" s="2" customFormat="1" ht="12.75" customHeight="1" x14ac:dyDescent="0.25">
      <c r="A16" s="4">
        <v>303</v>
      </c>
      <c r="B16" s="2">
        <v>2</v>
      </c>
      <c r="C16" s="135" t="s">
        <v>104</v>
      </c>
      <c r="D16" s="325" t="str">
        <f>VLOOKUP(C16,Purchased!A:B,2,0)</f>
        <v>BRX GOTO T-NUT 10 M8</v>
      </c>
      <c r="E16" s="326"/>
      <c r="F16" s="108" t="str">
        <f>IF(VLOOKUP($C16,Purchased!A:Z,11,0) = 0, " ", VLOOKUP($C16,Purchased!A:Z,11,0))</f>
        <v>BRX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400 additional quantity added to 55710</v>
      </c>
      <c r="I16" s="328"/>
      <c r="J16" s="46">
        <f>IF(VLOOKUP($C16,Purchased!A:Z,14,0)=0, " ", VLOOKUP($C16,Purchased!A:Z,14,0))</f>
        <v>45463</v>
      </c>
      <c r="K16" s="46">
        <f>IF(VLOOKUP(C16,Purchased!A:R,14,0)=0, " ", VLOOKUP(C16,Purchased!A:R,14,0))</f>
        <v>45463</v>
      </c>
      <c r="L16" s="46">
        <f>IF(VLOOKUP(C16,Purchased!A:R,15,0)=0, " ", VLOOKUP(C16,Purchased!A:R,15,0))</f>
        <v>45463</v>
      </c>
      <c r="M16" s="46">
        <f>IF(VLOOKUP(C16,Purchased!A:R,16,0)=0, " ",VLOOKUP(C16,Purchased!A:R,16,0))</f>
        <v>45481</v>
      </c>
      <c r="N16" s="130">
        <f>IF(VLOOKUP(C16,Purchased!A:R,17,0)=0, " ", VLOOKUP(C16,Purchased!A:R,17,0))</f>
        <v>45481</v>
      </c>
      <c r="O16" s="47">
        <f t="shared" ca="1" si="0"/>
        <v>2</v>
      </c>
      <c r="P16" s="51">
        <f>VLOOKUP(C16,Purchased!A:D,3,FALSE)</f>
        <v>0.56000000000000005</v>
      </c>
      <c r="Q16" s="52">
        <f t="shared" si="1"/>
        <v>1.1200000000000001</v>
      </c>
    </row>
    <row r="17" spans="1:17" s="2" customFormat="1" ht="12.75" customHeight="1" x14ac:dyDescent="0.25">
      <c r="A17" s="4">
        <v>304</v>
      </c>
      <c r="B17" s="2">
        <v>16</v>
      </c>
      <c r="C17" s="135" t="s">
        <v>149</v>
      </c>
      <c r="D17" s="325" t="str">
        <f>VLOOKUP(C17,Purchased!A:B,2,0)</f>
        <v>BRX GOTO QUICK CONNECTOR N10 0°</v>
      </c>
      <c r="E17" s="326"/>
      <c r="F17" s="108" t="str">
        <f>IF(VLOOKUP($C17,Purchased!A:Z,11,0) = 0, " ", VLOOKUP($C17,Purchased!A:Z,11,0))</f>
        <v>T-SLOTS</v>
      </c>
      <c r="G17" s="108" t="str">
        <f>IF(VLOOKUP($C17,Purchased!A:Z,12,0)=0, " ", VLOOKUP($C17,Purchased!A:Z,12,0))</f>
        <v>Process Tech</v>
      </c>
      <c r="H17" s="327" t="str">
        <f>IF(VLOOKUP($C17,Purchased!A:Z,13,0)=0, " ", VLOOKUP($C17,Purchased!A:Z,13,0))</f>
        <v>500 More on P.O. #55639 Part# 659730</v>
      </c>
      <c r="I17" s="328"/>
      <c r="J17" s="46" t="str">
        <f>IF(VLOOKUP($C17,Purchased!A:Z,14,0)=0, " ", VLOOKUP($C17,Purchased!A:Z,14,0))</f>
        <v>N/A</v>
      </c>
      <c r="K17" s="46" t="str">
        <f>IF(VLOOKUP(C17,Purchased!A:R,14,0)=0, " ", VLOOKUP(C17,Purchased!A:R,14,0))</f>
        <v>N/A</v>
      </c>
      <c r="L17" s="46">
        <f>IF(VLOOKUP(C17,Purchased!A:R,15,0)=0, " ", VLOOKUP(C17,Purchased!A:R,15,0))</f>
        <v>45362</v>
      </c>
      <c r="M17" s="46">
        <f>IF(VLOOKUP(C17,Purchased!A:R,16,0)=0, " ",VLOOKUP(C17,Purchased!A:R,16,0))</f>
        <v>45378</v>
      </c>
      <c r="N17" s="130">
        <f>IF(VLOOKUP(C17,Purchased!A:R,17,0)=0, " ", VLOOKUP(C17,Purchased!A:R,17,0))</f>
        <v>45378</v>
      </c>
      <c r="O17" s="47">
        <f t="shared" ca="1" si="0"/>
        <v>16</v>
      </c>
      <c r="P17" s="51">
        <f>VLOOKUP(C17,Purchased!A:D,3,FALSE)</f>
        <v>4.17</v>
      </c>
      <c r="Q17" s="52">
        <f t="shared" si="1"/>
        <v>66.72</v>
      </c>
    </row>
    <row r="18" spans="1:17" s="2" customFormat="1" ht="12.75" customHeight="1" x14ac:dyDescent="0.25">
      <c r="A18" s="4">
        <v>305</v>
      </c>
      <c r="B18" s="2">
        <v>12</v>
      </c>
      <c r="C18" s="135" t="s">
        <v>341</v>
      </c>
      <c r="D18" s="325" t="str">
        <f>VLOOKUP(C18,Purchased!A:B,2,0)</f>
        <v>BRX GOTO HINGE AL 45/45, 2PK</v>
      </c>
      <c r="E18" s="326"/>
      <c r="F18" s="108" t="str">
        <f>IF(VLOOKUP($C18,Purchased!A:Z,11,0) = 0, " ", VLOOKUP($C18,Purchased!A:Z,11,0))</f>
        <v>BRX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>Nuline has 40X Quantity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>
        <f>IF(VLOOKUP(C18,Purchased!A:R,15,0)=0, " ", VLOOKUP(C18,Purchased!A:R,15,0))</f>
        <v>45532</v>
      </c>
      <c r="M18" s="46">
        <f>IF(VLOOKUP(C18,Purchased!A:R,16,0)=0, " ",VLOOKUP(C18,Purchased!A:R,16,0))</f>
        <v>45561</v>
      </c>
      <c r="N18" s="130" t="str">
        <f>IF(VLOOKUP(C18,Purchased!A:R,17,0)=0, " ", VLOOKUP(C18,Purchased!A:R,17,0))</f>
        <v xml:space="preserve"> </v>
      </c>
      <c r="O18" s="47">
        <f t="shared" ca="1" si="0"/>
        <v>12</v>
      </c>
      <c r="P18" s="51">
        <f>VLOOKUP(C18,Purchased!A:D,3,FALSE)</f>
        <v>22.16</v>
      </c>
      <c r="Q18" s="52">
        <f t="shared" si="1"/>
        <v>265.92</v>
      </c>
    </row>
    <row r="19" spans="1:17" s="2" customFormat="1" ht="12.75" customHeight="1" x14ac:dyDescent="0.25">
      <c r="A19" s="4">
        <v>306</v>
      </c>
      <c r="B19" s="2">
        <v>11500</v>
      </c>
      <c r="C19" s="135">
        <v>3842146906</v>
      </c>
      <c r="D19" s="325" t="str">
        <f>VLOOKUP(C19,Purchased!A:B,2,0)</f>
        <v>SLOT PROFILE SCHWARZ</v>
      </c>
      <c r="E19" s="326"/>
      <c r="F19" s="108" t="str">
        <f>IF(VLOOKUP($C19,Purchased!A:Z,11,0) = 0, " ", VLOOKUP($C19,Purchased!A:Z,11,0))</f>
        <v>BRX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>P/N changed to 3842555270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45532</v>
      </c>
      <c r="M19" s="46">
        <f>IF(VLOOKUP(C19,Purchased!A:R,16,0)=0, " ",VLOOKUP(C19,Purchased!A:R,16,0))</f>
        <v>45561</v>
      </c>
      <c r="N19" s="130" t="str">
        <f>IF(VLOOKUP(C19,Purchased!A:R,17,0)=0, " ", VLOOKUP(C19,Purchased!A:R,17,0))</f>
        <v xml:space="preserve"> </v>
      </c>
      <c r="O19" s="47">
        <f t="shared" ca="1" si="0"/>
        <v>11500</v>
      </c>
      <c r="P19" s="51">
        <f>VLOOKUP(C19,Purchased!A:D,3,FALSE)</f>
        <v>5</v>
      </c>
      <c r="Q19" s="52">
        <f>(B19/2000)*P19</f>
        <v>28.75</v>
      </c>
    </row>
    <row r="20" spans="1:17" s="2" customFormat="1" ht="12.75" customHeight="1" x14ac:dyDescent="0.25">
      <c r="A20" s="4">
        <v>307</v>
      </c>
      <c r="B20" s="2">
        <v>1</v>
      </c>
      <c r="C20" s="135" t="s">
        <v>347</v>
      </c>
      <c r="D20" s="325" t="str">
        <f>VLOOKUP(C20,Purchased!A:B,2,0)</f>
        <v>Keyence Mag Lock Actuator</v>
      </c>
      <c r="E20" s="326"/>
      <c r="F20" s="108" t="str">
        <f>IF(VLOOKUP($C20,Purchased!A:Z,11,0) = 0, " ", VLOOKUP($C20,Purchased!A:Z,11,0))</f>
        <v>KEYENCE</v>
      </c>
      <c r="G20" s="108" t="str">
        <f>IF(VLOOKUP($C20,Purchased!A:Z,12,0)=0, " ", VLOOKUP($C20,Purchased!A:Z,12,0))</f>
        <v>KEYENCE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45516</v>
      </c>
      <c r="K20" s="46">
        <f>IF(VLOOKUP(C20,Purchased!A:R,14,0)=0, " ", VLOOKUP(C20,Purchased!A:R,14,0))</f>
        <v>45516</v>
      </c>
      <c r="L20" s="46">
        <f>IF(VLOOKUP(C20,Purchased!A:R,15,0)=0, " ", VLOOKUP(C20,Purchased!A:R,15,0))</f>
        <v>45518</v>
      </c>
      <c r="M20" s="46">
        <f>IF(VLOOKUP(C20,Purchased!A:R,16,0)=0, " ",VLOOKUP(C20,Purchased!A:R,16,0))</f>
        <v>45526</v>
      </c>
      <c r="N20" s="130">
        <f>IF(VLOOKUP(C20,Purchased!A:R,17,0)=0, " ", VLOOKUP(C20,Purchased!A:R,17,0))</f>
        <v>45526</v>
      </c>
      <c r="O20" s="47">
        <f ca="1">B20*$L$2</f>
        <v>1</v>
      </c>
      <c r="P20" s="51">
        <f>VLOOKUP(C20,Purchased!A:D,3,FALSE)</f>
        <v>70</v>
      </c>
      <c r="Q20" s="52">
        <f>B20*P20</f>
        <v>70</v>
      </c>
    </row>
    <row r="21" spans="1:17" s="2" customFormat="1" ht="12.75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.75" customHeight="1" x14ac:dyDescent="0.25">
      <c r="A22" s="4">
        <v>501</v>
      </c>
      <c r="B22" s="2">
        <v>2</v>
      </c>
      <c r="C22" s="122" t="s">
        <v>350</v>
      </c>
      <c r="D22" s="158"/>
      <c r="E22" s="159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ca="1">B22*$L$2</f>
        <v>2</v>
      </c>
      <c r="P22" s="51">
        <f>VLOOKUP(C22,Bolts!A:B,2,FALSE)</f>
        <v>0</v>
      </c>
      <c r="Q22" s="52">
        <f>B22*P22</f>
        <v>0</v>
      </c>
    </row>
    <row r="23" spans="1:17" s="2" customFormat="1" ht="12.75" customHeight="1" x14ac:dyDescent="0.25">
      <c r="A23" s="4">
        <v>502</v>
      </c>
      <c r="B23" s="2">
        <v>50</v>
      </c>
      <c r="C23" s="122" t="s">
        <v>277</v>
      </c>
      <c r="D23" s="158"/>
      <c r="E23" s="159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ca="1">B23*$L$2</f>
        <v>50</v>
      </c>
      <c r="P23" s="51">
        <f>VLOOKUP(C23,Bolts!A:B,2,FALSE)</f>
        <v>0</v>
      </c>
      <c r="Q23" s="52">
        <f>B23*P23</f>
        <v>0</v>
      </c>
    </row>
    <row r="24" spans="1:17" s="2" customFormat="1" ht="12.75" customHeight="1" x14ac:dyDescent="0.25">
      <c r="A24" s="4">
        <v>503</v>
      </c>
      <c r="B24" s="2">
        <v>2</v>
      </c>
      <c r="C24" s="122" t="s">
        <v>351</v>
      </c>
      <c r="D24" s="158"/>
      <c r="E24" s="159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ca="1">B24*$L$2</f>
        <v>2</v>
      </c>
      <c r="P24" s="51">
        <f>VLOOKUP(C24,Bolts!A:B,2,FALSE)</f>
        <v>0</v>
      </c>
      <c r="Q24" s="52">
        <f>B24*P24</f>
        <v>0</v>
      </c>
    </row>
    <row r="25" spans="1:17" s="2" customFormat="1" ht="12.75" customHeight="1" x14ac:dyDescent="0.25">
      <c r="A25" s="4">
        <v>504</v>
      </c>
      <c r="B25" s="2">
        <v>2</v>
      </c>
      <c r="C25" s="122" t="s">
        <v>349</v>
      </c>
      <c r="D25" s="158"/>
      <c r="E25" s="159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ca="1">B25*$L$2</f>
        <v>2</v>
      </c>
      <c r="P25" s="51">
        <f>VLOOKUP(C25,Bolts!A:B,2,FALSE)</f>
        <v>0</v>
      </c>
      <c r="Q25" s="52">
        <f>B25*P25</f>
        <v>0</v>
      </c>
    </row>
    <row r="26" spans="1:17" s="2" customFormat="1" ht="12.75" customHeight="1" x14ac:dyDescent="0.25">
      <c r="A26" s="4">
        <v>505</v>
      </c>
      <c r="B26" s="2">
        <v>2</v>
      </c>
      <c r="C26" s="122" t="s">
        <v>348</v>
      </c>
      <c r="D26" s="158"/>
      <c r="E26" s="159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ca="1">B26*$L$2</f>
        <v>2</v>
      </c>
      <c r="P26" s="51">
        <f>VLOOKUP(C26,Bolts!A:B,2,FALSE)</f>
        <v>0</v>
      </c>
      <c r="Q26" s="52">
        <f>B26*P26</f>
        <v>0</v>
      </c>
    </row>
    <row r="27" spans="1:17" s="2" customFormat="1" ht="12.75" customHeight="1" x14ac:dyDescent="0.25">
      <c r="A27" s="25"/>
      <c r="B27" s="26"/>
      <c r="C27" s="26"/>
      <c r="D27" s="332"/>
      <c r="E27" s="333"/>
      <c r="F27" s="26"/>
      <c r="G27" s="26"/>
      <c r="H27" s="322"/>
      <c r="I27" s="323"/>
      <c r="J27" s="27"/>
      <c r="K27" s="27"/>
      <c r="L27" s="27"/>
      <c r="M27" s="28"/>
      <c r="N27" s="29"/>
      <c r="O27" s="29"/>
      <c r="P27" s="148"/>
      <c r="Q27" s="149"/>
    </row>
    <row r="28" spans="1:17" s="2" customFormat="1" ht="12.75" customHeight="1" x14ac:dyDescent="0.25">
      <c r="A28" s="4">
        <v>701</v>
      </c>
      <c r="B28" s="2">
        <v>4</v>
      </c>
      <c r="C28" s="123" t="s">
        <v>482</v>
      </c>
      <c r="D28" s="325" t="str">
        <f>VLOOKUP(C28,Extrusion!B:C,2,0)</f>
        <v>APPROVED EL 9/3</v>
      </c>
      <c r="E28" s="326"/>
      <c r="F28" s="108" t="str">
        <f ca="1">VLOOKUP(C28,Extrusion!B:N,5,0)</f>
        <v>YES</v>
      </c>
      <c r="G28" s="108">
        <f>VLOOKUP(C28,Extrusion!B:N,6,0)</f>
        <v>1</v>
      </c>
      <c r="H28" s="108">
        <f>VLOOKUP(C28,Extrusion!B:N,7,0)</f>
        <v>0</v>
      </c>
      <c r="I28" s="109"/>
      <c r="J28" s="46" t="str">
        <f>VLOOKUP(C28,Extrusion!B:N,8,0)</f>
        <v>T-Slots</v>
      </c>
      <c r="K28" s="46">
        <f>VLOOKUP(C28,Extrusion!B:N,9,0)</f>
        <v>0</v>
      </c>
      <c r="L28" s="46">
        <f>VLOOKUP(C28,Extrusion!B:N,10,0)</f>
        <v>0</v>
      </c>
      <c r="M28" s="46">
        <f>VLOOKUP(C28,Extrusion!B:N,11,0)</f>
        <v>0</v>
      </c>
      <c r="N28" s="47">
        <f>VLOOKUP(C28,Extrusion!B:O,12,0)</f>
        <v>0</v>
      </c>
      <c r="O28" s="47">
        <f ca="1">B28*$L$2</f>
        <v>4</v>
      </c>
      <c r="P28" s="51">
        <f>VLOOKUP(C28,Extrusion!B:G,4,0)</f>
        <v>0</v>
      </c>
      <c r="Q28" s="52">
        <f>B28*P28</f>
        <v>0</v>
      </c>
    </row>
    <row r="29" spans="1:17" s="2" customFormat="1" ht="12.75" customHeight="1" x14ac:dyDescent="0.25">
      <c r="A29" s="4">
        <v>702</v>
      </c>
      <c r="B29" s="2">
        <v>4</v>
      </c>
      <c r="C29" s="123" t="s">
        <v>483</v>
      </c>
      <c r="D29" s="325" t="str">
        <f>VLOOKUP(C29,Extrusion!B:C,2,0)</f>
        <v>APPROVED EL 9/3</v>
      </c>
      <c r="E29" s="326"/>
      <c r="F29" s="108" t="str">
        <f ca="1">VLOOKUP(C29,Extrusion!B:N,5,0)</f>
        <v>YES</v>
      </c>
      <c r="G29" s="108">
        <f>VLOOKUP(C29,Extrusion!B:N,6,0)</f>
        <v>1</v>
      </c>
      <c r="H29" s="108">
        <f>VLOOKUP(C29,Extrusion!B:N,7,0)</f>
        <v>0</v>
      </c>
      <c r="I29" s="109"/>
      <c r="J29" s="46" t="str">
        <f>VLOOKUP(C29,Extrusion!B:N,8,0)</f>
        <v>T-Slots</v>
      </c>
      <c r="K29" s="46">
        <f>VLOOKUP(C29,Extrusion!B:N,9,0)</f>
        <v>0</v>
      </c>
      <c r="L29" s="46">
        <f>VLOOKUP(C29,Extrusion!B:N,10,0)</f>
        <v>0</v>
      </c>
      <c r="M29" s="46">
        <f>VLOOKUP(C29,Extrusion!B:N,11,0)</f>
        <v>0</v>
      </c>
      <c r="N29" s="47">
        <f>VLOOKUP(C29,Extrusion!B:O,12,0)</f>
        <v>0</v>
      </c>
      <c r="O29" s="47">
        <f ca="1">B29*$L$2</f>
        <v>4</v>
      </c>
      <c r="P29" s="51">
        <f>VLOOKUP(C29,Extrusion!B:G,4,0)</f>
        <v>0</v>
      </c>
      <c r="Q29" s="52">
        <f>B29*P29</f>
        <v>0</v>
      </c>
    </row>
    <row r="30" spans="1:17" s="2" customFormat="1" ht="12.75" customHeight="1" thickBot="1" x14ac:dyDescent="0.3">
      <c r="A30" s="4">
        <v>703</v>
      </c>
      <c r="B30" s="2">
        <v>8</v>
      </c>
      <c r="C30" s="123" t="s">
        <v>484</v>
      </c>
      <c r="D30" s="325" t="str">
        <f>VLOOKUP(C30,Extrusion!B:C,2,0)</f>
        <v>APPROVED EL 9/3</v>
      </c>
      <c r="E30" s="326"/>
      <c r="F30" s="108" t="str">
        <f ca="1">VLOOKUP(C30,Extrusion!B:N,5,0)</f>
        <v>YES</v>
      </c>
      <c r="G30" s="108">
        <f>VLOOKUP(C30,Extrusion!B:N,6,0)</f>
        <v>1</v>
      </c>
      <c r="H30" s="108">
        <f>VLOOKUP(C30,Extrusion!B:N,7,0)</f>
        <v>0</v>
      </c>
      <c r="I30" s="109"/>
      <c r="J30" s="46" t="str">
        <f>VLOOKUP(C30,Extrusion!B:N,8,0)</f>
        <v>T-Slots</v>
      </c>
      <c r="K30" s="46">
        <f>VLOOKUP(C30,Extrusion!B:N,9,0)</f>
        <v>0</v>
      </c>
      <c r="L30" s="46">
        <f>VLOOKUP(C30,Extrusion!B:N,10,0)</f>
        <v>0</v>
      </c>
      <c r="M30" s="46">
        <f>VLOOKUP(C30,Extrusion!B:N,11,0)</f>
        <v>0</v>
      </c>
      <c r="N30" s="47">
        <f>VLOOKUP(C30,Extrusion!B:O,12,0)</f>
        <v>0</v>
      </c>
      <c r="O30" s="47">
        <f ca="1">B30*$L$2</f>
        <v>8</v>
      </c>
      <c r="P30" s="51">
        <f>VLOOKUP(C30,Extrusion!B:G,4,0)</f>
        <v>0</v>
      </c>
      <c r="Q30" s="52">
        <f>B30*P30</f>
        <v>0</v>
      </c>
    </row>
    <row r="31" spans="1:17" s="2" customFormat="1" ht="12" customHeight="1" thickBot="1" x14ac:dyDescent="0.3">
      <c r="A31" s="34"/>
      <c r="B31" s="35"/>
      <c r="C31" s="35"/>
      <c r="D31" s="316"/>
      <c r="E31" s="317"/>
      <c r="F31" s="35"/>
      <c r="G31" s="35"/>
      <c r="H31" s="309"/>
      <c r="I31" s="310"/>
      <c r="J31" s="36"/>
      <c r="K31" s="36"/>
      <c r="L31" s="36"/>
      <c r="M31" s="37"/>
      <c r="N31" s="132"/>
      <c r="O31" s="38"/>
      <c r="P31" s="99" t="s">
        <v>43</v>
      </c>
      <c r="Q31" s="104">
        <f>SUM(Q5:Q30)</f>
        <v>1152.8500000000001</v>
      </c>
    </row>
    <row r="32" spans="1:17" s="2" customFormat="1" ht="12" customHeight="1" x14ac:dyDescent="0.2">
      <c r="D32" s="21"/>
      <c r="E32" s="21"/>
      <c r="J32" s="8"/>
      <c r="K32" s="8"/>
      <c r="L32" s="8"/>
      <c r="M32" s="8"/>
      <c r="N32" s="131"/>
      <c r="O32" s="5"/>
      <c r="P32" s="98"/>
      <c r="Q32" s="105"/>
    </row>
  </sheetData>
  <mergeCells count="44">
    <mergeCell ref="D31:E31"/>
    <mergeCell ref="H31:I31"/>
    <mergeCell ref="D17:E17"/>
    <mergeCell ref="H17:I17"/>
    <mergeCell ref="D28:E28"/>
    <mergeCell ref="D29:E29"/>
    <mergeCell ref="D30:E30"/>
    <mergeCell ref="D27:E27"/>
    <mergeCell ref="H27:I27"/>
    <mergeCell ref="D18:E18"/>
    <mergeCell ref="H18:I18"/>
    <mergeCell ref="D19:E19"/>
    <mergeCell ref="H19:I19"/>
    <mergeCell ref="D21:E21"/>
    <mergeCell ref="H21:I21"/>
    <mergeCell ref="D20:E20"/>
    <mergeCell ref="D5:E5"/>
    <mergeCell ref="H5:I5"/>
    <mergeCell ref="D1:E1"/>
    <mergeCell ref="D4:E4"/>
    <mergeCell ref="H4:I4"/>
    <mergeCell ref="D11:E11"/>
    <mergeCell ref="H11:I11"/>
    <mergeCell ref="D9:E9"/>
    <mergeCell ref="H9:I9"/>
    <mergeCell ref="D10:E10"/>
    <mergeCell ref="H10:I10"/>
    <mergeCell ref="D6:E6"/>
    <mergeCell ref="H6:I6"/>
    <mergeCell ref="D7:E7"/>
    <mergeCell ref="H7:I7"/>
    <mergeCell ref="D8:E8"/>
    <mergeCell ref="H8:I8"/>
    <mergeCell ref="D12:E12"/>
    <mergeCell ref="H12:I12"/>
    <mergeCell ref="H20:I20"/>
    <mergeCell ref="D15:E15"/>
    <mergeCell ref="H15:I15"/>
    <mergeCell ref="D16:E16"/>
    <mergeCell ref="H16:I16"/>
    <mergeCell ref="D13:E13"/>
    <mergeCell ref="H13:I13"/>
    <mergeCell ref="D14:E14"/>
    <mergeCell ref="H14:I14"/>
  </mergeCells>
  <conditionalFormatting sqref="M8 M13 M21:M30">
    <cfRule type="cellIs" dxfId="1644" priority="17" stopIfTrue="1" operator="lessThanOrEqual">
      <formula>$L8</formula>
    </cfRule>
    <cfRule type="cellIs" dxfId="1643" priority="18" operator="greaterThan">
      <formula>L8</formula>
    </cfRule>
  </conditionalFormatting>
  <conditionalFormatting sqref="M14">
    <cfRule type="cellIs" dxfId="1642" priority="13" stopIfTrue="1" operator="lessThanOrEqual">
      <formula>$L14</formula>
    </cfRule>
    <cfRule type="cellIs" dxfId="1641" priority="14" operator="greaterThan">
      <formula>L14</formula>
    </cfRule>
  </conditionalFormatting>
  <conditionalFormatting sqref="M15">
    <cfRule type="cellIs" dxfId="1640" priority="11" stopIfTrue="1" operator="lessThanOrEqual">
      <formula>$L15</formula>
    </cfRule>
    <cfRule type="cellIs" dxfId="1639" priority="12" operator="greaterThan">
      <formula>L15</formula>
    </cfRule>
  </conditionalFormatting>
  <conditionalFormatting sqref="M16">
    <cfRule type="cellIs" dxfId="1638" priority="9" stopIfTrue="1" operator="lessThanOrEqual">
      <formula>$L16</formula>
    </cfRule>
    <cfRule type="cellIs" dxfId="1637" priority="10" operator="greaterThan">
      <formula>L16</formula>
    </cfRule>
  </conditionalFormatting>
  <conditionalFormatting sqref="M17">
    <cfRule type="cellIs" dxfId="1636" priority="7" stopIfTrue="1" operator="lessThanOrEqual">
      <formula>$L17</formula>
    </cfRule>
    <cfRule type="cellIs" dxfId="1635" priority="8" operator="greaterThan">
      <formula>L17</formula>
    </cfRule>
  </conditionalFormatting>
  <conditionalFormatting sqref="M18">
    <cfRule type="cellIs" dxfId="1634" priority="5" stopIfTrue="1" operator="lessThanOrEqual">
      <formula>$L18</formula>
    </cfRule>
    <cfRule type="cellIs" dxfId="1633" priority="6" operator="greaterThan">
      <formula>L18</formula>
    </cfRule>
  </conditionalFormatting>
  <conditionalFormatting sqref="M19">
    <cfRule type="cellIs" dxfId="1632" priority="3" stopIfTrue="1" operator="lessThanOrEqual">
      <formula>$L19</formula>
    </cfRule>
    <cfRule type="cellIs" dxfId="1631" priority="4" operator="greaterThan">
      <formula>L19</formula>
    </cfRule>
  </conditionalFormatting>
  <conditionalFormatting sqref="M20">
    <cfRule type="cellIs" dxfId="1630" priority="1" stopIfTrue="1" operator="lessThanOrEqual">
      <formula>$L20</formula>
    </cfRule>
    <cfRule type="cellIs" dxfId="1629" priority="2" operator="greaterThan">
      <formula>L20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875E763-5EEB-4259-80BD-9BD375E3E94E}">
          <x14:formula1>
            <xm:f>Extrusion!$B:$B</xm:f>
          </x14:formula1>
          <xm:sqref>C28:C30</xm:sqref>
        </x14:dataValidation>
        <x14:dataValidation type="list" allowBlank="1" showInputMessage="1" showErrorMessage="1" xr:uid="{985DDAA7-272E-4D26-9044-54CD04A71B44}">
          <x14:formula1>
            <xm:f>Bolts!$A:$A</xm:f>
          </x14:formula1>
          <xm:sqref>C22:C26</xm:sqref>
        </x14:dataValidation>
        <x14:dataValidation type="list" allowBlank="1" showInputMessage="1" showErrorMessage="1" xr:uid="{C5979706-D6C0-4469-B400-39BFA8114C0B}">
          <x14:formula1>
            <xm:f>Assemblies!$E:$E</xm:f>
          </x14:formula1>
          <xm:sqref>C5:C7</xm:sqref>
        </x14:dataValidation>
        <x14:dataValidation type="list" allowBlank="1" showInputMessage="1" showErrorMessage="1" xr:uid="{FFF80170-6CD0-4CBA-8B17-14EB2947BC46}">
          <x14:formula1>
            <xm:f>Machined!$C:$C</xm:f>
          </x14:formula1>
          <xm:sqref>C9:C12</xm:sqref>
        </x14:dataValidation>
        <x14:dataValidation type="list" allowBlank="1" showInputMessage="1" showErrorMessage="1" xr:uid="{A78E0DFB-ED36-4CD3-A457-D01771CEDF82}">
          <x14:formula1>
            <xm:f>Purchased!$A:$A</xm:f>
          </x14:formula1>
          <xm:sqref>C14:C20</xm:sqref>
        </x14:dataValidation>
      </x14:dataValidation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E73A-6CD7-44CC-AB8C-10D78E10E3D5}">
  <sheetPr codeName="Sheet85">
    <tabColor theme="6" tint="0.59999389629810485"/>
  </sheetPr>
  <dimension ref="A1:Q32"/>
  <sheetViews>
    <sheetView zoomScale="115" zoomScaleNormal="115" workbookViewId="0">
      <selection activeCell="F19" sqref="F19:Q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'3.2'!C11</f>
        <v>PG10.3.2.6.0.A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'3.2'!D11</f>
        <v>Door 8</v>
      </c>
      <c r="D3" s="85" t="s">
        <v>50</v>
      </c>
      <c r="E3" s="86" t="str">
        <f ca="1">MID(CELL("filename",A1),FIND("]",CELL("filename",A1))+1,256)</f>
        <v>3.2.6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50" t="s">
        <v>54</v>
      </c>
      <c r="B5" s="1">
        <v>4</v>
      </c>
      <c r="C5" s="145" t="s">
        <v>338</v>
      </c>
      <c r="D5" s="314" t="str">
        <f ca="1">VLOOKUP(C5,Assemblies!E:P,2,0)</f>
        <v>Elesa Door Handle Assembly</v>
      </c>
      <c r="E5" s="347"/>
      <c r="F5" s="32"/>
      <c r="G5" s="32"/>
      <c r="H5" s="303"/>
      <c r="I5" s="303"/>
      <c r="J5" s="28"/>
      <c r="K5" s="28"/>
      <c r="L5" s="28"/>
      <c r="M5" s="28"/>
      <c r="N5" s="33"/>
      <c r="O5" s="146">
        <f ca="1">B5*$L$2</f>
        <v>4</v>
      </c>
      <c r="P5" s="147">
        <f>'1.4.2'!Q8</f>
        <v>0</v>
      </c>
      <c r="Q5" s="153">
        <f>B5*P5</f>
        <v>0</v>
      </c>
    </row>
    <row r="6" spans="1:17" s="1" customFormat="1" ht="12" customHeight="1" x14ac:dyDescent="0.2">
      <c r="A6" s="150" t="s">
        <v>56</v>
      </c>
      <c r="B6" s="1">
        <v>4</v>
      </c>
      <c r="C6" s="145" t="s">
        <v>400</v>
      </c>
      <c r="D6" s="314" t="str">
        <f ca="1">VLOOKUP(C6,Assemblies!E:P,2,0)</f>
        <v>Guard Pivot Assy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4</v>
      </c>
      <c r="P6" s="147">
        <f>'1.4.2'!Q8</f>
        <v>0</v>
      </c>
      <c r="Q6" s="153">
        <f>B6*P6</f>
        <v>0</v>
      </c>
    </row>
    <row r="7" spans="1:17" s="1" customFormat="1" ht="12" customHeight="1" x14ac:dyDescent="0.2">
      <c r="A7" s="150" t="s">
        <v>58</v>
      </c>
      <c r="B7" s="1">
        <v>4</v>
      </c>
      <c r="C7" s="145" t="s">
        <v>401</v>
      </c>
      <c r="D7" s="314" t="str">
        <f ca="1">VLOOKUP(C7,Assemblies!E:P,2,0)</f>
        <v>Door Support Assem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4</v>
      </c>
      <c r="P7" s="147">
        <f>'1.4.2'!Q9</f>
        <v>11.93</v>
      </c>
      <c r="Q7" s="153">
        <f>B7*P7</f>
        <v>47.72</v>
      </c>
    </row>
    <row r="8" spans="1:17" s="2" customFormat="1" ht="12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77">
        <v>1</v>
      </c>
      <c r="B9" s="20">
        <v>2</v>
      </c>
      <c r="C9" s="121" t="s">
        <v>485</v>
      </c>
      <c r="D9" s="314" t="str">
        <f>VLOOKUP(C9,Machined!C:X,2,0)</f>
        <v>Clear PolyPanel Long Door 8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ca="1">B9*$L$2</f>
        <v>2</v>
      </c>
      <c r="P9" s="49">
        <f>VLOOKUP(C9,Machined!C:F,3,0)</f>
        <v>50</v>
      </c>
      <c r="Q9" s="50">
        <f>B9*P9</f>
        <v>100</v>
      </c>
    </row>
    <row r="10" spans="1:17" s="2" customFormat="1" ht="12" customHeight="1" x14ac:dyDescent="0.25">
      <c r="A10" s="77">
        <v>2</v>
      </c>
      <c r="B10" s="20">
        <v>2</v>
      </c>
      <c r="C10" s="121" t="s">
        <v>486</v>
      </c>
      <c r="D10" s="314" t="str">
        <f>VLOOKUP(C10,Machined!C:X,2,0)</f>
        <v>Clear PolyPanel Short Door 8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ca="1">B10*$L$2</f>
        <v>2</v>
      </c>
      <c r="P10" s="49">
        <f>VLOOKUP(C10,Machined!C:F,3,0)</f>
        <v>50</v>
      </c>
      <c r="Q10" s="50">
        <f>B10*P10</f>
        <v>100</v>
      </c>
    </row>
    <row r="11" spans="1:17" s="2" customFormat="1" ht="12" customHeight="1" x14ac:dyDescent="0.25">
      <c r="A11" s="77">
        <v>3</v>
      </c>
      <c r="B11" s="20">
        <v>1</v>
      </c>
      <c r="C11" s="121" t="s">
        <v>480</v>
      </c>
      <c r="D11" s="314" t="str">
        <f>VLOOKUP(C11,Machined!C:X,2,0)</f>
        <v>Closet Door Mag Mount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Craig Miller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45503</v>
      </c>
      <c r="K11" s="44">
        <f>IF(VLOOKUP($C11,Machined!C:Z,19,0) = 0, " ", VLOOKUP($C11,Machined!C:Z,19,0))</f>
        <v>45509</v>
      </c>
      <c r="L11" s="44">
        <f>IF(VLOOKUP($C11,Machined!C:Z,20,0) = 0, " ", VLOOKUP($C11,Machined!C:Z,20,0))</f>
        <v>45540</v>
      </c>
      <c r="M11" s="44">
        <f>IF(VLOOKUP($C11,Machined!C:Z,21,0) = 0, " ", VLOOKUP($C11,Machined!C:Z,21,0))</f>
        <v>45540</v>
      </c>
      <c r="N11" s="129">
        <f>IF(VLOOKUP($C11,Machined!C:Z,22,0) = 0, " ", VLOOKUP($C11,Machined!C:Z,22,0))</f>
        <v>55656</v>
      </c>
      <c r="O11" s="45">
        <f ca="1">B11*$L$2</f>
        <v>1</v>
      </c>
      <c r="P11" s="49">
        <f>VLOOKUP(C11,Machined!C:F,3,0)</f>
        <v>52.5</v>
      </c>
      <c r="Q11" s="50">
        <f>B11*P11</f>
        <v>52.5</v>
      </c>
    </row>
    <row r="12" spans="1:17" s="2" customFormat="1" ht="12" customHeight="1" x14ac:dyDescent="0.25">
      <c r="A12" s="77">
        <v>4</v>
      </c>
      <c r="B12" s="20">
        <v>1</v>
      </c>
      <c r="C12" s="121" t="s">
        <v>481</v>
      </c>
      <c r="D12" s="314" t="str">
        <f>VLOOKUP(C12,Machined!C:X,2,0)</f>
        <v>Closet Door Mag Other Mount</v>
      </c>
      <c r="E12" s="329"/>
      <c r="F12" s="107" t="str">
        <f>VLOOKUP($C12,Machined!C:Z,13,0)</f>
        <v>6061-T6 ALUMINUM</v>
      </c>
      <c r="G12" s="44" t="str">
        <f>IF(VLOOKUP($C12,Machined!C:Z,16,0) = 0, " ", VLOOKUP($C12,Machined!C:Z,16,0))</f>
        <v>Craig Miller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6061-T6 ALUMINUM</v>
      </c>
      <c r="J12" s="44">
        <f>IF(VLOOKUP($C12,Machined!C:Z,18,0) = 0, " ", VLOOKUP($C12,Machined!C:Z,18,0))</f>
        <v>45503</v>
      </c>
      <c r="K12" s="44">
        <f>IF(VLOOKUP($C12,Machined!C:Z,19,0) = 0, " ", VLOOKUP($C12,Machined!C:Z,19,0))</f>
        <v>45509</v>
      </c>
      <c r="L12" s="44">
        <f>IF(VLOOKUP($C12,Machined!C:Z,20,0) = 0, " ", VLOOKUP($C12,Machined!C:Z,20,0))</f>
        <v>45540</v>
      </c>
      <c r="M12" s="44">
        <f>IF(VLOOKUP($C12,Machined!C:Z,21,0) = 0, " ", VLOOKUP($C12,Machined!C:Z,21,0))</f>
        <v>45540</v>
      </c>
      <c r="N12" s="129">
        <f>IF(VLOOKUP($C12,Machined!C:Z,22,0) = 0, " ", VLOOKUP($C12,Machined!C:Z,22,0))</f>
        <v>55656</v>
      </c>
      <c r="O12" s="45">
        <f ca="1">B12*$L$2</f>
        <v>1</v>
      </c>
      <c r="P12" s="49">
        <f>VLOOKUP(C12,Machined!C:F,3,0)</f>
        <v>99</v>
      </c>
      <c r="Q12" s="50">
        <f>B12*P12</f>
        <v>99</v>
      </c>
    </row>
    <row r="13" spans="1:17" s="2" customFormat="1" ht="12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" customHeight="1" x14ac:dyDescent="0.25">
      <c r="A14" s="4">
        <v>301</v>
      </c>
      <c r="B14" s="2">
        <v>1</v>
      </c>
      <c r="C14" s="135" t="s">
        <v>346</v>
      </c>
      <c r="D14" s="325" t="str">
        <f>VLOOKUP(C14,Purchased!A:B,2,0)</f>
        <v>Keyence Safety interlock</v>
      </c>
      <c r="E14" s="326"/>
      <c r="F14" s="108" t="str">
        <f>IF(VLOOKUP($C14,Purchased!A:Z,11,0) = 0, " ", VLOOKUP($C14,Purchased!A:Z,11,0))</f>
        <v>KEYENCE</v>
      </c>
      <c r="G14" s="108" t="str">
        <f>IF(VLOOKUP($C14,Purchased!A:Z,12,0)=0, " ", VLOOKUP($C14,Purchased!A:Z,12,0))</f>
        <v>KEYENCE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45516</v>
      </c>
      <c r="K14" s="46">
        <f>IF(VLOOKUP(C14,Purchased!A:R,14,0)=0, " ", VLOOKUP(C14,Purchased!A:R,14,0))</f>
        <v>45516</v>
      </c>
      <c r="L14" s="46">
        <f>IF(VLOOKUP(C14,Purchased!A:R,15,0)=0, " ", VLOOKUP(C14,Purchased!A:R,15,0))</f>
        <v>45518</v>
      </c>
      <c r="M14" s="46">
        <f>IF(VLOOKUP(C14,Purchased!A:R,16,0)=0, " ",VLOOKUP(C14,Purchased!A:R,16,0))</f>
        <v>45526</v>
      </c>
      <c r="N14" s="130">
        <f>IF(VLOOKUP(C14,Purchased!A:R,17,0)=0, " ", VLOOKUP(C14,Purchased!A:R,17,0))</f>
        <v>45526</v>
      </c>
      <c r="O14" s="47">
        <f t="shared" ref="O14:O19" ca="1" si="0">B14*$L$2</f>
        <v>1</v>
      </c>
      <c r="P14" s="51">
        <f>VLOOKUP(C14,Purchased!A:D,3,FALSE)</f>
        <v>320</v>
      </c>
      <c r="Q14" s="52">
        <f t="shared" ref="Q14:Q18" si="1">B14*P14</f>
        <v>320</v>
      </c>
    </row>
    <row r="15" spans="1:17" s="2" customFormat="1" ht="12" customHeight="1" x14ac:dyDescent="0.25">
      <c r="A15" s="4">
        <v>302</v>
      </c>
      <c r="B15" s="2">
        <v>2</v>
      </c>
      <c r="C15" s="135" t="s">
        <v>172</v>
      </c>
      <c r="D15" s="325" t="str">
        <f>VLOOKUP(C15,Purchased!A:B,2,0)</f>
        <v>BRX GOTO T-NUT 10 M6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45463</v>
      </c>
      <c r="M15" s="46">
        <f>IF(VLOOKUP(C15,Purchased!A:R,16,0)=0, " ",VLOOKUP(C15,Purchased!A:R,16,0))</f>
        <v>45481</v>
      </c>
      <c r="N15" s="130">
        <f>IF(VLOOKUP(C15,Purchased!A:R,17,0)=0, " ", VLOOKUP(C15,Purchased!A:R,17,0))</f>
        <v>45481</v>
      </c>
      <c r="O15" s="47">
        <f t="shared" ca="1" si="0"/>
        <v>2</v>
      </c>
      <c r="P15" s="51">
        <f>VLOOKUP(C15,Purchased!A:D,3,FALSE)</f>
        <v>0.56000000000000005</v>
      </c>
      <c r="Q15" s="52">
        <f t="shared" si="1"/>
        <v>1.1200000000000001</v>
      </c>
    </row>
    <row r="16" spans="1:17" s="2" customFormat="1" ht="12" customHeight="1" x14ac:dyDescent="0.25">
      <c r="A16" s="4">
        <v>303</v>
      </c>
      <c r="B16" s="2">
        <v>2</v>
      </c>
      <c r="C16" s="135" t="s">
        <v>104</v>
      </c>
      <c r="D16" s="325" t="str">
        <f>VLOOKUP(C16,Purchased!A:B,2,0)</f>
        <v>BRX GOTO T-NUT 10 M8</v>
      </c>
      <c r="E16" s="326"/>
      <c r="F16" s="108" t="str">
        <f>IF(VLOOKUP($C16,Purchased!A:Z,11,0) = 0, " ", VLOOKUP($C16,Purchased!A:Z,11,0))</f>
        <v>BRX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400 additional quantity added to 55710</v>
      </c>
      <c r="I16" s="328"/>
      <c r="J16" s="46">
        <f>IF(VLOOKUP($C16,Purchased!A:Z,14,0)=0, " ", VLOOKUP($C16,Purchased!A:Z,14,0))</f>
        <v>45463</v>
      </c>
      <c r="K16" s="46">
        <f>IF(VLOOKUP(C16,Purchased!A:R,14,0)=0, " ", VLOOKUP(C16,Purchased!A:R,14,0))</f>
        <v>45463</v>
      </c>
      <c r="L16" s="46">
        <f>IF(VLOOKUP(C16,Purchased!A:R,15,0)=0, " ", VLOOKUP(C16,Purchased!A:R,15,0))</f>
        <v>45463</v>
      </c>
      <c r="M16" s="46">
        <f>IF(VLOOKUP(C16,Purchased!A:R,16,0)=0, " ",VLOOKUP(C16,Purchased!A:R,16,0))</f>
        <v>45481</v>
      </c>
      <c r="N16" s="130">
        <f>IF(VLOOKUP(C16,Purchased!A:R,17,0)=0, " ", VLOOKUP(C16,Purchased!A:R,17,0))</f>
        <v>45481</v>
      </c>
      <c r="O16" s="47">
        <f t="shared" ca="1" si="0"/>
        <v>2</v>
      </c>
      <c r="P16" s="51">
        <f>VLOOKUP(C16,Purchased!A:D,3,FALSE)</f>
        <v>0.56000000000000005</v>
      </c>
      <c r="Q16" s="52">
        <f t="shared" si="1"/>
        <v>1.1200000000000001</v>
      </c>
    </row>
    <row r="17" spans="1:17" s="2" customFormat="1" ht="12" customHeight="1" x14ac:dyDescent="0.25">
      <c r="A17" s="4">
        <v>304</v>
      </c>
      <c r="B17" s="2">
        <v>16</v>
      </c>
      <c r="C17" s="135" t="s">
        <v>149</v>
      </c>
      <c r="D17" s="325" t="str">
        <f>VLOOKUP(C17,Purchased!A:B,2,0)</f>
        <v>BRX GOTO QUICK CONNECTOR N10 0°</v>
      </c>
      <c r="E17" s="326"/>
      <c r="F17" s="108" t="str">
        <f>IF(VLOOKUP($C17,Purchased!A:Z,11,0) = 0, " ", VLOOKUP($C17,Purchased!A:Z,11,0))</f>
        <v>T-SLOTS</v>
      </c>
      <c r="G17" s="108" t="str">
        <f>IF(VLOOKUP($C17,Purchased!A:Z,12,0)=0, " ", VLOOKUP($C17,Purchased!A:Z,12,0))</f>
        <v>Process Tech</v>
      </c>
      <c r="H17" s="327" t="str">
        <f>IF(VLOOKUP($C17,Purchased!A:Z,13,0)=0, " ", VLOOKUP($C17,Purchased!A:Z,13,0))</f>
        <v>500 More on P.O. #55639 Part# 659730</v>
      </c>
      <c r="I17" s="328"/>
      <c r="J17" s="46" t="str">
        <f>IF(VLOOKUP($C17,Purchased!A:Z,14,0)=0, " ", VLOOKUP($C17,Purchased!A:Z,14,0))</f>
        <v>N/A</v>
      </c>
      <c r="K17" s="46" t="str">
        <f>IF(VLOOKUP(C17,Purchased!A:R,14,0)=0, " ", VLOOKUP(C17,Purchased!A:R,14,0))</f>
        <v>N/A</v>
      </c>
      <c r="L17" s="46">
        <f>IF(VLOOKUP(C17,Purchased!A:R,15,0)=0, " ", VLOOKUP(C17,Purchased!A:R,15,0))</f>
        <v>45362</v>
      </c>
      <c r="M17" s="46">
        <f>IF(VLOOKUP(C17,Purchased!A:R,16,0)=0, " ",VLOOKUP(C17,Purchased!A:R,16,0))</f>
        <v>45378</v>
      </c>
      <c r="N17" s="130">
        <f>IF(VLOOKUP(C17,Purchased!A:R,17,0)=0, " ", VLOOKUP(C17,Purchased!A:R,17,0))</f>
        <v>45378</v>
      </c>
      <c r="O17" s="47">
        <f t="shared" ca="1" si="0"/>
        <v>16</v>
      </c>
      <c r="P17" s="51">
        <f>VLOOKUP(C17,Purchased!A:D,3,FALSE)</f>
        <v>4.17</v>
      </c>
      <c r="Q17" s="52">
        <f t="shared" si="1"/>
        <v>66.72</v>
      </c>
    </row>
    <row r="18" spans="1:17" s="2" customFormat="1" ht="12" customHeight="1" x14ac:dyDescent="0.25">
      <c r="A18" s="4">
        <v>305</v>
      </c>
      <c r="B18" s="2">
        <v>12</v>
      </c>
      <c r="C18" s="135" t="s">
        <v>341</v>
      </c>
      <c r="D18" s="325" t="str">
        <f>VLOOKUP(C18,Purchased!A:B,2,0)</f>
        <v>BRX GOTO HINGE AL 45/45, 2PK</v>
      </c>
      <c r="E18" s="326"/>
      <c r="F18" s="108" t="str">
        <f>IF(VLOOKUP($C18,Purchased!A:Z,11,0) = 0, " ", VLOOKUP($C18,Purchased!A:Z,11,0))</f>
        <v>BRX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>Nuline has 40X Quantity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>
        <f>IF(VLOOKUP(C18,Purchased!A:R,15,0)=0, " ", VLOOKUP(C18,Purchased!A:R,15,0))</f>
        <v>45532</v>
      </c>
      <c r="M18" s="46">
        <f>IF(VLOOKUP(C18,Purchased!A:R,16,0)=0, " ",VLOOKUP(C18,Purchased!A:R,16,0))</f>
        <v>45561</v>
      </c>
      <c r="N18" s="130" t="str">
        <f>IF(VLOOKUP(C18,Purchased!A:R,17,0)=0, " ", VLOOKUP(C18,Purchased!A:R,17,0))</f>
        <v xml:space="preserve"> </v>
      </c>
      <c r="O18" s="47">
        <f t="shared" ca="1" si="0"/>
        <v>12</v>
      </c>
      <c r="P18" s="51">
        <f>VLOOKUP(C18,Purchased!A:D,3,FALSE)</f>
        <v>22.16</v>
      </c>
      <c r="Q18" s="52">
        <f t="shared" si="1"/>
        <v>265.92</v>
      </c>
    </row>
    <row r="19" spans="1:17" s="2" customFormat="1" ht="12" customHeight="1" x14ac:dyDescent="0.25">
      <c r="A19" s="4">
        <v>306</v>
      </c>
      <c r="B19" s="2">
        <v>11500</v>
      </c>
      <c r="C19" s="135">
        <v>3842146906</v>
      </c>
      <c r="D19" s="325" t="str">
        <f>VLOOKUP(C19,Purchased!A:B,2,0)</f>
        <v>SLOT PROFILE SCHWARZ</v>
      </c>
      <c r="E19" s="326"/>
      <c r="F19" s="108" t="str">
        <f>IF(VLOOKUP($C19,Purchased!A:Z,11,0) = 0, " ", VLOOKUP($C19,Purchased!A:Z,11,0))</f>
        <v>BRX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>P/N changed to 3842555270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45532</v>
      </c>
      <c r="M19" s="46">
        <f>IF(VLOOKUP(C19,Purchased!A:R,16,0)=0, " ",VLOOKUP(C19,Purchased!A:R,16,0))</f>
        <v>45561</v>
      </c>
      <c r="N19" s="130" t="str">
        <f>IF(VLOOKUP(C19,Purchased!A:R,17,0)=0, " ", VLOOKUP(C19,Purchased!A:R,17,0))</f>
        <v xml:space="preserve"> </v>
      </c>
      <c r="O19" s="47">
        <f t="shared" ca="1" si="0"/>
        <v>11500</v>
      </c>
      <c r="P19" s="51">
        <f>VLOOKUP(C19,Purchased!A:D,3,FALSE)</f>
        <v>5</v>
      </c>
      <c r="Q19" s="52">
        <f>(B19/2000)*P19</f>
        <v>28.75</v>
      </c>
    </row>
    <row r="20" spans="1:17" s="2" customFormat="1" ht="12" customHeight="1" x14ac:dyDescent="0.25">
      <c r="A20" s="4">
        <v>307</v>
      </c>
      <c r="B20" s="2">
        <v>1</v>
      </c>
      <c r="C20" s="135" t="s">
        <v>347</v>
      </c>
      <c r="D20" s="325" t="str">
        <f>VLOOKUP(C20,Purchased!A:B,2,0)</f>
        <v>Keyence Mag Lock Actuator</v>
      </c>
      <c r="E20" s="326"/>
      <c r="F20" s="108" t="str">
        <f>IF(VLOOKUP($C20,Purchased!A:Z,11,0) = 0, " ", VLOOKUP($C20,Purchased!A:Z,11,0))</f>
        <v>KEYENCE</v>
      </c>
      <c r="G20" s="108" t="str">
        <f>IF(VLOOKUP($C20,Purchased!A:Z,12,0)=0, " ", VLOOKUP($C20,Purchased!A:Z,12,0))</f>
        <v>KEYENCE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45516</v>
      </c>
      <c r="K20" s="46">
        <f>IF(VLOOKUP(C20,Purchased!A:R,14,0)=0, " ", VLOOKUP(C20,Purchased!A:R,14,0))</f>
        <v>45516</v>
      </c>
      <c r="L20" s="46">
        <f>IF(VLOOKUP(C20,Purchased!A:R,15,0)=0, " ", VLOOKUP(C20,Purchased!A:R,15,0))</f>
        <v>45518</v>
      </c>
      <c r="M20" s="46">
        <f>IF(VLOOKUP(C20,Purchased!A:R,16,0)=0, " ",VLOOKUP(C20,Purchased!A:R,16,0))</f>
        <v>45526</v>
      </c>
      <c r="N20" s="130">
        <f>IF(VLOOKUP(C20,Purchased!A:R,17,0)=0, " ", VLOOKUP(C20,Purchased!A:R,17,0))</f>
        <v>45526</v>
      </c>
      <c r="O20" s="47">
        <f ca="1">B20*$L$2</f>
        <v>1</v>
      </c>
      <c r="P20" s="51">
        <f>VLOOKUP(C20,Purchased!A:D,3,FALSE)</f>
        <v>70</v>
      </c>
      <c r="Q20" s="52">
        <f>B20*P20</f>
        <v>70</v>
      </c>
    </row>
    <row r="21" spans="1:17" s="2" customFormat="1" ht="12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" customHeight="1" x14ac:dyDescent="0.25">
      <c r="A22" s="4">
        <v>501</v>
      </c>
      <c r="B22" s="2">
        <v>2</v>
      </c>
      <c r="C22" s="122" t="s">
        <v>350</v>
      </c>
      <c r="D22" s="158"/>
      <c r="E22" s="159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ca="1">B22*$L$2</f>
        <v>2</v>
      </c>
      <c r="P22" s="51">
        <f>VLOOKUP(C22,Bolts!A:B,2,FALSE)</f>
        <v>0</v>
      </c>
      <c r="Q22" s="52">
        <f>B22*P22</f>
        <v>0</v>
      </c>
    </row>
    <row r="23" spans="1:17" s="2" customFormat="1" ht="12" customHeight="1" x14ac:dyDescent="0.25">
      <c r="A23" s="4">
        <v>502</v>
      </c>
      <c r="B23" s="2">
        <v>50</v>
      </c>
      <c r="C23" s="122" t="s">
        <v>277</v>
      </c>
      <c r="D23" s="158"/>
      <c r="E23" s="159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ca="1">B23*$L$2</f>
        <v>50</v>
      </c>
      <c r="P23" s="51">
        <f>VLOOKUP(C23,Bolts!A:B,2,FALSE)</f>
        <v>0</v>
      </c>
      <c r="Q23" s="52">
        <f>B23*P23</f>
        <v>0</v>
      </c>
    </row>
    <row r="24" spans="1:17" s="2" customFormat="1" ht="12" customHeight="1" x14ac:dyDescent="0.25">
      <c r="A24" s="4">
        <v>503</v>
      </c>
      <c r="B24" s="2">
        <v>2</v>
      </c>
      <c r="C24" s="122" t="s">
        <v>351</v>
      </c>
      <c r="D24" s="158"/>
      <c r="E24" s="159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ca="1">B24*$L$2</f>
        <v>2</v>
      </c>
      <c r="P24" s="51">
        <f>VLOOKUP(C24,Bolts!A:B,2,FALSE)</f>
        <v>0</v>
      </c>
      <c r="Q24" s="52">
        <f>B24*P24</f>
        <v>0</v>
      </c>
    </row>
    <row r="25" spans="1:17" s="2" customFormat="1" ht="12" customHeight="1" x14ac:dyDescent="0.25">
      <c r="A25" s="4">
        <v>504</v>
      </c>
      <c r="B25" s="2">
        <v>2</v>
      </c>
      <c r="C25" s="122" t="s">
        <v>349</v>
      </c>
      <c r="D25" s="158"/>
      <c r="E25" s="159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ca="1">B25*$L$2</f>
        <v>2</v>
      </c>
      <c r="P25" s="51">
        <f>VLOOKUP(C25,Bolts!A:B,2,FALSE)</f>
        <v>0</v>
      </c>
      <c r="Q25" s="52">
        <f>B25*P25</f>
        <v>0</v>
      </c>
    </row>
    <row r="26" spans="1:17" s="2" customFormat="1" ht="12" customHeight="1" x14ac:dyDescent="0.25">
      <c r="A26" s="4">
        <v>505</v>
      </c>
      <c r="B26" s="2">
        <v>2</v>
      </c>
      <c r="C26" s="122" t="s">
        <v>348</v>
      </c>
      <c r="D26" s="158"/>
      <c r="E26" s="159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ca="1">B26*$L$2</f>
        <v>2</v>
      </c>
      <c r="P26" s="51">
        <f>VLOOKUP(C26,Bolts!A:B,2,FALSE)</f>
        <v>0</v>
      </c>
      <c r="Q26" s="52">
        <f>B26*P26</f>
        <v>0</v>
      </c>
    </row>
    <row r="27" spans="1:17" s="2" customFormat="1" ht="12" customHeight="1" x14ac:dyDescent="0.25">
      <c r="A27" s="25"/>
      <c r="B27" s="26"/>
      <c r="C27" s="26"/>
      <c r="D27" s="332"/>
      <c r="E27" s="333"/>
      <c r="F27" s="26"/>
      <c r="G27" s="26"/>
      <c r="H27" s="322"/>
      <c r="I27" s="323"/>
      <c r="J27" s="27"/>
      <c r="K27" s="27"/>
      <c r="L27" s="27"/>
      <c r="M27" s="28"/>
      <c r="N27" s="29"/>
      <c r="O27" s="29"/>
      <c r="P27" s="148"/>
      <c r="Q27" s="149"/>
    </row>
    <row r="28" spans="1:17" s="2" customFormat="1" ht="12" customHeight="1" x14ac:dyDescent="0.25">
      <c r="A28" s="4">
        <v>701</v>
      </c>
      <c r="B28" s="2">
        <v>4</v>
      </c>
      <c r="C28" s="123" t="s">
        <v>482</v>
      </c>
      <c r="D28" s="325" t="str">
        <f>VLOOKUP(C28,Extrusion!B:C,2,0)</f>
        <v>APPROVED EL 9/3</v>
      </c>
      <c r="E28" s="326"/>
      <c r="F28" s="108" t="str">
        <f ca="1">VLOOKUP(C28,Extrusion!B:N,5,0)</f>
        <v>YES</v>
      </c>
      <c r="G28" s="108">
        <f>VLOOKUP(C28,Extrusion!B:N,6,0)</f>
        <v>1</v>
      </c>
      <c r="H28" s="108">
        <f>VLOOKUP(C28,Extrusion!B:N,7,0)</f>
        <v>0</v>
      </c>
      <c r="I28" s="109"/>
      <c r="J28" s="46" t="str">
        <f>VLOOKUP(C28,Extrusion!B:N,8,0)</f>
        <v>T-Slots</v>
      </c>
      <c r="K28" s="46">
        <f>VLOOKUP(C28,Extrusion!B:N,9,0)</f>
        <v>0</v>
      </c>
      <c r="L28" s="46">
        <f>VLOOKUP(C28,Extrusion!B:N,10,0)</f>
        <v>0</v>
      </c>
      <c r="M28" s="46">
        <f>VLOOKUP(C28,Extrusion!B:N,11,0)</f>
        <v>0</v>
      </c>
      <c r="N28" s="47">
        <f>VLOOKUP(C28,Extrusion!B:O,12,0)</f>
        <v>0</v>
      </c>
      <c r="O28" s="47">
        <f ca="1">B28*$L$2</f>
        <v>4</v>
      </c>
      <c r="P28" s="51">
        <f>VLOOKUP(C28,Extrusion!B:G,4,0)</f>
        <v>0</v>
      </c>
      <c r="Q28" s="52">
        <f>B28*P28</f>
        <v>0</v>
      </c>
    </row>
    <row r="29" spans="1:17" s="2" customFormat="1" ht="12" customHeight="1" x14ac:dyDescent="0.25">
      <c r="A29" s="4">
        <v>702</v>
      </c>
      <c r="B29" s="2">
        <v>4</v>
      </c>
      <c r="C29" s="123" t="s">
        <v>483</v>
      </c>
      <c r="D29" s="325" t="str">
        <f>VLOOKUP(C29,Extrusion!B:C,2,0)</f>
        <v>APPROVED EL 9/3</v>
      </c>
      <c r="E29" s="326"/>
      <c r="F29" s="108" t="str">
        <f ca="1">VLOOKUP(C29,Extrusion!B:N,5,0)</f>
        <v>YES</v>
      </c>
      <c r="G29" s="108">
        <f>VLOOKUP(C29,Extrusion!B:N,6,0)</f>
        <v>1</v>
      </c>
      <c r="H29" s="108">
        <f>VLOOKUP(C29,Extrusion!B:N,7,0)</f>
        <v>0</v>
      </c>
      <c r="I29" s="109"/>
      <c r="J29" s="46" t="str">
        <f>VLOOKUP(C29,Extrusion!B:N,8,0)</f>
        <v>T-Slots</v>
      </c>
      <c r="K29" s="46">
        <f>VLOOKUP(C29,Extrusion!B:N,9,0)</f>
        <v>0</v>
      </c>
      <c r="L29" s="46">
        <f>VLOOKUP(C29,Extrusion!B:N,10,0)</f>
        <v>0</v>
      </c>
      <c r="M29" s="46">
        <f>VLOOKUP(C29,Extrusion!B:N,11,0)</f>
        <v>0</v>
      </c>
      <c r="N29" s="47">
        <f>VLOOKUP(C29,Extrusion!B:O,12,0)</f>
        <v>0</v>
      </c>
      <c r="O29" s="47">
        <f ca="1">B29*$L$2</f>
        <v>4</v>
      </c>
      <c r="P29" s="51">
        <f>VLOOKUP(C29,Extrusion!B:G,4,0)</f>
        <v>0</v>
      </c>
      <c r="Q29" s="52">
        <f>B29*P29</f>
        <v>0</v>
      </c>
    </row>
    <row r="30" spans="1:17" s="2" customFormat="1" ht="12" customHeight="1" thickBot="1" x14ac:dyDescent="0.3">
      <c r="A30" s="4">
        <v>703</v>
      </c>
      <c r="B30" s="2">
        <v>8</v>
      </c>
      <c r="C30" s="123" t="s">
        <v>484</v>
      </c>
      <c r="D30" s="325" t="str">
        <f>VLOOKUP(C30,Extrusion!B:C,2,0)</f>
        <v>APPROVED EL 9/3</v>
      </c>
      <c r="E30" s="326"/>
      <c r="F30" s="108" t="str">
        <f ca="1">VLOOKUP(C30,Extrusion!B:N,5,0)</f>
        <v>YES</v>
      </c>
      <c r="G30" s="108">
        <f>VLOOKUP(C30,Extrusion!B:N,6,0)</f>
        <v>1</v>
      </c>
      <c r="H30" s="108">
        <f>VLOOKUP(C30,Extrusion!B:N,7,0)</f>
        <v>0</v>
      </c>
      <c r="I30" s="109"/>
      <c r="J30" s="46" t="str">
        <f>VLOOKUP(C30,Extrusion!B:N,8,0)</f>
        <v>T-Slots</v>
      </c>
      <c r="K30" s="46">
        <f>VLOOKUP(C30,Extrusion!B:N,9,0)</f>
        <v>0</v>
      </c>
      <c r="L30" s="46">
        <f>VLOOKUP(C30,Extrusion!B:N,10,0)</f>
        <v>0</v>
      </c>
      <c r="M30" s="46">
        <f>VLOOKUP(C30,Extrusion!B:N,11,0)</f>
        <v>0</v>
      </c>
      <c r="N30" s="47">
        <f>VLOOKUP(C30,Extrusion!B:O,12,0)</f>
        <v>0</v>
      </c>
      <c r="O30" s="47">
        <f ca="1">B30*$L$2</f>
        <v>8</v>
      </c>
      <c r="P30" s="51">
        <f>VLOOKUP(C30,Extrusion!B:G,4,0)</f>
        <v>0</v>
      </c>
      <c r="Q30" s="52">
        <f>B30*P30</f>
        <v>0</v>
      </c>
    </row>
    <row r="31" spans="1:17" s="2" customFormat="1" ht="12" customHeight="1" thickBot="1" x14ac:dyDescent="0.3">
      <c r="A31" s="34"/>
      <c r="B31" s="35"/>
      <c r="C31" s="35"/>
      <c r="D31" s="316"/>
      <c r="E31" s="317"/>
      <c r="F31" s="35"/>
      <c r="G31" s="35"/>
      <c r="H31" s="309"/>
      <c r="I31" s="310"/>
      <c r="J31" s="36"/>
      <c r="K31" s="36"/>
      <c r="L31" s="36"/>
      <c r="M31" s="37"/>
      <c r="N31" s="132"/>
      <c r="O31" s="38"/>
      <c r="P31" s="99" t="s">
        <v>43</v>
      </c>
      <c r="Q31" s="104">
        <f>SUM(Q5:Q30)</f>
        <v>1152.8500000000001</v>
      </c>
    </row>
    <row r="32" spans="1:17" s="2" customFormat="1" ht="12" customHeight="1" x14ac:dyDescent="0.2">
      <c r="D32" s="21"/>
      <c r="E32" s="21"/>
      <c r="J32" s="8"/>
      <c r="K32" s="8"/>
      <c r="L32" s="8"/>
      <c r="M32" s="8"/>
      <c r="N32" s="131"/>
      <c r="O32" s="5"/>
      <c r="P32" s="98"/>
      <c r="Q32" s="105"/>
    </row>
  </sheetData>
  <mergeCells count="44">
    <mergeCell ref="D28:E28"/>
    <mergeCell ref="D29:E29"/>
    <mergeCell ref="D30:E30"/>
    <mergeCell ref="D19:E19"/>
    <mergeCell ref="H19:I19"/>
    <mergeCell ref="D21:E21"/>
    <mergeCell ref="H21:I21"/>
    <mergeCell ref="D27:E27"/>
    <mergeCell ref="H27:I27"/>
    <mergeCell ref="D20:E20"/>
    <mergeCell ref="H20:I20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H8:I8"/>
    <mergeCell ref="D11:E11"/>
    <mergeCell ref="H11:I11"/>
    <mergeCell ref="D12:E12"/>
    <mergeCell ref="H12:I12"/>
    <mergeCell ref="D31:E31"/>
    <mergeCell ref="H31:I31"/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D9:E9"/>
    <mergeCell ref="H9:I9"/>
    <mergeCell ref="D10:E10"/>
    <mergeCell ref="H10:I10"/>
  </mergeCells>
  <conditionalFormatting sqref="M8 M13 M21:M30">
    <cfRule type="cellIs" dxfId="1628" priority="15" stopIfTrue="1" operator="lessThanOrEqual">
      <formula>$L8</formula>
    </cfRule>
    <cfRule type="cellIs" dxfId="1627" priority="16" operator="greaterThan">
      <formula>L8</formula>
    </cfRule>
  </conditionalFormatting>
  <conditionalFormatting sqref="M14">
    <cfRule type="cellIs" dxfId="1626" priority="13" stopIfTrue="1" operator="lessThanOrEqual">
      <formula>$L14</formula>
    </cfRule>
    <cfRule type="cellIs" dxfId="1625" priority="14" operator="greaterThan">
      <formula>L14</formula>
    </cfRule>
  </conditionalFormatting>
  <conditionalFormatting sqref="M15">
    <cfRule type="cellIs" dxfId="1624" priority="11" stopIfTrue="1" operator="lessThanOrEqual">
      <formula>$L15</formula>
    </cfRule>
    <cfRule type="cellIs" dxfId="1623" priority="12" operator="greaterThan">
      <formula>L15</formula>
    </cfRule>
  </conditionalFormatting>
  <conditionalFormatting sqref="M16">
    <cfRule type="cellIs" dxfId="1622" priority="9" stopIfTrue="1" operator="lessThanOrEqual">
      <formula>$L16</formula>
    </cfRule>
    <cfRule type="cellIs" dxfId="1621" priority="10" operator="greaterThan">
      <formula>L16</formula>
    </cfRule>
  </conditionalFormatting>
  <conditionalFormatting sqref="M17">
    <cfRule type="cellIs" dxfId="1620" priority="7" stopIfTrue="1" operator="lessThanOrEqual">
      <formula>$L17</formula>
    </cfRule>
    <cfRule type="cellIs" dxfId="1619" priority="8" operator="greaterThan">
      <formula>L17</formula>
    </cfRule>
  </conditionalFormatting>
  <conditionalFormatting sqref="M18">
    <cfRule type="cellIs" dxfId="1618" priority="5" stopIfTrue="1" operator="lessThanOrEqual">
      <formula>$L18</formula>
    </cfRule>
    <cfRule type="cellIs" dxfId="1617" priority="6" operator="greaterThan">
      <formula>L18</formula>
    </cfRule>
  </conditionalFormatting>
  <conditionalFormatting sqref="M19">
    <cfRule type="cellIs" dxfId="1616" priority="3" stopIfTrue="1" operator="lessThanOrEqual">
      <formula>$L19</formula>
    </cfRule>
    <cfRule type="cellIs" dxfId="1615" priority="4" operator="greaterThan">
      <formula>L19</formula>
    </cfRule>
  </conditionalFormatting>
  <conditionalFormatting sqref="M20">
    <cfRule type="cellIs" dxfId="1614" priority="1" stopIfTrue="1" operator="lessThanOrEqual">
      <formula>$L20</formula>
    </cfRule>
    <cfRule type="cellIs" dxfId="1613" priority="2" operator="greaterThan">
      <formula>L20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DB8478A-6D8B-41AE-A559-2C7E7458B5F2}">
          <x14:formula1>
            <xm:f>Extrusion!$B:$B</xm:f>
          </x14:formula1>
          <xm:sqref>C28:C30</xm:sqref>
        </x14:dataValidation>
        <x14:dataValidation type="list" allowBlank="1" showInputMessage="1" showErrorMessage="1" xr:uid="{EEB8A0E3-C940-4AEE-A5D5-0A1BB3CBD2E5}">
          <x14:formula1>
            <xm:f>Bolts!$A:$A</xm:f>
          </x14:formula1>
          <xm:sqref>C22:C26</xm:sqref>
        </x14:dataValidation>
        <x14:dataValidation type="list" allowBlank="1" showInputMessage="1" showErrorMessage="1" xr:uid="{F81626FB-36F4-4EDC-989E-4289E421135B}">
          <x14:formula1>
            <xm:f>Assemblies!$E:$E</xm:f>
          </x14:formula1>
          <xm:sqref>C5:C7</xm:sqref>
        </x14:dataValidation>
        <x14:dataValidation type="list" allowBlank="1" showInputMessage="1" showErrorMessage="1" xr:uid="{1D1B574D-A3DF-4073-9A3A-3B059D7CB4A9}">
          <x14:formula1>
            <xm:f>Machined!$C:$C</xm:f>
          </x14:formula1>
          <xm:sqref>C9:C12</xm:sqref>
        </x14:dataValidation>
        <x14:dataValidation type="list" allowBlank="1" showInputMessage="1" showErrorMessage="1" xr:uid="{A8CC23F0-26DB-44E6-AC5F-71E0D8EC9B44}">
          <x14:formula1>
            <xm:f>Purchased!$A:$A</xm:f>
          </x14:formula1>
          <xm:sqref>C14:C20</xm:sqref>
        </x14:dataValidation>
      </x14:dataValidation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9C3-B9AF-4A22-83B3-81466D59D906}">
  <sheetPr codeName="Sheet86">
    <tabColor theme="6" tint="0.59999389629810485"/>
  </sheetPr>
  <dimension ref="A1:Q23"/>
  <sheetViews>
    <sheetView zoomScale="115" zoomScaleNormal="115" workbookViewId="0">
      <selection activeCell="E26" sqref="E2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'3.2'!C12</f>
        <v>PG10.3.2.7.0.A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'3.2'!D12</f>
        <v>Door 9</v>
      </c>
      <c r="D3" s="85" t="s">
        <v>50</v>
      </c>
      <c r="E3" s="86" t="str">
        <f ca="1">MID(CELL("filename",A1),FIND("]",CELL("filename",A1))+1,256)</f>
        <v>3.2.7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'1.4.1'!Q15</f>
        <v>0</v>
      </c>
      <c r="Q5" s="118">
        <f>B5*P5</f>
        <v>0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'1.4.2'!Q8</f>
        <v>0</v>
      </c>
      <c r="Q6" s="153">
        <f>B6*P6</f>
        <v>0</v>
      </c>
    </row>
    <row r="7" spans="1:17" s="1" customFormat="1" ht="12" customHeight="1" x14ac:dyDescent="0.2">
      <c r="A7" s="150" t="s">
        <v>58</v>
      </c>
      <c r="B7" s="1">
        <v>2</v>
      </c>
      <c r="C7" s="145" t="s">
        <v>400</v>
      </c>
      <c r="D7" s="314" t="str">
        <f ca="1">VLOOKUP(C7,Assemblies!E:P,2,0)</f>
        <v>Guard Pivot Assy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'1.4.2'!Q8</f>
        <v>0</v>
      </c>
      <c r="Q7" s="153">
        <f>B7*P7</f>
        <v>0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401</v>
      </c>
      <c r="D8" s="314" t="str">
        <f ca="1">VLOOKUP(C8,Assemblies!E:P,2,0)</f>
        <v>Door Support Assem</v>
      </c>
      <c r="E8" s="347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2</v>
      </c>
      <c r="P8" s="147">
        <f>'1.4.2'!Q9</f>
        <v>11.93</v>
      </c>
      <c r="Q8" s="153">
        <f>B8*P8</f>
        <v>23.86</v>
      </c>
    </row>
    <row r="9" spans="1:17" s="2" customFormat="1" ht="12.75" customHeight="1" x14ac:dyDescent="0.2">
      <c r="A9" s="25"/>
      <c r="B9" s="26"/>
      <c r="C9" s="26"/>
      <c r="D9" s="332"/>
      <c r="E9" s="346"/>
      <c r="F9" s="26"/>
      <c r="G9" s="26"/>
      <c r="H9" s="322"/>
      <c r="I9" s="322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487</v>
      </c>
      <c r="D10" s="314" t="str">
        <f>VLOOKUP(C10,Machined!C:X,2,0)</f>
        <v>Clear PolyPanel Long Door 9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ca="1">B10*$L$2</f>
        <v>1</v>
      </c>
      <c r="P10" s="49">
        <f>VLOOKUP(C10,Machined!C:F,3,0)</f>
        <v>45</v>
      </c>
      <c r="Q10" s="50">
        <f>B10*P10</f>
        <v>45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488</v>
      </c>
      <c r="D11" s="314" t="str">
        <f>VLOOKUP(C11,Machined!C:X,2,0)</f>
        <v>Clear PolyPanel Short Door 9</v>
      </c>
      <c r="E11" s="329"/>
      <c r="F11" s="107" t="str">
        <f>VLOOKUP($C11,Machined!C:Z,13,0)</f>
        <v>POLYCARBONITE-CLEAR</v>
      </c>
      <c r="G11" s="44" t="str">
        <f>IF(VLOOKUP($C11,Machined!C:Z,16,0) = 0, " ", VLOOKUP($C11,Machined!C:Z,16,0))</f>
        <v>Port Plastics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POLYCARBONITE-CLEAR</v>
      </c>
      <c r="J11" s="44" t="str">
        <f>IF(VLOOKUP($C11,Machined!C:Z,18,0) = 0, " ", VLOOKUP($C11,Machined!C:Z,18,0))</f>
        <v>(TJ) 8/8/2024</v>
      </c>
      <c r="K11" s="44">
        <f>IF(VLOOKUP($C11,Machined!C:Z,19,0) = 0, " ", VLOOKUP($C11,Machined!C:Z,19,0))</f>
        <v>45530</v>
      </c>
      <c r="L11" s="44">
        <f>IF(VLOOKUP($C11,Machined!C:Z,20,0) = 0, " ", VLOOKUP($C11,Machined!C:Z,20,0))</f>
        <v>45561</v>
      </c>
      <c r="M11" s="44" t="str">
        <f>IF(VLOOKUP($C11,Machined!C:Z,21,0) = 0, " ", VLOOKUP($C11,Machined!C:Z,21,0))</f>
        <v xml:space="preserve"> </v>
      </c>
      <c r="N11" s="129">
        <f>IF(VLOOKUP($C11,Machined!C:Z,22,0) = 0, " ", VLOOKUP($C11,Machined!C:Z,22,0))</f>
        <v>55708</v>
      </c>
      <c r="O11" s="45">
        <f ca="1">B11*$L$2</f>
        <v>1</v>
      </c>
      <c r="P11" s="49">
        <f>VLOOKUP(C11,Machined!C:F,3,0)</f>
        <v>40</v>
      </c>
      <c r="Q11" s="50">
        <f>B11*P11</f>
        <v>40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301</v>
      </c>
      <c r="B13" s="2">
        <v>8</v>
      </c>
      <c r="C13" s="135" t="s">
        <v>149</v>
      </c>
      <c r="D13" s="325" t="str">
        <f>VLOOKUP(C13,Purchased!A:B,2,0)</f>
        <v>BRX GOTO QUICK CONNECTOR N10 0°</v>
      </c>
      <c r="E13" s="326"/>
      <c r="F13" s="108" t="str">
        <f>IF(VLOOKUP($C13,Purchased!A:Z,11,0) = 0, " ", VLOOKUP($C13,Purchased!A:Z,11,0))</f>
        <v>T-SLOTS</v>
      </c>
      <c r="G13" s="108" t="str">
        <f>IF(VLOOKUP($C13,Purchased!A:Z,12,0)=0, " ", VLOOKUP($C13,Purchased!A:Z,12,0))</f>
        <v>Process Tech</v>
      </c>
      <c r="H13" s="327" t="str">
        <f>IF(VLOOKUP($C13,Purchased!A:Z,13,0)=0, " ", VLOOKUP($C13,Purchased!A:Z,13,0))</f>
        <v>500 More on P.O. #55639 Part# 659730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45362</v>
      </c>
      <c r="M13" s="46">
        <f>IF(VLOOKUP(C13,Purchased!A:R,16,0)=0, " ",VLOOKUP(C13,Purchased!A:R,16,0))</f>
        <v>45378</v>
      </c>
      <c r="N13" s="130">
        <f>IF(VLOOKUP(C13,Purchased!A:R,17,0)=0, " ", VLOOKUP(C13,Purchased!A:R,17,0))</f>
        <v>45378</v>
      </c>
      <c r="O13" s="47">
        <f t="shared" ref="O13:O15" ca="1" si="0">B13*$L$2</f>
        <v>8</v>
      </c>
      <c r="P13" s="51">
        <f>VLOOKUP(C13,Purchased!A:D,3,FALSE)</f>
        <v>4.17</v>
      </c>
      <c r="Q13" s="52">
        <f t="shared" ref="Q13:Q14" si="1">B13*P13</f>
        <v>33.36</v>
      </c>
    </row>
    <row r="14" spans="1:17" s="2" customFormat="1" ht="12.75" customHeight="1" x14ac:dyDescent="0.25">
      <c r="A14" s="4">
        <v>302</v>
      </c>
      <c r="B14" s="2">
        <v>6</v>
      </c>
      <c r="C14" s="135" t="s">
        <v>341</v>
      </c>
      <c r="D14" s="325" t="str">
        <f>VLOOKUP(C14,Purchased!A:B,2,0)</f>
        <v>BRX GOTO HINGE AL 45/45, 2PK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Nuline has 40X Quantity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t="shared" ca="1" si="0"/>
        <v>6</v>
      </c>
      <c r="P14" s="51">
        <f>VLOOKUP(C14,Purchased!A:D,3,FALSE)</f>
        <v>22.16</v>
      </c>
      <c r="Q14" s="52">
        <f t="shared" si="1"/>
        <v>132.96</v>
      </c>
    </row>
    <row r="15" spans="1:17" s="2" customFormat="1" ht="12.75" customHeight="1" x14ac:dyDescent="0.25">
      <c r="A15" s="4">
        <v>303</v>
      </c>
      <c r="B15" s="2">
        <v>5800</v>
      </c>
      <c r="C15" s="135">
        <v>3842146906</v>
      </c>
      <c r="D15" s="325" t="str">
        <f>VLOOKUP(C15,Purchased!A:B,2,0)</f>
        <v>SLOT PROFILE SCHWARZ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P/N changed to 3842555270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45532</v>
      </c>
      <c r="M15" s="46">
        <f>IF(VLOOKUP(C15,Purchased!A:R,16,0)=0, " ",VLOOKUP(C15,Purchased!A:R,16,0))</f>
        <v>45561</v>
      </c>
      <c r="N15" s="130" t="str">
        <f>IF(VLOOKUP(C15,Purchased!A:R,17,0)=0, " ", VLOOKUP(C15,Purchased!A:R,17,0))</f>
        <v xml:space="preserve"> </v>
      </c>
      <c r="O15" s="47">
        <f t="shared" ca="1" si="0"/>
        <v>5800</v>
      </c>
      <c r="P15" s="51">
        <f>VLOOKUP(C15,Purchased!A:D,3,FALSE)</f>
        <v>5</v>
      </c>
      <c r="Q15" s="52">
        <f>(B15/2000)*P15</f>
        <v>14.5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24</v>
      </c>
      <c r="C17" s="122" t="s">
        <v>277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24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701</v>
      </c>
      <c r="B19" s="2">
        <v>2</v>
      </c>
      <c r="C19" s="123" t="s">
        <v>489</v>
      </c>
      <c r="D19" s="325" t="str">
        <f>VLOOKUP(C19,Extrusion!B:C,2,0)</f>
        <v>APPROVED EL 9/3</v>
      </c>
      <c r="E19" s="326"/>
      <c r="F19" s="108" t="str">
        <f ca="1">VLOOKUP(C19,Extrusion!B:N,5,0)</f>
        <v>YES</v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ca="1">B19*$L$2</f>
        <v>2</v>
      </c>
      <c r="P19" s="51">
        <f>VLOOKUP(C19,Extrusion!B:G,4,0)</f>
        <v>0</v>
      </c>
      <c r="Q19" s="52">
        <f>B19*P19</f>
        <v>0</v>
      </c>
    </row>
    <row r="20" spans="1:17" s="2" customFormat="1" ht="12.75" customHeight="1" x14ac:dyDescent="0.25">
      <c r="A20" s="4">
        <v>702</v>
      </c>
      <c r="B20" s="2">
        <v>2</v>
      </c>
      <c r="C20" s="123" t="s">
        <v>490</v>
      </c>
      <c r="D20" s="325" t="str">
        <f>VLOOKUP(C20,Extrusion!B:C,2,0)</f>
        <v>APPROVED EL 9/3</v>
      </c>
      <c r="E20" s="326"/>
      <c r="F20" s="108" t="str">
        <f ca="1">VLOOKUP(C20,Extrusion!B:N,5,0)</f>
        <v>YES</v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ca="1">B20*$L$2</f>
        <v>2</v>
      </c>
      <c r="P20" s="51">
        <f>VLOOKUP(C20,Extrusion!B:G,4,0)</f>
        <v>0</v>
      </c>
      <c r="Q20" s="52">
        <f>B20*P20</f>
        <v>0</v>
      </c>
    </row>
    <row r="21" spans="1:17" s="2" customFormat="1" ht="12.75" customHeight="1" thickBot="1" x14ac:dyDescent="0.3">
      <c r="A21" s="4">
        <v>703</v>
      </c>
      <c r="B21" s="2">
        <v>4</v>
      </c>
      <c r="C21" s="123" t="s">
        <v>3777</v>
      </c>
      <c r="D21" s="325" t="str">
        <f>VLOOKUP(C21,Extrusion!B:C,2,0)</f>
        <v>APPROVED EL 9/3</v>
      </c>
      <c r="E21" s="326"/>
      <c r="F21" s="108" t="str">
        <f ca="1">VLOOKUP(C21,Extrusion!B:N,5,0)</f>
        <v>YES</v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4</v>
      </c>
      <c r="P21" s="51">
        <f>VLOOKUP(C21,Extrusion!B:G,4,0)</f>
        <v>0</v>
      </c>
      <c r="Q21" s="52">
        <f>B21*P21</f>
        <v>0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SUM(Q5:Q21)</f>
        <v>289.68</v>
      </c>
    </row>
    <row r="23" spans="1:17" s="2" customFormat="1" ht="12" customHeight="1" x14ac:dyDescent="0.2">
      <c r="D23" s="21"/>
      <c r="E23" s="21"/>
      <c r="J23" s="8"/>
      <c r="K23" s="8"/>
      <c r="L23" s="8"/>
      <c r="M23" s="8"/>
      <c r="N23" s="131"/>
      <c r="O23" s="5"/>
      <c r="P23" s="98"/>
      <c r="Q23" s="105"/>
    </row>
  </sheetData>
  <mergeCells count="34">
    <mergeCell ref="D19:E19"/>
    <mergeCell ref="D20:E20"/>
    <mergeCell ref="D21:E21"/>
    <mergeCell ref="D22:E22"/>
    <mergeCell ref="H22:I22"/>
    <mergeCell ref="D11:E11"/>
    <mergeCell ref="H11:I11"/>
    <mergeCell ref="D12:E12"/>
    <mergeCell ref="H12:I12"/>
    <mergeCell ref="D18:E18"/>
    <mergeCell ref="H18:I18"/>
    <mergeCell ref="D13:E13"/>
    <mergeCell ref="H13:I13"/>
    <mergeCell ref="D14:E14"/>
    <mergeCell ref="H14:I14"/>
    <mergeCell ref="D15:E15"/>
    <mergeCell ref="H15:I15"/>
    <mergeCell ref="D16:E16"/>
    <mergeCell ref="H16:I16"/>
    <mergeCell ref="D8:E8"/>
    <mergeCell ref="H8:I8"/>
    <mergeCell ref="D9:E9"/>
    <mergeCell ref="H9:I9"/>
    <mergeCell ref="D10:E10"/>
    <mergeCell ref="H10:I10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9 M12 M16:M21">
    <cfRule type="cellIs" dxfId="1612" priority="9" stopIfTrue="1" operator="lessThanOrEqual">
      <formula>$L9</formula>
    </cfRule>
    <cfRule type="cellIs" dxfId="1611" priority="10" operator="greaterThan">
      <formula>L9</formula>
    </cfRule>
  </conditionalFormatting>
  <conditionalFormatting sqref="M13">
    <cfRule type="cellIs" dxfId="1610" priority="5" stopIfTrue="1" operator="lessThanOrEqual">
      <formula>$L13</formula>
    </cfRule>
    <cfRule type="cellIs" dxfId="1609" priority="6" operator="greaterThan">
      <formula>L13</formula>
    </cfRule>
  </conditionalFormatting>
  <conditionalFormatting sqref="M14:M15">
    <cfRule type="cellIs" dxfId="1608" priority="1" stopIfTrue="1" operator="lessThanOrEqual">
      <formula>$L14</formula>
    </cfRule>
    <cfRule type="cellIs" dxfId="1607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6EF49E-20C8-4664-AB39-39CE797FAA10}">
          <x14:formula1>
            <xm:f>Extrusion!$B:$B</xm:f>
          </x14:formula1>
          <xm:sqref>C19:C21</xm:sqref>
        </x14:dataValidation>
        <x14:dataValidation type="list" allowBlank="1" showInputMessage="1" showErrorMessage="1" xr:uid="{704284A9-BAE7-4892-A2E7-C72BA150A1CE}">
          <x14:formula1>
            <xm:f>Bolts!$A:$A</xm:f>
          </x14:formula1>
          <xm:sqref>C17</xm:sqref>
        </x14:dataValidation>
        <x14:dataValidation type="list" allowBlank="1" showInputMessage="1" showErrorMessage="1" xr:uid="{3AB28DB6-BFD7-419E-8351-8364CC7A642F}">
          <x14:formula1>
            <xm:f>Assemblies!$E:$E</xm:f>
          </x14:formula1>
          <xm:sqref>C5:C8</xm:sqref>
        </x14:dataValidation>
        <x14:dataValidation type="list" allowBlank="1" showInputMessage="1" showErrorMessage="1" xr:uid="{1AE8002F-C6FC-40DB-83F3-CA4A9EBF9C43}">
          <x14:formula1>
            <xm:f>Machined!$C:$C</xm:f>
          </x14:formula1>
          <xm:sqref>C10:C11</xm:sqref>
        </x14:dataValidation>
        <x14:dataValidation type="list" allowBlank="1" showInputMessage="1" showErrorMessage="1" xr:uid="{6B94054B-9939-4ABC-8252-D421AF3D022E}">
          <x14:formula1>
            <xm:f>Purchased!$A:$A</xm:f>
          </x14:formula1>
          <xm:sqref>C13:C15</xm:sqref>
        </x14:dataValidation>
      </x14:dataValidation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EDEC-B0BE-4BB1-81E6-C3E9BB0C5FCF}">
  <sheetPr codeName="Sheet87">
    <tabColor theme="6" tint="0.59999389629810485"/>
  </sheetPr>
  <dimension ref="A1:Q23"/>
  <sheetViews>
    <sheetView zoomScale="115" zoomScaleNormal="115" workbookViewId="0">
      <selection activeCell="D24" sqref="D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'3.2'!C15</f>
        <v>PG10.3.2.10.0.A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'3.2'!D15</f>
        <v>Twin Wall Top Guard 5</v>
      </c>
      <c r="D3" s="85" t="s">
        <v>50</v>
      </c>
      <c r="E3" s="86" t="str">
        <f ca="1">MID(CELL("filename",A1),FIND("]",CELL("filename",A1))+1,256)</f>
        <v>3.2.8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'1.4.1'!Q15</f>
        <v>0</v>
      </c>
      <c r="Q5" s="118">
        <f>B5*P5</f>
        <v>0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'1.4.2'!Q8</f>
        <v>0</v>
      </c>
      <c r="Q6" s="153">
        <f>B6*P6</f>
        <v>0</v>
      </c>
    </row>
    <row r="7" spans="1:17" s="1" customFormat="1" ht="12" customHeight="1" x14ac:dyDescent="0.2">
      <c r="A7" s="150" t="s">
        <v>58</v>
      </c>
      <c r="B7" s="1">
        <v>2</v>
      </c>
      <c r="C7" s="145" t="s">
        <v>400</v>
      </c>
      <c r="D7" s="314" t="str">
        <f ca="1">VLOOKUP(C7,Assemblies!E:P,2,0)</f>
        <v>Guard Pivot Assy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'1.4.2'!Q8</f>
        <v>0</v>
      </c>
      <c r="Q7" s="153">
        <f>B7*P7</f>
        <v>0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401</v>
      </c>
      <c r="D8" s="314" t="str">
        <f ca="1">VLOOKUP(C8,Assemblies!E:P,2,0)</f>
        <v>Door Support Assem</v>
      </c>
      <c r="E8" s="347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2</v>
      </c>
      <c r="P8" s="147">
        <f>'1.4.2'!Q9</f>
        <v>11.93</v>
      </c>
      <c r="Q8" s="153">
        <f>B8*P8</f>
        <v>23.86</v>
      </c>
    </row>
    <row r="9" spans="1:17" s="2" customFormat="1" ht="12.75" customHeight="1" x14ac:dyDescent="0.2">
      <c r="A9" s="25"/>
      <c r="B9" s="26"/>
      <c r="C9" s="26"/>
      <c r="D9" s="332"/>
      <c r="E9" s="346"/>
      <c r="F9" s="26"/>
      <c r="G9" s="26"/>
      <c r="H9" s="322"/>
      <c r="I9" s="322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491</v>
      </c>
      <c r="D10" s="314" t="str">
        <f>VLOOKUP(C10,Machined!C:X,2,0)</f>
        <v>Clear PolyPanel Long Door 10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ca="1">B10*$L$2</f>
        <v>1</v>
      </c>
      <c r="P10" s="49">
        <f>VLOOKUP(C10,Machined!C:F,3,0)</f>
        <v>45</v>
      </c>
      <c r="Q10" s="50">
        <f>B10*P10</f>
        <v>45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492</v>
      </c>
      <c r="D11" s="314" t="str">
        <f>VLOOKUP(C11,Machined!C:X,2,0)</f>
        <v>Clear PolyPanel Short Door 10</v>
      </c>
      <c r="E11" s="329"/>
      <c r="F11" s="107" t="str">
        <f>VLOOKUP($C11,Machined!C:Z,13,0)</f>
        <v>POLYCARBONITE-CLEAR</v>
      </c>
      <c r="G11" s="44" t="str">
        <f>IF(VLOOKUP($C11,Machined!C:Z,16,0) = 0, " ", VLOOKUP($C11,Machined!C:Z,16,0))</f>
        <v>Port Plastics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POLYCARBONITE-CLEAR</v>
      </c>
      <c r="J11" s="44" t="str">
        <f>IF(VLOOKUP($C11,Machined!C:Z,18,0) = 0, " ", VLOOKUP($C11,Machined!C:Z,18,0))</f>
        <v>(TJ) 8/8/2024</v>
      </c>
      <c r="K11" s="44">
        <f>IF(VLOOKUP($C11,Machined!C:Z,19,0) = 0, " ", VLOOKUP($C11,Machined!C:Z,19,0))</f>
        <v>45530</v>
      </c>
      <c r="L11" s="44">
        <f>IF(VLOOKUP($C11,Machined!C:Z,20,0) = 0, " ", VLOOKUP($C11,Machined!C:Z,20,0))</f>
        <v>45561</v>
      </c>
      <c r="M11" s="44" t="str">
        <f>IF(VLOOKUP($C11,Machined!C:Z,21,0) = 0, " ", VLOOKUP($C11,Machined!C:Z,21,0))</f>
        <v xml:space="preserve"> </v>
      </c>
      <c r="N11" s="129">
        <f>IF(VLOOKUP($C11,Machined!C:Z,22,0) = 0, " ", VLOOKUP($C11,Machined!C:Z,22,0))</f>
        <v>55708</v>
      </c>
      <c r="O11" s="45">
        <f ca="1">B11*$L$2</f>
        <v>1</v>
      </c>
      <c r="P11" s="49">
        <f>VLOOKUP(C11,Machined!C:F,3,0)</f>
        <v>40</v>
      </c>
      <c r="Q11" s="50">
        <f>B11*P11</f>
        <v>40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301</v>
      </c>
      <c r="B13" s="2">
        <v>8</v>
      </c>
      <c r="C13" s="135" t="s">
        <v>149</v>
      </c>
      <c r="D13" s="325" t="str">
        <f>VLOOKUP(C13,Purchased!A:B,2,0)</f>
        <v>BRX GOTO QUICK CONNECTOR N10 0°</v>
      </c>
      <c r="E13" s="326"/>
      <c r="F13" s="108" t="str">
        <f>IF(VLOOKUP($C13,Purchased!A:Z,11,0) = 0, " ", VLOOKUP($C13,Purchased!A:Z,11,0))</f>
        <v>T-SLOTS</v>
      </c>
      <c r="G13" s="108" t="str">
        <f>IF(VLOOKUP($C13,Purchased!A:Z,12,0)=0, " ", VLOOKUP($C13,Purchased!A:Z,12,0))</f>
        <v>Process Tech</v>
      </c>
      <c r="H13" s="327" t="str">
        <f>IF(VLOOKUP($C13,Purchased!A:Z,13,0)=0, " ", VLOOKUP($C13,Purchased!A:Z,13,0))</f>
        <v>500 More on P.O. #55639 Part# 659730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45362</v>
      </c>
      <c r="M13" s="46">
        <f>IF(VLOOKUP(C13,Purchased!A:R,16,0)=0, " ",VLOOKUP(C13,Purchased!A:R,16,0))</f>
        <v>45378</v>
      </c>
      <c r="N13" s="130">
        <f>IF(VLOOKUP(C13,Purchased!A:R,17,0)=0, " ", VLOOKUP(C13,Purchased!A:R,17,0))</f>
        <v>45378</v>
      </c>
      <c r="O13" s="47">
        <f t="shared" ref="O13:O15" ca="1" si="0">B13*$L$2</f>
        <v>8</v>
      </c>
      <c r="P13" s="51">
        <f>VLOOKUP(C13,Purchased!A:D,3,FALSE)</f>
        <v>4.17</v>
      </c>
      <c r="Q13" s="52">
        <f t="shared" ref="Q13:Q14" si="1">B13*P13</f>
        <v>33.36</v>
      </c>
    </row>
    <row r="14" spans="1:17" s="2" customFormat="1" ht="12.75" customHeight="1" x14ac:dyDescent="0.25">
      <c r="A14" s="4">
        <v>302</v>
      </c>
      <c r="B14" s="2">
        <v>6</v>
      </c>
      <c r="C14" s="135" t="s">
        <v>341</v>
      </c>
      <c r="D14" s="325" t="str">
        <f>VLOOKUP(C14,Purchased!A:B,2,0)</f>
        <v>BRX GOTO HINGE AL 45/45, 2PK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Nuline has 40X Quantity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t="shared" ca="1" si="0"/>
        <v>6</v>
      </c>
      <c r="P14" s="51">
        <f>VLOOKUP(C14,Purchased!A:D,3,FALSE)</f>
        <v>22.16</v>
      </c>
      <c r="Q14" s="52">
        <f t="shared" si="1"/>
        <v>132.96</v>
      </c>
    </row>
    <row r="15" spans="1:17" s="2" customFormat="1" ht="12.75" customHeight="1" x14ac:dyDescent="0.25">
      <c r="A15" s="4">
        <v>303</v>
      </c>
      <c r="B15" s="2">
        <v>5800</v>
      </c>
      <c r="C15" s="135">
        <v>3842146906</v>
      </c>
      <c r="D15" s="325" t="str">
        <f>VLOOKUP(C15,Purchased!A:B,2,0)</f>
        <v>SLOT PROFILE SCHWARZ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P/N changed to 3842555270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45532</v>
      </c>
      <c r="M15" s="46">
        <f>IF(VLOOKUP(C15,Purchased!A:R,16,0)=0, " ",VLOOKUP(C15,Purchased!A:R,16,0))</f>
        <v>45561</v>
      </c>
      <c r="N15" s="130" t="str">
        <f>IF(VLOOKUP(C15,Purchased!A:R,17,0)=0, " ", VLOOKUP(C15,Purchased!A:R,17,0))</f>
        <v xml:space="preserve"> </v>
      </c>
      <c r="O15" s="47">
        <f t="shared" ca="1" si="0"/>
        <v>5800</v>
      </c>
      <c r="P15" s="51">
        <f>VLOOKUP(C15,Purchased!A:D,3,FALSE)</f>
        <v>5</v>
      </c>
      <c r="Q15" s="52">
        <f>(B15/2000)*P15</f>
        <v>14.5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24</v>
      </c>
      <c r="C17" s="122" t="s">
        <v>277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24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701</v>
      </c>
      <c r="B19" s="2">
        <v>2</v>
      </c>
      <c r="C19" s="123" t="s">
        <v>489</v>
      </c>
      <c r="D19" s="325" t="str">
        <f>VLOOKUP(C19,Extrusion!B:C,2,0)</f>
        <v>APPROVED EL 9/3</v>
      </c>
      <c r="E19" s="326"/>
      <c r="F19" s="108" t="str">
        <f ca="1">VLOOKUP(C19,Extrusion!B:N,5,0)</f>
        <v>YES</v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ca="1">B19*$L$2</f>
        <v>2</v>
      </c>
      <c r="P19" s="51">
        <f>VLOOKUP(C19,Extrusion!B:G,4,0)</f>
        <v>0</v>
      </c>
      <c r="Q19" s="52">
        <f>B19*P19</f>
        <v>0</v>
      </c>
    </row>
    <row r="20" spans="1:17" s="2" customFormat="1" ht="12.75" customHeight="1" x14ac:dyDescent="0.25">
      <c r="A20" s="4">
        <v>702</v>
      </c>
      <c r="B20" s="2">
        <v>2</v>
      </c>
      <c r="C20" s="123" t="s">
        <v>490</v>
      </c>
      <c r="D20" s="325" t="str">
        <f>VLOOKUP(C20,Extrusion!B:C,2,0)</f>
        <v>APPROVED EL 9/3</v>
      </c>
      <c r="E20" s="326"/>
      <c r="F20" s="108" t="str">
        <f ca="1">VLOOKUP(C20,Extrusion!B:N,5,0)</f>
        <v>YES</v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ca="1">B20*$L$2</f>
        <v>2</v>
      </c>
      <c r="P20" s="51">
        <f>VLOOKUP(C20,Extrusion!B:G,4,0)</f>
        <v>0</v>
      </c>
      <c r="Q20" s="52">
        <f>B20*P20</f>
        <v>0</v>
      </c>
    </row>
    <row r="21" spans="1:17" s="2" customFormat="1" ht="12.75" customHeight="1" thickBot="1" x14ac:dyDescent="0.3">
      <c r="A21" s="4">
        <v>703</v>
      </c>
      <c r="B21" s="2">
        <v>4</v>
      </c>
      <c r="C21" s="123" t="s">
        <v>3777</v>
      </c>
      <c r="D21" s="325" t="str">
        <f>VLOOKUP(C21,Extrusion!B:C,2,0)</f>
        <v>APPROVED EL 9/3</v>
      </c>
      <c r="E21" s="326"/>
      <c r="F21" s="108" t="str">
        <f ca="1">VLOOKUP(C21,Extrusion!B:N,5,0)</f>
        <v>YES</v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4</v>
      </c>
      <c r="P21" s="51">
        <f>VLOOKUP(C21,Extrusion!B:G,4,0)</f>
        <v>0</v>
      </c>
      <c r="Q21" s="52">
        <f>B21*P21</f>
        <v>0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SUM(Q5:Q21)</f>
        <v>289.68</v>
      </c>
    </row>
    <row r="23" spans="1:17" s="2" customFormat="1" ht="12" customHeight="1" x14ac:dyDescent="0.2">
      <c r="D23" s="21"/>
      <c r="E23" s="21"/>
      <c r="J23" s="8"/>
      <c r="K23" s="8"/>
      <c r="L23" s="8"/>
      <c r="M23" s="8"/>
      <c r="N23" s="131"/>
      <c r="O23" s="5"/>
      <c r="P23" s="98"/>
      <c r="Q23" s="105"/>
    </row>
  </sheetData>
  <mergeCells count="34">
    <mergeCell ref="D19:E19"/>
    <mergeCell ref="D20:E20"/>
    <mergeCell ref="D21:E21"/>
    <mergeCell ref="D22:E22"/>
    <mergeCell ref="H22:I22"/>
    <mergeCell ref="D11:E11"/>
    <mergeCell ref="H11:I11"/>
    <mergeCell ref="D12:E12"/>
    <mergeCell ref="H12:I12"/>
    <mergeCell ref="D18:E18"/>
    <mergeCell ref="H18:I18"/>
    <mergeCell ref="D13:E13"/>
    <mergeCell ref="H13:I13"/>
    <mergeCell ref="D14:E14"/>
    <mergeCell ref="H14:I14"/>
    <mergeCell ref="D15:E15"/>
    <mergeCell ref="H15:I15"/>
    <mergeCell ref="D16:E16"/>
    <mergeCell ref="H16:I16"/>
    <mergeCell ref="D8:E8"/>
    <mergeCell ref="H8:I8"/>
    <mergeCell ref="D9:E9"/>
    <mergeCell ref="H9:I9"/>
    <mergeCell ref="D10:E10"/>
    <mergeCell ref="H10:I10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9 M12 M16:M21">
    <cfRule type="cellIs" dxfId="1606" priority="9" stopIfTrue="1" operator="lessThanOrEqual">
      <formula>$L9</formula>
    </cfRule>
    <cfRule type="cellIs" dxfId="1605" priority="10" operator="greaterThan">
      <formula>L9</formula>
    </cfRule>
  </conditionalFormatting>
  <conditionalFormatting sqref="M13">
    <cfRule type="cellIs" dxfId="1604" priority="5" stopIfTrue="1" operator="lessThanOrEqual">
      <formula>$L13</formula>
    </cfRule>
    <cfRule type="cellIs" dxfId="1603" priority="6" operator="greaterThan">
      <formula>L13</formula>
    </cfRule>
  </conditionalFormatting>
  <conditionalFormatting sqref="M14">
    <cfRule type="cellIs" dxfId="1602" priority="3" stopIfTrue="1" operator="lessThanOrEqual">
      <formula>$L14</formula>
    </cfRule>
    <cfRule type="cellIs" dxfId="1601" priority="4" operator="greaterThan">
      <formula>L14</formula>
    </cfRule>
  </conditionalFormatting>
  <conditionalFormatting sqref="M15">
    <cfRule type="cellIs" dxfId="1600" priority="1" stopIfTrue="1" operator="lessThanOrEqual">
      <formula>$L15</formula>
    </cfRule>
    <cfRule type="cellIs" dxfId="1599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2537BAF-953D-46D2-8AF3-F958FDF6B3DE}">
          <x14:formula1>
            <xm:f>Extrusion!$B:$B</xm:f>
          </x14:formula1>
          <xm:sqref>C19:C21</xm:sqref>
        </x14:dataValidation>
        <x14:dataValidation type="list" allowBlank="1" showInputMessage="1" showErrorMessage="1" xr:uid="{58B4E1AF-63E9-4CFA-9095-590DF0DDDD6D}">
          <x14:formula1>
            <xm:f>Bolts!$A:$A</xm:f>
          </x14:formula1>
          <xm:sqref>C17</xm:sqref>
        </x14:dataValidation>
        <x14:dataValidation type="list" allowBlank="1" showInputMessage="1" showErrorMessage="1" xr:uid="{FC7319D9-9FED-4EEA-BBCC-14F739F1D3AE}">
          <x14:formula1>
            <xm:f>Assemblies!$E:$E</xm:f>
          </x14:formula1>
          <xm:sqref>C5:C8</xm:sqref>
        </x14:dataValidation>
        <x14:dataValidation type="list" allowBlank="1" showInputMessage="1" showErrorMessage="1" xr:uid="{ED496549-D368-4520-BC19-4B50D93EA46C}">
          <x14:formula1>
            <xm:f>Machined!$C:$C</xm:f>
          </x14:formula1>
          <xm:sqref>C10:C11</xm:sqref>
        </x14:dataValidation>
        <x14:dataValidation type="list" allowBlank="1" showInputMessage="1" showErrorMessage="1" xr:uid="{3664AAD1-398F-4524-93A6-C2A04091188D}">
          <x14:formula1>
            <xm:f>Purchased!$A:$A</xm:f>
          </x14:formula1>
          <xm:sqref>C13:C15</xm:sqref>
        </x14:dataValidation>
      </x14:dataValidation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84931-555F-4886-88FD-CAD6841B5CE1}">
  <sheetPr codeName="Sheet257">
    <tabColor theme="6" tint="0.59999389629810485"/>
  </sheetPr>
  <dimension ref="A1:Q9"/>
  <sheetViews>
    <sheetView zoomScale="115" zoomScaleNormal="115" workbookViewId="0">
      <selection activeCell="C11" sqref="C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'3.2'!C14</f>
        <v>PG10.3.2.9.0.A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'3.2'!D14</f>
        <v>Twin Wall Top Guard 4</v>
      </c>
      <c r="D3" s="85" t="s">
        <v>50</v>
      </c>
      <c r="E3" s="86" t="str">
        <f ca="1">MID(CELL("filename",A1),FIND("]",CELL("filename",A1))+1,256)</f>
        <v>3.2.9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24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24</v>
      </c>
      <c r="P5" s="117">
        <f>'1.1.11.1'!Q9</f>
        <v>7.1199999999999992</v>
      </c>
      <c r="Q5" s="152">
        <f>B5*P5</f>
        <v>170.88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2</v>
      </c>
      <c r="C7" s="121" t="s">
        <v>493</v>
      </c>
      <c r="D7" s="314" t="str">
        <f>VLOOKUP(C7,Machined!C:X,2,0)</f>
        <v>Twin Wall Top Guard 4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ca="1">B7*$L$2</f>
        <v>2</v>
      </c>
      <c r="P7" s="49">
        <f>VLOOKUP(C7,Machined!C:F,3,0)</f>
        <v>84.91</v>
      </c>
      <c r="Q7" s="50">
        <f>B7*P7</f>
        <v>169.82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340.7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598" priority="1" stopIfTrue="1" operator="lessThanOrEqual">
      <formula>$L6</formula>
    </cfRule>
    <cfRule type="cellIs" dxfId="159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74B481E-5643-4A05-BB11-08247A65AB1B}">
          <x14:formula1>
            <xm:f>Assemblies!$E:$E</xm:f>
          </x14:formula1>
          <xm:sqref>C5</xm:sqref>
        </x14:dataValidation>
        <x14:dataValidation type="list" allowBlank="1" showInputMessage="1" showErrorMessage="1" xr:uid="{E033DA6D-A3C1-4B5F-8FC0-EAC40985E2FC}">
          <x14:formula1>
            <xm:f>Machined!$C:$C</xm:f>
          </x14:formula1>
          <xm:sqref>C7</xm:sqref>
        </x14:dataValidation>
      </x14:dataValidation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C0B0-7F4B-4859-A882-E4418797C016}">
  <sheetPr codeName="Sheet258">
    <tabColor theme="6" tint="0.59999389629810485"/>
  </sheetPr>
  <dimension ref="A1:Q10"/>
  <sheetViews>
    <sheetView zoomScale="115" zoomScaleNormal="115" workbookViewId="0">
      <selection activeCell="C12" sqref="C1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'3.2'!C15</f>
        <v>PG10.3.2.10.0.A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'3.2'!D15</f>
        <v>Twin Wall Top Guard 5</v>
      </c>
      <c r="D3" s="85" t="s">
        <v>50</v>
      </c>
      <c r="E3" s="86" t="str">
        <f ca="1">MID(CELL("filename",A1),FIND("]",CELL("filename",A1))+1,256)</f>
        <v>3.2.10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24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24</v>
      </c>
      <c r="P5" s="117">
        <f>'1.1.11.1'!Q9</f>
        <v>7.1199999999999992</v>
      </c>
      <c r="Q5" s="152">
        <f>B5*P5</f>
        <v>170.88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1</v>
      </c>
      <c r="C7" s="121" t="s">
        <v>494</v>
      </c>
      <c r="D7" s="314" t="str">
        <f>VLOOKUP(C7,Machined!C:X,2,0)</f>
        <v>Twin Wall Top Guard 5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ca="1">B7*$L$2</f>
        <v>1</v>
      </c>
      <c r="P7" s="49">
        <f>VLOOKUP(C7,Machined!C:F,3,0)</f>
        <v>84.9</v>
      </c>
      <c r="Q7" s="50">
        <f>B7*P7</f>
        <v>84.9</v>
      </c>
    </row>
    <row r="8" spans="1:17" s="2" customFormat="1" ht="12.75" customHeight="1" thickBot="1" x14ac:dyDescent="0.3">
      <c r="A8" s="77" t="s">
        <v>624</v>
      </c>
      <c r="B8" s="20">
        <v>1</v>
      </c>
      <c r="C8" s="121" t="s">
        <v>3825</v>
      </c>
      <c r="D8" s="314" t="str">
        <f>VLOOKUP(C8,Machined!C:X,2,0)</f>
        <v>Twin Wall Top Guard 5-2</v>
      </c>
      <c r="E8" s="329"/>
      <c r="F8" s="107" t="str">
        <f>VLOOKUP($C8,Machined!C:Z,13,0)</f>
        <v>POLYCARBONITE-CLEAR</v>
      </c>
      <c r="G8" s="44" t="str">
        <f>IF(VLOOKUP($C8,Machined!C:Z,16,0) = 0, " ", VLOOKUP($C8,Machined!C:Z,16,0))</f>
        <v>Polycarbstore.com</v>
      </c>
      <c r="H8" s="320" t="str">
        <f>IF(VLOOKUP($C8,Machined!C:Z,17,0) = 0, " ", VLOOKUP($C8,Machined!C:Z,17,0))</f>
        <v xml:space="preserve"> </v>
      </c>
      <c r="I8" s="321"/>
      <c r="J8" s="44">
        <f>IF(VLOOKUP($C8,Machined!C:Z,18,0) = 0, " ", VLOOKUP($C8,Machined!C:Z,18,0))</f>
        <v>45545</v>
      </c>
      <c r="K8" s="44">
        <f>IF(VLOOKUP($C8,Machined!C:Z,19,0) = 0, " ", VLOOKUP($C8,Machined!C:Z,19,0))</f>
        <v>45554</v>
      </c>
      <c r="L8" s="44">
        <f>IF(VLOOKUP($C8,Machined!C:Z,20,0) = 0, " ", VLOOKUP($C8,Machined!C:Z,20,0))</f>
        <v>45576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55745</v>
      </c>
      <c r="O8" s="45">
        <f ca="1">B8*$L$2</f>
        <v>1</v>
      </c>
      <c r="P8" s="49">
        <f>VLOOKUP(C8,Machined!C:F,3,0)</f>
        <v>84.91</v>
      </c>
      <c r="Q8" s="50">
        <f>B8*P8</f>
        <v>84.91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340.69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mergeCells count="13">
    <mergeCell ref="D8:E8"/>
    <mergeCell ref="H8:I8"/>
    <mergeCell ref="D9:E9"/>
    <mergeCell ref="H9:I9"/>
    <mergeCell ref="D1:E1"/>
    <mergeCell ref="D4:E4"/>
    <mergeCell ref="H4:I4"/>
    <mergeCell ref="D5:E5"/>
    <mergeCell ref="H5:I5"/>
    <mergeCell ref="D6:E6"/>
    <mergeCell ref="H6:I6"/>
    <mergeCell ref="D7:E7"/>
    <mergeCell ref="H7:I7"/>
  </mergeCells>
  <conditionalFormatting sqref="M6">
    <cfRule type="cellIs" dxfId="1596" priority="1" stopIfTrue="1" operator="lessThanOrEqual">
      <formula>$L6</formula>
    </cfRule>
    <cfRule type="cellIs" dxfId="159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E3F7D6-FAB7-4844-A97C-0E7DAB755AEA}">
          <x14:formula1>
            <xm:f>Assemblies!$E:$E</xm:f>
          </x14:formula1>
          <xm:sqref>C5</xm:sqref>
        </x14:dataValidation>
        <x14:dataValidation type="list" allowBlank="1" showInputMessage="1" showErrorMessage="1" xr:uid="{7C6FA164-038A-45C1-B71F-B391978E2585}">
          <x14:formula1>
            <xm:f>Machined!$C:$C</xm:f>
          </x14:formula1>
          <xm:sqref>C7:C8</xm:sqref>
        </x14:dataValidation>
      </x14:dataValidation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E74A4-DC15-4869-94C5-53F03EA21E2B}">
  <sheetPr codeName="Sheet88">
    <tabColor theme="9" tint="0.59999389629810485"/>
    <pageSetUpPr fitToPage="1"/>
  </sheetPr>
  <dimension ref="A1:Q24"/>
  <sheetViews>
    <sheetView zoomScale="115" zoomScaleNormal="115" workbookViewId="0">
      <selection activeCell="C28" sqref="C2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'3'!C8</f>
        <v>PG10.3.4.0.A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'3'!D8</f>
        <v>Presto Track Turners Assy</v>
      </c>
      <c r="D3" s="85" t="s">
        <v>50</v>
      </c>
      <c r="E3" s="86" t="str">
        <f ca="1">MID(CELL("filename",A1),FIND("]",CELL("filename",A1))+1,256)</f>
        <v>3.4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495</v>
      </c>
      <c r="D5" s="314" t="str">
        <f>VLOOKUP(C5,Machined!C:X,2,0)</f>
        <v>Track Turner Adjustment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303 TG&amp;P, Round Stock, -0.0005</v>
      </c>
      <c r="J5" s="44">
        <f>IF(VLOOKUP($C5,Machined!C:Z,18,0) = 0, " ", VLOOKUP($C5,Machined!C:Z,18,0))</f>
        <v>45503</v>
      </c>
      <c r="K5" s="44">
        <f>IF(VLOOKUP($C5,Machined!C:Z,19,0) = 0, " ", VLOOKUP($C5,Machined!C:Z,19,0))</f>
        <v>45509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55656</v>
      </c>
      <c r="O5" s="45">
        <f ca="1">B5*$L$2</f>
        <v>2</v>
      </c>
      <c r="P5" s="49">
        <f>VLOOKUP(C5,Machined!C:F,3,0)</f>
        <v>60</v>
      </c>
      <c r="Q5" s="50">
        <f>B5*P5</f>
        <v>120</v>
      </c>
    </row>
    <row r="6" spans="1:17" s="2" customFormat="1" ht="12.75" customHeight="1" x14ac:dyDescent="0.25">
      <c r="A6" s="77">
        <v>2</v>
      </c>
      <c r="B6" s="20">
        <v>2</v>
      </c>
      <c r="C6" s="121" t="s">
        <v>496</v>
      </c>
      <c r="D6" s="314" t="str">
        <f>VLOOKUP(C6,Machined!C:X,2,0)</f>
        <v>Turner Mount Plate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45503</v>
      </c>
      <c r="K6" s="44">
        <f>IF(VLOOKUP($C6,Machined!C:Z,19,0) = 0, " ", VLOOKUP($C6,Machined!C:Z,19,0))</f>
        <v>45509</v>
      </c>
      <c r="L6" s="44">
        <f>IF(VLOOKUP($C6,Machined!C:Z,20,0) = 0, " ", VLOOKUP($C6,Machined!C:Z,20,0))</f>
        <v>45540</v>
      </c>
      <c r="M6" s="44">
        <f>IF(VLOOKUP($C6,Machined!C:Z,21,0) = 0, " ", VLOOKUP($C6,Machined!C:Z,21,0))</f>
        <v>45540</v>
      </c>
      <c r="N6" s="129">
        <f>IF(VLOOKUP($C6,Machined!C:Z,22,0) = 0, " ", VLOOKUP($C6,Machined!C:Z,22,0))</f>
        <v>55656</v>
      </c>
      <c r="O6" s="45">
        <f ca="1">B6*$L$2</f>
        <v>2</v>
      </c>
      <c r="P6" s="49">
        <f>VLOOKUP(C6,Machined!C:F,3,0)</f>
        <v>122</v>
      </c>
      <c r="Q6" s="50">
        <f>B6*P6</f>
        <v>244</v>
      </c>
    </row>
    <row r="7" spans="1:17" s="2" customFormat="1" ht="12.75" customHeight="1" x14ac:dyDescent="0.25">
      <c r="A7" s="77">
        <v>3</v>
      </c>
      <c r="B7" s="20">
        <v>2</v>
      </c>
      <c r="C7" s="121" t="s">
        <v>497</v>
      </c>
      <c r="D7" s="314" t="str">
        <f>VLOOKUP(C7,Machined!C:X,2,0)</f>
        <v>CENTER KNIFE HANDWHEEL PLATE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Bemox, Xometry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ca="1">B7*$L$2</f>
        <v>2</v>
      </c>
      <c r="P7" s="49">
        <f>VLOOKUP(C7,Machined!C:F,3,0)</f>
        <v>137</v>
      </c>
      <c r="Q7" s="50">
        <f>B7*P7</f>
        <v>274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498</v>
      </c>
      <c r="D9" s="325" t="str">
        <f>VLOOKUP(C9,Purchased!A:B,2,0)</f>
        <v>Presto Turner, Welders, Parkers, Adjustment Mechanism</v>
      </c>
      <c r="E9" s="326"/>
      <c r="F9" s="108" t="str">
        <f>IF(VLOOKUP($C9,Purchased!A:Z,11,0) = 0, " ", VLOOKUP($C9,Purchased!A:Z,11,0))</f>
        <v>Presto</v>
      </c>
      <c r="G9" s="108" t="str">
        <f>IF(VLOOKUP($C9,Purchased!A:Z,12,0)=0, " ", VLOOKUP($C9,Purchased!A:Z,12,0))</f>
        <v>Presto</v>
      </c>
      <c r="H9" s="327" t="str">
        <f>IF(VLOOKUP($C9,Purchased!A:Z,13,0)=0, " ", VLOOKUP($C9,Purchased!A:Z,13,0))</f>
        <v xml:space="preserve"> </v>
      </c>
      <c r="I9" s="328"/>
      <c r="J9" s="46" t="str">
        <f>IF(VLOOKUP($C9,Purchased!A:Z,14,0)=0, " ", VLOOKUP($C9,Purchased!A:Z,14,0))</f>
        <v>N/A</v>
      </c>
      <c r="K9" s="46" t="str">
        <f>IF(VLOOKUP(C9,Purchased!A:R,14,0)=0, " ", VLOOKUP(C9,Purchased!A:R,14,0))</f>
        <v>N/A</v>
      </c>
      <c r="L9" s="46">
        <f>IF(VLOOKUP(C9,Purchased!A:R,15,0)=0, " ", VLOOKUP(C9,Purchased!A:R,15,0))</f>
        <v>45307</v>
      </c>
      <c r="M9" s="46">
        <f>IF(VLOOKUP(C9,Purchased!A:R,16,0)=0, " ",VLOOKUP(C9,Purchased!A:R,16,0))</f>
        <v>45561</v>
      </c>
      <c r="N9" s="130">
        <f>IF(VLOOKUP(C9,Purchased!A:R,17,0)=0, " ", VLOOKUP(C9,Purchased!A:R,17,0))</f>
        <v>45561</v>
      </c>
      <c r="O9" s="47">
        <f t="shared" ref="O9" ca="1" si="0">B9*$L$2</f>
        <v>1</v>
      </c>
      <c r="P9" s="51">
        <f>VLOOKUP(C9,Purchased!A:D,3,FALSE)</f>
        <v>0</v>
      </c>
      <c r="Q9" s="52">
        <f t="shared" ref="Q9" si="1">B9*P9</f>
        <v>0</v>
      </c>
    </row>
    <row r="10" spans="1:17" s="2" customFormat="1" ht="12" customHeight="1" x14ac:dyDescent="0.25">
      <c r="A10" s="4">
        <v>302</v>
      </c>
      <c r="B10" s="2">
        <v>2</v>
      </c>
      <c r="C10" s="135" t="s">
        <v>499</v>
      </c>
      <c r="D10" s="325" t="str">
        <f>VLOOKUP(C10,Purchased!A:B,2,0)</f>
        <v>SPACE FILLER</v>
      </c>
      <c r="E10" s="326"/>
      <c r="F10" s="108" t="str">
        <f>IF(VLOOKUP($C10,Purchased!A:Z,11,0) = 0, " ", VLOOKUP($C10,Purchased!A:Z,11,0))</f>
        <v>Presto</v>
      </c>
      <c r="G10" s="108" t="str">
        <f>IF(VLOOKUP($C10,Purchased!A:Z,12,0)=0, " ", VLOOKUP($C10,Purchased!A:Z,12,0))</f>
        <v>Presto</v>
      </c>
      <c r="H10" s="327" t="str">
        <f>IF(VLOOKUP($C10,Purchased!A:Z,13,0)=0, " ", VLOOKUP($C10,Purchased!A:Z,13,0))</f>
        <v xml:space="preserve"> </v>
      </c>
      <c r="I10" s="328"/>
      <c r="J10" s="46" t="str">
        <f>IF(VLOOKUP($C10,Purchased!A:Z,14,0)=0, " ", VLOOKUP($C10,Purchased!A:Z,14,0))</f>
        <v>N/A</v>
      </c>
      <c r="K10" s="46" t="str">
        <f>IF(VLOOKUP(C10,Purchased!A:R,14,0)=0, " ", VLOOKUP(C10,Purchased!A:R,14,0))</f>
        <v>N/A</v>
      </c>
      <c r="L10" s="46">
        <f>IF(VLOOKUP(C10,Purchased!A:R,15,0)=0, " ", VLOOKUP(C10,Purchased!A:R,15,0))</f>
        <v>45307</v>
      </c>
      <c r="M10" s="46">
        <f>IF(VLOOKUP(C10,Purchased!A:R,16,0)=0, " ",VLOOKUP(C10,Purchased!A:R,16,0))</f>
        <v>45561</v>
      </c>
      <c r="N10" s="130">
        <f>IF(VLOOKUP(C10,Purchased!A:R,17,0)=0, " ", VLOOKUP(C10,Purchased!A:R,17,0))</f>
        <v>45561</v>
      </c>
      <c r="O10" s="47">
        <f t="shared" ref="O10:O17" ca="1" si="2">B10*$L$2</f>
        <v>2</v>
      </c>
      <c r="P10" s="51">
        <f>VLOOKUP(C10,Purchased!A:D,3,FALSE)</f>
        <v>0</v>
      </c>
      <c r="Q10" s="52">
        <f t="shared" ref="Q10:Q17" si="3">B10*P10</f>
        <v>0</v>
      </c>
    </row>
    <row r="11" spans="1:17" s="2" customFormat="1" ht="12" customHeight="1" x14ac:dyDescent="0.25">
      <c r="A11" s="4">
        <v>303</v>
      </c>
      <c r="B11" s="2">
        <v>2</v>
      </c>
      <c r="C11" s="135" t="s">
        <v>500</v>
      </c>
      <c r="D11" s="325" t="str">
        <f>VLOOKUP(C11,Purchased!A:B,2,0)</f>
        <v>Aluminum Handwheel GN 322.3-160-B14-R</v>
      </c>
      <c r="E11" s="326"/>
      <c r="F11" s="108" t="str">
        <f>IF(VLOOKUP($C11,Purchased!A:Z,11,0) = 0, " ", VLOOKUP($C11,Purchased!A:Z,11,0))</f>
        <v>ELESA</v>
      </c>
      <c r="G11" s="108" t="str">
        <f>IF(VLOOKUP($C11,Purchased!A:Z,12,0)=0, " ", VLOOKUP($C11,Purchased!A:Z,12,0))</f>
        <v>ELESA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>
        <f>IF(VLOOKUP(C11,Purchased!A:R,15,0)=0, " ", VLOOKUP(C11,Purchased!A:R,15,0))</f>
        <v>45526</v>
      </c>
      <c r="M11" s="46">
        <f>IF(VLOOKUP(C11,Purchased!A:R,16,0)=0, " ",VLOOKUP(C11,Purchased!A:R,16,0))</f>
        <v>45551</v>
      </c>
      <c r="N11" s="130">
        <f>IF(VLOOKUP(C11,Purchased!A:R,17,0)=0, " ", VLOOKUP(C11,Purchased!A:R,17,0))</f>
        <v>45551</v>
      </c>
      <c r="O11" s="47">
        <f t="shared" ca="1" si="2"/>
        <v>2</v>
      </c>
      <c r="P11" s="51">
        <f>VLOOKUP(C11,Purchased!A:D,3,FALSE)</f>
        <v>87.05</v>
      </c>
      <c r="Q11" s="52">
        <f t="shared" si="3"/>
        <v>174.1</v>
      </c>
    </row>
    <row r="12" spans="1:17" s="2" customFormat="1" ht="12" customHeight="1" x14ac:dyDescent="0.25">
      <c r="A12" s="4">
        <v>304</v>
      </c>
      <c r="B12" s="2">
        <v>2</v>
      </c>
      <c r="C12" s="135" t="s">
        <v>501</v>
      </c>
      <c r="D12" s="325" t="str">
        <f>VLOOKUP(C12,Purchased!A:B,2,0)</f>
        <v>Digital Position Indicator DD51-E-SST-IP65-C2</v>
      </c>
      <c r="E12" s="326"/>
      <c r="F12" s="108" t="str">
        <f>IF(VLOOKUP($C12,Purchased!A:Z,11,0) = 0, " ", VLOOKUP($C12,Purchased!A:Z,11,0))</f>
        <v>ELESA</v>
      </c>
      <c r="G12" s="108" t="str">
        <f>IF(VLOOKUP($C12,Purchased!A:Z,12,0)=0, " ", VLOOKUP($C12,Purchased!A:Z,12,0))</f>
        <v>ELESA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45506</v>
      </c>
      <c r="K12" s="46">
        <f>IF(VLOOKUP(C12,Purchased!A:R,14,0)=0, " ", VLOOKUP(C12,Purchased!A:R,14,0))</f>
        <v>45506</v>
      </c>
      <c r="L12" s="46">
        <f>IF(VLOOKUP(C12,Purchased!A:R,15,0)=0, " ", VLOOKUP(C12,Purchased!A:R,15,0))</f>
        <v>45526</v>
      </c>
      <c r="M12" s="46">
        <f>IF(VLOOKUP(C12,Purchased!A:R,16,0)=0, " ",VLOOKUP(C12,Purchased!A:R,16,0))</f>
        <v>45551</v>
      </c>
      <c r="N12" s="130">
        <f>IF(VLOOKUP(C12,Purchased!A:R,17,0)=0, " ", VLOOKUP(C12,Purchased!A:R,17,0))</f>
        <v>45551</v>
      </c>
      <c r="O12" s="47">
        <f t="shared" ca="1" si="2"/>
        <v>2</v>
      </c>
      <c r="P12" s="51">
        <f>VLOOKUP(C12,Purchased!A:D,3,FALSE)</f>
        <v>258</v>
      </c>
      <c r="Q12" s="52">
        <f t="shared" si="3"/>
        <v>516</v>
      </c>
    </row>
    <row r="13" spans="1:17" s="2" customFormat="1" ht="12" customHeight="1" x14ac:dyDescent="0.25">
      <c r="A13" s="4">
        <v>305</v>
      </c>
      <c r="B13" s="2">
        <v>2</v>
      </c>
      <c r="C13" s="135" t="s">
        <v>502</v>
      </c>
      <c r="D13" s="325" t="str">
        <f>VLOOKUP(C13,Purchased!A:B,2,0)</f>
        <v>Spindle Locking</v>
      </c>
      <c r="E13" s="326"/>
      <c r="F13" s="108" t="str">
        <f>IF(VLOOKUP($C13,Purchased!A:Z,11,0) = 0, " ", VLOOKUP($C13,Purchased!A:Z,11,0))</f>
        <v>ELESA</v>
      </c>
      <c r="G13" s="108" t="str">
        <f>IF(VLOOKUP($C13,Purchased!A:Z,12,0)=0, " ", VLOOKUP($C13,Purchased!A:Z,12,0))</f>
        <v>ELESA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45506</v>
      </c>
      <c r="K13" s="46">
        <f>IF(VLOOKUP(C13,Purchased!A:R,14,0)=0, " ", VLOOKUP(C13,Purchased!A:R,14,0))</f>
        <v>45506</v>
      </c>
      <c r="L13" s="46">
        <f>IF(VLOOKUP(C13,Purchased!A:R,15,0)=0, " ", VLOOKUP(C13,Purchased!A:R,15,0))</f>
        <v>45526</v>
      </c>
      <c r="M13" s="46">
        <f>IF(VLOOKUP(C13,Purchased!A:R,16,0)=0, " ",VLOOKUP(C13,Purchased!A:R,16,0))</f>
        <v>45551</v>
      </c>
      <c r="N13" s="130">
        <f>IF(VLOOKUP(C13,Purchased!A:R,17,0)=0, " ", VLOOKUP(C13,Purchased!A:R,17,0))</f>
        <v>45551</v>
      </c>
      <c r="O13" s="47">
        <f t="shared" ca="1" si="2"/>
        <v>2</v>
      </c>
      <c r="P13" s="51">
        <f>VLOOKUP(C13,Purchased!A:D,3,FALSE)</f>
        <v>45.32</v>
      </c>
      <c r="Q13" s="52">
        <f t="shared" si="3"/>
        <v>90.64</v>
      </c>
    </row>
    <row r="14" spans="1:17" s="2" customFormat="1" ht="12" customHeight="1" x14ac:dyDescent="0.25">
      <c r="A14" s="4">
        <v>306</v>
      </c>
      <c r="B14" s="2">
        <v>2</v>
      </c>
      <c r="C14" s="135" t="s">
        <v>503</v>
      </c>
      <c r="D14" s="325" t="str">
        <f>VLOOKUP(C14,Purchased!A:B,2,0)</f>
        <v>Clamping Shaft Coupling, Steel, for 3/8" x 3/8" Diameter Round Shaft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45526</v>
      </c>
      <c r="K14" s="46">
        <f>IF(VLOOKUP(C14,Purchased!A:R,14,0)=0, " ", VLOOKUP(C14,Purchased!A:R,14,0))</f>
        <v>45526</v>
      </c>
      <c r="L14" s="46">
        <f>IF(VLOOKUP(C14,Purchased!A:R,15,0)=0, " ", VLOOKUP(C14,Purchased!A:R,15,0))</f>
        <v>45526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2"/>
        <v>2</v>
      </c>
      <c r="P14" s="51">
        <f>VLOOKUP(C14,Purchased!A:D,3,FALSE)</f>
        <v>39.14</v>
      </c>
      <c r="Q14" s="52">
        <f t="shared" si="3"/>
        <v>78.28</v>
      </c>
    </row>
    <row r="15" spans="1:17" s="2" customFormat="1" ht="12" customHeight="1" x14ac:dyDescent="0.25">
      <c r="A15" s="4">
        <v>307</v>
      </c>
      <c r="B15" s="2">
        <v>2</v>
      </c>
      <c r="C15" s="135" t="s">
        <v>504</v>
      </c>
      <c r="D15" s="325" t="str">
        <f>VLOOKUP(C15,Purchased!A:B,2,0)</f>
        <v>20mm ID 32mm OD 7mm Thick Ball Bearing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>11 Additional Quantity Added to 55697</v>
      </c>
      <c r="I15" s="328"/>
      <c r="J15" s="46">
        <f>IF(VLOOKUP($C15,Purchased!A:Z,14,0)=0, " ", VLOOKUP($C15,Purchased!A:Z,14,0))</f>
        <v>45481</v>
      </c>
      <c r="K15" s="46">
        <f>IF(VLOOKUP(C15,Purchased!A:R,14,0)=0, " ", VLOOKUP(C15,Purchased!A:R,14,0))</f>
        <v>45481</v>
      </c>
      <c r="L15" s="46">
        <f>IF(VLOOKUP(C15,Purchased!A:R,15,0)=0, " ", VLOOKUP(C15,Purchased!A:R,15,0))</f>
        <v>45481</v>
      </c>
      <c r="M15" s="46">
        <f>IF(VLOOKUP(C15,Purchased!A:R,16,0)=0, " ",VLOOKUP(C15,Purchased!A:R,16,0))</f>
        <v>45482</v>
      </c>
      <c r="N15" s="130">
        <f>IF(VLOOKUP(C15,Purchased!A:R,17,0)=0, " ", VLOOKUP(C15,Purchased!A:R,17,0))</f>
        <v>45482</v>
      </c>
      <c r="O15" s="47">
        <f t="shared" ca="1" si="2"/>
        <v>2</v>
      </c>
      <c r="P15" s="51">
        <f>VLOOKUP(C15,Purchased!A:D,3,FALSE)</f>
        <v>16.88</v>
      </c>
      <c r="Q15" s="52">
        <f t="shared" si="3"/>
        <v>33.76</v>
      </c>
    </row>
    <row r="16" spans="1:17" s="2" customFormat="1" ht="12" customHeight="1" x14ac:dyDescent="0.25">
      <c r="A16" s="4">
        <v>308</v>
      </c>
      <c r="B16" s="2">
        <v>4</v>
      </c>
      <c r="C16" s="135" t="s">
        <v>505</v>
      </c>
      <c r="D16" s="325" t="str">
        <f>VLOOKUP(C16,Purchased!A:B,2,0)</f>
        <v>Misumi 63mm Spacer M6 to M8</v>
      </c>
      <c r="E16" s="326"/>
      <c r="F16" s="108" t="str">
        <f>IF(VLOOKUP($C16,Purchased!A:Z,11,0) = 0, " ", VLOOKUP($C16,Purchased!A:Z,11,0))</f>
        <v>MISUMI</v>
      </c>
      <c r="G16" s="108" t="str">
        <f>IF(VLOOKUP($C16,Purchased!A:Z,12,0)=0, " ", VLOOKUP($C16,Purchased!A:Z,12,0))</f>
        <v>MISUMI</v>
      </c>
      <c r="H16" s="327" t="str">
        <f>IF(VLOOKUP($C16,Purchased!A:Z,13,0)=0, " ", VLOOKUP($C16,Purchased!A:Z,13,0))</f>
        <v xml:space="preserve"> 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>
        <f>IF(VLOOKUP(C16,Purchased!A:R,15,0)=0, " ", VLOOKUP(C16,Purchased!A:R,15,0))</f>
        <v>45524</v>
      </c>
      <c r="M16" s="46">
        <f>IF(VLOOKUP(C16,Purchased!A:R,16,0)=0, " ",VLOOKUP(C16,Purchased!A:R,16,0))</f>
        <v>45540</v>
      </c>
      <c r="N16" s="130">
        <f>IF(VLOOKUP(C16,Purchased!A:R,17,0)=0, " ", VLOOKUP(C16,Purchased!A:R,17,0))</f>
        <v>45527</v>
      </c>
      <c r="O16" s="47">
        <f t="shared" ca="1" si="2"/>
        <v>4</v>
      </c>
      <c r="P16" s="51">
        <f>VLOOKUP(C16,Purchased!A:D,3,FALSE)</f>
        <v>38.200000000000003</v>
      </c>
      <c r="Q16" s="52">
        <f t="shared" si="3"/>
        <v>152.80000000000001</v>
      </c>
    </row>
    <row r="17" spans="1:17" s="2" customFormat="1" ht="12" customHeight="1" x14ac:dyDescent="0.25">
      <c r="A17" s="4">
        <v>309</v>
      </c>
      <c r="B17" s="2">
        <v>12</v>
      </c>
      <c r="C17" s="135" t="s">
        <v>104</v>
      </c>
      <c r="D17" s="325" t="str">
        <f>VLOOKUP(C17,Purchased!A:B,2,0)</f>
        <v>BRX GOTO T-NUT 10 M8</v>
      </c>
      <c r="E17" s="326"/>
      <c r="F17" s="108" t="str">
        <f>IF(VLOOKUP($C17,Purchased!A:Z,11,0) = 0, " ", VLOOKUP($C17,Purchased!A:Z,11,0))</f>
        <v>BRX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>400 additional quantity added to 55710</v>
      </c>
      <c r="I17" s="328"/>
      <c r="J17" s="46">
        <f>IF(VLOOKUP($C17,Purchased!A:Z,14,0)=0, " ", VLOOKUP($C17,Purchased!A:Z,14,0))</f>
        <v>45463</v>
      </c>
      <c r="K17" s="46">
        <f>IF(VLOOKUP(C17,Purchased!A:R,14,0)=0, " ", VLOOKUP(C17,Purchased!A:R,14,0))</f>
        <v>45463</v>
      </c>
      <c r="L17" s="46">
        <f>IF(VLOOKUP(C17,Purchased!A:R,15,0)=0, " ", VLOOKUP(C17,Purchased!A:R,15,0))</f>
        <v>45463</v>
      </c>
      <c r="M17" s="46">
        <f>IF(VLOOKUP(C17,Purchased!A:R,16,0)=0, " ",VLOOKUP(C17,Purchased!A:R,16,0))</f>
        <v>45481</v>
      </c>
      <c r="N17" s="130">
        <f>IF(VLOOKUP(C17,Purchased!A:R,17,0)=0, " ", VLOOKUP(C17,Purchased!A:R,17,0))</f>
        <v>45481</v>
      </c>
      <c r="O17" s="47">
        <f t="shared" ca="1" si="2"/>
        <v>12</v>
      </c>
      <c r="P17" s="51">
        <f>VLOOKUP(C17,Purchased!A:D,3,FALSE)</f>
        <v>0.56000000000000005</v>
      </c>
      <c r="Q17" s="52">
        <f t="shared" si="3"/>
        <v>6.7200000000000006</v>
      </c>
    </row>
    <row r="18" spans="1:17" s="2" customFormat="1" ht="12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501</v>
      </c>
      <c r="B19" s="2">
        <v>4</v>
      </c>
      <c r="C19" s="122" t="s">
        <v>506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ca="1">B19*$L$2</f>
        <v>4</v>
      </c>
      <c r="P19" s="51">
        <f>VLOOKUP(C19,Bolts!A:B,2,FALSE)</f>
        <v>0</v>
      </c>
      <c r="Q19" s="52">
        <f>B19*P19</f>
        <v>0</v>
      </c>
    </row>
    <row r="20" spans="1:17" s="2" customFormat="1" ht="12" customHeight="1" x14ac:dyDescent="0.25">
      <c r="A20" s="4">
        <v>502</v>
      </c>
      <c r="B20" s="2">
        <v>4</v>
      </c>
      <c r="C20" s="122" t="s">
        <v>382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ca="1">B20*$L$2</f>
        <v>4</v>
      </c>
      <c r="P20" s="51">
        <f>VLOOKUP(C20,Bolts!A:B,2,FALSE)</f>
        <v>0</v>
      </c>
      <c r="Q20" s="52">
        <f>B20*P20</f>
        <v>0</v>
      </c>
    </row>
    <row r="21" spans="1:17" s="2" customFormat="1" ht="12" customHeight="1" x14ac:dyDescent="0.25">
      <c r="A21" s="4">
        <v>503</v>
      </c>
      <c r="B21" s="2">
        <v>4</v>
      </c>
      <c r="C21" s="122" t="s">
        <v>109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ca="1">B21*$L$2</f>
        <v>4</v>
      </c>
      <c r="P21" s="51">
        <f>VLOOKUP(C21,Bolts!A:B,2,FALSE)</f>
        <v>0</v>
      </c>
      <c r="Q21" s="52">
        <f>B21*P21</f>
        <v>0</v>
      </c>
    </row>
    <row r="22" spans="1:17" s="2" customFormat="1" ht="12" customHeight="1" x14ac:dyDescent="0.25">
      <c r="A22" s="4">
        <v>504</v>
      </c>
      <c r="B22" s="2">
        <v>8</v>
      </c>
      <c r="C22" s="122" t="s">
        <v>186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ref="O22:O23" ca="1" si="4">B22*$L$2</f>
        <v>8</v>
      </c>
      <c r="P22" s="51">
        <f>VLOOKUP(C22,Bolts!A:B,2,FALSE)</f>
        <v>0</v>
      </c>
      <c r="Q22" s="52">
        <f t="shared" ref="Q22:Q23" si="5">B22*P22</f>
        <v>0</v>
      </c>
    </row>
    <row r="23" spans="1:17" s="2" customFormat="1" ht="12" customHeight="1" thickBot="1" x14ac:dyDescent="0.3">
      <c r="A23" s="4">
        <v>505</v>
      </c>
      <c r="B23" s="2">
        <v>4</v>
      </c>
      <c r="C23" s="122" t="s">
        <v>507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4"/>
        <v>4</v>
      </c>
      <c r="P23" s="51">
        <f>VLOOKUP(C23,Bolts!A:B,2,FALSE)</f>
        <v>0</v>
      </c>
      <c r="Q23" s="52">
        <f t="shared" si="5"/>
        <v>0</v>
      </c>
    </row>
    <row r="24" spans="1:17" s="2" customFormat="1" ht="12" customHeight="1" thickBot="1" x14ac:dyDescent="0.3">
      <c r="A24" s="34"/>
      <c r="B24" s="35"/>
      <c r="C24" s="35"/>
      <c r="D24" s="316"/>
      <c r="E24" s="317"/>
      <c r="F24" s="35"/>
      <c r="G24" s="35"/>
      <c r="H24" s="309"/>
      <c r="I24" s="310"/>
      <c r="J24" s="36"/>
      <c r="K24" s="36"/>
      <c r="L24" s="36"/>
      <c r="M24" s="37"/>
      <c r="N24" s="132"/>
      <c r="O24" s="38"/>
      <c r="P24" s="99" t="s">
        <v>43</v>
      </c>
      <c r="Q24" s="104">
        <f>SUM(Q5:Q23)</f>
        <v>1690.3</v>
      </c>
    </row>
  </sheetData>
  <mergeCells count="38">
    <mergeCell ref="D24:E24"/>
    <mergeCell ref="H24:I24"/>
    <mergeCell ref="D18:E18"/>
    <mergeCell ref="H18:I18"/>
    <mergeCell ref="D19:E19"/>
    <mergeCell ref="D20:E20"/>
    <mergeCell ref="D21:E21"/>
    <mergeCell ref="D22:E22"/>
    <mergeCell ref="D23:E23"/>
    <mergeCell ref="D16:E16"/>
    <mergeCell ref="H16:I16"/>
    <mergeCell ref="D17:E17"/>
    <mergeCell ref="H17:I17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9:E9"/>
    <mergeCell ref="H9:I9"/>
    <mergeCell ref="D5:E5"/>
    <mergeCell ref="H5:I5"/>
    <mergeCell ref="D7:E7"/>
    <mergeCell ref="H7:I7"/>
    <mergeCell ref="D1:E1"/>
    <mergeCell ref="D4:E4"/>
    <mergeCell ref="H4:I4"/>
    <mergeCell ref="D8:E8"/>
    <mergeCell ref="H8:I8"/>
    <mergeCell ref="D6:E6"/>
    <mergeCell ref="H6:I6"/>
  </mergeCells>
  <phoneticPr fontId="8" type="noConversion"/>
  <conditionalFormatting sqref="M8 M18:M23">
    <cfRule type="cellIs" dxfId="1594" priority="19" stopIfTrue="1" operator="lessThanOrEqual">
      <formula>$L8</formula>
    </cfRule>
    <cfRule type="cellIs" dxfId="1593" priority="20" operator="greaterThan">
      <formula>L8</formula>
    </cfRule>
  </conditionalFormatting>
  <conditionalFormatting sqref="M9:M17">
    <cfRule type="cellIs" dxfId="1592" priority="1" stopIfTrue="1" operator="lessThanOrEqual">
      <formula>$L9</formula>
    </cfRule>
    <cfRule type="cellIs" dxfId="1591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3D8097-25CA-43E9-827C-9D977BF87CE3}">
          <x14:formula1>
            <xm:f>Bolts!$A:$A</xm:f>
          </x14:formula1>
          <xm:sqref>C18:C23</xm:sqref>
        </x14:dataValidation>
        <x14:dataValidation type="list" allowBlank="1" showInputMessage="1" showErrorMessage="1" xr:uid="{746FAF73-9CFE-400D-8D44-94AECBB347A4}">
          <x14:formula1>
            <xm:f>Machined!$C:$C</xm:f>
          </x14:formula1>
          <xm:sqref>C5:C7</xm:sqref>
        </x14:dataValidation>
        <x14:dataValidation type="list" allowBlank="1" showInputMessage="1" showErrorMessage="1" xr:uid="{EF980895-7CA1-4CEF-BB84-BEE00F937B48}">
          <x14:formula1>
            <xm:f>Purchased!$A:$A</xm:f>
          </x14:formula1>
          <xm:sqref>C8:C17</xm:sqref>
        </x14:dataValidation>
      </x14:dataValidation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523E2-5672-4DC6-995E-DE1870CE891C}">
  <sheetPr codeName="Sheet89">
    <tabColor theme="5" tint="0.59999389629810485"/>
  </sheetPr>
  <dimension ref="A1:Q15"/>
  <sheetViews>
    <sheetView zoomScale="115" zoomScaleNormal="115" workbookViewId="0">
      <selection activeCell="I24" sqref="I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'0'!C8</f>
        <v>PG10.4.0.A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'0'!D8</f>
        <v>Main Frame 3</v>
      </c>
      <c r="D3" s="85" t="s">
        <v>50</v>
      </c>
      <c r="E3" s="86" t="str">
        <f ca="1">MID(CELL("filename",A1),FIND("]",CELL("filename",A1))+1,256)</f>
        <v>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508</v>
      </c>
      <c r="D5" s="351" t="str">
        <f ca="1">VLOOKUP(C5,Assemblies!E:P,2,0)</f>
        <v>Lower Main Frame 3</v>
      </c>
      <c r="E5" s="352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3" ca="1" si="0">B5*$L$2</f>
        <v>1</v>
      </c>
      <c r="P5" s="117">
        <f>'4.1'!Q50</f>
        <v>2493.75</v>
      </c>
      <c r="Q5" s="152">
        <f t="shared" ref="Q5:Q13" si="1">B5*P5</f>
        <v>2493.75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509</v>
      </c>
      <c r="D6" s="349" t="str">
        <f ca="1">VLOOKUP(C6,Assemblies!E:P,2,0)</f>
        <v>Upper Main Frame 3</v>
      </c>
      <c r="E6" s="353"/>
      <c r="F6" s="154"/>
      <c r="G6" s="32"/>
      <c r="H6" s="303"/>
      <c r="I6" s="303"/>
      <c r="J6" s="28"/>
      <c r="K6" s="28"/>
      <c r="L6" s="28"/>
      <c r="M6" s="28"/>
      <c r="N6" s="33"/>
      <c r="O6" s="146">
        <f t="shared" ref="O6" ca="1" si="2">B6*$L$2</f>
        <v>1</v>
      </c>
      <c r="P6" s="147">
        <f>'4.2'!Q31</f>
        <v>4320.82</v>
      </c>
      <c r="Q6" s="153">
        <f t="shared" ref="Q6" si="3">B6*P6</f>
        <v>4320.82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510</v>
      </c>
      <c r="D7" s="349" t="str">
        <f ca="1">VLOOKUP(C7,Assemblies!E:P,2,0)</f>
        <v>CENTER KNIFE ASSY</v>
      </c>
      <c r="E7" s="353"/>
      <c r="F7" s="154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'4.3'!Q51</f>
        <v>3186.7230000000009</v>
      </c>
      <c r="Q7" s="153">
        <f t="shared" si="1"/>
        <v>3186.7230000000009</v>
      </c>
    </row>
    <row r="8" spans="1:17" s="1" customFormat="1" ht="12.75" customHeight="1" x14ac:dyDescent="0.2">
      <c r="A8" s="150" t="s">
        <v>60</v>
      </c>
      <c r="B8" s="1">
        <v>1</v>
      </c>
      <c r="C8" s="145" t="s">
        <v>368</v>
      </c>
      <c r="D8" s="349" t="str">
        <f ca="1">VLOOKUP(C8,Assemblies!E:P,2,0)</f>
        <v>Segmented Nip Assy</v>
      </c>
      <c r="E8" s="353"/>
      <c r="F8" s="154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'2.3'!Q63</f>
        <v>20934.609200000006</v>
      </c>
      <c r="Q8" s="153">
        <f t="shared" si="1"/>
        <v>20934.609200000006</v>
      </c>
    </row>
    <row r="9" spans="1:17" s="1" customFormat="1" ht="12.75" customHeight="1" x14ac:dyDescent="0.2">
      <c r="A9" s="150" t="s">
        <v>62</v>
      </c>
      <c r="B9" s="1">
        <v>1</v>
      </c>
      <c r="C9" s="145" t="s">
        <v>511</v>
      </c>
      <c r="D9" s="349" t="str">
        <f ca="1">VLOOKUP(C9,Assemblies!E:P,2,0)</f>
        <v>Presto Welder Assy</v>
      </c>
      <c r="E9" s="353"/>
      <c r="F9" s="154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1</v>
      </c>
      <c r="P9" s="147">
        <v>0</v>
      </c>
      <c r="Q9" s="153">
        <f t="shared" si="1"/>
        <v>0</v>
      </c>
    </row>
    <row r="10" spans="1:17" s="1" customFormat="1" ht="12.75" customHeight="1" x14ac:dyDescent="0.2">
      <c r="A10" s="150" t="s">
        <v>64</v>
      </c>
      <c r="B10" s="1">
        <v>1</v>
      </c>
      <c r="C10" s="145" t="s">
        <v>512</v>
      </c>
      <c r="D10" s="349" t="str">
        <f ca="1">VLOOKUP(C10,Assemblies!E:P,2,0)</f>
        <v>Presto Slider Insertion Assy</v>
      </c>
      <c r="E10" s="353"/>
      <c r="F10" s="154"/>
      <c r="G10" s="32"/>
      <c r="H10" s="303"/>
      <c r="I10" s="303"/>
      <c r="J10" s="28"/>
      <c r="K10" s="28"/>
      <c r="L10" s="28"/>
      <c r="M10" s="28"/>
      <c r="N10" s="33"/>
      <c r="O10" s="146">
        <f t="shared" ca="1" si="0"/>
        <v>1</v>
      </c>
      <c r="P10" s="147">
        <v>0</v>
      </c>
      <c r="Q10" s="153">
        <f t="shared" si="1"/>
        <v>0</v>
      </c>
    </row>
    <row r="11" spans="1:17" s="1" customFormat="1" ht="12.75" customHeight="1" x14ac:dyDescent="0.2">
      <c r="A11" s="150" t="s">
        <v>66</v>
      </c>
      <c r="B11" s="1">
        <v>1</v>
      </c>
      <c r="C11" s="145" t="s">
        <v>513</v>
      </c>
      <c r="D11" s="349" t="str">
        <f ca="1">VLOOKUP(C11,Assemblies!E:P,2,0)</f>
        <v>Knife Manifold</v>
      </c>
      <c r="E11" s="353"/>
      <c r="F11" s="154"/>
      <c r="G11" s="32"/>
      <c r="H11" s="303"/>
      <c r="I11" s="303"/>
      <c r="J11" s="28"/>
      <c r="K11" s="28"/>
      <c r="L11" s="28"/>
      <c r="M11" s="28"/>
      <c r="N11" s="33"/>
      <c r="O11" s="146">
        <f t="shared" ca="1" si="0"/>
        <v>1</v>
      </c>
      <c r="P11" s="147">
        <v>0</v>
      </c>
      <c r="Q11" s="153">
        <f t="shared" si="1"/>
        <v>0</v>
      </c>
    </row>
    <row r="12" spans="1:17" s="1" customFormat="1" ht="12.75" customHeight="1" x14ac:dyDescent="0.2">
      <c r="A12" s="150" t="s">
        <v>68</v>
      </c>
      <c r="B12" s="1">
        <v>2</v>
      </c>
      <c r="C12" s="145" t="s">
        <v>3668</v>
      </c>
      <c r="D12" s="349" t="str">
        <f ca="1">VLOOKUP(C12,Assemblies!E:P,2,0)</f>
        <v>Printer Assy</v>
      </c>
      <c r="E12" s="353"/>
      <c r="F12" s="154"/>
      <c r="G12" s="32"/>
      <c r="H12" s="303"/>
      <c r="I12" s="303"/>
      <c r="J12" s="28"/>
      <c r="K12" s="28"/>
      <c r="L12" s="28"/>
      <c r="M12" s="28"/>
      <c r="N12" s="33"/>
      <c r="O12" s="146">
        <f t="shared" ca="1" si="0"/>
        <v>2</v>
      </c>
      <c r="P12" s="147">
        <v>0</v>
      </c>
      <c r="Q12" s="153">
        <f t="shared" si="1"/>
        <v>0</v>
      </c>
    </row>
    <row r="13" spans="1:17" s="1" customFormat="1" ht="12.75" customHeight="1" thickBot="1" x14ac:dyDescent="0.25">
      <c r="A13" s="150" t="s">
        <v>70</v>
      </c>
      <c r="B13" s="1">
        <v>1</v>
      </c>
      <c r="C13" s="145" t="s">
        <v>514</v>
      </c>
      <c r="D13" s="349" t="str">
        <f ca="1">VLOOKUP(C13,Assemblies!E:P,2,0)</f>
        <v>Main HMI Enclosure</v>
      </c>
      <c r="E13" s="349"/>
      <c r="F13" s="32"/>
      <c r="G13" s="32"/>
      <c r="H13" s="32"/>
      <c r="I13" s="32"/>
      <c r="J13" s="28"/>
      <c r="K13" s="28"/>
      <c r="L13" s="28"/>
      <c r="M13" s="28"/>
      <c r="N13" s="33"/>
      <c r="O13" s="146">
        <f t="shared" ca="1" si="0"/>
        <v>1</v>
      </c>
      <c r="P13" s="147">
        <v>0</v>
      </c>
      <c r="Q13" s="151">
        <f t="shared" si="1"/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30935.902200000008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22">
    <mergeCell ref="D11:E11"/>
    <mergeCell ref="H11:I11"/>
    <mergeCell ref="D12:E12"/>
    <mergeCell ref="H12:I12"/>
    <mergeCell ref="D14:E14"/>
    <mergeCell ref="H14:I14"/>
    <mergeCell ref="D13:E13"/>
    <mergeCell ref="D8:E8"/>
    <mergeCell ref="H8:I8"/>
    <mergeCell ref="D9:E9"/>
    <mergeCell ref="H9:I9"/>
    <mergeCell ref="D10:E10"/>
    <mergeCell ref="H10:I10"/>
    <mergeCell ref="D7:E7"/>
    <mergeCell ref="H7:I7"/>
    <mergeCell ref="D1:E1"/>
    <mergeCell ref="D4:E4"/>
    <mergeCell ref="H4:I4"/>
    <mergeCell ref="D5:E5"/>
    <mergeCell ref="H5:I5"/>
    <mergeCell ref="D6:E6"/>
    <mergeCell ref="H6:I6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368422-8C63-43B9-A8C3-9EC6CC3E3365}">
          <x14:formula1>
            <xm:f>Assemblies!$E:$E</xm:f>
          </x14:formula1>
          <xm:sqref>C5:C14</xm:sqref>
        </x14:dataValidation>
      </x14:dataValidation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291B-BB64-4EB5-9631-CFEA2F666FDD}">
  <sheetPr codeName="Sheet90">
    <tabColor theme="9" tint="0.59999389629810485"/>
  </sheetPr>
  <dimension ref="A1:Q50"/>
  <sheetViews>
    <sheetView topLeftCell="A14" zoomScale="114" zoomScaleNormal="115" workbookViewId="0">
      <selection activeCell="D52" sqref="D5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'4'!C5</f>
        <v>PG10.4.1.0.A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'4'!D5</f>
        <v>Lower Main Frame 3</v>
      </c>
      <c r="D3" s="85" t="s">
        <v>50</v>
      </c>
      <c r="E3" s="86" t="str">
        <f ca="1">MID(CELL("filename",A1),FIND("]",CELL("filename",A1))+1,256)</f>
        <v>4.1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129</v>
      </c>
      <c r="D5" s="336" t="str">
        <f ca="1">VLOOKUP(C5,Assemblies!E:P,2,0)</f>
        <v>M8 Leveling Foot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3" ca="1" si="0">B5*$L$2</f>
        <v>10</v>
      </c>
      <c r="P5" s="117"/>
      <c r="Q5" s="118">
        <f t="shared" ref="Q5:Q13" si="1">B5*P5</f>
        <v>0</v>
      </c>
    </row>
    <row r="6" spans="1:17" s="2" customFormat="1" ht="12.75" customHeight="1" x14ac:dyDescent="0.2">
      <c r="A6" s="150" t="s">
        <v>56</v>
      </c>
      <c r="B6" s="1">
        <v>14</v>
      </c>
      <c r="C6" s="145" t="s">
        <v>131</v>
      </c>
      <c r="D6" s="314" t="str">
        <f ca="1">VLOOKUP(C6,Assemblies!E:P,2,0)</f>
        <v>Frame Gusset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14</v>
      </c>
      <c r="P6" s="147"/>
      <c r="Q6" s="103">
        <f t="shared" si="1"/>
        <v>0</v>
      </c>
    </row>
    <row r="7" spans="1:17" s="2" customFormat="1" ht="12.75" customHeight="1" x14ac:dyDescent="0.2">
      <c r="A7" s="150" t="s">
        <v>58</v>
      </c>
      <c r="B7" s="1">
        <v>2</v>
      </c>
      <c r="C7" s="145" t="s">
        <v>369</v>
      </c>
      <c r="D7" s="314" t="str">
        <f ca="1">VLOOKUP(C7,Assemblies!E:P,2,0)</f>
        <v>Extrusion Joining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2</v>
      </c>
      <c r="P7" s="147"/>
      <c r="Q7" s="103">
        <f t="shared" si="1"/>
        <v>0</v>
      </c>
    </row>
    <row r="8" spans="1:17" s="2" customFormat="1" ht="12.75" customHeight="1" x14ac:dyDescent="0.2">
      <c r="A8" s="150" t="s">
        <v>60</v>
      </c>
      <c r="B8" s="1">
        <v>2</v>
      </c>
      <c r="C8" s="145" t="s">
        <v>515</v>
      </c>
      <c r="D8" s="314" t="str">
        <f ca="1">VLOOKUP(C8,Assemblies!E:P,2,0)</f>
        <v>Welders Rail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2</v>
      </c>
      <c r="P8" s="147"/>
      <c r="Q8" s="103">
        <f t="shared" si="1"/>
        <v>0</v>
      </c>
    </row>
    <row r="9" spans="1:17" s="2" customFormat="1" ht="12.75" customHeight="1" x14ac:dyDescent="0.2">
      <c r="A9" s="150" t="s">
        <v>62</v>
      </c>
      <c r="B9" s="1">
        <v>2</v>
      </c>
      <c r="C9" s="145" t="s">
        <v>516</v>
      </c>
      <c r="D9" s="314" t="str">
        <f ca="1">VLOOKUP(C9,Assemblies!E:P,2,0)</f>
        <v>Welders Gear Rack Assy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2</v>
      </c>
      <c r="P9" s="147"/>
      <c r="Q9" s="103">
        <f t="shared" si="1"/>
        <v>0</v>
      </c>
    </row>
    <row r="10" spans="1:17" s="2" customFormat="1" ht="12.75" customHeight="1" x14ac:dyDescent="0.2">
      <c r="A10" s="150" t="s">
        <v>64</v>
      </c>
      <c r="B10" s="1">
        <v>4</v>
      </c>
      <c r="C10" s="145" t="s">
        <v>517</v>
      </c>
      <c r="D10" s="314" t="str">
        <f ca="1">VLOOKUP(C10,Assemblies!E:P,2,0)</f>
        <v>Cross Seal Cam Bar Assy</v>
      </c>
      <c r="E10" s="315"/>
      <c r="F10" s="32"/>
      <c r="G10" s="32"/>
      <c r="H10" s="32"/>
      <c r="I10" s="32"/>
      <c r="J10" s="28"/>
      <c r="K10" s="28"/>
      <c r="L10" s="28"/>
      <c r="M10" s="28"/>
      <c r="N10" s="33"/>
      <c r="O10" s="146">
        <f t="shared" ca="1" si="0"/>
        <v>4</v>
      </c>
      <c r="P10" s="147"/>
      <c r="Q10" s="103">
        <f t="shared" si="1"/>
        <v>0</v>
      </c>
    </row>
    <row r="11" spans="1:17" s="2" customFormat="1" ht="12.75" customHeight="1" x14ac:dyDescent="0.2">
      <c r="A11" s="150" t="s">
        <v>66</v>
      </c>
      <c r="B11" s="1">
        <v>2</v>
      </c>
      <c r="C11" s="145" t="s">
        <v>518</v>
      </c>
      <c r="D11" s="314" t="str">
        <f ca="1">VLOOKUP(C11,Assemblies!E:P,2,0)</f>
        <v>Cross Seal Gear Rack  Assy</v>
      </c>
      <c r="E11" s="315"/>
      <c r="F11" s="32"/>
      <c r="G11" s="32"/>
      <c r="H11" s="32"/>
      <c r="I11" s="32"/>
      <c r="J11" s="28"/>
      <c r="K11" s="28"/>
      <c r="L11" s="28"/>
      <c r="M11" s="28"/>
      <c r="N11" s="33"/>
      <c r="O11" s="146">
        <f t="shared" ca="1" si="0"/>
        <v>2</v>
      </c>
      <c r="P11" s="147"/>
      <c r="Q11" s="103">
        <f t="shared" si="1"/>
        <v>0</v>
      </c>
    </row>
    <row r="12" spans="1:17" s="2" customFormat="1" ht="12.75" customHeight="1" x14ac:dyDescent="0.2">
      <c r="A12" s="150" t="s">
        <v>68</v>
      </c>
      <c r="B12" s="1">
        <v>2</v>
      </c>
      <c r="C12" s="145" t="s">
        <v>519</v>
      </c>
      <c r="D12" s="314" t="str">
        <f ca="1">VLOOKUP(C12,Assemblies!E:P,2,0)</f>
        <v>Slider Bowl Gear Rack Assy</v>
      </c>
      <c r="E12" s="315"/>
      <c r="F12" s="32"/>
      <c r="G12" s="32"/>
      <c r="H12" s="32"/>
      <c r="I12" s="32"/>
      <c r="J12" s="28"/>
      <c r="K12" s="28"/>
      <c r="L12" s="28"/>
      <c r="M12" s="28"/>
      <c r="N12" s="33"/>
      <c r="O12" s="146">
        <f t="shared" ca="1" si="0"/>
        <v>2</v>
      </c>
      <c r="P12" s="147"/>
      <c r="Q12" s="103">
        <f t="shared" si="1"/>
        <v>0</v>
      </c>
    </row>
    <row r="13" spans="1:17" s="2" customFormat="1" ht="12.75" customHeight="1" x14ac:dyDescent="0.2">
      <c r="A13" s="150" t="s">
        <v>70</v>
      </c>
      <c r="B13" s="1">
        <v>2</v>
      </c>
      <c r="C13" s="145" t="s">
        <v>520</v>
      </c>
      <c r="D13" s="314" t="str">
        <f ca="1">VLOOKUP(C13,Assemblies!E:P,2,0)</f>
        <v>Slider Bowl Rail Assy</v>
      </c>
      <c r="E13" s="315"/>
      <c r="F13" s="32"/>
      <c r="G13" s="32"/>
      <c r="H13" s="32"/>
      <c r="I13" s="32"/>
      <c r="J13" s="28"/>
      <c r="K13" s="28"/>
      <c r="L13" s="28"/>
      <c r="M13" s="28"/>
      <c r="N13" s="33"/>
      <c r="O13" s="146">
        <f t="shared" ca="1" si="0"/>
        <v>2</v>
      </c>
      <c r="P13" s="147"/>
      <c r="Q13" s="103">
        <f t="shared" si="1"/>
        <v>0</v>
      </c>
    </row>
    <row r="14" spans="1:17" s="2" customFormat="1" ht="12.75" customHeight="1" x14ac:dyDescent="0.2">
      <c r="A14" s="150" t="s">
        <v>72</v>
      </c>
      <c r="B14" s="1">
        <v>1</v>
      </c>
      <c r="C14" s="145" t="s">
        <v>521</v>
      </c>
      <c r="D14" s="314" t="str">
        <f ca="1">VLOOKUP(C14,Assemblies!E:P,2,0)</f>
        <v>Interlocked Lower Guard Assy</v>
      </c>
      <c r="E14" s="315"/>
      <c r="F14" s="32"/>
      <c r="G14" s="32"/>
      <c r="H14" s="32"/>
      <c r="I14" s="32"/>
      <c r="J14" s="28"/>
      <c r="K14" s="28"/>
      <c r="L14" s="28"/>
      <c r="M14" s="28"/>
      <c r="N14" s="33"/>
      <c r="O14" s="146">
        <f t="shared" ref="O14:O18" ca="1" si="2">B14*$L$2</f>
        <v>1</v>
      </c>
      <c r="P14" s="147"/>
      <c r="Q14" s="103">
        <f t="shared" ref="Q14:Q26" si="3">B14*P14</f>
        <v>0</v>
      </c>
    </row>
    <row r="15" spans="1:17" s="2" customFormat="1" ht="12.75" customHeight="1" x14ac:dyDescent="0.2">
      <c r="A15" s="150" t="s">
        <v>74</v>
      </c>
      <c r="B15" s="1">
        <v>1</v>
      </c>
      <c r="C15" s="145" t="s">
        <v>522</v>
      </c>
      <c r="D15" s="314" t="str">
        <f ca="1">VLOOKUP(C15,Assemblies!E:P,2,0)</f>
        <v>Interlocked Upper Guard Assy</v>
      </c>
      <c r="E15" s="315"/>
      <c r="F15" s="32"/>
      <c r="G15" s="32"/>
      <c r="H15" s="32"/>
      <c r="I15" s="32"/>
      <c r="J15" s="28"/>
      <c r="K15" s="28"/>
      <c r="L15" s="28"/>
      <c r="M15" s="28"/>
      <c r="N15" s="33"/>
      <c r="O15" s="146">
        <f t="shared" ca="1" si="2"/>
        <v>1</v>
      </c>
      <c r="P15" s="147"/>
      <c r="Q15" s="103">
        <f t="shared" si="3"/>
        <v>0</v>
      </c>
    </row>
    <row r="16" spans="1:17" s="2" customFormat="1" ht="12.75" customHeight="1" x14ac:dyDescent="0.2">
      <c r="A16" s="150" t="s">
        <v>76</v>
      </c>
      <c r="B16" s="1">
        <v>1</v>
      </c>
      <c r="C16" s="145" t="s">
        <v>523</v>
      </c>
      <c r="D16" s="314" t="str">
        <f ca="1">VLOOKUP(C16,Assemblies!E:P,2,0)</f>
        <v>Upweb Upper Guard Assy</v>
      </c>
      <c r="E16" s="315"/>
      <c r="F16" s="32"/>
      <c r="G16" s="32"/>
      <c r="H16" s="32"/>
      <c r="I16" s="32"/>
      <c r="J16" s="28"/>
      <c r="K16" s="28"/>
      <c r="L16" s="28"/>
      <c r="M16" s="28"/>
      <c r="N16" s="33"/>
      <c r="O16" s="146">
        <f t="shared" ca="1" si="2"/>
        <v>1</v>
      </c>
      <c r="P16" s="147"/>
      <c r="Q16" s="103">
        <f t="shared" si="3"/>
        <v>0</v>
      </c>
    </row>
    <row r="17" spans="1:17" s="2" customFormat="1" ht="12.75" customHeight="1" x14ac:dyDescent="0.2">
      <c r="A17" s="150" t="s">
        <v>78</v>
      </c>
      <c r="B17" s="1">
        <v>1</v>
      </c>
      <c r="C17" s="145" t="s">
        <v>524</v>
      </c>
      <c r="D17" s="314" t="str">
        <f ca="1">VLOOKUP(C17,Assemblies!E:P,2,0)</f>
        <v>Downweb Lower Guard Assy</v>
      </c>
      <c r="E17" s="315"/>
      <c r="F17" s="32"/>
      <c r="G17" s="32"/>
      <c r="H17" s="32"/>
      <c r="I17" s="32"/>
      <c r="J17" s="28"/>
      <c r="K17" s="28"/>
      <c r="L17" s="28"/>
      <c r="M17" s="28"/>
      <c r="N17" s="33"/>
      <c r="O17" s="146">
        <f t="shared" ca="1" si="2"/>
        <v>1</v>
      </c>
      <c r="P17" s="147"/>
      <c r="Q17" s="103">
        <f t="shared" si="3"/>
        <v>0</v>
      </c>
    </row>
    <row r="18" spans="1:17" s="2" customFormat="1" ht="12.75" customHeight="1" x14ac:dyDescent="0.2">
      <c r="A18" s="150" t="s">
        <v>142</v>
      </c>
      <c r="B18" s="1">
        <v>2</v>
      </c>
      <c r="C18" s="145" t="s">
        <v>525</v>
      </c>
      <c r="D18" s="314" t="str">
        <f ca="1">VLOOKUP(C18,Assemblies!E:P,2,0)</f>
        <v>End Lower Side Guard Assy</v>
      </c>
      <c r="E18" s="315"/>
      <c r="F18" s="32"/>
      <c r="G18" s="32"/>
      <c r="H18" s="32"/>
      <c r="I18" s="32"/>
      <c r="J18" s="28"/>
      <c r="K18" s="28"/>
      <c r="L18" s="28"/>
      <c r="M18" s="28"/>
      <c r="N18" s="33"/>
      <c r="O18" s="146">
        <f t="shared" ca="1" si="2"/>
        <v>2</v>
      </c>
      <c r="P18" s="147"/>
      <c r="Q18" s="103">
        <f t="shared" si="3"/>
        <v>0</v>
      </c>
    </row>
    <row r="19" spans="1:17" s="2" customFormat="1" ht="12.75" customHeight="1" x14ac:dyDescent="0.2">
      <c r="A19" s="150" t="s">
        <v>144</v>
      </c>
      <c r="B19" s="1">
        <v>1</v>
      </c>
      <c r="C19" s="145" t="s">
        <v>526</v>
      </c>
      <c r="D19" s="314" t="str">
        <f ca="1">VLOOKUP(C19,Assemblies!E:P,2,0)</f>
        <v>Upweb Lower Guard Assy</v>
      </c>
      <c r="E19" s="315"/>
      <c r="F19" s="32"/>
      <c r="G19" s="32"/>
      <c r="H19" s="32"/>
      <c r="I19" s="32"/>
      <c r="J19" s="28"/>
      <c r="K19" s="28"/>
      <c r="L19" s="28"/>
      <c r="M19" s="28"/>
      <c r="N19" s="33"/>
      <c r="O19" s="146">
        <f t="shared" ref="O19:O25" ca="1" si="4">B19*$L$2</f>
        <v>1</v>
      </c>
      <c r="P19" s="147"/>
      <c r="Q19" s="103">
        <f t="shared" ref="Q19:Q25" si="5">B19*P19</f>
        <v>0</v>
      </c>
    </row>
    <row r="20" spans="1:17" s="2" customFormat="1" ht="12.75" customHeight="1" x14ac:dyDescent="0.2">
      <c r="A20" s="150" t="s">
        <v>146</v>
      </c>
      <c r="B20" s="1">
        <v>1</v>
      </c>
      <c r="C20" s="145" t="s">
        <v>3761</v>
      </c>
      <c r="D20" s="314" t="str">
        <f ca="1">VLOOKUP(C20,Assemblies!E:P,2,0)</f>
        <v>Bottom Guarding 15 and 16</v>
      </c>
      <c r="E20" s="315"/>
      <c r="F20" s="32"/>
      <c r="G20" s="32"/>
      <c r="H20" s="32"/>
      <c r="I20" s="32"/>
      <c r="J20" s="28"/>
      <c r="K20" s="28"/>
      <c r="L20" s="28"/>
      <c r="M20" s="28"/>
      <c r="N20" s="33"/>
      <c r="O20" s="146">
        <f t="shared" ca="1" si="4"/>
        <v>1</v>
      </c>
      <c r="P20" s="147">
        <f>'4.1.13'!Q8</f>
        <v>56.959999999999994</v>
      </c>
      <c r="Q20" s="103">
        <f t="shared" si="5"/>
        <v>56.959999999999994</v>
      </c>
    </row>
    <row r="21" spans="1:17" s="2" customFormat="1" ht="12.75" customHeight="1" x14ac:dyDescent="0.2">
      <c r="A21" s="150" t="s">
        <v>3768</v>
      </c>
      <c r="B21" s="1">
        <v>1</v>
      </c>
      <c r="C21" s="145" t="s">
        <v>3762</v>
      </c>
      <c r="D21" s="314" t="str">
        <f ca="1">VLOOKUP(C21,Assemblies!E:P,2,0)</f>
        <v>Bottom Guarding 17 and 18</v>
      </c>
      <c r="E21" s="315"/>
      <c r="F21" s="32"/>
      <c r="G21" s="32"/>
      <c r="H21" s="32"/>
      <c r="I21" s="32"/>
      <c r="J21" s="28"/>
      <c r="K21" s="28"/>
      <c r="L21" s="28"/>
      <c r="M21" s="28"/>
      <c r="N21" s="33"/>
      <c r="O21" s="146">
        <f t="shared" ca="1" si="4"/>
        <v>1</v>
      </c>
      <c r="P21" s="147">
        <f>'4.1.14'!Q8</f>
        <v>42.72</v>
      </c>
      <c r="Q21" s="103">
        <f t="shared" si="5"/>
        <v>42.72</v>
      </c>
    </row>
    <row r="22" spans="1:17" s="2" customFormat="1" ht="12.75" customHeight="1" x14ac:dyDescent="0.2">
      <c r="A22" s="150" t="s">
        <v>3769</v>
      </c>
      <c r="B22" s="1">
        <v>1</v>
      </c>
      <c r="C22" s="145" t="s">
        <v>3763</v>
      </c>
      <c r="D22" s="314" t="str">
        <f ca="1">VLOOKUP(C22,Assemblies!E:P,2,0)</f>
        <v>Bottom Guarding 19 and 20</v>
      </c>
      <c r="E22" s="315"/>
      <c r="F22" s="32"/>
      <c r="G22" s="32"/>
      <c r="H22" s="32"/>
      <c r="I22" s="32"/>
      <c r="J22" s="28"/>
      <c r="K22" s="28"/>
      <c r="L22" s="28"/>
      <c r="M22" s="28"/>
      <c r="N22" s="33"/>
      <c r="O22" s="146">
        <f t="shared" ca="1" si="4"/>
        <v>1</v>
      </c>
      <c r="P22" s="147">
        <f>'4.1.15'!Q8</f>
        <v>42.72</v>
      </c>
      <c r="Q22" s="103">
        <f t="shared" si="5"/>
        <v>42.72</v>
      </c>
    </row>
    <row r="23" spans="1:17" s="2" customFormat="1" ht="12.75" customHeight="1" x14ac:dyDescent="0.2">
      <c r="A23" s="150" t="s">
        <v>3770</v>
      </c>
      <c r="B23" s="1">
        <v>1</v>
      </c>
      <c r="C23" s="145" t="s">
        <v>3764</v>
      </c>
      <c r="D23" s="314" t="str">
        <f ca="1">VLOOKUP(C23,Assemblies!E:P,2,0)</f>
        <v>Bottom Guarding 21 and 22</v>
      </c>
      <c r="E23" s="315"/>
      <c r="F23" s="32"/>
      <c r="G23" s="32"/>
      <c r="H23" s="32"/>
      <c r="I23" s="32"/>
      <c r="J23" s="28"/>
      <c r="K23" s="28"/>
      <c r="L23" s="28"/>
      <c r="M23" s="28"/>
      <c r="N23" s="33"/>
      <c r="O23" s="146">
        <f t="shared" ca="1" si="4"/>
        <v>1</v>
      </c>
      <c r="P23" s="147">
        <f>'4.1.16'!Q8</f>
        <v>56.959999999999994</v>
      </c>
      <c r="Q23" s="103">
        <f t="shared" si="5"/>
        <v>56.959999999999994</v>
      </c>
    </row>
    <row r="24" spans="1:17" s="2" customFormat="1" ht="12.75" customHeight="1" x14ac:dyDescent="0.2">
      <c r="A24" s="150" t="s">
        <v>3771</v>
      </c>
      <c r="B24" s="1">
        <v>1</v>
      </c>
      <c r="C24" s="145" t="s">
        <v>3765</v>
      </c>
      <c r="D24" s="314" t="str">
        <f ca="1">VLOOKUP(C24,Assemblies!E:P,2,0)</f>
        <v>Bottom Guarding 23 and 24</v>
      </c>
      <c r="E24" s="315"/>
      <c r="F24" s="32"/>
      <c r="G24" s="32"/>
      <c r="H24" s="32"/>
      <c r="I24" s="32"/>
      <c r="J24" s="28"/>
      <c r="K24" s="28"/>
      <c r="L24" s="28"/>
      <c r="M24" s="28"/>
      <c r="N24" s="33"/>
      <c r="O24" s="146">
        <f t="shared" ca="1" si="4"/>
        <v>1</v>
      </c>
      <c r="P24" s="147">
        <f>'4.1.17'!Q8</f>
        <v>71.199999999999989</v>
      </c>
      <c r="Q24" s="103">
        <f t="shared" si="5"/>
        <v>71.199999999999989</v>
      </c>
    </row>
    <row r="25" spans="1:17" s="2" customFormat="1" ht="12.75" customHeight="1" x14ac:dyDescent="0.2">
      <c r="A25" s="150" t="s">
        <v>3772</v>
      </c>
      <c r="B25" s="1">
        <v>1</v>
      </c>
      <c r="C25" s="145" t="s">
        <v>3766</v>
      </c>
      <c r="D25" s="314" t="str">
        <f ca="1">VLOOKUP(C25,Assemblies!E:P,2,0)</f>
        <v>Bottom Guarding 25 and 26</v>
      </c>
      <c r="E25" s="315"/>
      <c r="F25" s="32"/>
      <c r="G25" s="32"/>
      <c r="H25" s="32"/>
      <c r="I25" s="32"/>
      <c r="J25" s="28"/>
      <c r="K25" s="28"/>
      <c r="L25" s="28"/>
      <c r="M25" s="28"/>
      <c r="N25" s="33"/>
      <c r="O25" s="146">
        <f t="shared" ca="1" si="4"/>
        <v>1</v>
      </c>
      <c r="P25" s="147">
        <f>'4.1.18'!Q8</f>
        <v>56.959999999999994</v>
      </c>
      <c r="Q25" s="103">
        <f t="shared" si="5"/>
        <v>56.959999999999994</v>
      </c>
    </row>
    <row r="26" spans="1:17" s="2" customFormat="1" ht="12.75" customHeight="1" x14ac:dyDescent="0.2">
      <c r="A26" s="150" t="s">
        <v>3773</v>
      </c>
      <c r="B26" s="1">
        <v>1</v>
      </c>
      <c r="C26" s="145" t="s">
        <v>3767</v>
      </c>
      <c r="D26" s="314" t="str">
        <f ca="1">VLOOKUP(C26,Assemblies!E:P,2,0)</f>
        <v>Bottom Guarding 27 and 28</v>
      </c>
      <c r="E26" s="315"/>
      <c r="F26" s="32"/>
      <c r="G26" s="32"/>
      <c r="H26" s="32"/>
      <c r="I26" s="32"/>
      <c r="J26" s="28"/>
      <c r="K26" s="28"/>
      <c r="L26" s="28"/>
      <c r="M26" s="28"/>
      <c r="N26" s="33"/>
      <c r="O26" s="146">
        <f t="shared" ref="O26" ca="1" si="6">B26*$L$2</f>
        <v>1</v>
      </c>
      <c r="P26" s="147">
        <f>'4.1.19'!Q8</f>
        <v>71.199999999999989</v>
      </c>
      <c r="Q26" s="103">
        <f t="shared" si="3"/>
        <v>71.199999999999989</v>
      </c>
    </row>
    <row r="27" spans="1:17" s="2" customFormat="1" ht="12.75" customHeight="1" x14ac:dyDescent="0.25">
      <c r="A27" s="25"/>
      <c r="B27" s="26"/>
      <c r="C27" s="26"/>
      <c r="D27" s="332"/>
      <c r="E27" s="333"/>
      <c r="F27" s="26"/>
      <c r="G27" s="26"/>
      <c r="H27" s="322"/>
      <c r="I27" s="323"/>
      <c r="J27" s="27"/>
      <c r="K27" s="27"/>
      <c r="L27" s="27"/>
      <c r="M27" s="28"/>
      <c r="N27" s="29"/>
      <c r="O27" s="29"/>
      <c r="P27" s="148"/>
      <c r="Q27" s="149"/>
    </row>
    <row r="28" spans="1:17" s="2" customFormat="1" ht="12.75" customHeight="1" x14ac:dyDescent="0.25">
      <c r="A28" s="77">
        <v>1</v>
      </c>
      <c r="B28" s="20">
        <v>2</v>
      </c>
      <c r="C28" s="121" t="s">
        <v>527</v>
      </c>
      <c r="D28" s="314" t="str">
        <f>VLOOKUP(C28,Machined!C:X,2,0)</f>
        <v>MODIFED BRX 90X90 4707MM</v>
      </c>
      <c r="E28" s="329"/>
      <c r="F28" s="107" t="str">
        <f>VLOOKUP($C28,Machined!C:Z,13,0)</f>
        <v>EXTRUSION</v>
      </c>
      <c r="G28" s="44" t="str">
        <f>IF(VLOOKUP($C28,Machined!C:Z,16,0) = 0, " ", VLOOKUP($C28,Machined!C:Z,16,0))</f>
        <v>NULINE</v>
      </c>
      <c r="H28" s="320" t="str">
        <f>IF(VLOOKUP($C28,Machined!C:Z,17,0) = 0, " ", VLOOKUP($C28,Machined!C:Z,17,0))</f>
        <v xml:space="preserve"> </v>
      </c>
      <c r="I28" s="321" t="str">
        <f>IF(VLOOKUP($C28,Machined!$C:$Y,13,0) = 0, " ", VLOOKUP($C28,Machined!$C:$Y,13,0))</f>
        <v>EXTRUSION</v>
      </c>
      <c r="J28" s="44" t="str">
        <f>IF(VLOOKUP($C28,Machined!C:Z,18,0) = 0, " ", VLOOKUP($C28,Machined!C:Z,18,0))</f>
        <v xml:space="preserve"> </v>
      </c>
      <c r="K28" s="44" t="str">
        <f>IF(VLOOKUP($C28,Machined!C:Z,19,0) = 0, " ", VLOOKUP($C28,Machined!C:Z,19,0))</f>
        <v xml:space="preserve"> </v>
      </c>
      <c r="L28" s="44" t="str">
        <f>IF(VLOOKUP($C28,Machined!C:Z,20,0) = 0, " ", VLOOKUP($C28,Machined!C:Z,20,0))</f>
        <v xml:space="preserve"> </v>
      </c>
      <c r="M28" s="44" t="str">
        <f>IF(VLOOKUP($C28,Machined!C:Z,21,0) = 0, " ", VLOOKUP($C28,Machined!C:Z,21,0))</f>
        <v xml:space="preserve"> </v>
      </c>
      <c r="N28" s="129" t="str">
        <f>IF(VLOOKUP($C28,Machined!C:Z,22,0) = 0, " ", VLOOKUP($C28,Machined!C:Z,22,0))</f>
        <v xml:space="preserve"> </v>
      </c>
      <c r="O28" s="45">
        <f ca="1">B28*$L$2</f>
        <v>2</v>
      </c>
      <c r="P28" s="49">
        <f>VLOOKUP(C28,Machined!C:F,3,0)</f>
        <v>0</v>
      </c>
      <c r="Q28" s="50">
        <f>B28*P28</f>
        <v>0</v>
      </c>
    </row>
    <row r="29" spans="1:17" s="2" customFormat="1" ht="12" customHeight="1" x14ac:dyDescent="0.25">
      <c r="A29" s="25"/>
      <c r="B29" s="26"/>
      <c r="C29" s="26"/>
      <c r="D29" s="332"/>
      <c r="E29" s="333"/>
      <c r="F29" s="26"/>
      <c r="G29" s="26"/>
      <c r="H29" s="322"/>
      <c r="I29" s="323"/>
      <c r="J29" s="27"/>
      <c r="K29" s="27"/>
      <c r="L29" s="27"/>
      <c r="M29" s="28"/>
      <c r="N29" s="29"/>
      <c r="O29" s="29"/>
      <c r="P29" s="148"/>
      <c r="Q29" s="149"/>
    </row>
    <row r="30" spans="1:17" s="2" customFormat="1" ht="12" customHeight="1" x14ac:dyDescent="0.25">
      <c r="A30" s="4">
        <v>301</v>
      </c>
      <c r="B30" s="2">
        <v>140</v>
      </c>
      <c r="C30" s="135">
        <v>3842535466</v>
      </c>
      <c r="D30" s="325" t="str">
        <f>VLOOKUP(C30,Purchased!A:B,2,0)</f>
        <v>BRX GOTO QUICK CONNECTOR N10 90°</v>
      </c>
      <c r="E30" s="326"/>
      <c r="F30" s="108" t="str">
        <f>IF(VLOOKUP($C30,Purchased!A:Z,11,0) = 0, " ", VLOOKUP($C30,Purchased!A:Z,11,0))</f>
        <v>T-SLOTS</v>
      </c>
      <c r="G30" s="108" t="str">
        <f>IF(VLOOKUP($C30,Purchased!A:Z,12,0)=0, " ", VLOOKUP($C30,Purchased!A:Z,12,0))</f>
        <v>Process Tech</v>
      </c>
      <c r="H30" s="327" t="str">
        <f>IF(VLOOKUP($C30,Purchased!A:Z,13,0)=0, " ", VLOOKUP($C30,Purchased!A:Z,13,0))</f>
        <v>Ordered 300 8/29/24 JP</v>
      </c>
      <c r="I30" s="328"/>
      <c r="J30" s="46" t="str">
        <f>IF(VLOOKUP($C30,Purchased!A:Z,14,0)=0, " ", VLOOKUP($C30,Purchased!A:Z,14,0))</f>
        <v>N/A</v>
      </c>
      <c r="K30" s="46" t="str">
        <f>IF(VLOOKUP(C30,Purchased!A:R,14,0)=0, " ", VLOOKUP(C30,Purchased!A:R,14,0))</f>
        <v>N/A</v>
      </c>
      <c r="L30" s="46">
        <f>IF(VLOOKUP(C30,Purchased!A:R,15,0)=0, " ", VLOOKUP(C30,Purchased!A:R,15,0))</f>
        <v>45533</v>
      </c>
      <c r="M30" s="46">
        <f>IF(VLOOKUP(C30,Purchased!A:R,16,0)=0, " ",VLOOKUP(C30,Purchased!A:R,16,0))</f>
        <v>45540</v>
      </c>
      <c r="N30" s="130" t="str">
        <f>IF(VLOOKUP(C30,Purchased!A:R,17,0)=0, " ", VLOOKUP(C30,Purchased!A:R,17,0))</f>
        <v xml:space="preserve"> </v>
      </c>
      <c r="O30" s="47">
        <f t="shared" ref="O30" ca="1" si="7">B30*$L$2</f>
        <v>140</v>
      </c>
      <c r="P30" s="51">
        <f>VLOOKUP(C30,Purchased!A:D,3,FALSE)</f>
        <v>4.17</v>
      </c>
      <c r="Q30" s="52">
        <f t="shared" ref="Q30" si="8">B30*P30</f>
        <v>583.79999999999995</v>
      </c>
    </row>
    <row r="31" spans="1:17" s="2" customFormat="1" ht="12" customHeight="1" x14ac:dyDescent="0.25">
      <c r="A31" s="4">
        <v>302</v>
      </c>
      <c r="B31" s="2">
        <v>176</v>
      </c>
      <c r="C31" s="135" t="s">
        <v>149</v>
      </c>
      <c r="D31" s="325" t="str">
        <f>VLOOKUP(C31,Purchased!A:B,2,0)</f>
        <v>BRX GOTO QUICK CONNECTOR N10 0°</v>
      </c>
      <c r="E31" s="326"/>
      <c r="F31" s="108" t="str">
        <f>IF(VLOOKUP($C31,Purchased!A:Z,11,0) = 0, " ", VLOOKUP($C31,Purchased!A:Z,11,0))</f>
        <v>T-SLOTS</v>
      </c>
      <c r="G31" s="108" t="str">
        <f>IF(VLOOKUP($C31,Purchased!A:Z,12,0)=0, " ", VLOOKUP($C31,Purchased!A:Z,12,0))</f>
        <v>Process Tech</v>
      </c>
      <c r="H31" s="327" t="str">
        <f>IF(VLOOKUP($C31,Purchased!A:Z,13,0)=0, " ", VLOOKUP($C31,Purchased!A:Z,13,0))</f>
        <v>500 More on P.O. #55639 Part# 659730</v>
      </c>
      <c r="I31" s="328"/>
      <c r="J31" s="46" t="str">
        <f>IF(VLOOKUP($C31,Purchased!A:Z,14,0)=0, " ", VLOOKUP($C31,Purchased!A:Z,14,0))</f>
        <v>N/A</v>
      </c>
      <c r="K31" s="46" t="str">
        <f>IF(VLOOKUP(C31,Purchased!A:R,14,0)=0, " ", VLOOKUP(C31,Purchased!A:R,14,0))</f>
        <v>N/A</v>
      </c>
      <c r="L31" s="46">
        <f>IF(VLOOKUP(C31,Purchased!A:R,15,0)=0, " ", VLOOKUP(C31,Purchased!A:R,15,0))</f>
        <v>45362</v>
      </c>
      <c r="M31" s="46">
        <f>IF(VLOOKUP(C31,Purchased!A:R,16,0)=0, " ",VLOOKUP(C31,Purchased!A:R,16,0))</f>
        <v>45378</v>
      </c>
      <c r="N31" s="130">
        <f>IF(VLOOKUP(C31,Purchased!A:R,17,0)=0, " ", VLOOKUP(C31,Purchased!A:R,17,0))</f>
        <v>45378</v>
      </c>
      <c r="O31" s="47">
        <f t="shared" ref="O31:O33" ca="1" si="9">B31*$L$2</f>
        <v>176</v>
      </c>
      <c r="P31" s="51">
        <f>VLOOKUP(C31,Purchased!A:D,3,FALSE)</f>
        <v>4.17</v>
      </c>
      <c r="Q31" s="52">
        <f t="shared" ref="Q31:Q33" si="10">B31*P31</f>
        <v>733.92</v>
      </c>
    </row>
    <row r="32" spans="1:17" s="2" customFormat="1" ht="12" customHeight="1" x14ac:dyDescent="0.25">
      <c r="A32" s="4">
        <v>303</v>
      </c>
      <c r="B32" s="2">
        <v>25</v>
      </c>
      <c r="C32" s="135">
        <v>3842548758</v>
      </c>
      <c r="D32" s="325" t="str">
        <f>VLOOKUP(C32,Purchased!A:B,2,0)</f>
        <v>BRX 3842548758 Cover Cap 90x90 Grey</v>
      </c>
      <c r="E32" s="326"/>
      <c r="F32" s="108" t="str">
        <f>IF(VLOOKUP($C32,Purchased!A:Z,11,0) = 0, " ", VLOOKUP($C32,Purchased!A:Z,11,0))</f>
        <v>BRX</v>
      </c>
      <c r="G32" s="108" t="str">
        <f>IF(VLOOKUP($C32,Purchased!A:Z,12,0)=0, " ", VLOOKUP($C32,Purchased!A:Z,12,0))</f>
        <v>AAP</v>
      </c>
      <c r="H32" s="327" t="str">
        <f>IF(VLOOKUP($C32,Purchased!A:Z,13,0)=0, " ", VLOOKUP($C32,Purchased!A:Z,13,0))</f>
        <v xml:space="preserve"> </v>
      </c>
      <c r="I32" s="328"/>
      <c r="J32" s="46" t="str">
        <f>IF(VLOOKUP($C32,Purchased!A:Z,14,0)=0, " ", VLOOKUP($C32,Purchased!A:Z,14,0))</f>
        <v>N/A</v>
      </c>
      <c r="K32" s="46" t="str">
        <f>IF(VLOOKUP(C32,Purchased!A:R,14,0)=0, " ", VLOOKUP(C32,Purchased!A:R,14,0))</f>
        <v>N/A</v>
      </c>
      <c r="L32" s="46">
        <f>IF(VLOOKUP(C32,Purchased!A:R,15,0)=0, " ", VLOOKUP(C32,Purchased!A:R,15,0))</f>
        <v>45524</v>
      </c>
      <c r="M32" s="46">
        <f>IF(VLOOKUP(C32,Purchased!A:R,16,0)=0, " ",VLOOKUP(C32,Purchased!A:R,16,0))</f>
        <v>45547</v>
      </c>
      <c r="N32" s="130" t="str">
        <f>IF(VLOOKUP(C32,Purchased!A:R,17,0)=0, " ", VLOOKUP(C32,Purchased!A:R,17,0))</f>
        <v xml:space="preserve"> </v>
      </c>
      <c r="O32" s="47">
        <f t="shared" ca="1" si="9"/>
        <v>25</v>
      </c>
      <c r="P32" s="51">
        <f>VLOOKUP(C32,Purchased!A:D,3,FALSE)</f>
        <v>2.83</v>
      </c>
      <c r="Q32" s="52">
        <f t="shared" si="10"/>
        <v>70.75</v>
      </c>
    </row>
    <row r="33" spans="1:17" s="2" customFormat="1" ht="12" customHeight="1" x14ac:dyDescent="0.25">
      <c r="A33" s="4">
        <v>304</v>
      </c>
      <c r="B33" s="2">
        <v>4</v>
      </c>
      <c r="C33" s="135" t="s">
        <v>528</v>
      </c>
      <c r="D33" s="325" t="str">
        <f>VLOOKUP(C33,Purchased!A:B,2,0)</f>
        <v>BRX 45X90 GREY END CAP</v>
      </c>
      <c r="E33" s="326"/>
      <c r="F33" s="108" t="str">
        <f>IF(VLOOKUP($C33,Purchased!A:Z,11,0) = 0, " ", VLOOKUP($C33,Purchased!A:Z,11,0))</f>
        <v>BRX</v>
      </c>
      <c r="G33" s="108" t="str">
        <f>IF(VLOOKUP($C33,Purchased!A:Z,12,0)=0, " ", VLOOKUP($C33,Purchased!A:Z,12,0))</f>
        <v>AAP</v>
      </c>
      <c r="H33" s="327" t="str">
        <f>IF(VLOOKUP($C33,Purchased!A:Z,13,0)=0, " ", VLOOKUP($C33,Purchased!A:Z,13,0))</f>
        <v xml:space="preserve"> </v>
      </c>
      <c r="I33" s="328"/>
      <c r="J33" s="46" t="str">
        <f>IF(VLOOKUP($C33,Purchased!A:Z,14,0)=0, " ", VLOOKUP($C33,Purchased!A:Z,14,0))</f>
        <v>N/A</v>
      </c>
      <c r="K33" s="46" t="str">
        <f>IF(VLOOKUP(C33,Purchased!A:R,14,0)=0, " ", VLOOKUP(C33,Purchased!A:R,14,0))</f>
        <v>N/A</v>
      </c>
      <c r="L33" s="46">
        <f>IF(VLOOKUP(C33,Purchased!A:R,15,0)=0, " ", VLOOKUP(C33,Purchased!A:R,15,0))</f>
        <v>45524</v>
      </c>
      <c r="M33" s="46">
        <f>IF(VLOOKUP(C33,Purchased!A:R,16,0)=0, " ",VLOOKUP(C33,Purchased!A:R,16,0))</f>
        <v>45547</v>
      </c>
      <c r="N33" s="130" t="str">
        <f>IF(VLOOKUP(C33,Purchased!A:R,17,0)=0, " ", VLOOKUP(C33,Purchased!A:R,17,0))</f>
        <v xml:space="preserve"> </v>
      </c>
      <c r="O33" s="47">
        <f t="shared" ca="1" si="9"/>
        <v>4</v>
      </c>
      <c r="P33" s="51">
        <f>VLOOKUP(C33,Purchased!A:D,3,FALSE)</f>
        <v>2.14</v>
      </c>
      <c r="Q33" s="52">
        <f t="shared" si="10"/>
        <v>8.56</v>
      </c>
    </row>
    <row r="34" spans="1:17" s="2" customFormat="1" ht="12" customHeight="1" x14ac:dyDescent="0.25">
      <c r="A34" s="25"/>
      <c r="B34" s="26"/>
      <c r="C34" s="26"/>
      <c r="D34" s="332"/>
      <c r="E34" s="333"/>
      <c r="F34" s="26"/>
      <c r="G34" s="26"/>
      <c r="H34" s="322"/>
      <c r="I34" s="323"/>
      <c r="J34" s="27"/>
      <c r="K34" s="27"/>
      <c r="L34" s="27"/>
      <c r="M34" s="28"/>
      <c r="N34" s="29"/>
      <c r="O34" s="29"/>
      <c r="P34" s="148"/>
      <c r="Q34" s="149"/>
    </row>
    <row r="35" spans="1:17" s="2" customFormat="1" ht="12" customHeight="1" x14ac:dyDescent="0.25">
      <c r="A35" s="4">
        <v>701</v>
      </c>
      <c r="B35" s="2">
        <v>4</v>
      </c>
      <c r="C35" s="123" t="s">
        <v>529</v>
      </c>
      <c r="D35" s="325" t="str">
        <f>VLOOKUP(C35,Extrusion!B:C,2,0)</f>
        <v>APPROVED EL 8/1</v>
      </c>
      <c r="E35" s="326"/>
      <c r="F35" s="108" t="str">
        <f ca="1">VLOOKUP(C35,Extrusion!B:N,5,0)</f>
        <v/>
      </c>
      <c r="G35" s="108">
        <f>VLOOKUP(C35,Extrusion!B:N,6,0)</f>
        <v>1</v>
      </c>
      <c r="H35" s="108">
        <f>VLOOKUP(C35,Extrusion!B:N,7,0)</f>
        <v>0</v>
      </c>
      <c r="I35" s="109"/>
      <c r="J35" s="46" t="str">
        <f>VLOOKUP(C35,Extrusion!B:N,8,0)</f>
        <v>T-Slots</v>
      </c>
      <c r="K35" s="46">
        <f>VLOOKUP(C35,Extrusion!B:N,9,0)</f>
        <v>0</v>
      </c>
      <c r="L35" s="46">
        <f>VLOOKUP(C35,Extrusion!B:N,10,0)</f>
        <v>0</v>
      </c>
      <c r="M35" s="46">
        <f>VLOOKUP(C35,Extrusion!B:N,11,0)</f>
        <v>0</v>
      </c>
      <c r="N35" s="47">
        <f>VLOOKUP(C35,Extrusion!B:O,12,0)</f>
        <v>0</v>
      </c>
      <c r="O35" s="47">
        <f t="shared" ref="O35:O45" ca="1" si="11">B35*$L$2</f>
        <v>4</v>
      </c>
      <c r="P35" s="51">
        <f>VLOOKUP(C35,Extrusion!B:G,4,0)</f>
        <v>4</v>
      </c>
      <c r="Q35" s="52">
        <f t="shared" ref="Q35:Q45" si="12">B35*P35</f>
        <v>16</v>
      </c>
    </row>
    <row r="36" spans="1:17" s="2" customFormat="1" ht="12" customHeight="1" x14ac:dyDescent="0.25">
      <c r="A36" s="4">
        <v>702</v>
      </c>
      <c r="B36" s="2">
        <v>4</v>
      </c>
      <c r="C36" s="123" t="s">
        <v>530</v>
      </c>
      <c r="D36" s="325" t="str">
        <f>VLOOKUP(C36,Extrusion!B:C,2,0)</f>
        <v>APPROVED EL 8/1</v>
      </c>
      <c r="E36" s="326"/>
      <c r="F36" s="108" t="str">
        <f ca="1">VLOOKUP(C36,Extrusion!B:N,5,0)</f>
        <v/>
      </c>
      <c r="G36" s="108">
        <f>VLOOKUP(C36,Extrusion!B:N,6,0)</f>
        <v>1</v>
      </c>
      <c r="H36" s="108">
        <f>VLOOKUP(C36,Extrusion!B:N,7,0)</f>
        <v>0</v>
      </c>
      <c r="I36" s="109"/>
      <c r="J36" s="46" t="str">
        <f>VLOOKUP(C36,Extrusion!B:N,8,0)</f>
        <v>T-Slots</v>
      </c>
      <c r="K36" s="46">
        <f>VLOOKUP(C36,Extrusion!B:N,9,0)</f>
        <v>0</v>
      </c>
      <c r="L36" s="46">
        <f>VLOOKUP(C36,Extrusion!B:N,10,0)</f>
        <v>0</v>
      </c>
      <c r="M36" s="46">
        <f>VLOOKUP(C36,Extrusion!B:N,11,0)</f>
        <v>0</v>
      </c>
      <c r="N36" s="47">
        <f>VLOOKUP(C36,Extrusion!B:O,12,0)</f>
        <v>0</v>
      </c>
      <c r="O36" s="47">
        <f t="shared" ca="1" si="11"/>
        <v>4</v>
      </c>
      <c r="P36" s="51">
        <f>VLOOKUP(C36,Extrusion!B:G,4,0)</f>
        <v>5</v>
      </c>
      <c r="Q36" s="52">
        <f t="shared" si="12"/>
        <v>20</v>
      </c>
    </row>
    <row r="37" spans="1:17" s="2" customFormat="1" ht="12" customHeight="1" x14ac:dyDescent="0.25">
      <c r="A37" s="4">
        <v>703</v>
      </c>
      <c r="B37" s="2">
        <v>9</v>
      </c>
      <c r="C37" s="123" t="s">
        <v>160</v>
      </c>
      <c r="D37" s="325" t="str">
        <f>VLOOKUP(C37,Extrusion!B:C,2,0)</f>
        <v>APPROVED EL 8/1</v>
      </c>
      <c r="E37" s="326"/>
      <c r="F37" s="108" t="str">
        <f ca="1">VLOOKUP(C37,Extrusion!B:N,5,0)</f>
        <v/>
      </c>
      <c r="G37" s="108">
        <f>VLOOKUP(C37,Extrusion!B:N,6,0)</f>
        <v>1</v>
      </c>
      <c r="H37" s="108">
        <f>VLOOKUP(C37,Extrusion!B:N,7,0)</f>
        <v>0</v>
      </c>
      <c r="I37" s="109"/>
      <c r="J37" s="46" t="str">
        <f>VLOOKUP(C37,Extrusion!B:N,8,0)</f>
        <v>T-Slots</v>
      </c>
      <c r="K37" s="46">
        <f>VLOOKUP(C37,Extrusion!B:N,9,0)</f>
        <v>0</v>
      </c>
      <c r="L37" s="46">
        <f>VLOOKUP(C37,Extrusion!B:N,10,0)</f>
        <v>0</v>
      </c>
      <c r="M37" s="46">
        <f>VLOOKUP(C37,Extrusion!B:N,11,0)</f>
        <v>0</v>
      </c>
      <c r="N37" s="47">
        <f>VLOOKUP(C37,Extrusion!B:O,12,0)</f>
        <v>0</v>
      </c>
      <c r="O37" s="47">
        <f t="shared" ca="1" si="11"/>
        <v>9</v>
      </c>
      <c r="P37" s="51">
        <f>VLOOKUP(C37,Extrusion!B:G,4,0)</f>
        <v>34</v>
      </c>
      <c r="Q37" s="52">
        <f t="shared" si="12"/>
        <v>306</v>
      </c>
    </row>
    <row r="38" spans="1:17" s="2" customFormat="1" ht="12" customHeight="1" x14ac:dyDescent="0.25">
      <c r="A38" s="4">
        <v>704</v>
      </c>
      <c r="B38" s="2">
        <v>4</v>
      </c>
      <c r="C38" s="123" t="s">
        <v>531</v>
      </c>
      <c r="D38" s="325" t="str">
        <f>VLOOKUP(C38,Extrusion!B:C,2,0)</f>
        <v>APPROVED EL 8/1</v>
      </c>
      <c r="E38" s="326"/>
      <c r="F38" s="108" t="str">
        <f ca="1">VLOOKUP(C38,Extrusion!B:N,5,0)</f>
        <v/>
      </c>
      <c r="G38" s="108">
        <f>VLOOKUP(C38,Extrusion!B:N,6,0)</f>
        <v>1</v>
      </c>
      <c r="H38" s="108">
        <f>VLOOKUP(C38,Extrusion!B:N,7,0)</f>
        <v>0</v>
      </c>
      <c r="I38" s="109"/>
      <c r="J38" s="46" t="str">
        <f>VLOOKUP(C38,Extrusion!B:N,8,0)</f>
        <v>T-Slots</v>
      </c>
      <c r="K38" s="46">
        <f>VLOOKUP(C38,Extrusion!B:N,9,0)</f>
        <v>0</v>
      </c>
      <c r="L38" s="46">
        <f>VLOOKUP(C38,Extrusion!B:N,10,0)</f>
        <v>0</v>
      </c>
      <c r="M38" s="46">
        <f>VLOOKUP(C38,Extrusion!B:N,11,0)</f>
        <v>0</v>
      </c>
      <c r="N38" s="47">
        <f>VLOOKUP(C38,Extrusion!B:O,12,0)</f>
        <v>0</v>
      </c>
      <c r="O38" s="47">
        <f t="shared" ca="1" si="11"/>
        <v>4</v>
      </c>
      <c r="P38" s="51">
        <f>VLOOKUP(C38,Extrusion!B:G,4,0)</f>
        <v>4</v>
      </c>
      <c r="Q38" s="52">
        <f t="shared" si="12"/>
        <v>16</v>
      </c>
    </row>
    <row r="39" spans="1:17" s="2" customFormat="1" ht="12" customHeight="1" x14ac:dyDescent="0.25">
      <c r="A39" s="4">
        <v>705</v>
      </c>
      <c r="B39" s="2">
        <v>2</v>
      </c>
      <c r="C39" s="123" t="s">
        <v>532</v>
      </c>
      <c r="D39" s="325" t="str">
        <f>VLOOKUP(C39,Extrusion!B:C,2,0)</f>
        <v>APPROVED EL 8/1</v>
      </c>
      <c r="E39" s="326"/>
      <c r="F39" s="108" t="str">
        <f ca="1">VLOOKUP(C39,Extrusion!B:N,5,0)</f>
        <v/>
      </c>
      <c r="G39" s="108">
        <f>VLOOKUP(C39,Extrusion!B:N,6,0)</f>
        <v>1</v>
      </c>
      <c r="H39" s="108">
        <f>VLOOKUP(C39,Extrusion!B:N,7,0)</f>
        <v>0</v>
      </c>
      <c r="I39" s="109"/>
      <c r="J39" s="46" t="str">
        <f>VLOOKUP(C39,Extrusion!B:N,8,0)</f>
        <v>T-Slots</v>
      </c>
      <c r="K39" s="46">
        <f>VLOOKUP(C39,Extrusion!B:N,9,0)</f>
        <v>0</v>
      </c>
      <c r="L39" s="46">
        <f>VLOOKUP(C39,Extrusion!B:N,10,0)</f>
        <v>0</v>
      </c>
      <c r="M39" s="46">
        <f>VLOOKUP(C39,Extrusion!B:N,11,0)</f>
        <v>0</v>
      </c>
      <c r="N39" s="47">
        <f>VLOOKUP(C39,Extrusion!B:O,12,0)</f>
        <v>0</v>
      </c>
      <c r="O39" s="47">
        <f t="shared" ca="1" si="11"/>
        <v>2</v>
      </c>
      <c r="P39" s="51">
        <f>VLOOKUP(C39,Extrusion!B:G,4,0)</f>
        <v>2</v>
      </c>
      <c r="Q39" s="52">
        <f t="shared" si="12"/>
        <v>4</v>
      </c>
    </row>
    <row r="40" spans="1:17" s="2" customFormat="1" ht="12" customHeight="1" x14ac:dyDescent="0.25">
      <c r="A40" s="4">
        <v>706</v>
      </c>
      <c r="B40" s="2">
        <v>2</v>
      </c>
      <c r="C40" s="123" t="s">
        <v>533</v>
      </c>
      <c r="D40" s="325" t="str">
        <f>VLOOKUP(C40,Extrusion!B:C,2,0)</f>
        <v>APPROVED EL 8/1</v>
      </c>
      <c r="E40" s="326"/>
      <c r="F40" s="108" t="str">
        <f ca="1">VLOOKUP(C40,Extrusion!B:N,5,0)</f>
        <v/>
      </c>
      <c r="G40" s="108">
        <f>VLOOKUP(C40,Extrusion!B:N,6,0)</f>
        <v>1</v>
      </c>
      <c r="H40" s="108">
        <f>VLOOKUP(C40,Extrusion!B:N,7,0)</f>
        <v>0</v>
      </c>
      <c r="I40" s="109"/>
      <c r="J40" s="46" t="str">
        <f>VLOOKUP(C40,Extrusion!B:N,8,0)</f>
        <v>T-Slots</v>
      </c>
      <c r="K40" s="46">
        <f>VLOOKUP(C40,Extrusion!B:N,9,0)</f>
        <v>0</v>
      </c>
      <c r="L40" s="46">
        <f>VLOOKUP(C40,Extrusion!B:N,10,0)</f>
        <v>0</v>
      </c>
      <c r="M40" s="46">
        <f>VLOOKUP(C40,Extrusion!B:N,11,0)</f>
        <v>0</v>
      </c>
      <c r="N40" s="47">
        <f>VLOOKUP(C40,Extrusion!B:O,12,0)</f>
        <v>0</v>
      </c>
      <c r="O40" s="47">
        <f t="shared" ca="1" si="11"/>
        <v>2</v>
      </c>
      <c r="P40" s="51">
        <f>VLOOKUP(C40,Extrusion!B:G,4,0)</f>
        <v>2</v>
      </c>
      <c r="Q40" s="52">
        <f t="shared" si="12"/>
        <v>4</v>
      </c>
    </row>
    <row r="41" spans="1:17" s="2" customFormat="1" ht="12" customHeight="1" x14ac:dyDescent="0.25">
      <c r="A41" s="4">
        <v>707</v>
      </c>
      <c r="B41" s="2">
        <v>2</v>
      </c>
      <c r="C41" s="123" t="s">
        <v>534</v>
      </c>
      <c r="D41" s="325" t="str">
        <f>VLOOKUP(C41,Extrusion!B:C,2,0)</f>
        <v>APPROVED EL 8/1</v>
      </c>
      <c r="E41" s="326"/>
      <c r="F41" s="108" t="str">
        <f ca="1">VLOOKUP(C41,Extrusion!B:N,5,0)</f>
        <v/>
      </c>
      <c r="G41" s="108">
        <f>VLOOKUP(C41,Extrusion!B:N,6,0)</f>
        <v>1</v>
      </c>
      <c r="H41" s="108">
        <f>VLOOKUP(C41,Extrusion!B:N,7,0)</f>
        <v>0</v>
      </c>
      <c r="I41" s="109"/>
      <c r="J41" s="46" t="str">
        <f>VLOOKUP(C41,Extrusion!B:N,8,0)</f>
        <v>T-Slots</v>
      </c>
      <c r="K41" s="46">
        <f>VLOOKUP(C41,Extrusion!B:N,9,0)</f>
        <v>0</v>
      </c>
      <c r="L41" s="46">
        <f>VLOOKUP(C41,Extrusion!B:N,10,0)</f>
        <v>0</v>
      </c>
      <c r="M41" s="46">
        <f>VLOOKUP(C41,Extrusion!B:N,11,0)</f>
        <v>0</v>
      </c>
      <c r="N41" s="47">
        <f>VLOOKUP(C41,Extrusion!B:O,12,0)</f>
        <v>0</v>
      </c>
      <c r="O41" s="47">
        <f t="shared" ca="1" si="11"/>
        <v>2</v>
      </c>
      <c r="P41" s="51">
        <f>VLOOKUP(C41,Extrusion!B:G,4,0)</f>
        <v>2</v>
      </c>
      <c r="Q41" s="52">
        <f t="shared" si="12"/>
        <v>4</v>
      </c>
    </row>
    <row r="42" spans="1:17" s="2" customFormat="1" ht="12" customHeight="1" x14ac:dyDescent="0.25">
      <c r="A42" s="4">
        <v>708</v>
      </c>
      <c r="B42" s="2">
        <v>4</v>
      </c>
      <c r="C42" s="123" t="s">
        <v>535</v>
      </c>
      <c r="D42" s="325" t="str">
        <f>VLOOKUP(C42,Extrusion!B:C,2,0)</f>
        <v>APPROVED EL 8/1</v>
      </c>
      <c r="E42" s="326"/>
      <c r="F42" s="108" t="str">
        <f ca="1">VLOOKUP(C42,Extrusion!B:N,5,0)</f>
        <v/>
      </c>
      <c r="G42" s="108">
        <f>VLOOKUP(C42,Extrusion!B:N,6,0)</f>
        <v>1</v>
      </c>
      <c r="H42" s="108">
        <f>VLOOKUP(C42,Extrusion!B:N,7,0)</f>
        <v>0</v>
      </c>
      <c r="I42" s="109"/>
      <c r="J42" s="46" t="str">
        <f>VLOOKUP(C42,Extrusion!B:N,8,0)</f>
        <v>T-Slots</v>
      </c>
      <c r="K42" s="46">
        <f>VLOOKUP(C42,Extrusion!B:N,9,0)</f>
        <v>0</v>
      </c>
      <c r="L42" s="46">
        <f>VLOOKUP(C42,Extrusion!B:N,10,0)</f>
        <v>0</v>
      </c>
      <c r="M42" s="46">
        <f>VLOOKUP(C42,Extrusion!B:N,11,0)</f>
        <v>0</v>
      </c>
      <c r="N42" s="47">
        <f>VLOOKUP(C42,Extrusion!B:O,12,0)</f>
        <v>0</v>
      </c>
      <c r="O42" s="47">
        <f t="shared" ca="1" si="11"/>
        <v>4</v>
      </c>
      <c r="P42" s="51">
        <f>VLOOKUP(C42,Extrusion!B:G,4,0)</f>
        <v>4</v>
      </c>
      <c r="Q42" s="52">
        <f t="shared" si="12"/>
        <v>16</v>
      </c>
    </row>
    <row r="43" spans="1:17" s="2" customFormat="1" ht="12" customHeight="1" x14ac:dyDescent="0.25">
      <c r="A43" s="4">
        <v>709</v>
      </c>
      <c r="B43" s="2">
        <v>4</v>
      </c>
      <c r="C43" s="123" t="s">
        <v>536</v>
      </c>
      <c r="D43" s="325" t="str">
        <f>VLOOKUP(C43,Extrusion!B:C,2,0)</f>
        <v>APPROVED EL 8/1</v>
      </c>
      <c r="E43" s="326"/>
      <c r="F43" s="108" t="str">
        <f ca="1">VLOOKUP(C43,Extrusion!B:N,5,0)</f>
        <v/>
      </c>
      <c r="G43" s="108">
        <f>VLOOKUP(C43,Extrusion!B:N,6,0)</f>
        <v>1</v>
      </c>
      <c r="H43" s="108">
        <f>VLOOKUP(C43,Extrusion!B:N,7,0)</f>
        <v>0</v>
      </c>
      <c r="I43" s="109"/>
      <c r="J43" s="46" t="str">
        <f>VLOOKUP(C43,Extrusion!B:N,8,0)</f>
        <v>T-Slots</v>
      </c>
      <c r="K43" s="46">
        <f>VLOOKUP(C43,Extrusion!B:N,9,0)</f>
        <v>0</v>
      </c>
      <c r="L43" s="46">
        <f>VLOOKUP(C43,Extrusion!B:N,10,0)</f>
        <v>0</v>
      </c>
      <c r="M43" s="46">
        <f>VLOOKUP(C43,Extrusion!B:N,11,0)</f>
        <v>0</v>
      </c>
      <c r="N43" s="47">
        <f>VLOOKUP(C43,Extrusion!B:O,12,0)</f>
        <v>0</v>
      </c>
      <c r="O43" s="47">
        <f t="shared" ca="1" si="11"/>
        <v>4</v>
      </c>
      <c r="P43" s="51">
        <f>VLOOKUP(C43,Extrusion!B:G,4,0)</f>
        <v>4</v>
      </c>
      <c r="Q43" s="52">
        <f t="shared" si="12"/>
        <v>16</v>
      </c>
    </row>
    <row r="44" spans="1:17" s="2" customFormat="1" ht="12" customHeight="1" x14ac:dyDescent="0.25">
      <c r="A44" s="4">
        <v>710</v>
      </c>
      <c r="B44" s="2">
        <v>2</v>
      </c>
      <c r="C44" s="123" t="s">
        <v>537</v>
      </c>
      <c r="D44" s="325" t="str">
        <f>VLOOKUP(C44,Extrusion!B:C,2,0)</f>
        <v>APPROVED EL 8/1</v>
      </c>
      <c r="E44" s="326"/>
      <c r="F44" s="108" t="str">
        <f ca="1">VLOOKUP(C44,Extrusion!B:N,5,0)</f>
        <v/>
      </c>
      <c r="G44" s="108">
        <f>VLOOKUP(C44,Extrusion!B:N,6,0)</f>
        <v>1</v>
      </c>
      <c r="H44" s="108">
        <f>VLOOKUP(C44,Extrusion!B:N,7,0)</f>
        <v>0</v>
      </c>
      <c r="I44" s="109"/>
      <c r="J44" s="46" t="str">
        <f>VLOOKUP(C44,Extrusion!B:N,8,0)</f>
        <v>T-Slots</v>
      </c>
      <c r="K44" s="46">
        <f>VLOOKUP(C44,Extrusion!B:N,9,0)</f>
        <v>0</v>
      </c>
      <c r="L44" s="46">
        <f>VLOOKUP(C44,Extrusion!B:N,10,0)</f>
        <v>0</v>
      </c>
      <c r="M44" s="46">
        <f>VLOOKUP(C44,Extrusion!B:N,11,0)</f>
        <v>0</v>
      </c>
      <c r="N44" s="47">
        <f>VLOOKUP(C44,Extrusion!B:O,12,0)</f>
        <v>0</v>
      </c>
      <c r="O44" s="47">
        <f t="shared" ca="1" si="11"/>
        <v>2</v>
      </c>
      <c r="P44" s="51">
        <f>VLOOKUP(C44,Extrusion!B:G,4,0)</f>
        <v>2</v>
      </c>
      <c r="Q44" s="52">
        <f t="shared" si="12"/>
        <v>4</v>
      </c>
    </row>
    <row r="45" spans="1:17" s="2" customFormat="1" ht="12" customHeight="1" x14ac:dyDescent="0.25">
      <c r="A45" s="4">
        <v>711</v>
      </c>
      <c r="B45" s="2">
        <v>4</v>
      </c>
      <c r="C45" s="123" t="s">
        <v>538</v>
      </c>
      <c r="D45" s="325" t="str">
        <f>VLOOKUP(C45,Extrusion!B:C,2,0)</f>
        <v>APPROVED EL 8/1</v>
      </c>
      <c r="E45" s="326"/>
      <c r="F45" s="108" t="str">
        <f ca="1">VLOOKUP(C45,Extrusion!B:N,5,0)</f>
        <v/>
      </c>
      <c r="G45" s="108">
        <f>VLOOKUP(C45,Extrusion!B:N,6,0)</f>
        <v>1</v>
      </c>
      <c r="H45" s="108">
        <f>VLOOKUP(C45,Extrusion!B:N,7,0)</f>
        <v>0</v>
      </c>
      <c r="I45" s="109"/>
      <c r="J45" s="46" t="str">
        <f>VLOOKUP(C45,Extrusion!B:N,8,0)</f>
        <v>T-Slots</v>
      </c>
      <c r="K45" s="46">
        <f>VLOOKUP(C45,Extrusion!B:N,9,0)</f>
        <v>0</v>
      </c>
      <c r="L45" s="46">
        <f>VLOOKUP(C45,Extrusion!B:N,10,0)</f>
        <v>0</v>
      </c>
      <c r="M45" s="46">
        <f>VLOOKUP(C45,Extrusion!B:N,11,0)</f>
        <v>0</v>
      </c>
      <c r="N45" s="47">
        <f>VLOOKUP(C45,Extrusion!B:O,12,0)</f>
        <v>0</v>
      </c>
      <c r="O45" s="47">
        <f t="shared" ca="1" si="11"/>
        <v>4</v>
      </c>
      <c r="P45" s="51">
        <f>VLOOKUP(C45,Extrusion!B:G,4,0)</f>
        <v>8</v>
      </c>
      <c r="Q45" s="52">
        <f t="shared" si="12"/>
        <v>32</v>
      </c>
    </row>
    <row r="46" spans="1:17" s="2" customFormat="1" ht="12" customHeight="1" x14ac:dyDescent="0.25">
      <c r="A46" s="4">
        <v>712</v>
      </c>
      <c r="B46" s="2">
        <v>6</v>
      </c>
      <c r="C46" s="123" t="s">
        <v>377</v>
      </c>
      <c r="D46" s="325" t="str">
        <f>VLOOKUP(C46,Extrusion!B:C,2,0)</f>
        <v>APPROVED EL 8/1</v>
      </c>
      <c r="E46" s="326"/>
      <c r="F46" s="108" t="str">
        <f ca="1">VLOOKUP(C46,Extrusion!B:N,5,0)</f>
        <v/>
      </c>
      <c r="G46" s="108">
        <f>VLOOKUP(C46,Extrusion!B:N,6,0)</f>
        <v>1</v>
      </c>
      <c r="H46" s="108">
        <f>VLOOKUP(C46,Extrusion!B:N,7,0)</f>
        <v>0</v>
      </c>
      <c r="I46" s="109"/>
      <c r="J46" s="46" t="str">
        <f>VLOOKUP(C46,Extrusion!B:N,8,0)</f>
        <v>T-Slots</v>
      </c>
      <c r="K46" s="46">
        <f>VLOOKUP(C46,Extrusion!B:N,9,0)</f>
        <v>0</v>
      </c>
      <c r="L46" s="46">
        <f>VLOOKUP(C46,Extrusion!B:N,10,0)</f>
        <v>0</v>
      </c>
      <c r="M46" s="46">
        <f>VLOOKUP(C46,Extrusion!B:N,11,0)</f>
        <v>0</v>
      </c>
      <c r="N46" s="47">
        <f>VLOOKUP(C46,Extrusion!B:O,12,0)</f>
        <v>0</v>
      </c>
      <c r="O46" s="47">
        <f ca="1">B46*$L$2</f>
        <v>6</v>
      </c>
      <c r="P46" s="51">
        <f>VLOOKUP(C46,Extrusion!B:G,4,0)</f>
        <v>22</v>
      </c>
      <c r="Q46" s="52">
        <f>B46*P46</f>
        <v>132</v>
      </c>
    </row>
    <row r="47" spans="1:17" s="2" customFormat="1" ht="12" customHeight="1" x14ac:dyDescent="0.25">
      <c r="A47" s="4">
        <v>713</v>
      </c>
      <c r="B47" s="2">
        <v>2</v>
      </c>
      <c r="C47" s="123" t="s">
        <v>161</v>
      </c>
      <c r="D47" s="325" t="str">
        <f>VLOOKUP(C47,Extrusion!B:C,2,0)</f>
        <v>APPROVED EL 8/1</v>
      </c>
      <c r="E47" s="326"/>
      <c r="F47" s="108" t="str">
        <f ca="1">VLOOKUP(C47,Extrusion!B:N,5,0)</f>
        <v/>
      </c>
      <c r="G47" s="108">
        <f>VLOOKUP(C47,Extrusion!B:N,6,0)</f>
        <v>1</v>
      </c>
      <c r="H47" s="108">
        <f>VLOOKUP(C47,Extrusion!B:N,7,0)</f>
        <v>0</v>
      </c>
      <c r="I47" s="109"/>
      <c r="J47" s="46" t="str">
        <f>VLOOKUP(C47,Extrusion!B:N,8,0)</f>
        <v>T-Slots</v>
      </c>
      <c r="K47" s="46">
        <f>VLOOKUP(C47,Extrusion!B:N,9,0)</f>
        <v>0</v>
      </c>
      <c r="L47" s="46">
        <f>VLOOKUP(C47,Extrusion!B:N,10,0)</f>
        <v>0</v>
      </c>
      <c r="M47" s="46">
        <f>VLOOKUP(C47,Extrusion!B:N,11,0)</f>
        <v>0</v>
      </c>
      <c r="N47" s="47">
        <f>VLOOKUP(C47,Extrusion!B:O,12,0)</f>
        <v>0</v>
      </c>
      <c r="O47" s="47">
        <f ca="1">B47*$L$2</f>
        <v>2</v>
      </c>
      <c r="P47" s="51">
        <f>VLOOKUP(C47,Extrusion!B:G,4,0)</f>
        <v>8</v>
      </c>
      <c r="Q47" s="52">
        <f>B47*P47</f>
        <v>16</v>
      </c>
    </row>
    <row r="48" spans="1:17" s="2" customFormat="1" ht="12" customHeight="1" x14ac:dyDescent="0.25">
      <c r="A48" s="4">
        <v>714</v>
      </c>
      <c r="B48" s="2">
        <v>2</v>
      </c>
      <c r="C48" s="123" t="s">
        <v>539</v>
      </c>
      <c r="D48" s="325" t="str">
        <f>VLOOKUP(C48,Extrusion!B:C,2,0)</f>
        <v>APPROVED EL 8/1</v>
      </c>
      <c r="E48" s="326"/>
      <c r="F48" s="108" t="str">
        <f ca="1">VLOOKUP(C48,Extrusion!B:N,5,0)</f>
        <v/>
      </c>
      <c r="G48" s="108">
        <f>VLOOKUP(C48,Extrusion!B:N,6,0)</f>
        <v>1</v>
      </c>
      <c r="H48" s="108">
        <f>VLOOKUP(C48,Extrusion!B:N,7,0)</f>
        <v>0</v>
      </c>
      <c r="I48" s="109"/>
      <c r="J48" s="46" t="str">
        <f>VLOOKUP(C48,Extrusion!B:N,8,0)</f>
        <v>T-Slots</v>
      </c>
      <c r="K48" s="46">
        <f>VLOOKUP(C48,Extrusion!B:N,9,0)</f>
        <v>0</v>
      </c>
      <c r="L48" s="46">
        <f>VLOOKUP(C48,Extrusion!B:N,10,0)</f>
        <v>0</v>
      </c>
      <c r="M48" s="46">
        <f>VLOOKUP(C48,Extrusion!B:N,11,0)</f>
        <v>0</v>
      </c>
      <c r="N48" s="47">
        <f>VLOOKUP(C48,Extrusion!B:O,12,0)</f>
        <v>0</v>
      </c>
      <c r="O48" s="47">
        <f ca="1">B48*$L$2</f>
        <v>2</v>
      </c>
      <c r="P48" s="51">
        <f>VLOOKUP(C48,Extrusion!B:G,4,0)</f>
        <v>2</v>
      </c>
      <c r="Q48" s="52">
        <f>B48*P48</f>
        <v>4</v>
      </c>
    </row>
    <row r="49" spans="1:17" s="2" customFormat="1" ht="12" customHeight="1" thickBot="1" x14ac:dyDescent="0.3">
      <c r="A49" s="4">
        <v>715</v>
      </c>
      <c r="B49" s="2">
        <v>6</v>
      </c>
      <c r="C49" s="123" t="s">
        <v>156</v>
      </c>
      <c r="D49" s="325" t="str">
        <f>VLOOKUP(C49,Extrusion!B:C,2,0)</f>
        <v>APPROVED EL 8/1</v>
      </c>
      <c r="E49" s="326"/>
      <c r="F49" s="108" t="str">
        <f ca="1">VLOOKUP(C49,Extrusion!B:N,5,0)</f>
        <v/>
      </c>
      <c r="G49" s="108">
        <f>VLOOKUP(C49,Extrusion!B:N,6,0)</f>
        <v>1</v>
      </c>
      <c r="H49" s="108">
        <f>VLOOKUP(C49,Extrusion!B:N,7,0)</f>
        <v>0</v>
      </c>
      <c r="I49" s="109"/>
      <c r="J49" s="46" t="str">
        <f>VLOOKUP(C49,Extrusion!B:N,8,0)</f>
        <v>T-Slots</v>
      </c>
      <c r="K49" s="46" t="str">
        <f>VLOOKUP(C49,Extrusion!B:N,9,0)</f>
        <v>1 not acounted for, added 8/14/2024 tj</v>
      </c>
      <c r="L49" s="46">
        <f>VLOOKUP(C49,Extrusion!B:N,10,0)</f>
        <v>0</v>
      </c>
      <c r="M49" s="46">
        <f>VLOOKUP(C49,Extrusion!B:N,11,0)</f>
        <v>0</v>
      </c>
      <c r="N49" s="47">
        <f>VLOOKUP(C49,Extrusion!B:O,12,0)</f>
        <v>0</v>
      </c>
      <c r="O49" s="47">
        <f ca="1">B49*$L$2</f>
        <v>6</v>
      </c>
      <c r="P49" s="51">
        <f>VLOOKUP(C49,Extrusion!B:G,4,0)</f>
        <v>18</v>
      </c>
      <c r="Q49" s="52">
        <f>B49*P49</f>
        <v>108</v>
      </c>
    </row>
    <row r="50" spans="1:17" s="2" customFormat="1" ht="12" customHeight="1" thickBot="1" x14ac:dyDescent="0.3">
      <c r="A50" s="34"/>
      <c r="B50" s="35"/>
      <c r="C50" s="35"/>
      <c r="D50" s="316"/>
      <c r="E50" s="317"/>
      <c r="F50" s="35"/>
      <c r="G50" s="35"/>
      <c r="H50" s="309"/>
      <c r="I50" s="310"/>
      <c r="J50" s="36"/>
      <c r="K50" s="36"/>
      <c r="L50" s="36"/>
      <c r="M50" s="37"/>
      <c r="N50" s="132"/>
      <c r="O50" s="38"/>
      <c r="P50" s="99" t="s">
        <v>43</v>
      </c>
      <c r="Q50" s="104">
        <f>SUM(Q5:Q49)</f>
        <v>2493.75</v>
      </c>
    </row>
  </sheetData>
  <sheetProtection selectLockedCells="1"/>
  <mergeCells count="63">
    <mergeCell ref="D6:E6"/>
    <mergeCell ref="H6:I6"/>
    <mergeCell ref="D46:E46"/>
    <mergeCell ref="D47:E47"/>
    <mergeCell ref="D48:E48"/>
    <mergeCell ref="D10:E10"/>
    <mergeCell ref="D27:E27"/>
    <mergeCell ref="H27:I27"/>
    <mergeCell ref="D28:E28"/>
    <mergeCell ref="H28:I28"/>
    <mergeCell ref="D11:E11"/>
    <mergeCell ref="D12:E12"/>
    <mergeCell ref="D13:E13"/>
    <mergeCell ref="D14:E14"/>
    <mergeCell ref="D15:E15"/>
    <mergeCell ref="D16:E16"/>
    <mergeCell ref="D17:E17"/>
    <mergeCell ref="D18:E18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5:E5"/>
    <mergeCell ref="H5:I5"/>
    <mergeCell ref="D29:E29"/>
    <mergeCell ref="H29:I29"/>
    <mergeCell ref="D30:E30"/>
    <mergeCell ref="H30:I30"/>
    <mergeCell ref="D31:E31"/>
    <mergeCell ref="H31:I31"/>
    <mergeCell ref="D38:E38"/>
    <mergeCell ref="D39:E39"/>
    <mergeCell ref="D40:E40"/>
    <mergeCell ref="D41:E41"/>
    <mergeCell ref="D42:E42"/>
    <mergeCell ref="D26:E26"/>
    <mergeCell ref="D44:E44"/>
    <mergeCell ref="D45:E45"/>
    <mergeCell ref="D50:E50"/>
    <mergeCell ref="H50:I50"/>
    <mergeCell ref="D32:E32"/>
    <mergeCell ref="H32:I32"/>
    <mergeCell ref="D33:E33"/>
    <mergeCell ref="H33:I33"/>
    <mergeCell ref="D49:E49"/>
    <mergeCell ref="D43:E43"/>
    <mergeCell ref="D34:E34"/>
    <mergeCell ref="H34:I34"/>
    <mergeCell ref="D35:E35"/>
    <mergeCell ref="D36:E36"/>
    <mergeCell ref="D37:E37"/>
    <mergeCell ref="D19:E19"/>
    <mergeCell ref="D25:E25"/>
    <mergeCell ref="D20:E20"/>
    <mergeCell ref="D24:E24"/>
    <mergeCell ref="D21:E21"/>
    <mergeCell ref="D22:E22"/>
    <mergeCell ref="D23:E23"/>
  </mergeCells>
  <conditionalFormatting sqref="M27 M29 M34:M49">
    <cfRule type="cellIs" dxfId="1590" priority="11" stopIfTrue="1" operator="lessThanOrEqual">
      <formula>$L27</formula>
    </cfRule>
    <cfRule type="cellIs" dxfId="1589" priority="12" operator="greaterThan">
      <formula>L27</formula>
    </cfRule>
  </conditionalFormatting>
  <conditionalFormatting sqref="M30:M33">
    <cfRule type="cellIs" dxfId="1588" priority="1" stopIfTrue="1" operator="lessThanOrEqual">
      <formula>$L30</formula>
    </cfRule>
    <cfRule type="cellIs" dxfId="1587" priority="2" operator="greaterThan">
      <formula>L30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3A3990-E17A-4125-BAD4-81AF9DA3E317}">
          <x14:formula1>
            <xm:f>Extrusion!$B:$B</xm:f>
          </x14:formula1>
          <xm:sqref>C35:C49</xm:sqref>
        </x14:dataValidation>
        <x14:dataValidation type="list" allowBlank="1" showInputMessage="1" showErrorMessage="1" xr:uid="{57DD1638-A51B-4487-BE67-A88B90723445}">
          <x14:formula1>
            <xm:f>Assemblies!$E:$E</xm:f>
          </x14:formula1>
          <xm:sqref>C5:C26</xm:sqref>
        </x14:dataValidation>
        <x14:dataValidation type="list" allowBlank="1" showInputMessage="1" showErrorMessage="1" xr:uid="{7128A9EF-D8F4-44B6-95E8-210FE00BA28E}">
          <x14:formula1>
            <xm:f>Machined!$C:$C</xm:f>
          </x14:formula1>
          <xm:sqref>C27:C28</xm:sqref>
        </x14:dataValidation>
        <x14:dataValidation type="list" allowBlank="1" showInputMessage="1" showErrorMessage="1" xr:uid="{1F914DC9-79FD-4BC3-BC71-BD7E167618CB}">
          <x14:formula1>
            <xm:f>Purchased!$A:$A</xm:f>
          </x14:formula1>
          <xm:sqref>C29:C33</xm:sqref>
        </x14:dataValidation>
      </x14:dataValidation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3F9E7-24ED-41A8-8BBD-F0186EF0386E}">
  <sheetPr codeName="Sheet91">
    <tabColor theme="6" tint="0.59999389629810485"/>
  </sheetPr>
  <dimension ref="A1:Q13"/>
  <sheetViews>
    <sheetView zoomScale="115" zoomScaleNormal="115" workbookViewId="0">
      <selection activeCell="F9" sqref="F9:Q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'4.1'!C8</f>
        <v>PG10.4.1.1.0.A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'4.1'!D8</f>
        <v>Welders Rail Assy</v>
      </c>
      <c r="D3" s="85" t="s">
        <v>50</v>
      </c>
      <c r="E3" s="86" t="str">
        <f ca="1">MID(CELL("filename",A1),FIND("]",CELL("filename",A1))+1,256)</f>
        <v>4.1.1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540</v>
      </c>
      <c r="D5" s="314" t="str">
        <f>VLOOKUP(C5,Machined!C:X,2,0)</f>
        <v>Welders Rail Plate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Flare Precision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45504</v>
      </c>
      <c r="K5" s="44">
        <f>IF(VLOOKUP($C5,Machined!C:Z,19,0) = 0, " ", VLOOKUP($C5,Machined!C:Z,19,0))</f>
        <v>45511</v>
      </c>
      <c r="L5" s="44">
        <f>IF(VLOOKUP($C5,Machined!C:Z,20,0) = 0, " ", VLOOKUP($C5,Machined!C:Z,20,0))</f>
        <v>45546</v>
      </c>
      <c r="M5" s="44">
        <f>IF(VLOOKUP($C5,Machined!C:Z,21,0) = 0, " ", VLOOKUP($C5,Machined!C:Z,21,0))</f>
        <v>45546</v>
      </c>
      <c r="N5" s="129">
        <f>IF(VLOOKUP($C5,Machined!C:Z,22,0) = 0, " ", VLOOKUP($C5,Machined!C:Z,22,0))</f>
        <v>55663</v>
      </c>
      <c r="O5" s="45">
        <f ca="1">B5*$L$2</f>
        <v>2</v>
      </c>
      <c r="P5" s="49">
        <f>VLOOKUP(C5,Machined!C:F,3,0)</f>
        <v>495</v>
      </c>
      <c r="Q5" s="50">
        <f>B5*P5</f>
        <v>495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178</v>
      </c>
      <c r="D7" s="325" t="str">
        <f>VLOOKUP(C7,Purchased!A:B,2,0)</f>
        <v>10mm Dia 20mm L Steel Dowel Pin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>3 Additional Quantity Added to 55697</v>
      </c>
      <c r="I7" s="328"/>
      <c r="J7" s="46">
        <f>IF(VLOOKUP($C7,Purchased!A:Z,14,0)=0, " ", VLOOKUP($C7,Purchased!A:Z,14,0))</f>
        <v>45481</v>
      </c>
      <c r="K7" s="46">
        <f>IF(VLOOKUP(C7,Purchased!A:R,14,0)=0, " ", VLOOKUP(C7,Purchased!A:R,14,0))</f>
        <v>45481</v>
      </c>
      <c r="L7" s="46">
        <f>IF(VLOOKUP(C7,Purchased!A:R,15,0)=0, " ", VLOOKUP(C7,Purchased!A:R,15,0))</f>
        <v>45481</v>
      </c>
      <c r="M7" s="46">
        <f>IF(VLOOKUP(C7,Purchased!A:R,16,0)=0, " ",VLOOKUP(C7,Purchased!A:R,16,0))</f>
        <v>45482</v>
      </c>
      <c r="N7" s="130">
        <f>IF(VLOOKUP(C7,Purchased!A:R,17,0)=0, " ", VLOOKUP(C7,Purchased!A:R,17,0))</f>
        <v>45482</v>
      </c>
      <c r="O7" s="47">
        <f t="shared" ref="O7:O9" ca="1" si="0">B7*$L$2</f>
        <v>4</v>
      </c>
      <c r="P7" s="51">
        <f>VLOOKUP(C7,Purchased!A:D,3,FALSE)</f>
        <v>10.57</v>
      </c>
      <c r="Q7" s="52">
        <f t="shared" ref="Q7:Q9" si="1">B7*P7</f>
        <v>21.14</v>
      </c>
    </row>
    <row r="8" spans="1:17" s="2" customFormat="1" ht="12" customHeight="1" x14ac:dyDescent="0.25">
      <c r="A8" s="4">
        <v>302</v>
      </c>
      <c r="B8" s="2">
        <v>2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0"/>
        <v>4</v>
      </c>
      <c r="P8" s="51">
        <f>VLOOKUP(C8,Purchased!A:D,3,FALSE)</f>
        <v>0.56000000000000005</v>
      </c>
      <c r="Q8" s="52">
        <f t="shared" si="1"/>
        <v>1.1200000000000001</v>
      </c>
    </row>
    <row r="9" spans="1:17" s="2" customFormat="1" ht="12" customHeight="1" x14ac:dyDescent="0.25">
      <c r="A9" s="4">
        <v>303</v>
      </c>
      <c r="B9" s="2">
        <v>1</v>
      </c>
      <c r="C9" s="135" t="s">
        <v>541</v>
      </c>
      <c r="D9" s="325" t="str">
        <f>VLOOKUP(C9,Purchased!A:B,2,0)</f>
        <v>15MM BALL RAIL, 1120MM LENGTH, T-20MM</v>
      </c>
      <c r="E9" s="326"/>
      <c r="F9" s="108" t="str">
        <f>IF(VLOOKUP($C9,Purchased!A:Z,11,0) = 0, " ", VLOOKUP($C9,Purchased!A:Z,11,0))</f>
        <v>BRL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45502</v>
      </c>
      <c r="K9" s="46">
        <f>IF(VLOOKUP(C9,Purchased!A:R,14,0)=0, " ", VLOOKUP(C9,Purchased!A:R,14,0))</f>
        <v>45502</v>
      </c>
      <c r="L9" s="46">
        <f>IF(VLOOKUP(C9,Purchased!A:R,15,0)=0, " ", VLOOKUP(C9,Purchased!A:R,15,0))</f>
        <v>45506</v>
      </c>
      <c r="M9" s="46">
        <f>IF(VLOOKUP(C9,Purchased!A:R,16,0)=0, " ",VLOOKUP(C9,Purchased!A:R,16,0))</f>
        <v>45547</v>
      </c>
      <c r="N9" s="130">
        <f>IF(VLOOKUP(C9,Purchased!A:R,17,0)=0, " ", VLOOKUP(C9,Purchased!A:R,17,0))</f>
        <v>45552</v>
      </c>
      <c r="O9" s="47">
        <f t="shared" ca="1" si="0"/>
        <v>2</v>
      </c>
      <c r="P9" s="51">
        <f>VLOOKUP(C9,Purchased!A:D,3,FALSE)</f>
        <v>444.14679999999998</v>
      </c>
      <c r="Q9" s="52">
        <f t="shared" si="1"/>
        <v>444.14679999999998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501</v>
      </c>
      <c r="B11" s="2">
        <v>12</v>
      </c>
      <c r="C11" s="122" t="s">
        <v>246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t="shared" ref="O11:O12" ca="1" si="2">B11*$L$2</f>
        <v>24</v>
      </c>
      <c r="P11" s="51">
        <f>VLOOKUP(C11,Bolts!A:B,2,FALSE)</f>
        <v>0</v>
      </c>
      <c r="Q11" s="52">
        <f t="shared" ref="Q11:Q12" si="3">B11*P11</f>
        <v>0</v>
      </c>
    </row>
    <row r="12" spans="1:17" s="2" customFormat="1" ht="12" customHeight="1" thickBot="1" x14ac:dyDescent="0.3">
      <c r="A12" s="4">
        <v>502</v>
      </c>
      <c r="B12" s="2">
        <v>10</v>
      </c>
      <c r="C12" s="122" t="s">
        <v>349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t="shared" ca="1" si="2"/>
        <v>20</v>
      </c>
      <c r="P12" s="51">
        <f>VLOOKUP(C12,Bolts!A:B,2,FALSE)</f>
        <v>0</v>
      </c>
      <c r="Q12" s="52">
        <f t="shared" si="3"/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961.40679999999998</v>
      </c>
    </row>
  </sheetData>
  <sheetProtection selectLockedCells="1"/>
  <mergeCells count="19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12:E12"/>
    <mergeCell ref="D13:E13"/>
    <mergeCell ref="H13:I13"/>
    <mergeCell ref="D9:E9"/>
    <mergeCell ref="H9:I9"/>
    <mergeCell ref="D10:E10"/>
    <mergeCell ref="H10:I10"/>
    <mergeCell ref="D11:E11"/>
  </mergeCells>
  <conditionalFormatting sqref="M6 M10:M12">
    <cfRule type="cellIs" dxfId="1586" priority="7" stopIfTrue="1" operator="lessThanOrEqual">
      <formula>$L6</formula>
    </cfRule>
    <cfRule type="cellIs" dxfId="1585" priority="8" operator="greaterThan">
      <formula>L6</formula>
    </cfRule>
  </conditionalFormatting>
  <conditionalFormatting sqref="M7">
    <cfRule type="cellIs" dxfId="1584" priority="5" stopIfTrue="1" operator="lessThanOrEqual">
      <formula>$L7</formula>
    </cfRule>
    <cfRule type="cellIs" dxfId="1583" priority="6" operator="greaterThan">
      <formula>L7</formula>
    </cfRule>
  </conditionalFormatting>
  <conditionalFormatting sqref="M8">
    <cfRule type="cellIs" dxfId="1582" priority="3" stopIfTrue="1" operator="lessThanOrEqual">
      <formula>$L8</formula>
    </cfRule>
    <cfRule type="cellIs" dxfId="1581" priority="4" operator="greaterThan">
      <formula>L8</formula>
    </cfRule>
  </conditionalFormatting>
  <conditionalFormatting sqref="M9">
    <cfRule type="cellIs" dxfId="1580" priority="1" stopIfTrue="1" operator="lessThanOrEqual">
      <formula>$L9</formula>
    </cfRule>
    <cfRule type="cellIs" dxfId="1579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6870B01-C8C5-4D2B-9891-7F0B0C1E16BA}">
          <x14:formula1>
            <xm:f>Bolts!$A:$A</xm:f>
          </x14:formula1>
          <xm:sqref>C10:C12</xm:sqref>
        </x14:dataValidation>
        <x14:dataValidation type="list" allowBlank="1" showInputMessage="1" showErrorMessage="1" xr:uid="{3215AD70-B371-4879-94FD-48614E1270DB}">
          <x14:formula1>
            <xm:f>Machined!$C:$C</xm:f>
          </x14:formula1>
          <xm:sqref>C5</xm:sqref>
        </x14:dataValidation>
        <x14:dataValidation type="list" allowBlank="1" showInputMessage="1" showErrorMessage="1" xr:uid="{81469F55-9648-4F36-A32F-DFEC59149B8B}">
          <x14:formula1>
            <xm:f>Purchased!$A:$A</xm:f>
          </x14:formula1>
          <xm:sqref>C6:C9</xm:sqref>
        </x14:dataValidation>
      </x14:dataValidation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8-EBE7-4738-8105-77DBD05C82EF}">
  <sheetPr codeName="Sheet92">
    <tabColor theme="6" tint="0.59999389629810485"/>
  </sheetPr>
  <dimension ref="A1:Q11"/>
  <sheetViews>
    <sheetView zoomScale="115" zoomScaleNormal="115" workbookViewId="0">
      <selection activeCell="C5" sqref="C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'4.1'!C9</f>
        <v>PG10.4.1.2.0.A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'4.1'!D9</f>
        <v>Welders Gear Rack Assy</v>
      </c>
      <c r="D3" s="85" t="s">
        <v>50</v>
      </c>
      <c r="E3" s="86" t="str">
        <f ca="1">MID(CELL("filename",A1),FIND("]",CELL("filename",A1))+1,256)</f>
        <v>4.1.2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542</v>
      </c>
      <c r="D5" s="314" t="str">
        <f>VLOOKUP(C5,Machined!C:X,2,0)</f>
        <v>Welders Gear Rack</v>
      </c>
      <c r="E5" s="329"/>
      <c r="F5" s="107" t="str">
        <f>VLOOKUP($C5,Machined!C:Z,13,0)</f>
        <v xml:space="preserve">PURCHASED GEAR RACK </v>
      </c>
      <c r="G5" s="44" t="str">
        <f>IF(VLOOKUP($C5,Machined!C:Z,16,0) = 0, " ", VLOOKUP($C5,Machined!C:Z,16,0))</f>
        <v xml:space="preserve">Nuline </v>
      </c>
      <c r="H5" s="320" t="str">
        <f>IF(VLOOKUP($C5,Machined!C:Z,17,0) = 0, " ", VLOOKUP($C5,Machined!C:Z,17,0))</f>
        <v>P.O. for material</v>
      </c>
      <c r="I5" s="321" t="str">
        <f>IF(VLOOKUP($C5,Machined!$C:$Y,13,0) = 0, " ", VLOOKUP($C5,Machined!$C:$Y,13,0))</f>
        <v xml:space="preserve">PURCHASED GEAR RACK </v>
      </c>
      <c r="J5" s="44">
        <f>IF(VLOOKUP($C5,Machined!C:Z,18,0) = 0, " ", VLOOKUP($C5,Machined!C:Z,18,0))</f>
        <v>45502</v>
      </c>
      <c r="K5" s="44">
        <f>IF(VLOOKUP($C5,Machined!C:Z,19,0) = 0, " ", VLOOKUP($C5,Machined!C:Z,19,0))</f>
        <v>45520</v>
      </c>
      <c r="L5" s="44">
        <f>IF(VLOOKUP($C5,Machined!C:Z,20,0) = 0, " ", VLOOKUP($C5,Machined!C:Z,20,0))</f>
        <v>45532</v>
      </c>
      <c r="M5" s="44">
        <f>IF(VLOOKUP($C5,Machined!C:Z,21,0) = 0, " ", VLOOKUP($C5,Machined!C:Z,21,0))</f>
        <v>45532</v>
      </c>
      <c r="N5" s="129">
        <f>IF(VLOOKUP($C5,Machined!C:Z,22,0) = 0, " ", VLOOKUP($C5,Machined!C:Z,22,0))</f>
        <v>55687</v>
      </c>
      <c r="O5" s="45">
        <f ca="1">B5*$L$2</f>
        <v>2</v>
      </c>
      <c r="P5" s="49">
        <f>VLOOKUP(C5,Machined!C:F,3,0)</f>
        <v>182.02</v>
      </c>
      <c r="Q5" s="50">
        <f>B5*P5</f>
        <v>182.02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300</v>
      </c>
      <c r="D7" s="325" t="str">
        <f>VLOOKUP(C7,Purchased!A:B,2,0)</f>
        <v>Dowel Pin 52100 Alloy Steel, 10 mm Diameter, 30 mm Long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>4 Additional Quantity Added to 55697</v>
      </c>
      <c r="I7" s="328"/>
      <c r="J7" s="46">
        <f>IF(VLOOKUP($C7,Purchased!A:Z,14,0)=0, " ", VLOOKUP($C7,Purchased!A:Z,14,0))</f>
        <v>45460</v>
      </c>
      <c r="K7" s="46">
        <f>IF(VLOOKUP(C7,Purchased!A:R,14,0)=0, " ", VLOOKUP(C7,Purchased!A:R,14,0))</f>
        <v>45460</v>
      </c>
      <c r="L7" s="46">
        <f>IF(VLOOKUP(C7,Purchased!A:R,15,0)=0, " ", VLOOKUP(C7,Purchased!A:R,15,0))</f>
        <v>45460</v>
      </c>
      <c r="M7" s="46">
        <f>IF(VLOOKUP(C7,Purchased!A:R,16,0)=0, " ",VLOOKUP(C7,Purchased!A:R,16,0))</f>
        <v>45462</v>
      </c>
      <c r="N7" s="130">
        <f>IF(VLOOKUP(C7,Purchased!A:R,17,0)=0, " ", VLOOKUP(C7,Purchased!A:R,17,0))</f>
        <v>45462</v>
      </c>
      <c r="O7" s="47">
        <f t="shared" ref="O7:O8" ca="1" si="0">B7*$L$2</f>
        <v>4</v>
      </c>
      <c r="P7" s="51">
        <f>VLOOKUP(C7,Purchased!A:D,3,FALSE)</f>
        <v>12.91</v>
      </c>
      <c r="Q7" s="52">
        <f t="shared" ref="Q7:Q8" si="1">B7*P7</f>
        <v>25.82</v>
      </c>
    </row>
    <row r="8" spans="1:17" s="2" customFormat="1" ht="12" customHeight="1" x14ac:dyDescent="0.25">
      <c r="A8" s="4">
        <v>302</v>
      </c>
      <c r="B8" s="2">
        <v>5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0"/>
        <v>10</v>
      </c>
      <c r="P8" s="51">
        <f>VLOOKUP(C8,Purchased!A:D,3,FALSE)</f>
        <v>0.56000000000000005</v>
      </c>
      <c r="Q8" s="52">
        <f t="shared" si="1"/>
        <v>2.8000000000000003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5</v>
      </c>
      <c r="C10" s="122" t="s">
        <v>382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t="shared" ref="O10" ca="1" si="2">B10*$L$2</f>
        <v>10</v>
      </c>
      <c r="P10" s="51">
        <f>VLOOKUP(C10,Bolts!A:B,2,FALSE)</f>
        <v>0</v>
      </c>
      <c r="Q10" s="52">
        <f t="shared" ref="Q10" si="3"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210.64000000000001</v>
      </c>
    </row>
  </sheetData>
  <sheetProtection selectLockedCells="1"/>
  <mergeCells count="16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D11:E11"/>
    <mergeCell ref="H11:I11"/>
  </mergeCells>
  <conditionalFormatting sqref="M6 M9:M10">
    <cfRule type="cellIs" dxfId="1578" priority="5" stopIfTrue="1" operator="lessThanOrEqual">
      <formula>$L6</formula>
    </cfRule>
    <cfRule type="cellIs" dxfId="1577" priority="6" operator="greaterThan">
      <formula>L6</formula>
    </cfRule>
  </conditionalFormatting>
  <conditionalFormatting sqref="M7:M8">
    <cfRule type="cellIs" dxfId="1576" priority="1" stopIfTrue="1" operator="lessThanOrEqual">
      <formula>$L7</formula>
    </cfRule>
    <cfRule type="cellIs" dxfId="1575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283CE36-D1ED-46AD-BAB1-D4C90A28F806}">
          <x14:formula1>
            <xm:f>Bolts!$A:$A</xm:f>
          </x14:formula1>
          <xm:sqref>C9:C10</xm:sqref>
        </x14:dataValidation>
        <x14:dataValidation type="list" allowBlank="1" showInputMessage="1" showErrorMessage="1" xr:uid="{CD7EBDB5-FFBF-498A-8653-63ACF28EBC1B}">
          <x14:formula1>
            <xm:f>Machined!$C:$C</xm:f>
          </x14:formula1>
          <xm:sqref>C5</xm:sqref>
        </x14:dataValidation>
        <x14:dataValidation type="list" allowBlank="1" showInputMessage="1" showErrorMessage="1" xr:uid="{D0A0C4CF-C5C2-40DD-BB2B-86F438CCFFF6}">
          <x14:formula1>
            <xm:f>Purchased!$A:$A</xm:f>
          </x14:formula1>
          <xm:sqref>C6:C8</xm:sqref>
        </x14:dataValidation>
      </x14:dataValidation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44315-C323-4EB7-8B15-678B3D332F9C}">
  <sheetPr codeName="Sheet93">
    <tabColor theme="6" tint="0.59999389629810485"/>
  </sheetPr>
  <dimension ref="A1:Q11"/>
  <sheetViews>
    <sheetView zoomScale="115" zoomScaleNormal="115" workbookViewId="0">
      <selection activeCell="F8" sqref="F8:Q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'4.1'!C10</f>
        <v>PG10.4.1.3.0.A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'4.1'!D10</f>
        <v>Cross Seal Cam Bar Assy</v>
      </c>
      <c r="D3" s="85" t="s">
        <v>50</v>
      </c>
      <c r="E3" s="86" t="str">
        <f ca="1">MID(CELL("filename",A1),FIND("]",CELL("filename",A1))+1,256)</f>
        <v>4.1.3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543</v>
      </c>
      <c r="D5" s="314" t="str">
        <f>VLOOKUP(C5,Machined!C:X,2,0)</f>
        <v>Cross Seal Cam Bar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Flare Precision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>
        <f>IF(VLOOKUP($C5,Machined!C:Z,18,0) = 0, " ", VLOOKUP($C5,Machined!C:Z,18,0))</f>
        <v>45504</v>
      </c>
      <c r="K5" s="44">
        <f>IF(VLOOKUP($C5,Machined!C:Z,19,0) = 0, " ", VLOOKUP($C5,Machined!C:Z,19,0))</f>
        <v>45511</v>
      </c>
      <c r="L5" s="44">
        <f>IF(VLOOKUP($C5,Machined!C:Z,20,0) = 0, " ", VLOOKUP($C5,Machined!C:Z,20,0))</f>
        <v>45546</v>
      </c>
      <c r="M5" s="44">
        <f>IF(VLOOKUP($C5,Machined!C:Z,21,0) = 0, " ", VLOOKUP($C5,Machined!C:Z,21,0))</f>
        <v>45546</v>
      </c>
      <c r="N5" s="129">
        <f>IF(VLOOKUP($C5,Machined!C:Z,22,0) = 0, " ", VLOOKUP($C5,Machined!C:Z,22,0))</f>
        <v>55663</v>
      </c>
      <c r="O5" s="45">
        <f ca="1">B5*$L$2</f>
        <v>4</v>
      </c>
      <c r="P5" s="49">
        <f>VLOOKUP(C5,Machined!C:F,3,0)</f>
        <v>655</v>
      </c>
      <c r="Q5" s="50">
        <f>B5*P5</f>
        <v>655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3</v>
      </c>
      <c r="C7" s="135" t="s">
        <v>384</v>
      </c>
      <c r="D7" s="325" t="str">
        <f>VLOOKUP(C7,Purchased!A:B,2,0)</f>
        <v>Dowel Pin 52100 Alloy Steel, 10 mm Diameter, 60 mm Long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45526</v>
      </c>
      <c r="K7" s="46">
        <f>IF(VLOOKUP(C7,Purchased!A:R,14,0)=0, " ", VLOOKUP(C7,Purchased!A:R,14,0))</f>
        <v>45526</v>
      </c>
      <c r="L7" s="46">
        <f>IF(VLOOKUP(C7,Purchased!A:R,15,0)=0, " ", VLOOKUP(C7,Purchased!A:R,15,0))</f>
        <v>45526</v>
      </c>
      <c r="M7" s="46" t="str">
        <f>IF(VLOOKUP(C7,Purchased!A:R,16,0)=0, " ",VLOOKUP(C7,Purchased!A:R,16,0))</f>
        <v xml:space="preserve"> </v>
      </c>
      <c r="N7" s="130" t="str">
        <f>IF(VLOOKUP(C7,Purchased!A:R,17,0)=0, " ", VLOOKUP(C7,Purchased!A:R,17,0))</f>
        <v xml:space="preserve"> </v>
      </c>
      <c r="O7" s="47">
        <f t="shared" ref="O7:O8" ca="1" si="0">B7*$L$2</f>
        <v>12</v>
      </c>
      <c r="P7" s="51">
        <f>VLOOKUP(C7,Purchased!A:D,3,FALSE)</f>
        <v>11.15</v>
      </c>
      <c r="Q7" s="52">
        <f t="shared" ref="Q7:Q8" si="1">B7*P7</f>
        <v>33.450000000000003</v>
      </c>
    </row>
    <row r="8" spans="1:17" s="2" customFormat="1" ht="12" customHeight="1" x14ac:dyDescent="0.25">
      <c r="A8" s="4">
        <v>302</v>
      </c>
      <c r="B8" s="2">
        <v>6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0"/>
        <v>24</v>
      </c>
      <c r="P8" s="51">
        <f>VLOOKUP(C8,Purchased!A:D,3,FALSE)</f>
        <v>0.56000000000000005</v>
      </c>
      <c r="Q8" s="52">
        <f t="shared" si="1"/>
        <v>3.3600000000000003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6</v>
      </c>
      <c r="C10" s="122" t="s">
        <v>544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t="shared" ref="O10" ca="1" si="2">B10*$L$2</f>
        <v>24</v>
      </c>
      <c r="P10" s="51">
        <f>VLOOKUP(C10,Bolts!A:B,2,FALSE)</f>
        <v>0</v>
      </c>
      <c r="Q10" s="52">
        <f t="shared" ref="Q10" si="3"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691.81000000000006</v>
      </c>
    </row>
  </sheetData>
  <sheetProtection selectLockedCells="1"/>
  <mergeCells count="16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D11:E11"/>
    <mergeCell ref="H11:I11"/>
  </mergeCells>
  <conditionalFormatting sqref="M6 M9:M10">
    <cfRule type="cellIs" dxfId="1574" priority="5" stopIfTrue="1" operator="lessThanOrEqual">
      <formula>$L6</formula>
    </cfRule>
    <cfRule type="cellIs" dxfId="1573" priority="6" operator="greaterThan">
      <formula>L6</formula>
    </cfRule>
  </conditionalFormatting>
  <conditionalFormatting sqref="M7">
    <cfRule type="cellIs" dxfId="1572" priority="3" stopIfTrue="1" operator="lessThanOrEqual">
      <formula>$L7</formula>
    </cfRule>
    <cfRule type="cellIs" dxfId="1571" priority="4" operator="greaterThan">
      <formula>L7</formula>
    </cfRule>
  </conditionalFormatting>
  <conditionalFormatting sqref="M8">
    <cfRule type="cellIs" dxfId="1570" priority="1" stopIfTrue="1" operator="lessThanOrEqual">
      <formula>$L8</formula>
    </cfRule>
    <cfRule type="cellIs" dxfId="1569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D19A0F-A0CF-4E28-B6EC-AFAE7737BA07}">
          <x14:formula1>
            <xm:f>Bolts!$A:$A</xm:f>
          </x14:formula1>
          <xm:sqref>C9:C10</xm:sqref>
        </x14:dataValidation>
        <x14:dataValidation type="list" allowBlank="1" showInputMessage="1" showErrorMessage="1" xr:uid="{73C2A921-A6EE-46F0-82C3-D21039CA13E8}">
          <x14:formula1>
            <xm:f>Machined!$C:$C</xm:f>
          </x14:formula1>
          <xm:sqref>C5</xm:sqref>
        </x14:dataValidation>
        <x14:dataValidation type="list" allowBlank="1" showInputMessage="1" showErrorMessage="1" xr:uid="{7185181F-F019-490E-A3AD-B45F93E4C897}">
          <x14:formula1>
            <xm:f>Purchased!$A:$A</xm:f>
          </x14:formula1>
          <xm:sqref>C6:C8</xm:sqref>
        </x14:dataValidation>
      </x14:dataValidation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0FB4-7436-4F65-AFD6-6E6CC39CB496}">
  <sheetPr codeName="Sheet94">
    <tabColor theme="6" tint="0.59999389629810485"/>
  </sheetPr>
  <dimension ref="A1:Q11"/>
  <sheetViews>
    <sheetView zoomScale="115" zoomScaleNormal="115" workbookViewId="0">
      <selection activeCell="C5" sqref="C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'4.1'!C11</f>
        <v>PG10.4.1.4.0.A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'4.1'!D11</f>
        <v>Cross Seal Gear Rack  Assy</v>
      </c>
      <c r="D3" s="85" t="s">
        <v>50</v>
      </c>
      <c r="E3" s="86" t="str">
        <f ca="1">MID(CELL("filename",A1),FIND("]",CELL("filename",A1))+1,256)</f>
        <v>4.1.4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545</v>
      </c>
      <c r="D5" s="314" t="str">
        <f>VLOOKUP(C5,Machined!C:X,2,0)</f>
        <v xml:space="preserve">Cross Seal Gear Rack </v>
      </c>
      <c r="E5" s="329"/>
      <c r="F5" s="107" t="str">
        <f>VLOOKUP($C5,Machined!C:Z,13,0)</f>
        <v xml:space="preserve">PURCHASED GEAR RACK </v>
      </c>
      <c r="G5" s="44" t="str">
        <f>IF(VLOOKUP($C5,Machined!C:Z,16,0) = 0, " ", VLOOKUP($C5,Machined!C:Z,16,0))</f>
        <v xml:space="preserve">Nuline </v>
      </c>
      <c r="H5" s="320" t="str">
        <f>IF(VLOOKUP($C5,Machined!C:Z,17,0) = 0, " ", VLOOKUP($C5,Machined!C:Z,17,0))</f>
        <v>P.O. for material</v>
      </c>
      <c r="I5" s="321" t="str">
        <f>IF(VLOOKUP($C5,Machined!$C:$Y,13,0) = 0, " ", VLOOKUP($C5,Machined!$C:$Y,13,0))</f>
        <v xml:space="preserve">PURCHASED GEAR RACK </v>
      </c>
      <c r="J5" s="44">
        <f>IF(VLOOKUP($C5,Machined!C:Z,18,0) = 0, " ", VLOOKUP($C5,Machined!C:Z,18,0))</f>
        <v>45502</v>
      </c>
      <c r="K5" s="44">
        <f>IF(VLOOKUP($C5,Machined!C:Z,19,0) = 0, " ", VLOOKUP($C5,Machined!C:Z,19,0))</f>
        <v>45520</v>
      </c>
      <c r="L5" s="44">
        <f>IF(VLOOKUP($C5,Machined!C:Z,20,0) = 0, " ", VLOOKUP($C5,Machined!C:Z,20,0))</f>
        <v>45532</v>
      </c>
      <c r="M5" s="44">
        <f>IF(VLOOKUP($C5,Machined!C:Z,21,0) = 0, " ", VLOOKUP($C5,Machined!C:Z,21,0))</f>
        <v>45532</v>
      </c>
      <c r="N5" s="129">
        <f>IF(VLOOKUP($C5,Machined!C:Z,22,0) = 0, " ", VLOOKUP($C5,Machined!C:Z,22,0))</f>
        <v>55636</v>
      </c>
      <c r="O5" s="45">
        <f ca="1">B5*$L$2</f>
        <v>2</v>
      </c>
      <c r="P5" s="49">
        <f>VLOOKUP(C5,Machined!C:F,3,0)</f>
        <v>170.05</v>
      </c>
      <c r="Q5" s="50">
        <f>B5*P5</f>
        <v>170.05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300</v>
      </c>
      <c r="D7" s="325" t="str">
        <f>VLOOKUP(C7,Purchased!A:B,2,0)</f>
        <v>Dowel Pin 52100 Alloy Steel, 10 mm Diameter, 30 mm Long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>4 Additional Quantity Added to 55697</v>
      </c>
      <c r="I7" s="328"/>
      <c r="J7" s="46">
        <f>IF(VLOOKUP($C7,Purchased!A:Z,14,0)=0, " ", VLOOKUP($C7,Purchased!A:Z,14,0))</f>
        <v>45460</v>
      </c>
      <c r="K7" s="46">
        <f>IF(VLOOKUP(C7,Purchased!A:R,14,0)=0, " ", VLOOKUP(C7,Purchased!A:R,14,0))</f>
        <v>45460</v>
      </c>
      <c r="L7" s="46">
        <f>IF(VLOOKUP(C7,Purchased!A:R,15,0)=0, " ", VLOOKUP(C7,Purchased!A:R,15,0))</f>
        <v>45460</v>
      </c>
      <c r="M7" s="46">
        <f>IF(VLOOKUP(C7,Purchased!A:R,16,0)=0, " ",VLOOKUP(C7,Purchased!A:R,16,0))</f>
        <v>45462</v>
      </c>
      <c r="N7" s="130">
        <f>IF(VLOOKUP(C7,Purchased!A:R,17,0)=0, " ", VLOOKUP(C7,Purchased!A:R,17,0))</f>
        <v>45462</v>
      </c>
      <c r="O7" s="47">
        <f t="shared" ref="O7:O8" ca="1" si="0">B7*$L$2</f>
        <v>4</v>
      </c>
      <c r="P7" s="51">
        <f>VLOOKUP(C7,Purchased!A:D,3,FALSE)</f>
        <v>12.91</v>
      </c>
      <c r="Q7" s="52">
        <f t="shared" ref="Q7:Q8" si="1">B7*P7</f>
        <v>25.82</v>
      </c>
    </row>
    <row r="8" spans="1:17" s="2" customFormat="1" ht="12" customHeight="1" x14ac:dyDescent="0.25">
      <c r="A8" s="4">
        <v>302</v>
      </c>
      <c r="B8" s="2">
        <v>3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0"/>
        <v>6</v>
      </c>
      <c r="P8" s="51">
        <f>VLOOKUP(C8,Purchased!A:D,3,FALSE)</f>
        <v>0.56000000000000005</v>
      </c>
      <c r="Q8" s="52">
        <f t="shared" si="1"/>
        <v>1.6800000000000002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3</v>
      </c>
      <c r="C10" s="122" t="s">
        <v>382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t="shared" ref="O10" ca="1" si="2">B10*$L$2</f>
        <v>6</v>
      </c>
      <c r="P10" s="51">
        <f>VLOOKUP(C10,Bolts!A:B,2,FALSE)</f>
        <v>0</v>
      </c>
      <c r="Q10" s="52">
        <f t="shared" ref="Q10" si="3"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197.55</v>
      </c>
    </row>
  </sheetData>
  <sheetProtection selectLockedCells="1"/>
  <mergeCells count="16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D11:E11"/>
    <mergeCell ref="H11:I11"/>
  </mergeCells>
  <conditionalFormatting sqref="M6 M9:M10">
    <cfRule type="cellIs" dxfId="1568" priority="5" stopIfTrue="1" operator="lessThanOrEqual">
      <formula>$L6</formula>
    </cfRule>
    <cfRule type="cellIs" dxfId="1567" priority="6" operator="greaterThan">
      <formula>L6</formula>
    </cfRule>
  </conditionalFormatting>
  <conditionalFormatting sqref="M7">
    <cfRule type="cellIs" dxfId="1566" priority="3" stopIfTrue="1" operator="lessThanOrEqual">
      <formula>$L7</formula>
    </cfRule>
    <cfRule type="cellIs" dxfId="1565" priority="4" operator="greaterThan">
      <formula>L7</formula>
    </cfRule>
  </conditionalFormatting>
  <conditionalFormatting sqref="M8">
    <cfRule type="cellIs" dxfId="1564" priority="1" stopIfTrue="1" operator="lessThanOrEqual">
      <formula>$L8</formula>
    </cfRule>
    <cfRule type="cellIs" dxfId="1563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B35E421-6F7F-48EF-B466-A1021584F58B}">
          <x14:formula1>
            <xm:f>Bolts!$A:$A</xm:f>
          </x14:formula1>
          <xm:sqref>C9:C10</xm:sqref>
        </x14:dataValidation>
        <x14:dataValidation type="list" allowBlank="1" showInputMessage="1" showErrorMessage="1" xr:uid="{4DE6F501-A39F-4211-8C97-7792D79EC8CC}">
          <x14:formula1>
            <xm:f>Machined!$C:$C</xm:f>
          </x14:formula1>
          <xm:sqref>C5</xm:sqref>
        </x14:dataValidation>
        <x14:dataValidation type="list" allowBlank="1" showInputMessage="1" showErrorMessage="1" xr:uid="{891DFB47-9B04-4215-83F0-75AFD66690B0}">
          <x14:formula1>
            <xm:f>Purchased!$A:$A</xm:f>
          </x14:formula1>
          <xm:sqref>C6:C8</xm:sqref>
        </x14:dataValidation>
      </x14:dataValidation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D0301-2889-46A4-B419-8EBDAB7F7A98}">
  <sheetPr codeName="Sheet95">
    <tabColor theme="6" tint="0.59999389629810485"/>
  </sheetPr>
  <dimension ref="A1:Q11"/>
  <sheetViews>
    <sheetView zoomScale="115" zoomScaleNormal="115" workbookViewId="0">
      <selection activeCell="F8" sqref="F8:Q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'4.1'!C12</f>
        <v>PG10.4.1.5.0.A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'4.1'!D12</f>
        <v>Slider Bowl Gear Rack Assy</v>
      </c>
      <c r="D3" s="85" t="s">
        <v>50</v>
      </c>
      <c r="E3" s="86" t="str">
        <f ca="1">MID(CELL("filename",A1),FIND("]",CELL("filename",A1))+1,256)</f>
        <v>4.1.5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546</v>
      </c>
      <c r="D5" s="314" t="str">
        <f>VLOOKUP(C5,Machined!C:X,2,0)</f>
        <v>Slider Bowl Gear Rack</v>
      </c>
      <c r="E5" s="329"/>
      <c r="F5" s="107" t="str">
        <f>VLOOKUP($C5,Machined!C:Z,13,0)</f>
        <v xml:space="preserve">PURCHASED GEAR RACK </v>
      </c>
      <c r="G5" s="44" t="str">
        <f>IF(VLOOKUP($C5,Machined!C:Z,16,0) = 0, " ", VLOOKUP($C5,Machined!C:Z,16,0))</f>
        <v xml:space="preserve">Nuline </v>
      </c>
      <c r="H5" s="320" t="str">
        <f>IF(VLOOKUP($C5,Machined!C:Z,17,0) = 0, " ", VLOOKUP($C5,Machined!C:Z,17,0))</f>
        <v>P.O. for material</v>
      </c>
      <c r="I5" s="321" t="str">
        <f>IF(VLOOKUP($C5,Machined!$C:$Y,13,0) = 0, " ", VLOOKUP($C5,Machined!$C:$Y,13,0))</f>
        <v xml:space="preserve">PURCHASED GEAR RACK </v>
      </c>
      <c r="J5" s="44">
        <f>IF(VLOOKUP($C5,Machined!C:Z,18,0) = 0, " ", VLOOKUP($C5,Machined!C:Z,18,0))</f>
        <v>45502</v>
      </c>
      <c r="K5" s="44">
        <f>IF(VLOOKUP($C5,Machined!C:Z,19,0) = 0, " ", VLOOKUP($C5,Machined!C:Z,19,0))</f>
        <v>45520</v>
      </c>
      <c r="L5" s="44">
        <f>IF(VLOOKUP($C5,Machined!C:Z,20,0) = 0, " ", VLOOKUP($C5,Machined!C:Z,20,0))</f>
        <v>45532</v>
      </c>
      <c r="M5" s="44">
        <f>IF(VLOOKUP($C5,Machined!C:Z,21,0) = 0, " ", VLOOKUP($C5,Machined!C:Z,21,0))</f>
        <v>45532</v>
      </c>
      <c r="N5" s="129">
        <f>IF(VLOOKUP($C5,Machined!C:Z,22,0) = 0, " ", VLOOKUP($C5,Machined!C:Z,22,0))</f>
        <v>55687</v>
      </c>
      <c r="O5" s="45">
        <f ca="1">B5*$L$2</f>
        <v>2</v>
      </c>
      <c r="P5" s="49">
        <f>VLOOKUP(C5,Machined!C:F,3,0)</f>
        <v>83.27</v>
      </c>
      <c r="Q5" s="50">
        <f>B5*P5</f>
        <v>83.27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300</v>
      </c>
      <c r="D7" s="325" t="str">
        <f>VLOOKUP(C7,Purchased!A:B,2,0)</f>
        <v>Dowel Pin 52100 Alloy Steel, 10 mm Diameter, 30 mm Long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>4 Additional Quantity Added to 55697</v>
      </c>
      <c r="I7" s="328"/>
      <c r="J7" s="46">
        <f>IF(VLOOKUP($C7,Purchased!A:Z,14,0)=0, " ", VLOOKUP($C7,Purchased!A:Z,14,0))</f>
        <v>45460</v>
      </c>
      <c r="K7" s="46">
        <f>IF(VLOOKUP(C7,Purchased!A:R,14,0)=0, " ", VLOOKUP(C7,Purchased!A:R,14,0))</f>
        <v>45460</v>
      </c>
      <c r="L7" s="46">
        <f>IF(VLOOKUP(C7,Purchased!A:R,15,0)=0, " ", VLOOKUP(C7,Purchased!A:R,15,0))</f>
        <v>45460</v>
      </c>
      <c r="M7" s="46">
        <f>IF(VLOOKUP(C7,Purchased!A:R,16,0)=0, " ",VLOOKUP(C7,Purchased!A:R,16,0))</f>
        <v>45462</v>
      </c>
      <c r="N7" s="130">
        <f>IF(VLOOKUP(C7,Purchased!A:R,17,0)=0, " ", VLOOKUP(C7,Purchased!A:R,17,0))</f>
        <v>45462</v>
      </c>
      <c r="O7" s="47">
        <f t="shared" ref="O7:O8" ca="1" si="0">B7*$L$2</f>
        <v>4</v>
      </c>
      <c r="P7" s="51">
        <f>VLOOKUP(C7,Purchased!A:D,3,FALSE)</f>
        <v>12.91</v>
      </c>
      <c r="Q7" s="52">
        <f t="shared" ref="Q7:Q8" si="1">B7*P7</f>
        <v>25.82</v>
      </c>
    </row>
    <row r="8" spans="1:17" s="2" customFormat="1" ht="12" customHeight="1" x14ac:dyDescent="0.25">
      <c r="A8" s="4">
        <v>302</v>
      </c>
      <c r="B8" s="2">
        <v>3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0"/>
        <v>6</v>
      </c>
      <c r="P8" s="51">
        <f>VLOOKUP(C8,Purchased!A:D,3,FALSE)</f>
        <v>0.56000000000000005</v>
      </c>
      <c r="Q8" s="52">
        <f t="shared" si="1"/>
        <v>1.6800000000000002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3</v>
      </c>
      <c r="C10" s="122" t="s">
        <v>382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t="shared" ref="O10" ca="1" si="2">B10*$L$2</f>
        <v>6</v>
      </c>
      <c r="P10" s="51">
        <f>VLOOKUP(C10,Bolts!A:B,2,FALSE)</f>
        <v>0</v>
      </c>
      <c r="Q10" s="52">
        <f t="shared" ref="Q10" si="3"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110.77000000000001</v>
      </c>
    </row>
  </sheetData>
  <sheetProtection selectLockedCells="1"/>
  <mergeCells count="16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D11:E11"/>
    <mergeCell ref="H11:I11"/>
  </mergeCells>
  <conditionalFormatting sqref="M6 M9:M10">
    <cfRule type="cellIs" dxfId="1562" priority="5" stopIfTrue="1" operator="lessThanOrEqual">
      <formula>$L6</formula>
    </cfRule>
    <cfRule type="cellIs" dxfId="1561" priority="6" operator="greaterThan">
      <formula>L6</formula>
    </cfRule>
  </conditionalFormatting>
  <conditionalFormatting sqref="M7">
    <cfRule type="cellIs" dxfId="1560" priority="3" stopIfTrue="1" operator="lessThanOrEqual">
      <formula>$L7</formula>
    </cfRule>
    <cfRule type="cellIs" dxfId="1559" priority="4" operator="greaterThan">
      <formula>L7</formula>
    </cfRule>
  </conditionalFormatting>
  <conditionalFormatting sqref="M8">
    <cfRule type="cellIs" dxfId="1558" priority="1" stopIfTrue="1" operator="lessThanOrEqual">
      <formula>$L8</formula>
    </cfRule>
    <cfRule type="cellIs" dxfId="1557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78AABD-B9EB-48EE-AC26-F2108330F978}">
          <x14:formula1>
            <xm:f>Bolts!$A:$A</xm:f>
          </x14:formula1>
          <xm:sqref>C9:C10</xm:sqref>
        </x14:dataValidation>
        <x14:dataValidation type="list" allowBlank="1" showInputMessage="1" showErrorMessage="1" xr:uid="{1A913834-1DE5-4BDA-891E-FB36F1D79674}">
          <x14:formula1>
            <xm:f>Machined!$C:$C</xm:f>
          </x14:formula1>
          <xm:sqref>C5</xm:sqref>
        </x14:dataValidation>
        <x14:dataValidation type="list" allowBlank="1" showInputMessage="1" showErrorMessage="1" xr:uid="{551A8DE0-5A60-4E9A-BE18-E5530260895F}">
          <x14:formula1>
            <xm:f>Purchased!$A:$A</xm:f>
          </x14:formula1>
          <xm:sqref>C6:C8</xm:sqref>
        </x14:dataValidation>
      </x14:dataValidation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8F570-8CBB-49CD-940F-799CDBAFCCF3}">
  <sheetPr codeName="Sheet96">
    <tabColor theme="6" tint="0.59999389629810485"/>
  </sheetPr>
  <dimension ref="A1:Q13"/>
  <sheetViews>
    <sheetView zoomScale="115" zoomScaleNormal="115" workbookViewId="0">
      <selection activeCell="F9" sqref="F9:Q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'4.1'!C13</f>
        <v>PG10.4.1.6.0.A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'4.1'!D13</f>
        <v>Slider Bowl Rail Assy</v>
      </c>
      <c r="D3" s="85" t="s">
        <v>50</v>
      </c>
      <c r="E3" s="86" t="str">
        <f ca="1">MID(CELL("filename",A1),FIND("]",CELL("filename",A1))+1,256)</f>
        <v>4.1.6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547</v>
      </c>
      <c r="D5" s="314" t="str">
        <f>VLOOKUP(C5,Machined!C:X,2,0)</f>
        <v>Slider Bowl Rail Plate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Flare Precision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45504</v>
      </c>
      <c r="K5" s="44">
        <f>IF(VLOOKUP($C5,Machined!C:Z,19,0) = 0, " ", VLOOKUP($C5,Machined!C:Z,19,0))</f>
        <v>45511</v>
      </c>
      <c r="L5" s="44">
        <f>IF(VLOOKUP($C5,Machined!C:Z,20,0) = 0, " ", VLOOKUP($C5,Machined!C:Z,20,0))</f>
        <v>45546</v>
      </c>
      <c r="M5" s="44">
        <f>IF(VLOOKUP($C5,Machined!C:Z,21,0) = 0, " ", VLOOKUP($C5,Machined!C:Z,21,0))</f>
        <v>45546</v>
      </c>
      <c r="N5" s="129">
        <f>IF(VLOOKUP($C5,Machined!C:Z,22,0) = 0, " ", VLOOKUP($C5,Machined!C:Z,22,0))</f>
        <v>55663</v>
      </c>
      <c r="O5" s="45">
        <f ca="1">B5*$L$2</f>
        <v>2</v>
      </c>
      <c r="P5" s="49">
        <f>VLOOKUP(C5,Machined!C:F,3,0)</f>
        <v>395</v>
      </c>
      <c r="Q5" s="50">
        <f>B5*P5</f>
        <v>395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178</v>
      </c>
      <c r="D7" s="325" t="str">
        <f>VLOOKUP(C7,Purchased!A:B,2,0)</f>
        <v>10mm Dia 20mm L Steel Dowel Pin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>3 Additional Quantity Added to 55697</v>
      </c>
      <c r="I7" s="328"/>
      <c r="J7" s="46">
        <f>IF(VLOOKUP($C7,Purchased!A:Z,14,0)=0, " ", VLOOKUP($C7,Purchased!A:Z,14,0))</f>
        <v>45481</v>
      </c>
      <c r="K7" s="46">
        <f>IF(VLOOKUP(C7,Purchased!A:R,14,0)=0, " ", VLOOKUP(C7,Purchased!A:R,14,0))</f>
        <v>45481</v>
      </c>
      <c r="L7" s="46">
        <f>IF(VLOOKUP(C7,Purchased!A:R,15,0)=0, " ", VLOOKUP(C7,Purchased!A:R,15,0))</f>
        <v>45481</v>
      </c>
      <c r="M7" s="46">
        <f>IF(VLOOKUP(C7,Purchased!A:R,16,0)=0, " ",VLOOKUP(C7,Purchased!A:R,16,0))</f>
        <v>45482</v>
      </c>
      <c r="N7" s="130">
        <f>IF(VLOOKUP(C7,Purchased!A:R,17,0)=0, " ", VLOOKUP(C7,Purchased!A:R,17,0))</f>
        <v>45482</v>
      </c>
      <c r="O7" s="47">
        <f t="shared" ref="O7:O9" ca="1" si="0">B7*$L$2</f>
        <v>4</v>
      </c>
      <c r="P7" s="51">
        <f>VLOOKUP(C7,Purchased!A:D,3,FALSE)</f>
        <v>10.57</v>
      </c>
      <c r="Q7" s="52">
        <f t="shared" ref="Q7:Q9" si="1">B7*P7</f>
        <v>21.14</v>
      </c>
    </row>
    <row r="8" spans="1:17" s="2" customFormat="1" ht="12" customHeight="1" x14ac:dyDescent="0.25">
      <c r="A8" s="4">
        <v>302</v>
      </c>
      <c r="B8" s="2">
        <v>8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0"/>
        <v>16</v>
      </c>
      <c r="P8" s="51">
        <f>VLOOKUP(C8,Purchased!A:D,3,FALSE)</f>
        <v>0.56000000000000005</v>
      </c>
      <c r="Q8" s="52">
        <f t="shared" si="1"/>
        <v>4.4800000000000004</v>
      </c>
    </row>
    <row r="9" spans="1:17" s="2" customFormat="1" ht="12" customHeight="1" x14ac:dyDescent="0.25">
      <c r="A9" s="4">
        <v>303</v>
      </c>
      <c r="B9" s="2">
        <v>1</v>
      </c>
      <c r="C9" s="135" t="s">
        <v>548</v>
      </c>
      <c r="D9" s="325" t="str">
        <f>VLOOKUP(C9,Purchased!A:B,2,0)</f>
        <v>15MM BALL RAIL, 600MM LENGTH, T-30MM</v>
      </c>
      <c r="E9" s="326"/>
      <c r="F9" s="108" t="str">
        <f>IF(VLOOKUP($C9,Purchased!A:Z,11,0) = 0, " ", VLOOKUP($C9,Purchased!A:Z,11,0))</f>
        <v>BRL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45502</v>
      </c>
      <c r="K9" s="46">
        <f>IF(VLOOKUP(C9,Purchased!A:R,14,0)=0, " ", VLOOKUP(C9,Purchased!A:R,14,0))</f>
        <v>45502</v>
      </c>
      <c r="L9" s="46">
        <f>IF(VLOOKUP(C9,Purchased!A:R,15,0)=0, " ", VLOOKUP(C9,Purchased!A:R,15,0))</f>
        <v>45506</v>
      </c>
      <c r="M9" s="46">
        <f>IF(VLOOKUP(C9,Purchased!A:R,16,0)=0, " ",VLOOKUP(C9,Purchased!A:R,16,0))</f>
        <v>45547</v>
      </c>
      <c r="N9" s="130">
        <f>IF(VLOOKUP(C9,Purchased!A:R,17,0)=0, " ", VLOOKUP(C9,Purchased!A:R,17,0))</f>
        <v>45552</v>
      </c>
      <c r="O9" s="47">
        <f t="shared" ca="1" si="0"/>
        <v>2</v>
      </c>
      <c r="P9" s="51">
        <f>VLOOKUP(C9,Purchased!A:D,3,FALSE)</f>
        <v>262.12779999999998</v>
      </c>
      <c r="Q9" s="52">
        <f t="shared" si="1"/>
        <v>262.12779999999998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501</v>
      </c>
      <c r="B11" s="2">
        <v>8</v>
      </c>
      <c r="C11" s="122" t="s">
        <v>174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t="shared" ref="O11" ca="1" si="2">B11*$L$2</f>
        <v>16</v>
      </c>
      <c r="P11" s="51">
        <f>VLOOKUP(C11,Bolts!A:B,2,FALSE)</f>
        <v>0</v>
      </c>
      <c r="Q11" s="52">
        <f t="shared" ref="Q11" si="3">B11*P11</f>
        <v>0</v>
      </c>
    </row>
    <row r="12" spans="1:17" s="2" customFormat="1" ht="12" customHeight="1" thickBot="1" x14ac:dyDescent="0.3">
      <c r="A12" s="4">
        <v>502</v>
      </c>
      <c r="B12" s="2">
        <v>6</v>
      </c>
      <c r="C12" s="122" t="s">
        <v>349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12</v>
      </c>
      <c r="P12" s="51">
        <f>VLOOKUP(C12,Bolts!A:B,2,FALSE)</f>
        <v>0</v>
      </c>
      <c r="Q12" s="52">
        <f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SUM(Q5:Q11)</f>
        <v>682.74779999999998</v>
      </c>
    </row>
  </sheetData>
  <sheetProtection selectLockedCells="1"/>
  <mergeCells count="19">
    <mergeCell ref="D11:E11"/>
    <mergeCell ref="D13:E13"/>
    <mergeCell ref="H13:I13"/>
    <mergeCell ref="D7:E7"/>
    <mergeCell ref="H7:I7"/>
    <mergeCell ref="D8:E8"/>
    <mergeCell ref="H8:I8"/>
    <mergeCell ref="D10:E10"/>
    <mergeCell ref="H10:I10"/>
    <mergeCell ref="D9:E9"/>
    <mergeCell ref="H9:I9"/>
    <mergeCell ref="D12:E12"/>
    <mergeCell ref="D6:E6"/>
    <mergeCell ref="H6:I6"/>
    <mergeCell ref="D1:E1"/>
    <mergeCell ref="D4:E4"/>
    <mergeCell ref="H4:I4"/>
    <mergeCell ref="D5:E5"/>
    <mergeCell ref="H5:I5"/>
  </mergeCells>
  <conditionalFormatting sqref="M6 M10:M12">
    <cfRule type="cellIs" dxfId="1556" priority="7" stopIfTrue="1" operator="lessThanOrEqual">
      <formula>$L6</formula>
    </cfRule>
    <cfRule type="cellIs" dxfId="1555" priority="8" operator="greaterThan">
      <formula>L6</formula>
    </cfRule>
  </conditionalFormatting>
  <conditionalFormatting sqref="M7">
    <cfRule type="cellIs" dxfId="1554" priority="5" stopIfTrue="1" operator="lessThanOrEqual">
      <formula>$L7</formula>
    </cfRule>
    <cfRule type="cellIs" dxfId="1553" priority="6" operator="greaterThan">
      <formula>L7</formula>
    </cfRule>
  </conditionalFormatting>
  <conditionalFormatting sqref="M8">
    <cfRule type="cellIs" dxfId="1552" priority="3" stopIfTrue="1" operator="lessThanOrEqual">
      <formula>$L8</formula>
    </cfRule>
    <cfRule type="cellIs" dxfId="1551" priority="4" operator="greaterThan">
      <formula>L8</formula>
    </cfRule>
  </conditionalFormatting>
  <conditionalFormatting sqref="M9">
    <cfRule type="cellIs" dxfId="1550" priority="1" stopIfTrue="1" operator="lessThanOrEqual">
      <formula>$L9</formula>
    </cfRule>
    <cfRule type="cellIs" dxfId="1549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22A5725-00C4-4DFC-A55E-15266ADD9B2F}">
          <x14:formula1>
            <xm:f>Bolts!$A:$A</xm:f>
          </x14:formula1>
          <xm:sqref>C10:C12</xm:sqref>
        </x14:dataValidation>
        <x14:dataValidation type="list" allowBlank="1" showInputMessage="1" showErrorMessage="1" xr:uid="{44F1F588-1FCF-4208-A35D-EF4611D91F83}">
          <x14:formula1>
            <xm:f>Machined!$C:$C</xm:f>
          </x14:formula1>
          <xm:sqref>C5</xm:sqref>
        </x14:dataValidation>
        <x14:dataValidation type="list" allowBlank="1" showInputMessage="1" showErrorMessage="1" xr:uid="{A79EEB1D-574C-4623-A110-E40DC688A67E}">
          <x14:formula1>
            <xm:f>Purchased!$A:$A</xm:f>
          </x14:formula1>
          <xm:sqref>C6:C9</xm:sqref>
        </x14:dataValidation>
      </x14:dataValidation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A74C9-8BD2-4844-B9CB-F65E3921DED2}">
  <sheetPr codeName="Sheet97">
    <tabColor theme="6" tint="0.59999389629810485"/>
  </sheetPr>
  <dimension ref="A1:Q23"/>
  <sheetViews>
    <sheetView zoomScale="115" zoomScaleNormal="115" workbookViewId="0">
      <selection activeCell="G31" sqref="G3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'4.1'!C14</f>
        <v>PG10.4.1.7.0.A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'4.1'!D14</f>
        <v>Interlocked Lower Guard Assy</v>
      </c>
      <c r="D3" s="85" t="s">
        <v>50</v>
      </c>
      <c r="E3" s="86" t="str">
        <f ca="1">MID(CELL("filename",A1),FIND("]",CELL("filename",A1))+1,256)</f>
        <v>4.1.7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549</v>
      </c>
      <c r="D5" s="314" t="str">
        <f>VLOOKUP(C5,Machined!C:X,2,0)</f>
        <v>Interlocked Lower Guard</v>
      </c>
      <c r="E5" s="329"/>
      <c r="F5" s="107" t="str">
        <f>VLOOKUP($C5,Machined!C:Z,13,0)</f>
        <v>POLYCARBONITE-CLEAR</v>
      </c>
      <c r="G5" s="44" t="str">
        <f>IF(VLOOKUP($C5,Machined!C:Z,16,0) = 0, " ", VLOOKUP($C5,Machined!C:Z,16,0))</f>
        <v>Port Plastics</v>
      </c>
      <c r="H5" s="320" t="str">
        <f>IF(VLOOKUP($C5,Machined!C:Z,17,0) = 0, " ", VLOOKUP($C5,Machined!C:Z,17,0))</f>
        <v>Rev B added 8/5 EL</v>
      </c>
      <c r="I5" s="321" t="str">
        <f>IF(VLOOKUP($C5,Machined!$C:$Y,13,0) = 0, " ", VLOOKUP($C5,Machined!$C:$Y,13,0))</f>
        <v>POLYCARBONITE-CLEAR</v>
      </c>
      <c r="J5" s="44" t="str">
        <f>IF(VLOOKUP($C5,Machined!C:Z,18,0) = 0, " ", VLOOKUP($C5,Machined!C:Z,18,0))</f>
        <v>(TJ) 8/8/2024</v>
      </c>
      <c r="K5" s="44">
        <f>IF(VLOOKUP($C5,Machined!C:Z,19,0) = 0, " ", VLOOKUP($C5,Machined!C:Z,19,0))</f>
        <v>45530</v>
      </c>
      <c r="L5" s="44">
        <f>IF(VLOOKUP($C5,Machined!C:Z,20,0) = 0, " ", VLOOKUP($C5,Machined!C:Z,20,0))</f>
        <v>45561</v>
      </c>
      <c r="M5" s="44" t="str">
        <f>IF(VLOOKUP($C5,Machined!C:Z,21,0) = 0, " ", VLOOKUP($C5,Machined!C:Z,21,0))</f>
        <v xml:space="preserve"> </v>
      </c>
      <c r="N5" s="129">
        <f>IF(VLOOKUP($C5,Machined!C:Z,22,0) = 0, " ", VLOOKUP($C5,Machined!C:Z,22,0))</f>
        <v>55708</v>
      </c>
      <c r="O5" s="45">
        <f ca="1">B5*$L$2</f>
        <v>1</v>
      </c>
      <c r="P5" s="49">
        <f>VLOOKUP(C5,Machined!C:F,3,0)</f>
        <v>145</v>
      </c>
      <c r="Q5" s="50">
        <f>B5*P5</f>
        <v>145</v>
      </c>
    </row>
    <row r="6" spans="1:17" s="2" customFormat="1" ht="12.75" customHeight="1" x14ac:dyDescent="0.25">
      <c r="A6" s="77">
        <v>2</v>
      </c>
      <c r="B6" s="20">
        <v>1</v>
      </c>
      <c r="C6" s="121" t="s">
        <v>550</v>
      </c>
      <c r="D6" s="314" t="str">
        <f>VLOOKUP(C6,Machined!C:X,2,0)</f>
        <v>Guard Sensor Bracket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45503</v>
      </c>
      <c r="K6" s="44">
        <f>IF(VLOOKUP($C6,Machined!C:Z,19,0) = 0, " ", VLOOKUP($C6,Machined!C:Z,19,0))</f>
        <v>45509</v>
      </c>
      <c r="L6" s="44">
        <f>IF(VLOOKUP($C6,Machined!C:Z,20,0) = 0, " ", VLOOKUP($C6,Machined!C:Z,20,0))</f>
        <v>45540</v>
      </c>
      <c r="M6" s="44">
        <f>IF(VLOOKUP($C6,Machined!C:Z,21,0) = 0, " ", VLOOKUP($C6,Machined!C:Z,21,0))</f>
        <v>45540</v>
      </c>
      <c r="N6" s="129">
        <f>IF(VLOOKUP($C6,Machined!C:Z,22,0) = 0, " ", VLOOKUP($C6,Machined!C:Z,22,0))</f>
        <v>55656</v>
      </c>
      <c r="O6" s="45">
        <f ca="1">B6*$L$2</f>
        <v>1</v>
      </c>
      <c r="P6" s="49">
        <f>VLOOKUP(C6,Machined!C:F,3,0)</f>
        <v>38.75</v>
      </c>
      <c r="Q6" s="50">
        <f>B6*P6</f>
        <v>38.75</v>
      </c>
    </row>
    <row r="7" spans="1:17" s="2" customFormat="1" ht="12.75" customHeight="1" x14ac:dyDescent="0.25">
      <c r="A7" s="77">
        <v>3</v>
      </c>
      <c r="B7" s="20">
        <v>4</v>
      </c>
      <c r="C7" s="121" t="s">
        <v>335</v>
      </c>
      <c r="D7" s="314" t="str">
        <f>VLOOKUP(C7,Machined!C:X,2,0)</f>
        <v>Metal Rectangle</v>
      </c>
      <c r="E7" s="329"/>
      <c r="F7" s="107" t="str">
        <f>VLOOKUP($C7,Machined!C:Z,13,0)</f>
        <v>Component Spacer</v>
      </c>
      <c r="G7" s="44" t="str">
        <f>IF(VLOOKUP($C7,Machined!C:Z,16,0) = 0, " ", VLOOKUP($C7,Machined!C:Z,16,0))</f>
        <v>WescoBHT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Component Spacer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45483</v>
      </c>
      <c r="L7" s="44">
        <f>IF(VLOOKUP($C7,Machined!C:Z,20,0) = 0, " ", VLOOKUP($C7,Machined!C:Z,20,0))</f>
        <v>45513</v>
      </c>
      <c r="M7" s="44">
        <f>IF(VLOOKUP($C7,Machined!C:Z,21,0) = 0, " ", VLOOKUP($C7,Machined!C:Z,21,0))</f>
        <v>45513</v>
      </c>
      <c r="N7" s="129">
        <f>IF(VLOOKUP($C7,Machined!C:Z,22,0) = 0, " ", VLOOKUP($C7,Machined!C:Z,22,0))</f>
        <v>55593</v>
      </c>
      <c r="O7" s="45">
        <f ca="1">B7*$L$2</f>
        <v>4</v>
      </c>
      <c r="P7" s="49">
        <f>VLOOKUP(C7,Machined!C:F,3,0)</f>
        <v>0</v>
      </c>
      <c r="Q7" s="50">
        <f>B7*P7</f>
        <v>0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4</v>
      </c>
      <c r="C9" s="135" t="s">
        <v>172</v>
      </c>
      <c r="D9" s="325" t="str">
        <f>VLOOKUP(C9,Purchased!A:B,2,0)</f>
        <v>BRX GOTO T-NUT 10 M6</v>
      </c>
      <c r="E9" s="326"/>
      <c r="F9" s="108" t="str">
        <f>IF(VLOOKUP($C9,Purchased!A:Z,11,0) = 0, " ", VLOOKUP($C9,Purchased!A:Z,11,0))</f>
        <v>BRX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45463</v>
      </c>
      <c r="K9" s="46">
        <f>IF(VLOOKUP(C9,Purchased!A:R,14,0)=0, " ", VLOOKUP(C9,Purchased!A:R,14,0))</f>
        <v>45463</v>
      </c>
      <c r="L9" s="46">
        <f>IF(VLOOKUP(C9,Purchased!A:R,15,0)=0, " ", VLOOKUP(C9,Purchased!A:R,15,0))</f>
        <v>45463</v>
      </c>
      <c r="M9" s="46">
        <f>IF(VLOOKUP(C9,Purchased!A:R,16,0)=0, " ",VLOOKUP(C9,Purchased!A:R,16,0))</f>
        <v>45481</v>
      </c>
      <c r="N9" s="130">
        <f>IF(VLOOKUP(C9,Purchased!A:R,17,0)=0, " ", VLOOKUP(C9,Purchased!A:R,17,0))</f>
        <v>45481</v>
      </c>
      <c r="O9" s="47">
        <f t="shared" ref="O9:O17" ca="1" si="0">B9*$L$2</f>
        <v>4</v>
      </c>
      <c r="P9" s="51">
        <f>VLOOKUP(C9,Purchased!A:D,3,FALSE)</f>
        <v>0.56000000000000005</v>
      </c>
      <c r="Q9" s="52">
        <f t="shared" ref="Q9:Q17" si="1">B9*P9</f>
        <v>2.2400000000000002</v>
      </c>
    </row>
    <row r="10" spans="1:17" s="2" customFormat="1" ht="12" customHeight="1" x14ac:dyDescent="0.25">
      <c r="A10" s="4">
        <v>302</v>
      </c>
      <c r="B10" s="2">
        <v>6</v>
      </c>
      <c r="C10" s="135">
        <v>3842530283</v>
      </c>
      <c r="D10" s="325" t="str">
        <f>VLOOKUP(C10,Purchased!A:B,2,0)</f>
        <v>BRX GOTO T-NUT 10 M5</v>
      </c>
      <c r="E10" s="326"/>
      <c r="F10" s="108" t="str">
        <f>IF(VLOOKUP($C10,Purchased!A:Z,11,0) = 0, " ", VLOOKUP($C10,Purchased!A:Z,11,0))</f>
        <v>BRX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>100 additional quantity added to 55710</v>
      </c>
      <c r="I10" s="328"/>
      <c r="J10" s="46">
        <f>IF(VLOOKUP($C10,Purchased!A:Z,14,0)=0, " ", VLOOKUP($C10,Purchased!A:Z,14,0))</f>
        <v>45463</v>
      </c>
      <c r="K10" s="46">
        <f>IF(VLOOKUP(C10,Purchased!A:R,14,0)=0, " ", VLOOKUP(C10,Purchased!A:R,14,0))</f>
        <v>45463</v>
      </c>
      <c r="L10" s="46">
        <f>IF(VLOOKUP(C10,Purchased!A:R,15,0)=0, " ", VLOOKUP(C10,Purchased!A:R,15,0))</f>
        <v>45463</v>
      </c>
      <c r="M10" s="46">
        <f>IF(VLOOKUP(C10,Purchased!A:R,16,0)=0, " ",VLOOKUP(C10,Purchased!A:R,16,0))</f>
        <v>45481</v>
      </c>
      <c r="N10" s="130">
        <f>IF(VLOOKUP(C10,Purchased!A:R,17,0)=0, " ", VLOOKUP(C10,Purchased!A:R,17,0))</f>
        <v>45481</v>
      </c>
      <c r="O10" s="47">
        <f t="shared" ca="1" si="0"/>
        <v>6</v>
      </c>
      <c r="P10" s="51">
        <f>VLOOKUP(C10,Purchased!A:D,3,FALSE)</f>
        <v>0.56000000000000005</v>
      </c>
      <c r="Q10" s="52">
        <f t="shared" si="1"/>
        <v>3.3600000000000003</v>
      </c>
    </row>
    <row r="11" spans="1:17" s="2" customFormat="1" ht="12" customHeight="1" x14ac:dyDescent="0.25">
      <c r="A11" s="4">
        <v>303</v>
      </c>
      <c r="B11" s="2">
        <v>4</v>
      </c>
      <c r="C11" s="135" t="s">
        <v>551</v>
      </c>
      <c r="D11" s="325" t="str">
        <f>VLOOKUP(C11,Purchased!A:B,2,0)</f>
        <v>Lobe Knob with chain VCT.32 p-M6x20-LP-C9</v>
      </c>
      <c r="E11" s="326"/>
      <c r="F11" s="108" t="str">
        <f>IF(VLOOKUP($C11,Purchased!A:Z,11,0) = 0, " ", VLOOKUP($C11,Purchased!A:Z,11,0))</f>
        <v>ELESA</v>
      </c>
      <c r="G11" s="108" t="str">
        <f>IF(VLOOKUP($C11,Purchased!A:Z,12,0)=0, " ", VLOOKUP($C11,Purchased!A:Z,12,0))</f>
        <v>ELESA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>
        <f>IF(VLOOKUP(C11,Purchased!A:R,15,0)=0, " ", VLOOKUP(C11,Purchased!A:R,15,0))</f>
        <v>45526</v>
      </c>
      <c r="M11" s="46">
        <f>IF(VLOOKUP(C11,Purchased!A:R,16,0)=0, " ",VLOOKUP(C11,Purchased!A:R,16,0))</f>
        <v>45551</v>
      </c>
      <c r="N11" s="130">
        <f>IF(VLOOKUP(C11,Purchased!A:R,17,0)=0, " ", VLOOKUP(C11,Purchased!A:R,17,0))</f>
        <v>45551</v>
      </c>
      <c r="O11" s="47">
        <f t="shared" ca="1" si="0"/>
        <v>4</v>
      </c>
      <c r="P11" s="51">
        <f>VLOOKUP(C11,Purchased!A:D,3,FALSE)</f>
        <v>10.91</v>
      </c>
      <c r="Q11" s="52">
        <f t="shared" si="1"/>
        <v>43.64</v>
      </c>
    </row>
    <row r="12" spans="1:17" s="2" customFormat="1" ht="12" customHeight="1" x14ac:dyDescent="0.25">
      <c r="A12" s="4">
        <v>304</v>
      </c>
      <c r="B12" s="2">
        <v>3</v>
      </c>
      <c r="C12" s="135" t="s">
        <v>552</v>
      </c>
      <c r="D12" s="325" t="str">
        <f>VLOOKUP(C12,Purchased!A:B,2,0)</f>
        <v>M8 Tapped Black Bridge Handle EBP.200 B-M8-C1</v>
      </c>
      <c r="E12" s="326"/>
      <c r="F12" s="108" t="str">
        <f>IF(VLOOKUP($C12,Purchased!A:Z,11,0) = 0, " ", VLOOKUP($C12,Purchased!A:Z,11,0))</f>
        <v>ELESA</v>
      </c>
      <c r="G12" s="108" t="str">
        <f>IF(VLOOKUP($C12,Purchased!A:Z,12,0)=0, " ", VLOOKUP($C12,Purchased!A:Z,12,0))</f>
        <v>ELESA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45506</v>
      </c>
      <c r="K12" s="46">
        <f>IF(VLOOKUP(C12,Purchased!A:R,14,0)=0, " ", VLOOKUP(C12,Purchased!A:R,14,0))</f>
        <v>45506</v>
      </c>
      <c r="L12" s="46">
        <f>IF(VLOOKUP(C12,Purchased!A:R,15,0)=0, " ", VLOOKUP(C12,Purchased!A:R,15,0))</f>
        <v>45526</v>
      </c>
      <c r="M12" s="46">
        <f>IF(VLOOKUP(C12,Purchased!A:R,16,0)=0, " ",VLOOKUP(C12,Purchased!A:R,16,0))</f>
        <v>45551</v>
      </c>
      <c r="N12" s="130">
        <f>IF(VLOOKUP(C12,Purchased!A:R,17,0)=0, " ", VLOOKUP(C12,Purchased!A:R,17,0))</f>
        <v>45551</v>
      </c>
      <c r="O12" s="47">
        <f t="shared" ca="1" si="0"/>
        <v>3</v>
      </c>
      <c r="P12" s="51">
        <f>VLOOKUP(C12,Purchased!A:D,3,FALSE)</f>
        <v>11.9</v>
      </c>
      <c r="Q12" s="52">
        <f t="shared" si="1"/>
        <v>35.700000000000003</v>
      </c>
    </row>
    <row r="13" spans="1:17" s="2" customFormat="1" ht="12" customHeight="1" x14ac:dyDescent="0.25">
      <c r="A13" s="4">
        <v>305</v>
      </c>
      <c r="B13" s="2">
        <v>4</v>
      </c>
      <c r="C13" s="135" t="s">
        <v>553</v>
      </c>
      <c r="D13" s="325" t="str">
        <f>VLOOKUP(C13,Purchased!A:B,2,0)</f>
        <v>Metal-Bonded Sealing Washer with Neoprene Seal, Hot-Dipped Galvanized Steel, 1/4" Screw, 0.260" ID, 0.5" OD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45526</v>
      </c>
      <c r="K13" s="46">
        <f>IF(VLOOKUP(C13,Purchased!A:R,14,0)=0, " ", VLOOKUP(C13,Purchased!A:R,14,0))</f>
        <v>45526</v>
      </c>
      <c r="L13" s="46">
        <f>IF(VLOOKUP(C13,Purchased!A:R,15,0)=0, " ", VLOOKUP(C13,Purchased!A:R,15,0))</f>
        <v>45526</v>
      </c>
      <c r="M13" s="46" t="str">
        <f>IF(VLOOKUP(C13,Purchased!A:R,16,0)=0, " ",VLOOKUP(C13,Purchased!A:R,16,0))</f>
        <v xml:space="preserve"> </v>
      </c>
      <c r="N13" s="130" t="str">
        <f>IF(VLOOKUP(C13,Purchased!A:R,17,0)=0, " ", VLOOKUP(C13,Purchased!A:R,17,0))</f>
        <v xml:space="preserve"> </v>
      </c>
      <c r="O13" s="47">
        <f t="shared" ca="1" si="0"/>
        <v>4</v>
      </c>
      <c r="P13" s="51">
        <f>VLOOKUP(C13,Purchased!A:D,3,FALSE)</f>
        <v>6.56</v>
      </c>
      <c r="Q13" s="52">
        <f t="shared" si="1"/>
        <v>26.24</v>
      </c>
    </row>
    <row r="14" spans="1:17" s="2" customFormat="1" ht="12" customHeight="1" x14ac:dyDescent="0.25">
      <c r="A14" s="4">
        <v>306</v>
      </c>
      <c r="B14" s="2">
        <v>2</v>
      </c>
      <c r="C14" s="135" t="s">
        <v>554</v>
      </c>
      <c r="D14" s="325" t="str">
        <f>VLOOKUP(C14,Purchased!A:B,2,0)</f>
        <v>18-8 Stainless Steel Cap Nut M4 x 0.7 mm Thread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45526</v>
      </c>
      <c r="K14" s="46">
        <f>IF(VLOOKUP(C14,Purchased!A:R,14,0)=0, " ", VLOOKUP(C14,Purchased!A:R,14,0))</f>
        <v>45526</v>
      </c>
      <c r="L14" s="46">
        <f>IF(VLOOKUP(C14,Purchased!A:R,15,0)=0, " ", VLOOKUP(C14,Purchased!A:R,15,0))</f>
        <v>45526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0"/>
        <v>2</v>
      </c>
      <c r="P14" s="51">
        <f>VLOOKUP(C14,Purchased!A:D,3,FALSE)</f>
        <v>3.91</v>
      </c>
      <c r="Q14" s="52">
        <f t="shared" si="1"/>
        <v>7.82</v>
      </c>
    </row>
    <row r="15" spans="1:17" s="2" customFormat="1" ht="12" customHeight="1" x14ac:dyDescent="0.25">
      <c r="A15" s="4">
        <v>307</v>
      </c>
      <c r="B15" s="2">
        <v>6</v>
      </c>
      <c r="C15" s="135" t="s">
        <v>555</v>
      </c>
      <c r="D15" s="325" t="str">
        <f>VLOOKUP(C15,Purchased!A:B,2,0)</f>
        <v>Metal-Bonded Sealing Washer with Neoprene Seal, Hot-Dipped Galvanized Steel, 5/16" Screw, 0.330" ID, 0.75" OD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45526</v>
      </c>
      <c r="K15" s="46">
        <f>IF(VLOOKUP(C15,Purchased!A:R,14,0)=0, " ", VLOOKUP(C15,Purchased!A:R,14,0))</f>
        <v>45526</v>
      </c>
      <c r="L15" s="46">
        <f>IF(VLOOKUP(C15,Purchased!A:R,15,0)=0, " ", VLOOKUP(C15,Purchased!A:R,15,0))</f>
        <v>45526</v>
      </c>
      <c r="M15" s="46" t="str">
        <f>IF(VLOOKUP(C15,Purchased!A:R,16,0)=0, " ",VLOOKUP(C15,Purchased!A:R,16,0))</f>
        <v xml:space="preserve"> </v>
      </c>
      <c r="N15" s="130" t="str">
        <f>IF(VLOOKUP(C15,Purchased!A:R,17,0)=0, " ", VLOOKUP(C15,Purchased!A:R,17,0))</f>
        <v xml:space="preserve"> </v>
      </c>
      <c r="O15" s="47">
        <f t="shared" ca="1" si="0"/>
        <v>6</v>
      </c>
      <c r="P15" s="51">
        <f>VLOOKUP(C15,Purchased!A:D,3,FALSE)</f>
        <v>12.59</v>
      </c>
      <c r="Q15" s="52">
        <f t="shared" si="1"/>
        <v>75.539999999999992</v>
      </c>
    </row>
    <row r="16" spans="1:17" s="2" customFormat="1" ht="12" customHeight="1" x14ac:dyDescent="0.25">
      <c r="A16" s="4">
        <v>308</v>
      </c>
      <c r="B16" s="2">
        <v>2</v>
      </c>
      <c r="C16" s="135" t="s">
        <v>233</v>
      </c>
      <c r="D16" s="325" t="str">
        <f>VLOOKUP(C16,Purchased!A:B,2,0)</f>
        <v>Hot-Dipped Galvanized Steel with Neoprene Sealing Washer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>2 Additional Quantity Added to 55697</v>
      </c>
      <c r="I16" s="328"/>
      <c r="J16" s="46">
        <f>IF(VLOOKUP($C16,Purchased!A:Z,14,0)=0, " ", VLOOKUP($C16,Purchased!A:Z,14,0))</f>
        <v>45481</v>
      </c>
      <c r="K16" s="46">
        <f>IF(VLOOKUP(C16,Purchased!A:R,14,0)=0, " ", VLOOKUP(C16,Purchased!A:R,14,0))</f>
        <v>45481</v>
      </c>
      <c r="L16" s="46">
        <f>IF(VLOOKUP(C16,Purchased!A:R,15,0)=0, " ", VLOOKUP(C16,Purchased!A:R,15,0))</f>
        <v>45481</v>
      </c>
      <c r="M16" s="46">
        <f>IF(VLOOKUP(C16,Purchased!A:R,16,0)=0, " ",VLOOKUP(C16,Purchased!A:R,16,0))</f>
        <v>45482</v>
      </c>
      <c r="N16" s="130">
        <f>IF(VLOOKUP(C16,Purchased!A:R,17,0)=0, " ", VLOOKUP(C16,Purchased!A:R,17,0))</f>
        <v>45482</v>
      </c>
      <c r="O16" s="47">
        <f t="shared" ca="1" si="0"/>
        <v>2</v>
      </c>
      <c r="P16" s="51">
        <f>VLOOKUP(C16,Purchased!A:D,3,FALSE)</f>
        <v>6.56</v>
      </c>
      <c r="Q16" s="52">
        <f t="shared" si="1"/>
        <v>13.12</v>
      </c>
    </row>
    <row r="17" spans="1:17" s="2" customFormat="1" ht="12" customHeight="1" x14ac:dyDescent="0.25">
      <c r="A17" s="4">
        <v>309</v>
      </c>
      <c r="B17" s="2">
        <v>1</v>
      </c>
      <c r="C17" s="135">
        <v>1072708</v>
      </c>
      <c r="D17" s="325" t="str">
        <f>VLOOKUP(C17,Purchased!A:B,2,0)</f>
        <v>STR1-SAFU10P8 Sensor and Actuator</v>
      </c>
      <c r="E17" s="326"/>
      <c r="F17" s="108" t="str">
        <f>IF(VLOOKUP($C17,Purchased!A:Z,11,0) = 0, " ", VLOOKUP($C17,Purchased!A:Z,11,0))</f>
        <v>SICK</v>
      </c>
      <c r="G17" s="108" t="str">
        <f>IF(VLOOKUP($C17,Purchased!A:Z,12,0)=0, " ", VLOOKUP($C17,Purchased!A:Z,12,0))</f>
        <v>CRAVE</v>
      </c>
      <c r="H17" s="327" t="str">
        <f>IF(VLOOKUP($C17,Purchased!A:Z,13,0)=0, " ", VLOOKUP($C17,Purchased!A:Z,13,0))</f>
        <v>Do we need to send PO to Crave?</v>
      </c>
      <c r="I17" s="328"/>
      <c r="J17" s="46">
        <f>IF(VLOOKUP($C17,Purchased!A:Z,14,0)=0, " ", VLOOKUP($C17,Purchased!A:Z,14,0))</f>
        <v>45506</v>
      </c>
      <c r="K17" s="46">
        <f>IF(VLOOKUP(C17,Purchased!A:R,14,0)=0, " ", VLOOKUP(C17,Purchased!A:R,14,0))</f>
        <v>45506</v>
      </c>
      <c r="L17" s="46" t="str">
        <f>IF(VLOOKUP(C17,Purchased!A:R,15,0)=0, " ", VLOOKUP(C17,Purchased!A:R,15,0))</f>
        <v xml:space="preserve"> </v>
      </c>
      <c r="M17" s="46" t="str">
        <f>IF(VLOOKUP(C17,Purchased!A:R,16,0)=0, " ",VLOOKUP(C17,Purchased!A:R,16,0))</f>
        <v xml:space="preserve"> </v>
      </c>
      <c r="N17" s="130" t="str">
        <f>IF(VLOOKUP(C17,Purchased!A:R,17,0)=0, " ", VLOOKUP(C17,Purchased!A:R,17,0))</f>
        <v xml:space="preserve"> </v>
      </c>
      <c r="O17" s="47">
        <f t="shared" ca="1" si="0"/>
        <v>1</v>
      </c>
      <c r="P17" s="51">
        <f>VLOOKUP(C17,Purchased!A:D,3,FALSE)</f>
        <v>285.94</v>
      </c>
      <c r="Q17" s="52">
        <f t="shared" si="1"/>
        <v>285.94</v>
      </c>
    </row>
    <row r="18" spans="1:17" s="2" customFormat="1" ht="12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501</v>
      </c>
      <c r="B19" s="2">
        <v>4</v>
      </c>
      <c r="C19" s="122" t="s">
        <v>473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ref="O19" ca="1" si="2">B19*$L$2</f>
        <v>4</v>
      </c>
      <c r="P19" s="51">
        <f>VLOOKUP(C19,Bolts!A:B,2,FALSE)</f>
        <v>0</v>
      </c>
      <c r="Q19" s="52">
        <f t="shared" ref="Q19" si="3">B19*P19</f>
        <v>0</v>
      </c>
    </row>
    <row r="20" spans="1:17" s="2" customFormat="1" ht="12" customHeight="1" x14ac:dyDescent="0.25">
      <c r="A20" s="4">
        <v>502</v>
      </c>
      <c r="B20" s="2">
        <v>6</v>
      </c>
      <c r="C20" s="122" t="s">
        <v>186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ca="1">B20*$L$2</f>
        <v>6</v>
      </c>
      <c r="P20" s="51">
        <f>VLOOKUP(C20,Bolts!A:B,2,FALSE)</f>
        <v>0</v>
      </c>
      <c r="Q20" s="52">
        <f>B20*P20</f>
        <v>0</v>
      </c>
    </row>
    <row r="21" spans="1:17" s="2" customFormat="1" ht="12" customHeight="1" x14ac:dyDescent="0.25">
      <c r="A21" s="4">
        <v>503</v>
      </c>
      <c r="B21" s="2">
        <v>2</v>
      </c>
      <c r="C21" s="122" t="s">
        <v>107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ca="1">B21*$L$2</f>
        <v>2</v>
      </c>
      <c r="P21" s="51">
        <f>VLOOKUP(C21,Bolts!A:B,2,FALSE)</f>
        <v>0</v>
      </c>
      <c r="Q21" s="52">
        <f>B21*P21</f>
        <v>0</v>
      </c>
    </row>
    <row r="22" spans="1:17" s="2" customFormat="1" ht="12" customHeight="1" thickBot="1" x14ac:dyDescent="0.3">
      <c r="A22" s="4">
        <v>504</v>
      </c>
      <c r="B22" s="2">
        <v>4</v>
      </c>
      <c r="C22" s="122" t="s">
        <v>349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ca="1">B22*$L$2</f>
        <v>4</v>
      </c>
      <c r="P22" s="51">
        <f>VLOOKUP(C22,Bolts!A:B,2,FALSE)</f>
        <v>0</v>
      </c>
      <c r="Q22" s="52">
        <f>B22*P22</f>
        <v>0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SUM(Q5:Q19)</f>
        <v>677.34999999999991</v>
      </c>
    </row>
  </sheetData>
  <sheetProtection selectLockedCells="1"/>
  <mergeCells count="37">
    <mergeCell ref="D20:E20"/>
    <mergeCell ref="D21:E21"/>
    <mergeCell ref="D22:E22"/>
    <mergeCell ref="D19:E19"/>
    <mergeCell ref="D15:E15"/>
    <mergeCell ref="H15:I15"/>
    <mergeCell ref="D16:E16"/>
    <mergeCell ref="H16:I16"/>
    <mergeCell ref="D17:E17"/>
    <mergeCell ref="H17:I17"/>
    <mergeCell ref="D23:E23"/>
    <mergeCell ref="H23:I23"/>
    <mergeCell ref="D9:E9"/>
    <mergeCell ref="H9:I9"/>
    <mergeCell ref="D10:E10"/>
    <mergeCell ref="H10:I10"/>
    <mergeCell ref="D18:E18"/>
    <mergeCell ref="H18:I18"/>
    <mergeCell ref="D11:E11"/>
    <mergeCell ref="H11:I11"/>
    <mergeCell ref="D12:E12"/>
    <mergeCell ref="H12:I12"/>
    <mergeCell ref="D13:E13"/>
    <mergeCell ref="H13:I13"/>
    <mergeCell ref="D14:E14"/>
    <mergeCell ref="H14:I14"/>
    <mergeCell ref="D8:E8"/>
    <mergeCell ref="H8:I8"/>
    <mergeCell ref="D1:E1"/>
    <mergeCell ref="D4:E4"/>
    <mergeCell ref="H4:I4"/>
    <mergeCell ref="D5:E5"/>
    <mergeCell ref="H5:I5"/>
    <mergeCell ref="D6:E6"/>
    <mergeCell ref="H6:I6"/>
    <mergeCell ref="D7:E7"/>
    <mergeCell ref="H7:I7"/>
  </mergeCells>
  <conditionalFormatting sqref="M8 M18:M22">
    <cfRule type="cellIs" dxfId="1548" priority="19" stopIfTrue="1" operator="lessThanOrEqual">
      <formula>$L8</formula>
    </cfRule>
    <cfRule type="cellIs" dxfId="1547" priority="20" operator="greaterThan">
      <formula>L8</formula>
    </cfRule>
  </conditionalFormatting>
  <conditionalFormatting sqref="M9">
    <cfRule type="cellIs" dxfId="1546" priority="17" stopIfTrue="1" operator="lessThanOrEqual">
      <formula>$L9</formula>
    </cfRule>
    <cfRule type="cellIs" dxfId="1545" priority="18" operator="greaterThan">
      <formula>L9</formula>
    </cfRule>
  </conditionalFormatting>
  <conditionalFormatting sqref="M10">
    <cfRule type="cellIs" dxfId="1544" priority="15" stopIfTrue="1" operator="lessThanOrEqual">
      <formula>$L10</formula>
    </cfRule>
    <cfRule type="cellIs" dxfId="1543" priority="16" operator="greaterThan">
      <formula>L10</formula>
    </cfRule>
  </conditionalFormatting>
  <conditionalFormatting sqref="M11:M17">
    <cfRule type="cellIs" dxfId="1542" priority="1" stopIfTrue="1" operator="lessThanOrEqual">
      <formula>$L11</formula>
    </cfRule>
    <cfRule type="cellIs" dxfId="1541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46C4051-887B-4AC0-AD71-CAFF03C187C7}">
          <x14:formula1>
            <xm:f>Bolts!$A:$A</xm:f>
          </x14:formula1>
          <xm:sqref>C18:C22</xm:sqref>
        </x14:dataValidation>
        <x14:dataValidation type="list" allowBlank="1" showInputMessage="1" showErrorMessage="1" xr:uid="{E3581C63-C2BC-43EC-98F7-A2676CE20D05}">
          <x14:formula1>
            <xm:f>Machined!$C:$C</xm:f>
          </x14:formula1>
          <xm:sqref>C5:C7</xm:sqref>
        </x14:dataValidation>
        <x14:dataValidation type="list" allowBlank="1" showInputMessage="1" showErrorMessage="1" xr:uid="{3ACA155F-DF53-4DED-8BCD-3DE3816B2B11}">
          <x14:formula1>
            <xm:f>Purchased!$A:$A</xm:f>
          </x14:formula1>
          <xm:sqref>C8:C17</xm:sqref>
        </x14:dataValidation>
      </x14:dataValidations>
    </ext>
  </extLst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48091-D30C-449C-9AEF-40D66092C68A}">
  <sheetPr codeName="Sheet98">
    <tabColor theme="6" tint="0.59999389629810485"/>
  </sheetPr>
  <dimension ref="A1:Q24"/>
  <sheetViews>
    <sheetView zoomScale="114" zoomScaleNormal="115" workbookViewId="0">
      <selection activeCell="F18" sqref="F18:Q1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'4.1'!C15</f>
        <v>PG10.4.1.8.0.A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'4.1'!D15</f>
        <v>Interlocked Upper Guard Assy</v>
      </c>
      <c r="D3" s="85" t="s">
        <v>50</v>
      </c>
      <c r="E3" s="86" t="str">
        <f ca="1">MID(CELL("filename",A1),FIND("]",CELL("filename",A1))+1,256)</f>
        <v>4.1.8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550</v>
      </c>
      <c r="D5" s="314" t="str">
        <f>VLOOKUP(C5,Machined!C:X,2,0)</f>
        <v>Guard Sensor Bracket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45503</v>
      </c>
      <c r="K5" s="44">
        <f>IF(VLOOKUP($C5,Machined!C:Z,19,0) = 0, " ", VLOOKUP($C5,Machined!C:Z,19,0))</f>
        <v>45509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55656</v>
      </c>
      <c r="O5" s="45">
        <f ca="1">B5*$L$2</f>
        <v>1</v>
      </c>
      <c r="P5" s="49">
        <f>VLOOKUP(C5,Machined!C:F,3,0)</f>
        <v>38.75</v>
      </c>
      <c r="Q5" s="50">
        <f>B5*P5</f>
        <v>38.75</v>
      </c>
    </row>
    <row r="6" spans="1:17" s="2" customFormat="1" ht="12" customHeight="1" x14ac:dyDescent="0.25">
      <c r="A6" s="77">
        <v>2</v>
      </c>
      <c r="B6" s="20">
        <v>1</v>
      </c>
      <c r="C6" s="121" t="s">
        <v>556</v>
      </c>
      <c r="D6" s="314" t="str">
        <f>VLOOKUP(C6,Machined!C:X,2,0)</f>
        <v>Interlocked Upper Guard</v>
      </c>
      <c r="E6" s="329"/>
      <c r="F6" s="107" t="str">
        <f>VLOOKUP($C6,Machined!C:Z,13,0)</f>
        <v>POLYCARBONITE-CLEAR</v>
      </c>
      <c r="G6" s="44" t="str">
        <f>IF(VLOOKUP($C6,Machined!C:Z,16,0) = 0, " ", VLOOKUP($C6,Machined!C:Z,16,0))</f>
        <v>Port Plastics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POLYCARBONITE-CLEAR</v>
      </c>
      <c r="J6" s="44" t="str">
        <f>IF(VLOOKUP($C6,Machined!C:Z,18,0) = 0, " ", VLOOKUP($C6,Machined!C:Z,18,0))</f>
        <v>(TJ) 8/8/2024</v>
      </c>
      <c r="K6" s="44">
        <f>IF(VLOOKUP($C6,Machined!C:Z,19,0) = 0, " ", VLOOKUP($C6,Machined!C:Z,19,0))</f>
        <v>45530</v>
      </c>
      <c r="L6" s="44">
        <f>IF(VLOOKUP($C6,Machined!C:Z,20,0) = 0, " ", VLOOKUP($C6,Machined!C:Z,20,0))</f>
        <v>45561</v>
      </c>
      <c r="M6" s="44" t="str">
        <f>IF(VLOOKUP($C6,Machined!C:Z,21,0) = 0, " ", VLOOKUP($C6,Machined!C:Z,21,0))</f>
        <v xml:space="preserve"> </v>
      </c>
      <c r="N6" s="129">
        <f>IF(VLOOKUP($C6,Machined!C:Z,22,0) = 0, " ", VLOOKUP($C6,Machined!C:Z,22,0))</f>
        <v>55708</v>
      </c>
      <c r="O6" s="45">
        <f ca="1">B6*$L$2</f>
        <v>1</v>
      </c>
      <c r="P6" s="49">
        <f>VLOOKUP(C6,Machined!C:F,3,0)</f>
        <v>145</v>
      </c>
      <c r="Q6" s="50">
        <f>B6*P6</f>
        <v>145</v>
      </c>
    </row>
    <row r="7" spans="1:17" s="2" customFormat="1" ht="12" customHeight="1" x14ac:dyDescent="0.25">
      <c r="A7" s="77">
        <v>3</v>
      </c>
      <c r="B7" s="20">
        <v>4</v>
      </c>
      <c r="C7" s="121" t="s">
        <v>557</v>
      </c>
      <c r="D7" s="314" t="str">
        <f>VLOOKUP(C7,Machined!C:X,2,0)</f>
        <v>Sheet Metal Guard Guide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Proto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45526</v>
      </c>
      <c r="K7" s="44">
        <f>IF(VLOOKUP($C7,Machined!C:Z,19,0) = 0, " ", VLOOKUP($C7,Machined!C:Z,19,0))</f>
        <v>45527</v>
      </c>
      <c r="L7" s="44">
        <f>IF(VLOOKUP($C7,Machined!C:Z,20,0) = 0, " ", VLOOKUP($C7,Machined!C:Z,20,0))</f>
        <v>45548</v>
      </c>
      <c r="M7" s="44">
        <f>IF(VLOOKUP($C7,Machined!C:Z,21,0) = 0, " ", VLOOKUP($C7,Machined!C:Z,21,0))</f>
        <v>45548</v>
      </c>
      <c r="N7" s="129">
        <f>IF(VLOOKUP($C7,Machined!C:Z,22,0) = 0, " ", VLOOKUP($C7,Machined!C:Z,22,0))</f>
        <v>55702</v>
      </c>
      <c r="O7" s="45">
        <f ca="1">B7*$L$2</f>
        <v>4</v>
      </c>
      <c r="P7" s="49">
        <f>VLOOKUP(C7,Machined!C:F,3,0)</f>
        <v>0</v>
      </c>
      <c r="Q7" s="50">
        <f>B7*P7</f>
        <v>0</v>
      </c>
    </row>
    <row r="8" spans="1:17" s="2" customFormat="1" ht="12" customHeight="1" x14ac:dyDescent="0.25">
      <c r="A8" s="77">
        <v>4</v>
      </c>
      <c r="B8" s="20">
        <v>4</v>
      </c>
      <c r="C8" s="121" t="s">
        <v>335</v>
      </c>
      <c r="D8" s="314" t="str">
        <f>VLOOKUP(C8,Machined!C:X,2,0)</f>
        <v>Metal Rectangle</v>
      </c>
      <c r="E8" s="329"/>
      <c r="F8" s="107" t="str">
        <f>VLOOKUP($C8,Machined!C:Z,13,0)</f>
        <v>Component Spacer</v>
      </c>
      <c r="G8" s="44" t="str">
        <f>IF(VLOOKUP($C8,Machined!C:Z,16,0) = 0, " ", VLOOKUP($C8,Machined!C:Z,16,0))</f>
        <v>WescoBHT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Component Spacer</v>
      </c>
      <c r="J8" s="44">
        <f>IF(VLOOKUP($C8,Machined!C:Z,18,0) = 0, " ", VLOOKUP($C8,Machined!C:Z,18,0))</f>
        <v>45463</v>
      </c>
      <c r="K8" s="44">
        <f>IF(VLOOKUP($C8,Machined!C:Z,19,0) = 0, " ", VLOOKUP($C8,Machined!C:Z,19,0))</f>
        <v>45483</v>
      </c>
      <c r="L8" s="44">
        <f>IF(VLOOKUP($C8,Machined!C:Z,20,0) = 0, " ", VLOOKUP($C8,Machined!C:Z,20,0))</f>
        <v>45513</v>
      </c>
      <c r="M8" s="44">
        <f>IF(VLOOKUP($C8,Machined!C:Z,21,0) = 0, " ", VLOOKUP($C8,Machined!C:Z,21,0))</f>
        <v>45513</v>
      </c>
      <c r="N8" s="129">
        <f>IF(VLOOKUP($C8,Machined!C:Z,22,0) = 0, " ", VLOOKUP($C8,Machined!C:Z,22,0))</f>
        <v>55593</v>
      </c>
      <c r="O8" s="45">
        <f ca="1">B8*$L$2</f>
        <v>4</v>
      </c>
      <c r="P8" s="49">
        <f>VLOOKUP(C8,Machined!C:F,3,0)</f>
        <v>0</v>
      </c>
      <c r="Q8" s="50">
        <f>B8*P8</f>
        <v>0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4</v>
      </c>
      <c r="C10" s="135" t="s">
        <v>172</v>
      </c>
      <c r="D10" s="325" t="str">
        <f>VLOOKUP(C10,Purchased!A:B,2,0)</f>
        <v>BRX GOTO T-NUT 10 M6</v>
      </c>
      <c r="E10" s="326"/>
      <c r="F10" s="108" t="str">
        <f>IF(VLOOKUP($C10,Purchased!A:Z,11,0) = 0, " ", VLOOKUP($C10,Purchased!A:Z,11,0))</f>
        <v>BRX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45463</v>
      </c>
      <c r="K10" s="46">
        <f>IF(VLOOKUP(C10,Purchased!A:R,14,0)=0, " ", VLOOKUP(C10,Purchased!A:R,14,0))</f>
        <v>45463</v>
      </c>
      <c r="L10" s="46">
        <f>IF(VLOOKUP(C10,Purchased!A:R,15,0)=0, " ", VLOOKUP(C10,Purchased!A:R,15,0))</f>
        <v>45463</v>
      </c>
      <c r="M10" s="46">
        <f>IF(VLOOKUP(C10,Purchased!A:R,16,0)=0, " ",VLOOKUP(C10,Purchased!A:R,16,0))</f>
        <v>45481</v>
      </c>
      <c r="N10" s="130">
        <f>IF(VLOOKUP(C10,Purchased!A:R,17,0)=0, " ", VLOOKUP(C10,Purchased!A:R,17,0))</f>
        <v>45481</v>
      </c>
      <c r="O10" s="47">
        <f t="shared" ref="O10:O18" ca="1" si="0">B10*$L$2</f>
        <v>4</v>
      </c>
      <c r="P10" s="51">
        <f>VLOOKUP(C10,Purchased!A:D,3,FALSE)</f>
        <v>0.56000000000000005</v>
      </c>
      <c r="Q10" s="52">
        <f t="shared" ref="Q10:Q18" si="1">B10*P10</f>
        <v>2.2400000000000002</v>
      </c>
    </row>
    <row r="11" spans="1:17" s="2" customFormat="1" ht="12" customHeight="1" x14ac:dyDescent="0.25">
      <c r="A11" s="4">
        <v>302</v>
      </c>
      <c r="B11" s="2">
        <v>6</v>
      </c>
      <c r="C11" s="135">
        <v>3842530283</v>
      </c>
      <c r="D11" s="325" t="str">
        <f>VLOOKUP(C11,Purchased!A:B,2,0)</f>
        <v>BRX GOTO T-NUT 10 M5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100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ca="1" si="0"/>
        <v>6</v>
      </c>
      <c r="P11" s="51">
        <f>VLOOKUP(C11,Purchased!A:D,3,FALSE)</f>
        <v>0.56000000000000005</v>
      </c>
      <c r="Q11" s="52">
        <f t="shared" si="1"/>
        <v>3.3600000000000003</v>
      </c>
    </row>
    <row r="12" spans="1:17" s="2" customFormat="1" ht="12" customHeight="1" x14ac:dyDescent="0.25">
      <c r="A12" s="4">
        <v>303</v>
      </c>
      <c r="B12" s="2">
        <v>4</v>
      </c>
      <c r="C12" s="135" t="s">
        <v>551</v>
      </c>
      <c r="D12" s="325" t="str">
        <f>VLOOKUP(C12,Purchased!A:B,2,0)</f>
        <v>Lobe Knob with chain VCT.32 p-M6x20-LP-C9</v>
      </c>
      <c r="E12" s="326"/>
      <c r="F12" s="108" t="str">
        <f>IF(VLOOKUP($C12,Purchased!A:Z,11,0) = 0, " ", VLOOKUP($C12,Purchased!A:Z,11,0))</f>
        <v>ELESA</v>
      </c>
      <c r="G12" s="108" t="str">
        <f>IF(VLOOKUP($C12,Purchased!A:Z,12,0)=0, " ", VLOOKUP($C12,Purchased!A:Z,12,0))</f>
        <v>ELESA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45506</v>
      </c>
      <c r="K12" s="46">
        <f>IF(VLOOKUP(C12,Purchased!A:R,14,0)=0, " ", VLOOKUP(C12,Purchased!A:R,14,0))</f>
        <v>45506</v>
      </c>
      <c r="L12" s="46">
        <f>IF(VLOOKUP(C12,Purchased!A:R,15,0)=0, " ", VLOOKUP(C12,Purchased!A:R,15,0))</f>
        <v>45526</v>
      </c>
      <c r="M12" s="46">
        <f>IF(VLOOKUP(C12,Purchased!A:R,16,0)=0, " ",VLOOKUP(C12,Purchased!A:R,16,0))</f>
        <v>45551</v>
      </c>
      <c r="N12" s="130">
        <f>IF(VLOOKUP(C12,Purchased!A:R,17,0)=0, " ", VLOOKUP(C12,Purchased!A:R,17,0))</f>
        <v>45551</v>
      </c>
      <c r="O12" s="47">
        <f t="shared" ca="1" si="0"/>
        <v>4</v>
      </c>
      <c r="P12" s="51">
        <f>VLOOKUP(C12,Purchased!A:D,3,FALSE)</f>
        <v>10.91</v>
      </c>
      <c r="Q12" s="52">
        <f t="shared" si="1"/>
        <v>43.64</v>
      </c>
    </row>
    <row r="13" spans="1:17" x14ac:dyDescent="0.25">
      <c r="A13" s="4">
        <v>304</v>
      </c>
      <c r="B13" s="2">
        <v>3</v>
      </c>
      <c r="C13" s="135" t="s">
        <v>552</v>
      </c>
      <c r="D13" s="325" t="str">
        <f>VLOOKUP(C13,Purchased!A:B,2,0)</f>
        <v>M8 Tapped Black Bridge Handle EBP.200 B-M8-C1</v>
      </c>
      <c r="E13" s="326"/>
      <c r="F13" s="108" t="str">
        <f>IF(VLOOKUP($C13,Purchased!A:Z,11,0) = 0, " ", VLOOKUP($C13,Purchased!A:Z,11,0))</f>
        <v>ELESA</v>
      </c>
      <c r="G13" s="108" t="str">
        <f>IF(VLOOKUP($C13,Purchased!A:Z,12,0)=0, " ", VLOOKUP($C13,Purchased!A:Z,12,0))</f>
        <v>ELESA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45506</v>
      </c>
      <c r="K13" s="46">
        <f>IF(VLOOKUP(C13,Purchased!A:R,14,0)=0, " ", VLOOKUP(C13,Purchased!A:R,14,0))</f>
        <v>45506</v>
      </c>
      <c r="L13" s="46">
        <f>IF(VLOOKUP(C13,Purchased!A:R,15,0)=0, " ", VLOOKUP(C13,Purchased!A:R,15,0))</f>
        <v>45526</v>
      </c>
      <c r="M13" s="46">
        <f>IF(VLOOKUP(C13,Purchased!A:R,16,0)=0, " ",VLOOKUP(C13,Purchased!A:R,16,0))</f>
        <v>45551</v>
      </c>
      <c r="N13" s="130">
        <f>IF(VLOOKUP(C13,Purchased!A:R,17,0)=0, " ", VLOOKUP(C13,Purchased!A:R,17,0))</f>
        <v>45551</v>
      </c>
      <c r="O13" s="47">
        <f t="shared" ca="1" si="0"/>
        <v>3</v>
      </c>
      <c r="P13" s="51">
        <f>VLOOKUP(C13,Purchased!A:D,3,FALSE)</f>
        <v>11.9</v>
      </c>
      <c r="Q13" s="52">
        <f t="shared" si="1"/>
        <v>35.700000000000003</v>
      </c>
    </row>
    <row r="14" spans="1:17" x14ac:dyDescent="0.25">
      <c r="A14" s="4">
        <v>305</v>
      </c>
      <c r="B14" s="2">
        <v>4</v>
      </c>
      <c r="C14" s="135" t="s">
        <v>553</v>
      </c>
      <c r="D14" s="325" t="str">
        <f>VLOOKUP(C14,Purchased!A:B,2,0)</f>
        <v>Metal-Bonded Sealing Washer with Neoprene Seal, Hot-Dipped Galvanized Steel, 1/4" Screw, 0.260" ID, 0.5" OD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45526</v>
      </c>
      <c r="K14" s="46">
        <f>IF(VLOOKUP(C14,Purchased!A:R,14,0)=0, " ", VLOOKUP(C14,Purchased!A:R,14,0))</f>
        <v>45526</v>
      </c>
      <c r="L14" s="46">
        <f>IF(VLOOKUP(C14,Purchased!A:R,15,0)=0, " ", VLOOKUP(C14,Purchased!A:R,15,0))</f>
        <v>45526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0"/>
        <v>4</v>
      </c>
      <c r="P14" s="51">
        <f>VLOOKUP(C14,Purchased!A:D,3,FALSE)</f>
        <v>6.56</v>
      </c>
      <c r="Q14" s="52">
        <f t="shared" si="1"/>
        <v>26.24</v>
      </c>
    </row>
    <row r="15" spans="1:17" x14ac:dyDescent="0.25">
      <c r="A15" s="4">
        <v>306</v>
      </c>
      <c r="B15" s="2">
        <v>14</v>
      </c>
      <c r="C15" s="135" t="s">
        <v>554</v>
      </c>
      <c r="D15" s="325" t="str">
        <f>VLOOKUP(C15,Purchased!A:B,2,0)</f>
        <v>18-8 Stainless Steel Cap Nut M4 x 0.7 mm Thread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45526</v>
      </c>
      <c r="K15" s="46">
        <f>IF(VLOOKUP(C15,Purchased!A:R,14,0)=0, " ", VLOOKUP(C15,Purchased!A:R,14,0))</f>
        <v>45526</v>
      </c>
      <c r="L15" s="46">
        <f>IF(VLOOKUP(C15,Purchased!A:R,15,0)=0, " ", VLOOKUP(C15,Purchased!A:R,15,0))</f>
        <v>45526</v>
      </c>
      <c r="M15" s="46" t="str">
        <f>IF(VLOOKUP(C15,Purchased!A:R,16,0)=0, " ",VLOOKUP(C15,Purchased!A:R,16,0))</f>
        <v xml:space="preserve"> </v>
      </c>
      <c r="N15" s="130" t="str">
        <f>IF(VLOOKUP(C15,Purchased!A:R,17,0)=0, " ", VLOOKUP(C15,Purchased!A:R,17,0))</f>
        <v xml:space="preserve"> </v>
      </c>
      <c r="O15" s="47">
        <f t="shared" ca="1" si="0"/>
        <v>14</v>
      </c>
      <c r="P15" s="51">
        <f>VLOOKUP(C15,Purchased!A:D,3,FALSE)</f>
        <v>3.91</v>
      </c>
      <c r="Q15" s="52">
        <f t="shared" si="1"/>
        <v>54.74</v>
      </c>
    </row>
    <row r="16" spans="1:17" x14ac:dyDescent="0.25">
      <c r="A16" s="4">
        <v>307</v>
      </c>
      <c r="B16" s="2">
        <v>6</v>
      </c>
      <c r="C16" s="135" t="s">
        <v>555</v>
      </c>
      <c r="D16" s="325" t="str">
        <f>VLOOKUP(C16,Purchased!A:B,2,0)</f>
        <v>Metal-Bonded Sealing Washer with Neoprene Seal, Hot-Dipped Galvanized Steel, 5/16" Screw, 0.330" ID, 0.75" OD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45526</v>
      </c>
      <c r="K16" s="46">
        <f>IF(VLOOKUP(C16,Purchased!A:R,14,0)=0, " ", VLOOKUP(C16,Purchased!A:R,14,0))</f>
        <v>45526</v>
      </c>
      <c r="L16" s="46">
        <f>IF(VLOOKUP(C16,Purchased!A:R,15,0)=0, " ", VLOOKUP(C16,Purchased!A:R,15,0))</f>
        <v>45526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0"/>
        <v>6</v>
      </c>
      <c r="P16" s="51">
        <f>VLOOKUP(C16,Purchased!A:D,3,FALSE)</f>
        <v>12.59</v>
      </c>
      <c r="Q16" s="52">
        <f t="shared" si="1"/>
        <v>75.539999999999992</v>
      </c>
    </row>
    <row r="17" spans="1:17" x14ac:dyDescent="0.25">
      <c r="A17" s="4">
        <v>308</v>
      </c>
      <c r="B17" s="2">
        <v>14</v>
      </c>
      <c r="C17" s="135" t="s">
        <v>233</v>
      </c>
      <c r="D17" s="325" t="str">
        <f>VLOOKUP(C17,Purchased!A:B,2,0)</f>
        <v>Hot-Dipped Galvanized Steel with Neoprene Sealing Washer</v>
      </c>
      <c r="E17" s="326"/>
      <c r="F17" s="108" t="str">
        <f>IF(VLOOKUP($C17,Purchased!A:Z,11,0) = 0, " ", VLOOKUP($C17,Purchased!A:Z,11,0))</f>
        <v>MCM</v>
      </c>
      <c r="G17" s="108" t="str">
        <f>IF(VLOOKUP($C17,Purchased!A:Z,12,0)=0, " ", VLOOKUP($C17,Purchased!A:Z,12,0))</f>
        <v>MCM</v>
      </c>
      <c r="H17" s="327" t="str">
        <f>IF(VLOOKUP($C17,Purchased!A:Z,13,0)=0, " ", VLOOKUP($C17,Purchased!A:Z,13,0))</f>
        <v>2 Additional Quantity Added to 55697</v>
      </c>
      <c r="I17" s="328"/>
      <c r="J17" s="46">
        <f>IF(VLOOKUP($C17,Purchased!A:Z,14,0)=0, " ", VLOOKUP($C17,Purchased!A:Z,14,0))</f>
        <v>45481</v>
      </c>
      <c r="K17" s="46">
        <f>IF(VLOOKUP(C17,Purchased!A:R,14,0)=0, " ", VLOOKUP(C17,Purchased!A:R,14,0))</f>
        <v>45481</v>
      </c>
      <c r="L17" s="46">
        <f>IF(VLOOKUP(C17,Purchased!A:R,15,0)=0, " ", VLOOKUP(C17,Purchased!A:R,15,0))</f>
        <v>45481</v>
      </c>
      <c r="M17" s="46">
        <f>IF(VLOOKUP(C17,Purchased!A:R,16,0)=0, " ",VLOOKUP(C17,Purchased!A:R,16,0))</f>
        <v>45482</v>
      </c>
      <c r="N17" s="130">
        <f>IF(VLOOKUP(C17,Purchased!A:R,17,0)=0, " ", VLOOKUP(C17,Purchased!A:R,17,0))</f>
        <v>45482</v>
      </c>
      <c r="O17" s="47">
        <f t="shared" ca="1" si="0"/>
        <v>14</v>
      </c>
      <c r="P17" s="51">
        <f>VLOOKUP(C17,Purchased!A:D,3,FALSE)</f>
        <v>6.56</v>
      </c>
      <c r="Q17" s="52">
        <f t="shared" si="1"/>
        <v>91.839999999999989</v>
      </c>
    </row>
    <row r="18" spans="1:17" x14ac:dyDescent="0.25">
      <c r="A18" s="4">
        <v>309</v>
      </c>
      <c r="B18" s="2">
        <v>1</v>
      </c>
      <c r="C18" s="135">
        <v>1072708</v>
      </c>
      <c r="D18" s="325" t="str">
        <f>VLOOKUP(C18,Purchased!A:B,2,0)</f>
        <v>STR1-SAFU10P8 Sensor and Actuator</v>
      </c>
      <c r="E18" s="326"/>
      <c r="F18" s="108" t="str">
        <f>IF(VLOOKUP($C18,Purchased!A:Z,11,0) = 0, " ", VLOOKUP($C18,Purchased!A:Z,11,0))</f>
        <v>SICK</v>
      </c>
      <c r="G18" s="108" t="str">
        <f>IF(VLOOKUP($C18,Purchased!A:Z,12,0)=0, " ", VLOOKUP($C18,Purchased!A:Z,12,0))</f>
        <v>CRAVE</v>
      </c>
      <c r="H18" s="327" t="str">
        <f>IF(VLOOKUP($C18,Purchased!A:Z,13,0)=0, " ", VLOOKUP($C18,Purchased!A:Z,13,0))</f>
        <v>Do we need to send PO to Crave?</v>
      </c>
      <c r="I18" s="328"/>
      <c r="J18" s="46">
        <f>IF(VLOOKUP($C18,Purchased!A:Z,14,0)=0, " ", VLOOKUP($C18,Purchased!A:Z,14,0))</f>
        <v>45506</v>
      </c>
      <c r="K18" s="46">
        <f>IF(VLOOKUP(C18,Purchased!A:R,14,0)=0, " ", VLOOKUP(C18,Purchased!A:R,14,0))</f>
        <v>45506</v>
      </c>
      <c r="L18" s="46" t="str">
        <f>IF(VLOOKUP(C18,Purchased!A:R,15,0)=0, " ", VLOOKUP(C18,Purchased!A:R,15,0))</f>
        <v xml:space="preserve"> </v>
      </c>
      <c r="M18" s="46" t="str">
        <f>IF(VLOOKUP(C18,Purchased!A:R,16,0)=0, " ",VLOOKUP(C18,Purchased!A:R,16,0))</f>
        <v xml:space="preserve"> </v>
      </c>
      <c r="N18" s="130" t="str">
        <f>IF(VLOOKUP(C18,Purchased!A:R,17,0)=0, " ", VLOOKUP(C18,Purchased!A:R,17,0))</f>
        <v xml:space="preserve"> </v>
      </c>
      <c r="O18" s="47">
        <f t="shared" ca="1" si="0"/>
        <v>1</v>
      </c>
      <c r="P18" s="51">
        <f>VLOOKUP(C18,Purchased!A:D,3,FALSE)</f>
        <v>285.94</v>
      </c>
      <c r="Q18" s="52">
        <f t="shared" si="1"/>
        <v>285.94</v>
      </c>
    </row>
    <row r="19" spans="1:17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x14ac:dyDescent="0.25">
      <c r="A20" s="4">
        <v>501</v>
      </c>
      <c r="B20" s="2">
        <v>4</v>
      </c>
      <c r="C20" s="122" t="s">
        <v>473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ca="1">B20*$L$2</f>
        <v>4</v>
      </c>
      <c r="P20" s="51">
        <f>VLOOKUP(C20,Bolts!A:B,2,FALSE)</f>
        <v>0</v>
      </c>
      <c r="Q20" s="52">
        <f>B20*P20</f>
        <v>0</v>
      </c>
    </row>
    <row r="21" spans="1:17" x14ac:dyDescent="0.25">
      <c r="A21" s="4">
        <v>502</v>
      </c>
      <c r="B21" s="2">
        <v>6</v>
      </c>
      <c r="C21" s="122" t="s">
        <v>186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ca="1">B21*$L$2</f>
        <v>6</v>
      </c>
      <c r="P21" s="51">
        <f>VLOOKUP(C21,Bolts!A:B,2,FALSE)</f>
        <v>0</v>
      </c>
      <c r="Q21" s="52">
        <f>B21*P21</f>
        <v>0</v>
      </c>
    </row>
    <row r="22" spans="1:17" ht="15" customHeight="1" x14ac:dyDescent="0.25">
      <c r="A22" s="4">
        <v>503</v>
      </c>
      <c r="B22" s="2">
        <v>2</v>
      </c>
      <c r="C22" s="122" t="s">
        <v>107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ca="1">B22*$L$2</f>
        <v>2</v>
      </c>
      <c r="P22" s="51">
        <f>VLOOKUP(C22,Bolts!A:B,2,FALSE)</f>
        <v>0</v>
      </c>
      <c r="Q22" s="52">
        <f>B22*P22</f>
        <v>0</v>
      </c>
    </row>
    <row r="23" spans="1:17" ht="15.75" thickBot="1" x14ac:dyDescent="0.3">
      <c r="A23" s="4">
        <v>504</v>
      </c>
      <c r="B23" s="2">
        <v>16</v>
      </c>
      <c r="C23" s="122" t="s">
        <v>349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ca="1">B23*$L$2</f>
        <v>16</v>
      </c>
      <c r="P23" s="51">
        <f>VLOOKUP(C23,Bolts!A:B,2,FALSE)</f>
        <v>0</v>
      </c>
      <c r="Q23" s="52">
        <f>B23*P23</f>
        <v>0</v>
      </c>
    </row>
    <row r="24" spans="1:17" ht="15.75" thickBot="1" x14ac:dyDescent="0.3">
      <c r="A24" s="34"/>
      <c r="B24" s="35"/>
      <c r="C24" s="35"/>
      <c r="D24" s="316"/>
      <c r="E24" s="317"/>
      <c r="F24" s="35"/>
      <c r="G24" s="35"/>
      <c r="H24" s="309"/>
      <c r="I24" s="310"/>
      <c r="J24" s="36"/>
      <c r="K24" s="36"/>
      <c r="L24" s="36"/>
      <c r="M24" s="37"/>
      <c r="N24" s="132"/>
      <c r="O24" s="38"/>
      <c r="P24" s="99" t="s">
        <v>43</v>
      </c>
      <c r="Q24" s="104">
        <f>SUM(Q5:Q20)</f>
        <v>802.99</v>
      </c>
    </row>
  </sheetData>
  <sheetProtection selectLockedCells="1"/>
  <mergeCells count="39">
    <mergeCell ref="D23:E23"/>
    <mergeCell ref="D24:E24"/>
    <mergeCell ref="H24:I24"/>
    <mergeCell ref="D7:E7"/>
    <mergeCell ref="H7:I7"/>
    <mergeCell ref="D19:E19"/>
    <mergeCell ref="H19:I19"/>
    <mergeCell ref="D20:E20"/>
    <mergeCell ref="D21:E21"/>
    <mergeCell ref="D22:E22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D11:E11"/>
    <mergeCell ref="D12:E12"/>
    <mergeCell ref="H12:I12"/>
    <mergeCell ref="D8:E8"/>
    <mergeCell ref="H8:I8"/>
    <mergeCell ref="D9:E9"/>
    <mergeCell ref="H9:I9"/>
    <mergeCell ref="D10:E10"/>
    <mergeCell ref="H10:I10"/>
    <mergeCell ref="H11:I11"/>
    <mergeCell ref="D6:E6"/>
    <mergeCell ref="H6:I6"/>
    <mergeCell ref="D1:E1"/>
    <mergeCell ref="D4:E4"/>
    <mergeCell ref="H4:I4"/>
    <mergeCell ref="D5:E5"/>
    <mergeCell ref="H5:I5"/>
  </mergeCells>
  <conditionalFormatting sqref="M9 M19:M23">
    <cfRule type="cellIs" dxfId="1540" priority="19" stopIfTrue="1" operator="lessThanOrEqual">
      <formula>$L9</formula>
    </cfRule>
    <cfRule type="cellIs" dxfId="1539" priority="20" operator="greaterThan">
      <formula>L9</formula>
    </cfRule>
  </conditionalFormatting>
  <conditionalFormatting sqref="M10">
    <cfRule type="cellIs" dxfId="1538" priority="17" stopIfTrue="1" operator="lessThanOrEqual">
      <formula>$L10</formula>
    </cfRule>
    <cfRule type="cellIs" dxfId="1537" priority="18" operator="greaterThan">
      <formula>L10</formula>
    </cfRule>
  </conditionalFormatting>
  <conditionalFormatting sqref="M11:M12">
    <cfRule type="cellIs" dxfId="1536" priority="13" stopIfTrue="1" operator="lessThanOrEqual">
      <formula>$L11</formula>
    </cfRule>
    <cfRule type="cellIs" dxfId="1535" priority="14" operator="greaterThan">
      <formula>L11</formula>
    </cfRule>
  </conditionalFormatting>
  <conditionalFormatting sqref="M13">
    <cfRule type="cellIs" dxfId="1534" priority="11" stopIfTrue="1" operator="lessThanOrEqual">
      <formula>$L13</formula>
    </cfRule>
    <cfRule type="cellIs" dxfId="1533" priority="12" operator="greaterThan">
      <formula>L13</formula>
    </cfRule>
  </conditionalFormatting>
  <conditionalFormatting sqref="M14">
    <cfRule type="cellIs" dxfId="1532" priority="9" stopIfTrue="1" operator="lessThanOrEqual">
      <formula>$L14</formula>
    </cfRule>
    <cfRule type="cellIs" dxfId="1531" priority="10" operator="greaterThan">
      <formula>L14</formula>
    </cfRule>
  </conditionalFormatting>
  <conditionalFormatting sqref="M15">
    <cfRule type="cellIs" dxfId="1530" priority="7" stopIfTrue="1" operator="lessThanOrEqual">
      <formula>$L15</formula>
    </cfRule>
    <cfRule type="cellIs" dxfId="1529" priority="8" operator="greaterThan">
      <formula>L15</formula>
    </cfRule>
  </conditionalFormatting>
  <conditionalFormatting sqref="M16">
    <cfRule type="cellIs" dxfId="1528" priority="5" stopIfTrue="1" operator="lessThanOrEqual">
      <formula>$L16</formula>
    </cfRule>
    <cfRule type="cellIs" dxfId="1527" priority="6" operator="greaterThan">
      <formula>L16</formula>
    </cfRule>
  </conditionalFormatting>
  <conditionalFormatting sqref="M17">
    <cfRule type="cellIs" dxfId="1526" priority="3" stopIfTrue="1" operator="lessThanOrEqual">
      <formula>$L17</formula>
    </cfRule>
    <cfRule type="cellIs" dxfId="1525" priority="4" operator="greaterThan">
      <formula>L17</formula>
    </cfRule>
  </conditionalFormatting>
  <conditionalFormatting sqref="M18">
    <cfRule type="cellIs" dxfId="1524" priority="1" stopIfTrue="1" operator="lessThanOrEqual">
      <formula>$L18</formula>
    </cfRule>
    <cfRule type="cellIs" dxfId="1523" priority="2" operator="greaterThan">
      <formula>L18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E3417F8-8B9D-4C9B-8F76-A6B75DDA81D8}">
          <x14:formula1>
            <xm:f>Bolts!$A:$A</xm:f>
          </x14:formula1>
          <xm:sqref>C19:C23</xm:sqref>
        </x14:dataValidation>
        <x14:dataValidation type="list" allowBlank="1" showInputMessage="1" showErrorMessage="1" xr:uid="{28C3290F-C028-4D02-BB28-2A1A5E9D12F1}">
          <x14:formula1>
            <xm:f>Machined!$C:$C</xm:f>
          </x14:formula1>
          <xm:sqref>C5:C8</xm:sqref>
        </x14:dataValidation>
        <x14:dataValidation type="list" allowBlank="1" showInputMessage="1" showErrorMessage="1" xr:uid="{4F3A3E4C-BD77-4B98-96F5-F8BEA7EE8A02}">
          <x14:formula1>
            <xm:f>Purchased!$A:$A</xm:f>
          </x14:formula1>
          <xm:sqref>C9:C18</xm:sqref>
        </x14:dataValidation>
      </x14:dataValidations>
    </ext>
  </extLst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6132-2CC6-4AE1-A6EF-FFCE32FA2E6D}">
  <sheetPr codeName="Sheet99">
    <tabColor theme="6" tint="0.59999389629810485"/>
  </sheetPr>
  <dimension ref="A1:Q8"/>
  <sheetViews>
    <sheetView zoomScale="115" zoomScaleNormal="115" workbookViewId="0">
      <selection activeCell="K15" sqref="K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'4.1'!C16</f>
        <v>PG10.4.1.9.0.A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'4.1'!D16</f>
        <v>Upweb Upper Guard Assy</v>
      </c>
      <c r="D3" s="85" t="s">
        <v>50</v>
      </c>
      <c r="E3" s="86" t="str">
        <f ca="1">MID(CELL("filename",A1),FIND("]",CELL("filename",A1))+1,256)</f>
        <v>4.1.9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50" t="s">
        <v>54</v>
      </c>
      <c r="B5" s="1">
        <v>8</v>
      </c>
      <c r="C5" s="145" t="s">
        <v>230</v>
      </c>
      <c r="D5" s="314" t="str">
        <f ca="1">VLOOKUP(C5,Assemblies!E:P,2,0)</f>
        <v>M5 Hardware for Poly</v>
      </c>
      <c r="E5" s="315"/>
      <c r="F5" s="32"/>
      <c r="G5" s="32"/>
      <c r="H5" s="32"/>
      <c r="I5" s="32"/>
      <c r="J5" s="28"/>
      <c r="K5" s="28"/>
      <c r="L5" s="28"/>
      <c r="M5" s="28"/>
      <c r="N5" s="33"/>
      <c r="O5" s="146">
        <f ca="1">B5*$L$2</f>
        <v>8</v>
      </c>
      <c r="P5" s="147">
        <f>'1.1.11.1'!Q9</f>
        <v>7.1199999999999992</v>
      </c>
      <c r="Q5" s="103">
        <f>B5*P5</f>
        <v>56.959999999999994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thickBot="1" x14ac:dyDescent="0.3">
      <c r="A7" s="77">
        <v>1</v>
      </c>
      <c r="B7" s="20">
        <v>1</v>
      </c>
      <c r="C7" s="121" t="s">
        <v>558</v>
      </c>
      <c r="D7" s="314" t="str">
        <f>VLOOKUP(C7,Machined!C:X,2,0)</f>
        <v>Upweb Upper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115</v>
      </c>
      <c r="Q7" s="50">
        <f>B7*P7</f>
        <v>115</v>
      </c>
    </row>
    <row r="8" spans="1:17" ht="15.75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SUM(Q7:Q7)</f>
        <v>115</v>
      </c>
    </row>
  </sheetData>
  <sheetProtection selectLockedCells="1"/>
  <mergeCells count="10">
    <mergeCell ref="D8:E8"/>
    <mergeCell ref="H8:I8"/>
    <mergeCell ref="D1:E1"/>
    <mergeCell ref="D4:E4"/>
    <mergeCell ref="H4:I4"/>
    <mergeCell ref="D7:E7"/>
    <mergeCell ref="H7:I7"/>
    <mergeCell ref="D5:E5"/>
    <mergeCell ref="D6:E6"/>
    <mergeCell ref="H6:I6"/>
  </mergeCells>
  <conditionalFormatting sqref="M6">
    <cfRule type="cellIs" dxfId="1522" priority="1" stopIfTrue="1" operator="lessThanOrEqual">
      <formula>$L6</formula>
    </cfRule>
    <cfRule type="cellIs" dxfId="1521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94C7C68-6C4E-414E-BFAF-FA674258CDE2}">
          <x14:formula1>
            <xm:f>Assemblies!$E:$E</xm:f>
          </x14:formula1>
          <xm:sqref>C5</xm:sqref>
        </x14:dataValidation>
        <x14:dataValidation type="list" allowBlank="1" showInputMessage="1" showErrorMessage="1" xr:uid="{29F58D62-7E93-4BD2-8420-51C216095198}">
          <x14:formula1>
            <xm:f>Machined!$C:$C</xm:f>
          </x14:formula1>
          <xm:sqref>C6:C7</xm:sqref>
        </x14:dataValidation>
      </x14:dataValidations>
    </ext>
  </extLst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E85B0-6F0F-476C-96C7-77E94F45C7B1}">
  <sheetPr codeName="Sheet100">
    <tabColor theme="6" tint="0.59999389629810485"/>
  </sheetPr>
  <dimension ref="A1:Q8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'4.1'!C17</f>
        <v>PG10.4.1.10.0.A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'4.1'!D17</f>
        <v>Downweb Lower Guard Assy</v>
      </c>
      <c r="D3" s="85" t="s">
        <v>50</v>
      </c>
      <c r="E3" s="86" t="str">
        <f ca="1">MID(CELL("filename",A1),FIND("]",CELL("filename",A1))+1,256)</f>
        <v>4.1.10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50" t="s">
        <v>54</v>
      </c>
      <c r="B5" s="1">
        <v>8</v>
      </c>
      <c r="C5" s="145" t="s">
        <v>230</v>
      </c>
      <c r="D5" s="314" t="str">
        <f ca="1">VLOOKUP(C5,Assemblies!E:P,2,0)</f>
        <v>M5 Hardware for Poly</v>
      </c>
      <c r="E5" s="315"/>
      <c r="F5" s="32"/>
      <c r="G5" s="32"/>
      <c r="H5" s="32"/>
      <c r="I5" s="32"/>
      <c r="J5" s="28"/>
      <c r="K5" s="28"/>
      <c r="L5" s="28"/>
      <c r="M5" s="28"/>
      <c r="N5" s="33"/>
      <c r="O5" s="146">
        <f ca="1">B5*$L$2</f>
        <v>8</v>
      </c>
      <c r="P5" s="147">
        <f>'1.1.11.1'!Q9</f>
        <v>7.1199999999999992</v>
      </c>
      <c r="Q5" s="103">
        <f>B5*P5</f>
        <v>56.959999999999994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thickBot="1" x14ac:dyDescent="0.3">
      <c r="A7" s="77">
        <v>1</v>
      </c>
      <c r="B7" s="20">
        <v>1</v>
      </c>
      <c r="C7" s="121" t="s">
        <v>559</v>
      </c>
      <c r="D7" s="314" t="str">
        <f>VLOOKUP(C7,Machined!C:X,2,0)</f>
        <v xml:space="preserve">Downweb Lower Guard 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145</v>
      </c>
      <c r="Q7" s="50">
        <f>B7*P7</f>
        <v>145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SUM(Q7:Q7)</f>
        <v>145</v>
      </c>
    </row>
  </sheetData>
  <sheetProtection selectLockedCells="1"/>
  <mergeCells count="10">
    <mergeCell ref="D8:E8"/>
    <mergeCell ref="H8:I8"/>
    <mergeCell ref="D6:E6"/>
    <mergeCell ref="H6:I6"/>
    <mergeCell ref="D1:E1"/>
    <mergeCell ref="D4:E4"/>
    <mergeCell ref="H4:I4"/>
    <mergeCell ref="D5:E5"/>
    <mergeCell ref="D7:E7"/>
    <mergeCell ref="H7:I7"/>
  </mergeCells>
  <conditionalFormatting sqref="M6">
    <cfRule type="cellIs" dxfId="1520" priority="1" stopIfTrue="1" operator="lessThanOrEqual">
      <formula>$L6</formula>
    </cfRule>
    <cfRule type="cellIs" dxfId="1519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1C3EA617-D178-42AF-8343-97BF4667A150}">
          <x14:formula1>
            <xm:f>Assemblies!$E:$E</xm:f>
          </x14:formula1>
          <xm:sqref>C5</xm:sqref>
        </x14:dataValidation>
        <x14:dataValidation type="list" allowBlank="1" showInputMessage="1" showErrorMessage="1" xr:uid="{B5D21427-1B0D-4A66-BFC6-61C718E339F0}">
          <x14:formula1>
            <xm:f>Machined!$C:$C</xm:f>
          </x14:formula1>
          <xm:sqref>C6:C7</xm:sqref>
        </x14:dataValidation>
      </x14:dataValidations>
    </ext>
  </extLst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7005F-C080-4CEE-8E9C-F9489AE151A6}">
  <sheetPr codeName="Sheet101">
    <tabColor theme="6" tint="0.59999389629810485"/>
  </sheetPr>
  <dimension ref="A1:Q8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'4.1'!C18</f>
        <v>PG10.4.1.11.0.A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'4.1'!D18</f>
        <v>End Lower Side Guard Assy</v>
      </c>
      <c r="D3" s="85" t="s">
        <v>50</v>
      </c>
      <c r="E3" s="86" t="str">
        <f ca="1">MID(CELL("filename",A1),FIND("]",CELL("filename",A1))+1,256)</f>
        <v>4.1.11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50" t="s">
        <v>54</v>
      </c>
      <c r="B5" s="1">
        <v>8</v>
      </c>
      <c r="C5" s="145" t="s">
        <v>230</v>
      </c>
      <c r="D5" s="314" t="str">
        <f ca="1">VLOOKUP(C5,Assemblies!E:P,2,0)</f>
        <v>M5 Hardware for Poly</v>
      </c>
      <c r="E5" s="315"/>
      <c r="F5" s="32"/>
      <c r="G5" s="32"/>
      <c r="H5" s="32"/>
      <c r="I5" s="32"/>
      <c r="J5" s="28"/>
      <c r="K5" s="28"/>
      <c r="L5" s="28"/>
      <c r="M5" s="28"/>
      <c r="N5" s="33"/>
      <c r="O5" s="146">
        <f ca="1">B5*$L$2</f>
        <v>16</v>
      </c>
      <c r="P5" s="147">
        <f>'1.1.11.1'!Q9</f>
        <v>7.1199999999999992</v>
      </c>
      <c r="Q5" s="103">
        <f>B5*P5</f>
        <v>56.959999999999994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thickBot="1" x14ac:dyDescent="0.3">
      <c r="A7" s="77">
        <v>1</v>
      </c>
      <c r="B7" s="20">
        <v>1</v>
      </c>
      <c r="C7" s="121" t="s">
        <v>560</v>
      </c>
      <c r="D7" s="314" t="str">
        <f>VLOOKUP(C7,Machined!C:X,2,0)</f>
        <v>End Lower Side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2</v>
      </c>
      <c r="P7" s="49">
        <f>VLOOKUP(C7,Machined!C:F,3,0)</f>
        <v>70</v>
      </c>
      <c r="Q7" s="50">
        <f>B7*P7</f>
        <v>70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SUM(Q7:Q7)</f>
        <v>70</v>
      </c>
    </row>
  </sheetData>
  <sheetProtection selectLockedCells="1"/>
  <mergeCells count="10">
    <mergeCell ref="D8:E8"/>
    <mergeCell ref="H8:I8"/>
    <mergeCell ref="D6:E6"/>
    <mergeCell ref="H6:I6"/>
    <mergeCell ref="D1:E1"/>
    <mergeCell ref="D4:E4"/>
    <mergeCell ref="H4:I4"/>
    <mergeCell ref="D5:E5"/>
    <mergeCell ref="D7:E7"/>
    <mergeCell ref="H7:I7"/>
  </mergeCells>
  <conditionalFormatting sqref="M6">
    <cfRule type="cellIs" dxfId="1518" priority="1" stopIfTrue="1" operator="lessThanOrEqual">
      <formula>$L6</formula>
    </cfRule>
    <cfRule type="cellIs" dxfId="151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462A4DF-612B-47ED-BF21-FAC4EC746D9A}">
          <x14:formula1>
            <xm:f>Assemblies!$E:$E</xm:f>
          </x14:formula1>
          <xm:sqref>C5</xm:sqref>
        </x14:dataValidation>
        <x14:dataValidation type="list" allowBlank="1" showInputMessage="1" showErrorMessage="1" xr:uid="{D1C59B54-4139-4D53-B829-62B62766DFDF}">
          <x14:formula1>
            <xm:f>Machined!$C:$C</xm:f>
          </x14:formula1>
          <xm:sqref>C6:C7</xm:sqref>
        </x14:dataValidation>
      </x14:dataValidations>
    </ext>
  </extLst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B395E-293B-4277-B6FB-338D6E772039}">
  <sheetPr codeName="Sheet247">
    <tabColor theme="6" tint="0.59999389629810485"/>
  </sheetPr>
  <dimension ref="A1:Q8"/>
  <sheetViews>
    <sheetView zoomScale="115" zoomScaleNormal="115" workbookViewId="0">
      <selection activeCell="C10" sqref="C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'4.1'!C26</f>
        <v>PG10.4.1.19.0.A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'4.1'!D26</f>
        <v>Bottom Guarding 27 and 28</v>
      </c>
      <c r="D3" s="85" t="s">
        <v>50</v>
      </c>
      <c r="E3" s="86" t="str">
        <f ca="1">MID(CELL("filename",A1),FIND("]",CELL("filename",A1))+1,256)</f>
        <v>4.1.12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50" t="s">
        <v>54</v>
      </c>
      <c r="B5" s="1">
        <v>7</v>
      </c>
      <c r="C5" s="145" t="s">
        <v>230</v>
      </c>
      <c r="D5" s="314" t="str">
        <f ca="1">VLOOKUP(C5,Assemblies!E:P,2,0)</f>
        <v>M5 Hardware for Poly</v>
      </c>
      <c r="E5" s="315"/>
      <c r="F5" s="32"/>
      <c r="G5" s="32"/>
      <c r="H5" s="32"/>
      <c r="I5" s="32"/>
      <c r="J5" s="28"/>
      <c r="K5" s="28"/>
      <c r="L5" s="28"/>
      <c r="M5" s="28"/>
      <c r="N5" s="33"/>
      <c r="O5" s="146">
        <f ca="1">B5*$L$2</f>
        <v>7</v>
      </c>
      <c r="P5" s="147">
        <f>'1.1.11.1'!Q9</f>
        <v>7.1199999999999992</v>
      </c>
      <c r="Q5" s="103">
        <f>B5*P5</f>
        <v>49.839999999999996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thickBot="1" x14ac:dyDescent="0.3">
      <c r="A7" s="77">
        <v>1</v>
      </c>
      <c r="B7" s="20">
        <v>1</v>
      </c>
      <c r="C7" s="121" t="s">
        <v>561</v>
      </c>
      <c r="D7" s="314" t="str">
        <f>VLOOKUP(C7,Machined!C:X,2,0)</f>
        <v>Upweb Lower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>New part added on 8/5 by EL</v>
      </c>
      <c r="I7" s="321" t="str">
        <f>IF(VLOOKUP($C7,Machined!$C:$Y,13,0) = 0, " ", VLOOKUP($C7,Machined!$C:$Y,13,0))</f>
        <v>POLYCARBONITE-CLEAR</v>
      </c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SUM(Q7:Q7)</f>
        <v>0</v>
      </c>
    </row>
  </sheetData>
  <sheetProtection selectLockedCells="1"/>
  <mergeCells count="10">
    <mergeCell ref="D7:E7"/>
    <mergeCell ref="H7:I7"/>
    <mergeCell ref="D8:E8"/>
    <mergeCell ref="H8:I8"/>
    <mergeCell ref="D1:E1"/>
    <mergeCell ref="D4:E4"/>
    <mergeCell ref="H4:I4"/>
    <mergeCell ref="D5:E5"/>
    <mergeCell ref="D6:E6"/>
    <mergeCell ref="H6:I6"/>
  </mergeCells>
  <conditionalFormatting sqref="M6">
    <cfRule type="cellIs" dxfId="1516" priority="1" stopIfTrue="1" operator="lessThanOrEqual">
      <formula>$L6</formula>
    </cfRule>
    <cfRule type="cellIs" dxfId="151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68F25A44-C676-40B3-AAC3-EBD0B920957F}">
          <x14:formula1>
            <xm:f>Assemblies!$E:$E</xm:f>
          </x14:formula1>
          <xm:sqref>C5</xm:sqref>
        </x14:dataValidation>
        <x14:dataValidation type="list" allowBlank="1" showInputMessage="1" showErrorMessage="1" xr:uid="{0B781C38-4A69-4047-A7E9-9CE5B84115C2}">
          <x14:formula1>
            <xm:f>Machined!$C:$C</xm:f>
          </x14:formula1>
          <xm:sqref>C6:C7</xm:sqref>
        </x14:dataValidation>
      </x14:dataValidations>
    </ext>
  </extLst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7E16-09F0-4CCB-811A-E88DD85CF06D}">
  <sheetPr codeName="Sheet273">
    <tabColor theme="6" tint="0.59999389629810485"/>
  </sheetPr>
  <dimension ref="A1:Q9"/>
  <sheetViews>
    <sheetView zoomScale="114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'4.1'!C20</f>
        <v>PG10.4.1.13.0.A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'4.1'!D20</f>
        <v>Bottom Guarding 15 and 16</v>
      </c>
      <c r="D3" s="85" t="s">
        <v>50</v>
      </c>
      <c r="E3" s="86" t="str">
        <f ca="1">MID(CELL("filename",A1),FIND("]",CELL("filename",A1))+1,256)</f>
        <v>4.1.13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8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8</v>
      </c>
      <c r="P5" s="117">
        <f>'1.1.11.1'!Q9</f>
        <v>7.1199999999999992</v>
      </c>
      <c r="Q5" s="152">
        <f>B5*P5</f>
        <v>56.959999999999994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3740</v>
      </c>
      <c r="D7" s="314" t="str">
        <f>VLOOKUP(C7,Machined!C:X,2,0)</f>
        <v>Bottom Guarding 15 and 16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56.959999999999994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514" priority="1" stopIfTrue="1" operator="lessThanOrEqual">
      <formula>$L6</formula>
    </cfRule>
    <cfRule type="cellIs" dxfId="1513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C2433C-C033-4123-9086-47CDF2BC7A7C}">
          <x14:formula1>
            <xm:f>Assemblies!$E:$E</xm:f>
          </x14:formula1>
          <xm:sqref>C5</xm:sqref>
        </x14:dataValidation>
        <x14:dataValidation type="list" allowBlank="1" showInputMessage="1" showErrorMessage="1" xr:uid="{2E5529FC-6C3F-477D-B90C-022C3E326E24}">
          <x14:formula1>
            <xm:f>Machined!$C:$C</xm:f>
          </x14:formula1>
          <xm:sqref>C7</xm:sqref>
        </x14:dataValidation>
      </x14:dataValidations>
    </ext>
  </extLst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8F1-3100-4EEA-B65D-8E35E015ACBB}">
  <sheetPr codeName="Sheet274">
    <tabColor theme="6" tint="0.59999389629810485"/>
  </sheetPr>
  <dimension ref="A1:Q9"/>
  <sheetViews>
    <sheetView zoomScale="114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'4.1'!C21</f>
        <v>PG10.4.1.14.0.A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'4.1'!D21</f>
        <v>Bottom Guarding 17 and 18</v>
      </c>
      <c r="D3" s="85" t="s">
        <v>50</v>
      </c>
      <c r="E3" s="86" t="str">
        <f ca="1">MID(CELL("filename",A1),FIND("]",CELL("filename",A1))+1,256)</f>
        <v>4.1.14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6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6</v>
      </c>
      <c r="P5" s="117">
        <f>'1.1.11.1'!Q9</f>
        <v>7.1199999999999992</v>
      </c>
      <c r="Q5" s="152">
        <f>B5*P5</f>
        <v>42.72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3741</v>
      </c>
      <c r="D7" s="314" t="str">
        <f>VLOOKUP(C7,Machined!C:X,2,0)</f>
        <v>Bottom Guarding 17 and 18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42.72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512" priority="1" stopIfTrue="1" operator="lessThanOrEqual">
      <formula>$L6</formula>
    </cfRule>
    <cfRule type="cellIs" dxfId="1511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B2FA77-0B2F-4389-8B73-046B907572E8}">
          <x14:formula1>
            <xm:f>Assemblies!$E:$E</xm:f>
          </x14:formula1>
          <xm:sqref>C5</xm:sqref>
        </x14:dataValidation>
        <x14:dataValidation type="list" allowBlank="1" showInputMessage="1" showErrorMessage="1" xr:uid="{5BFC0B81-3EB9-439C-B753-85C1867A2B3B}">
          <x14:formula1>
            <xm:f>Machined!$C:$C</xm:f>
          </x14:formula1>
          <xm:sqref>C7</xm:sqref>
        </x14:dataValidation>
      </x14:dataValidations>
    </ext>
  </extLst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93647-A5E2-45AE-A66C-4A67C5741831}">
  <sheetPr codeName="Sheet275">
    <tabColor theme="6" tint="0.59999389629810485"/>
  </sheetPr>
  <dimension ref="A1:Q9"/>
  <sheetViews>
    <sheetView zoomScale="114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'4.1'!C22</f>
        <v>PG10.4.1.15.0.A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'4.1'!D22</f>
        <v>Bottom Guarding 19 and 20</v>
      </c>
      <c r="D3" s="85" t="s">
        <v>50</v>
      </c>
      <c r="E3" s="86" t="str">
        <f ca="1">MID(CELL("filename",A1),FIND("]",CELL("filename",A1))+1,256)</f>
        <v>4.1.15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6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6</v>
      </c>
      <c r="P5" s="117">
        <f>'1.1.11.1'!Q9</f>
        <v>7.1199999999999992</v>
      </c>
      <c r="Q5" s="152">
        <f>B5*P5</f>
        <v>42.72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3742</v>
      </c>
      <c r="D7" s="314" t="str">
        <f>VLOOKUP(C7,Machined!C:X,2,0)</f>
        <v>Bottom Guarding 19 and 20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42.72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510" priority="1" stopIfTrue="1" operator="lessThanOrEqual">
      <formula>$L6</formula>
    </cfRule>
    <cfRule type="cellIs" dxfId="1509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E24844-9525-4443-BBC9-1E134996679F}">
          <x14:formula1>
            <xm:f>Assemblies!$E:$E</xm:f>
          </x14:formula1>
          <xm:sqref>C5</xm:sqref>
        </x14:dataValidation>
        <x14:dataValidation type="list" allowBlank="1" showInputMessage="1" showErrorMessage="1" xr:uid="{56F72A1E-12C3-47F2-AC64-67B8E0584526}">
          <x14:formula1>
            <xm:f>Machined!$C:$C</xm:f>
          </x14:formula1>
          <xm:sqref>C7</xm:sqref>
        </x14:dataValidation>
      </x14:dataValidations>
    </ext>
  </extLst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75783-6968-41E2-93E4-3DBADCBA9748}">
  <sheetPr codeName="Sheet276">
    <tabColor theme="6" tint="0.59999389629810485"/>
  </sheetPr>
  <dimension ref="A1:Q9"/>
  <sheetViews>
    <sheetView zoomScale="114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'4.1'!C23</f>
        <v>PG10.4.1.16.0.A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'4.1'!D23</f>
        <v>Bottom Guarding 21 and 22</v>
      </c>
      <c r="D3" s="85" t="s">
        <v>50</v>
      </c>
      <c r="E3" s="86" t="str">
        <f ca="1">MID(CELL("filename",A1),FIND("]",CELL("filename",A1))+1,256)</f>
        <v>4.1.16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8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8</v>
      </c>
      <c r="P5" s="117">
        <f>'1.1.11.1'!Q9</f>
        <v>7.1199999999999992</v>
      </c>
      <c r="Q5" s="152">
        <f>B5*P5</f>
        <v>56.959999999999994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3743</v>
      </c>
      <c r="D7" s="314" t="str">
        <f>VLOOKUP(C7,Machined!C:X,2,0)</f>
        <v>Bottom Guarding 21 and 22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56.959999999999994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508" priority="1" stopIfTrue="1" operator="lessThanOrEqual">
      <formula>$L6</formula>
    </cfRule>
    <cfRule type="cellIs" dxfId="150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F7E1FD-9D1E-4F50-BAB1-EFC0DCC9B793}">
          <x14:formula1>
            <xm:f>Assemblies!$E:$E</xm:f>
          </x14:formula1>
          <xm:sqref>C5</xm:sqref>
        </x14:dataValidation>
        <x14:dataValidation type="list" allowBlank="1" showInputMessage="1" showErrorMessage="1" xr:uid="{F7EEFC75-D290-462F-808F-174A1D932075}">
          <x14:formula1>
            <xm:f>Machined!$C:$C</xm:f>
          </x14:formula1>
          <xm:sqref>C7</xm:sqref>
        </x14:dataValidation>
      </x14:dataValidations>
    </ext>
  </extLst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4086B-A598-4D1E-BD4D-47CECA60BE36}">
  <sheetPr codeName="Sheet277">
    <tabColor theme="6" tint="0.59999389629810485"/>
  </sheetPr>
  <dimension ref="A1:Q9"/>
  <sheetViews>
    <sheetView zoomScale="114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'4.1'!C24</f>
        <v>PG10.4.1.17.0.A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'4.1'!D24</f>
        <v>Bottom Guarding 23 and 24</v>
      </c>
      <c r="D3" s="85" t="s">
        <v>50</v>
      </c>
      <c r="E3" s="86" t="str">
        <f ca="1">MID(CELL("filename",A1),FIND("]",CELL("filename",A1))+1,256)</f>
        <v>4.1.17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>
        <f>'1.1.11.1'!Q9</f>
        <v>7.1199999999999992</v>
      </c>
      <c r="Q5" s="152">
        <f>B5*P5</f>
        <v>71.199999999999989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3744</v>
      </c>
      <c r="D7" s="314" t="str">
        <f>VLOOKUP(C7,Machined!C:X,2,0)</f>
        <v>Bottom Guarding 23 and 24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71.199999999999989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506" priority="1" stopIfTrue="1" operator="lessThanOrEqual">
      <formula>$L6</formula>
    </cfRule>
    <cfRule type="cellIs" dxfId="150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B7622A-2E2D-452C-B82D-FFC92DF92DA3}">
          <x14:formula1>
            <xm:f>Assemblies!$E:$E</xm:f>
          </x14:formula1>
          <xm:sqref>C5</xm:sqref>
        </x14:dataValidation>
        <x14:dataValidation type="list" allowBlank="1" showInputMessage="1" showErrorMessage="1" xr:uid="{6D469471-5F76-4A3E-A387-9C57D5C22C59}">
          <x14:formula1>
            <xm:f>Machined!$C:$C</xm:f>
          </x14:formula1>
          <xm:sqref>C7</xm:sqref>
        </x14:dataValidation>
      </x14:dataValidations>
    </ext>
  </extLst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E5CF-10E7-4983-8EB4-38859BEB6BBB}">
  <sheetPr codeName="Sheet278">
    <tabColor theme="6" tint="0.59999389629810485"/>
  </sheetPr>
  <dimension ref="A1:Q9"/>
  <sheetViews>
    <sheetView zoomScale="114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'4.1'!C25</f>
        <v>PG10.4.1.18.0.A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'4.1'!D25</f>
        <v>Bottom Guarding 25 and 26</v>
      </c>
      <c r="D3" s="85" t="s">
        <v>50</v>
      </c>
      <c r="E3" s="86" t="str">
        <f ca="1">MID(CELL("filename",A1),FIND("]",CELL("filename",A1))+1,256)</f>
        <v>4.1.18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8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8</v>
      </c>
      <c r="P5" s="117">
        <f>'1.1.11.1'!Q9</f>
        <v>7.1199999999999992</v>
      </c>
      <c r="Q5" s="152">
        <f>B5*P5</f>
        <v>56.959999999999994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3745</v>
      </c>
      <c r="D7" s="314" t="str">
        <f>VLOOKUP(C7,Machined!C:X,2,0)</f>
        <v>Bottom Guarding 25 and 26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56.959999999999994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504" priority="1" stopIfTrue="1" operator="lessThanOrEqual">
      <formula>$L6</formula>
    </cfRule>
    <cfRule type="cellIs" dxfId="1503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B047F4-E545-4745-A6F1-6D1691A109D7}">
          <x14:formula1>
            <xm:f>Assemblies!$E:$E</xm:f>
          </x14:formula1>
          <xm:sqref>C5</xm:sqref>
        </x14:dataValidation>
        <x14:dataValidation type="list" allowBlank="1" showInputMessage="1" showErrorMessage="1" xr:uid="{0A88AB13-D1F0-4E2A-84AF-01E19B6629D3}">
          <x14:formula1>
            <xm:f>Machined!$C:$C</xm:f>
          </x14:formula1>
          <xm:sqref>C7</xm:sqref>
        </x14:dataValidation>
      </x14:dataValidations>
    </ext>
  </extLst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63C0-A118-4969-8B2B-C1BBAB00FAE8}">
  <sheetPr codeName="Sheet279">
    <tabColor theme="6" tint="0.59999389629810485"/>
  </sheetPr>
  <dimension ref="A1:Q9"/>
  <sheetViews>
    <sheetView zoomScale="114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'4.1'!C26</f>
        <v>PG10.4.1.19.0.A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'4.1'!D26</f>
        <v>Bottom Guarding 27 and 28</v>
      </c>
      <c r="D3" s="85" t="s">
        <v>50</v>
      </c>
      <c r="E3" s="86" t="str">
        <f ca="1">MID(CELL("filename",A1),FIND("]",CELL("filename",A1))+1,256)</f>
        <v>4.1.19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>
        <f>'1.1.11.1'!Q9</f>
        <v>7.1199999999999992</v>
      </c>
      <c r="Q5" s="152">
        <f>B5*P5</f>
        <v>71.199999999999989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3746</v>
      </c>
      <c r="D7" s="314" t="str">
        <f>VLOOKUP(C7,Machined!C:X,2,0)</f>
        <v>Bottom Guarding 27 and 28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Curbel / Port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45561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71.199999999999989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502" priority="1" stopIfTrue="1" operator="lessThanOrEqual">
      <formula>$L6</formula>
    </cfRule>
    <cfRule type="cellIs" dxfId="1501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454D1-25F6-4EB6-B01C-F48A74A2B30B}">
          <x14:formula1>
            <xm:f>Assemblies!$E:$E</xm:f>
          </x14:formula1>
          <xm:sqref>C5</xm:sqref>
        </x14:dataValidation>
        <x14:dataValidation type="list" allowBlank="1" showInputMessage="1" showErrorMessage="1" xr:uid="{E143466F-855C-4EA4-B246-31F0AD787147}">
          <x14:formula1>
            <xm:f>Machined!$C:$C</xm:f>
          </x14:formula1>
          <xm:sqref>C7</xm:sqref>
        </x14:dataValidation>
      </x14:dataValidations>
    </ext>
  </extLst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01634-F48F-472F-82C2-95F027BD7ED9}">
  <sheetPr codeName="Sheet102">
    <tabColor theme="9" tint="0.59999389629810485"/>
    <pageSetUpPr fitToPage="1"/>
  </sheetPr>
  <dimension ref="A1:Q31"/>
  <sheetViews>
    <sheetView zoomScale="115" zoomScaleNormal="115" workbookViewId="0">
      <selection activeCell="P7" sqref="P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'4'!C6</f>
        <v>PG10.4.2.0.A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'4'!D6</f>
        <v>Upper Main Frame 3</v>
      </c>
      <c r="D3" s="85" t="s">
        <v>50</v>
      </c>
      <c r="E3" s="86" t="str">
        <f ca="1">MID(CELL("filename",A1),FIND("]",CELL("filename",A1))+1,256)</f>
        <v>4.2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125</v>
      </c>
      <c r="D5" s="336" t="str">
        <f ca="1">VLOOKUP(C5,Assemblies!E:P,2,0)</f>
        <v>HMI Pendant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8" ca="1" si="0">B5*$L$2</f>
        <v>1</v>
      </c>
      <c r="P5" s="117">
        <f>'1.6'!Q17</f>
        <v>925.9799999999999</v>
      </c>
      <c r="Q5" s="118">
        <f t="shared" ref="Q5:Q18" si="1">B5*P5</f>
        <v>925.9799999999999</v>
      </c>
    </row>
    <row r="6" spans="1:17" s="2" customFormat="1" ht="12.75" customHeight="1" x14ac:dyDescent="0.2">
      <c r="A6" s="150" t="s">
        <v>56</v>
      </c>
      <c r="B6" s="1">
        <v>6</v>
      </c>
      <c r="C6" s="145" t="s">
        <v>131</v>
      </c>
      <c r="D6" s="314" t="str">
        <f ca="1">VLOOKUP(C6,Assemblies!E:P,2,0)</f>
        <v>Frame Gusset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" ca="1" si="2">B6*$L$2</f>
        <v>6</v>
      </c>
      <c r="P6" s="147">
        <f>'1.1.3'!Q10</f>
        <v>21.919999999999998</v>
      </c>
      <c r="Q6" s="103">
        <f t="shared" ref="Q6" si="3">B6*P6</f>
        <v>131.51999999999998</v>
      </c>
    </row>
    <row r="7" spans="1:17" s="2" customFormat="1" ht="12.75" customHeight="1" x14ac:dyDescent="0.2">
      <c r="A7" s="150" t="s">
        <v>58</v>
      </c>
      <c r="B7" s="1">
        <v>2</v>
      </c>
      <c r="C7" s="145" t="s">
        <v>145</v>
      </c>
      <c r="D7" s="314" t="str">
        <f ca="1">VLOOKUP(C7,Assemblies!E:P,2,0)</f>
        <v>Key Station No Reset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'2.1.1'!Q9</f>
        <v>0</v>
      </c>
      <c r="Q7" s="103">
        <f>B7*P7</f>
        <v>0</v>
      </c>
    </row>
    <row r="8" spans="1:17" s="2" customFormat="1" ht="12.75" customHeight="1" x14ac:dyDescent="0.2">
      <c r="A8" s="150" t="s">
        <v>60</v>
      </c>
      <c r="B8" s="1">
        <v>2</v>
      </c>
      <c r="C8" s="145" t="s">
        <v>369</v>
      </c>
      <c r="D8" s="314" t="str">
        <f ca="1">VLOOKUP(C8,Assemblies!E:P,2,0)</f>
        <v>Extrusion Joining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2</v>
      </c>
      <c r="P8" s="147">
        <f>'2.1.1'!Q10</f>
        <v>45.83</v>
      </c>
      <c r="Q8" s="103">
        <f t="shared" si="1"/>
        <v>91.66</v>
      </c>
    </row>
    <row r="9" spans="1:17" s="2" customFormat="1" ht="12.75" customHeight="1" x14ac:dyDescent="0.2">
      <c r="A9" s="150" t="s">
        <v>62</v>
      </c>
      <c r="B9" s="1">
        <v>1</v>
      </c>
      <c r="C9" s="145" t="s">
        <v>562</v>
      </c>
      <c r="D9" s="314" t="str">
        <f ca="1">VLOOKUP(C9,Assemblies!E:P,2,0)</f>
        <v>Downweb Upper Guard Assy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ref="O9:O11" ca="1" si="4">B9*$L$2</f>
        <v>1</v>
      </c>
      <c r="P9" s="147">
        <f>'4.2.1'!Q14</f>
        <v>396.84000000000003</v>
      </c>
      <c r="Q9" s="103">
        <f t="shared" ref="Q9:Q11" si="5">B9*P9</f>
        <v>396.84000000000003</v>
      </c>
    </row>
    <row r="10" spans="1:17" s="2" customFormat="1" ht="12.75" customHeight="1" x14ac:dyDescent="0.2">
      <c r="A10" s="150" t="s">
        <v>64</v>
      </c>
      <c r="B10" s="1">
        <v>2</v>
      </c>
      <c r="C10" s="145" t="s">
        <v>563</v>
      </c>
      <c r="D10" s="314" t="str">
        <f ca="1">VLOOKUP(C10,Assemblies!E:P,2,0)</f>
        <v>End Upper Side Guard Assy</v>
      </c>
      <c r="E10" s="315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ca="1" si="4"/>
        <v>2</v>
      </c>
      <c r="P10" s="147">
        <f>'4.2.2'!Q8</f>
        <v>114.72</v>
      </c>
      <c r="Q10" s="103">
        <f t="shared" si="5"/>
        <v>229.44</v>
      </c>
    </row>
    <row r="11" spans="1:17" s="2" customFormat="1" ht="12.75" customHeight="1" x14ac:dyDescent="0.2">
      <c r="A11" s="150" t="s">
        <v>66</v>
      </c>
      <c r="B11" s="1">
        <v>1</v>
      </c>
      <c r="C11" s="145" t="s">
        <v>564</v>
      </c>
      <c r="D11" s="314" t="str">
        <f ca="1">VLOOKUP(C11,Assemblies!E:P,2,0)</f>
        <v>End Upper Guard Assy</v>
      </c>
      <c r="E11" s="315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ca="1" si="4"/>
        <v>1</v>
      </c>
      <c r="P11" s="147">
        <f>'4.2.3'!Q8</f>
        <v>154.07999999999998</v>
      </c>
      <c r="Q11" s="103">
        <f t="shared" si="5"/>
        <v>154.07999999999998</v>
      </c>
    </row>
    <row r="12" spans="1:17" s="2" customFormat="1" ht="12.75" customHeight="1" x14ac:dyDescent="0.2">
      <c r="A12" s="150" t="s">
        <v>68</v>
      </c>
      <c r="B12" s="1">
        <v>1</v>
      </c>
      <c r="C12" s="145" t="s">
        <v>565</v>
      </c>
      <c r="D12" s="314" t="str">
        <f ca="1">VLOOKUP(C12,Assemblies!E:P,2,0)</f>
        <v>Door 13</v>
      </c>
      <c r="E12" s="315"/>
      <c r="F12" s="32"/>
      <c r="G12" s="32"/>
      <c r="H12" s="303"/>
      <c r="I12" s="303"/>
      <c r="J12" s="28"/>
      <c r="K12" s="28"/>
      <c r="L12" s="28"/>
      <c r="M12" s="28"/>
      <c r="N12" s="33"/>
      <c r="O12" s="146">
        <f t="shared" ref="O12:O13" ca="1" si="6">B12*$L$2</f>
        <v>1</v>
      </c>
      <c r="P12" s="147">
        <f>'4.2.6'!Q22</f>
        <v>364.68000000000006</v>
      </c>
      <c r="Q12" s="103">
        <f t="shared" ref="Q12:Q13" si="7">B12*P12</f>
        <v>364.68000000000006</v>
      </c>
    </row>
    <row r="13" spans="1:17" s="2" customFormat="1" ht="12.75" customHeight="1" x14ac:dyDescent="0.2">
      <c r="A13" s="150" t="s">
        <v>70</v>
      </c>
      <c r="B13" s="1">
        <v>1</v>
      </c>
      <c r="C13" s="145" t="s">
        <v>566</v>
      </c>
      <c r="D13" s="314" t="str">
        <f ca="1">VLOOKUP(C13,Assemblies!E:P,2,0)</f>
        <v>Door 14</v>
      </c>
      <c r="E13" s="315"/>
      <c r="F13" s="32"/>
      <c r="G13" s="32"/>
      <c r="H13" s="32"/>
      <c r="I13" s="32"/>
      <c r="J13" s="28"/>
      <c r="K13" s="28"/>
      <c r="L13" s="28"/>
      <c r="M13" s="28"/>
      <c r="N13" s="33"/>
      <c r="O13" s="146">
        <f t="shared" ca="1" si="6"/>
        <v>1</v>
      </c>
      <c r="P13" s="147">
        <f>'4.2.7'!Q22</f>
        <v>364.68000000000006</v>
      </c>
      <c r="Q13" s="103">
        <f t="shared" si="7"/>
        <v>364.68000000000006</v>
      </c>
    </row>
    <row r="14" spans="1:17" s="2" customFormat="1" ht="12.75" customHeight="1" x14ac:dyDescent="0.2">
      <c r="A14" s="150" t="s">
        <v>72</v>
      </c>
      <c r="B14" s="1">
        <v>1</v>
      </c>
      <c r="C14" s="145" t="s">
        <v>567</v>
      </c>
      <c r="D14" s="314" t="str">
        <f ca="1">VLOOKUP(C14,Assemblies!E:P,2,0)</f>
        <v>Door 15</v>
      </c>
      <c r="E14" s="315"/>
      <c r="F14" s="32"/>
      <c r="G14" s="32"/>
      <c r="H14" s="303"/>
      <c r="I14" s="303"/>
      <c r="J14" s="28"/>
      <c r="K14" s="28"/>
      <c r="L14" s="28"/>
      <c r="M14" s="28"/>
      <c r="N14" s="33"/>
      <c r="O14" s="146">
        <f t="shared" ca="1" si="0"/>
        <v>1</v>
      </c>
      <c r="P14" s="147">
        <f>'4.2.8'!Q19</f>
        <v>203.2</v>
      </c>
      <c r="Q14" s="103">
        <f t="shared" si="1"/>
        <v>203.2</v>
      </c>
    </row>
    <row r="15" spans="1:17" s="2" customFormat="1" ht="12.75" customHeight="1" x14ac:dyDescent="0.2">
      <c r="A15" s="150" t="s">
        <v>74</v>
      </c>
      <c r="B15" s="1">
        <v>1</v>
      </c>
      <c r="C15" s="145" t="s">
        <v>568</v>
      </c>
      <c r="D15" s="314" t="str">
        <f ca="1">VLOOKUP(C15,Assemblies!E:P,2,0)</f>
        <v>Door 16</v>
      </c>
      <c r="E15" s="315"/>
      <c r="F15" s="32"/>
      <c r="G15" s="32"/>
      <c r="H15" s="303"/>
      <c r="I15" s="303"/>
      <c r="J15" s="28"/>
      <c r="K15" s="28"/>
      <c r="L15" s="28"/>
      <c r="M15" s="28"/>
      <c r="N15" s="33"/>
      <c r="O15" s="146">
        <f ca="1">B15*$L$2</f>
        <v>1</v>
      </c>
      <c r="P15" s="147">
        <f>'4.2.9'!Q18</f>
        <v>0</v>
      </c>
      <c r="Q15" s="103">
        <f>B15*P15</f>
        <v>0</v>
      </c>
    </row>
    <row r="16" spans="1:17" s="2" customFormat="1" ht="12.75" customHeight="1" x14ac:dyDescent="0.2">
      <c r="A16" s="150" t="s">
        <v>76</v>
      </c>
      <c r="B16" s="1">
        <v>1</v>
      </c>
      <c r="C16" s="145" t="s">
        <v>569</v>
      </c>
      <c r="D16" s="314" t="str">
        <f ca="1">VLOOKUP(C16,Assemblies!E:P,2,0)</f>
        <v>Twin Wall Top Guard 6</v>
      </c>
      <c r="E16" s="315"/>
      <c r="F16" s="32"/>
      <c r="G16" s="32"/>
      <c r="H16" s="303"/>
      <c r="I16" s="303"/>
      <c r="J16" s="28"/>
      <c r="K16" s="28"/>
      <c r="L16" s="28"/>
      <c r="M16" s="28"/>
      <c r="N16" s="33"/>
      <c r="O16" s="146">
        <f ca="1">B16*$L$2</f>
        <v>1</v>
      </c>
      <c r="P16" s="147">
        <f>'4.2.10'!Q8</f>
        <v>170.34</v>
      </c>
      <c r="Q16" s="103">
        <f>B16*P16</f>
        <v>170.34</v>
      </c>
    </row>
    <row r="17" spans="1:17" s="2" customFormat="1" ht="12.75" customHeight="1" x14ac:dyDescent="0.2">
      <c r="A17" s="150" t="s">
        <v>78</v>
      </c>
      <c r="B17" s="1">
        <v>1</v>
      </c>
      <c r="C17" s="145" t="s">
        <v>570</v>
      </c>
      <c r="D17" s="314" t="str">
        <f ca="1">VLOOKUP(C17,Assemblies!E:P,2,0)</f>
        <v>Twin Wall Top Guard 7</v>
      </c>
      <c r="E17" s="315"/>
      <c r="F17" s="32"/>
      <c r="G17" s="32"/>
      <c r="H17" s="303"/>
      <c r="I17" s="303"/>
      <c r="J17" s="28"/>
      <c r="K17" s="28"/>
      <c r="L17" s="28"/>
      <c r="M17" s="28"/>
      <c r="N17" s="33"/>
      <c r="O17" s="146">
        <f ca="1">B17*$L$2</f>
        <v>1</v>
      </c>
      <c r="P17" s="147">
        <f>'4.2.11'!Q8</f>
        <v>170.34</v>
      </c>
      <c r="Q17" s="103">
        <f>B17*P17</f>
        <v>170.34</v>
      </c>
    </row>
    <row r="18" spans="1:17" s="2" customFormat="1" ht="12.75" customHeight="1" x14ac:dyDescent="0.2">
      <c r="A18" s="150" t="s">
        <v>142</v>
      </c>
      <c r="B18" s="1">
        <v>1</v>
      </c>
      <c r="C18" s="145" t="s">
        <v>571</v>
      </c>
      <c r="D18" s="314" t="str">
        <f ca="1">VLOOKUP(C18,Assemblies!E:P,2,0)</f>
        <v>Twin Wall Top Guard 8</v>
      </c>
      <c r="E18" s="315"/>
      <c r="F18" s="32"/>
      <c r="G18" s="32"/>
      <c r="H18" s="303"/>
      <c r="I18" s="303"/>
      <c r="J18" s="28"/>
      <c r="K18" s="28"/>
      <c r="L18" s="28"/>
      <c r="M18" s="28"/>
      <c r="N18" s="33"/>
      <c r="O18" s="146">
        <f t="shared" ca="1" si="0"/>
        <v>1</v>
      </c>
      <c r="P18" s="147">
        <f>'4.2.12'!Q9</f>
        <v>340.7</v>
      </c>
      <c r="Q18" s="103">
        <f t="shared" si="1"/>
        <v>340.7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301</v>
      </c>
      <c r="B20" s="2">
        <v>114</v>
      </c>
      <c r="C20" s="135" t="s">
        <v>149</v>
      </c>
      <c r="D20" s="325" t="str">
        <f>VLOOKUP(C20,Purchased!A:B,2,0)</f>
        <v>BRX GOTO QUICK CONNECTOR N10 0°</v>
      </c>
      <c r="E20" s="326"/>
      <c r="F20" s="108" t="str">
        <f>IF(VLOOKUP($C20,Purchased!A:Z,11,0) = 0, " ", VLOOKUP($C20,Purchased!A:Z,11,0))</f>
        <v>T-SLOTS</v>
      </c>
      <c r="G20" s="108" t="str">
        <f>IF(VLOOKUP($C20,Purchased!A:Z,12,0)=0, " ", VLOOKUP($C20,Purchased!A:Z,12,0))</f>
        <v>Process Tech</v>
      </c>
      <c r="H20" s="327" t="str">
        <f>IF(VLOOKUP($C20,Purchased!A:Z,13,0)=0, " ", VLOOKUP($C20,Purchased!A:Z,13,0))</f>
        <v>500 More on P.O. #55639 Part# 659730</v>
      </c>
      <c r="I20" s="328"/>
      <c r="J20" s="46" t="str">
        <f>IF(VLOOKUP($C20,Purchased!A:Z,14,0)=0, " ", VLOOKUP($C20,Purchased!A:Z,14,0))</f>
        <v>N/A</v>
      </c>
      <c r="K20" s="46" t="str">
        <f>IF(VLOOKUP(C20,Purchased!A:R,14,0)=0, " ", VLOOKUP(C20,Purchased!A:R,14,0))</f>
        <v>N/A</v>
      </c>
      <c r="L20" s="46">
        <f>IF(VLOOKUP(C20,Purchased!A:R,15,0)=0, " ", VLOOKUP(C20,Purchased!A:R,15,0))</f>
        <v>45362</v>
      </c>
      <c r="M20" s="46">
        <f>IF(VLOOKUP(C20,Purchased!A:R,16,0)=0, " ",VLOOKUP(C20,Purchased!A:R,16,0))</f>
        <v>45378</v>
      </c>
      <c r="N20" s="130">
        <f>IF(VLOOKUP(C20,Purchased!A:R,17,0)=0, " ", VLOOKUP(C20,Purchased!A:R,17,0))</f>
        <v>45378</v>
      </c>
      <c r="O20" s="47">
        <f t="shared" ref="O20:O22" ca="1" si="8">B20*$L$2</f>
        <v>114</v>
      </c>
      <c r="P20" s="51">
        <f>VLOOKUP(C20,Purchased!A:D,3,FALSE)</f>
        <v>4.17</v>
      </c>
      <c r="Q20" s="52">
        <f t="shared" ref="Q20:Q22" si="9">B20*P20</f>
        <v>475.38</v>
      </c>
    </row>
    <row r="21" spans="1:17" s="2" customFormat="1" ht="12" customHeight="1" x14ac:dyDescent="0.25">
      <c r="A21" s="4">
        <v>302</v>
      </c>
      <c r="B21" s="2">
        <v>4</v>
      </c>
      <c r="C21" s="135">
        <v>3842551606</v>
      </c>
      <c r="D21" s="325" t="str">
        <f>VLOOKUP(C21,Purchased!A:B,2,0)</f>
        <v>BRX 45X45 Frame Gusset</v>
      </c>
      <c r="E21" s="326"/>
      <c r="F21" s="108" t="str">
        <f>IF(VLOOKUP($C21,Purchased!A:Z,11,0) = 0, " ", VLOOKUP($C21,Purchased!A:Z,11,0))</f>
        <v>BRX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>2 additional quantity added to 55710</v>
      </c>
      <c r="I21" s="328"/>
      <c r="J21" s="46" t="str">
        <f>IF(VLOOKUP($C21,Purchased!A:Z,14,0)=0, " ", VLOOKUP($C21,Purchased!A:Z,14,0))</f>
        <v>N/A</v>
      </c>
      <c r="K21" s="46" t="str">
        <f>IF(VLOOKUP(C21,Purchased!A:R,14,0)=0, " ", VLOOKUP(C21,Purchased!A:R,14,0))</f>
        <v>N/A</v>
      </c>
      <c r="L21" s="46">
        <f>IF(VLOOKUP(C21,Purchased!A:R,15,0)=0, " ", VLOOKUP(C21,Purchased!A:R,15,0))</f>
        <v>45524</v>
      </c>
      <c r="M21" s="46">
        <f>IF(VLOOKUP(C21,Purchased!A:R,16,0)=0, " ",VLOOKUP(C21,Purchased!A:R,16,0))</f>
        <v>45547</v>
      </c>
      <c r="N21" s="130" t="str">
        <f>IF(VLOOKUP(C21,Purchased!A:R,17,0)=0, " ", VLOOKUP(C21,Purchased!A:R,17,0))</f>
        <v xml:space="preserve"> </v>
      </c>
      <c r="O21" s="47">
        <f t="shared" ca="1" si="8"/>
        <v>4</v>
      </c>
      <c r="P21" s="51">
        <f>VLOOKUP(C21,Purchased!A:D,3,FALSE)</f>
        <v>5.83</v>
      </c>
      <c r="Q21" s="52">
        <f t="shared" si="9"/>
        <v>23.32</v>
      </c>
    </row>
    <row r="22" spans="1:17" s="2" customFormat="1" ht="12" customHeight="1" x14ac:dyDescent="0.25">
      <c r="A22" s="4">
        <v>303</v>
      </c>
      <c r="B22" s="2">
        <v>2</v>
      </c>
      <c r="C22" s="135">
        <v>3842548758</v>
      </c>
      <c r="D22" s="325" t="str">
        <f>VLOOKUP(C22,Purchased!A:B,2,0)</f>
        <v>BRX 3842548758 Cover Cap 90x90 Grey</v>
      </c>
      <c r="E22" s="326"/>
      <c r="F22" s="108" t="str">
        <f>IF(VLOOKUP($C22,Purchased!A:Z,11,0) = 0, " ", VLOOKUP($C22,Purchased!A:Z,11,0))</f>
        <v>BRX</v>
      </c>
      <c r="G22" s="108" t="str">
        <f>IF(VLOOKUP($C22,Purchased!A:Z,12,0)=0, " ", VLOOKUP($C22,Purchased!A:Z,12,0))</f>
        <v>AAP</v>
      </c>
      <c r="H22" s="327" t="str">
        <f>IF(VLOOKUP($C22,Purchased!A:Z,13,0)=0, " ", VLOOKUP($C22,Purchased!A:Z,13,0))</f>
        <v xml:space="preserve"> </v>
      </c>
      <c r="I22" s="328"/>
      <c r="J22" s="46" t="str">
        <f>IF(VLOOKUP($C22,Purchased!A:Z,14,0)=0, " ", VLOOKUP($C22,Purchased!A:Z,14,0))</f>
        <v>N/A</v>
      </c>
      <c r="K22" s="46" t="str">
        <f>IF(VLOOKUP(C22,Purchased!A:R,14,0)=0, " ", VLOOKUP(C22,Purchased!A:R,14,0))</f>
        <v>N/A</v>
      </c>
      <c r="L22" s="46">
        <f>IF(VLOOKUP(C22,Purchased!A:R,15,0)=0, " ", VLOOKUP(C22,Purchased!A:R,15,0))</f>
        <v>45524</v>
      </c>
      <c r="M22" s="46">
        <f>IF(VLOOKUP(C22,Purchased!A:R,16,0)=0, " ",VLOOKUP(C22,Purchased!A:R,16,0))</f>
        <v>45547</v>
      </c>
      <c r="N22" s="130" t="str">
        <f>IF(VLOOKUP(C22,Purchased!A:R,17,0)=0, " ", VLOOKUP(C22,Purchased!A:R,17,0))</f>
        <v xml:space="preserve"> </v>
      </c>
      <c r="O22" s="47">
        <f t="shared" ca="1" si="8"/>
        <v>2</v>
      </c>
      <c r="P22" s="51">
        <f>VLOOKUP(C22,Purchased!A:D,3,FALSE)</f>
        <v>2.83</v>
      </c>
      <c r="Q22" s="52">
        <f t="shared" si="9"/>
        <v>5.66</v>
      </c>
    </row>
    <row r="23" spans="1:17" s="2" customFormat="1" ht="12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" customHeight="1" x14ac:dyDescent="0.25">
      <c r="A24" s="4">
        <v>701</v>
      </c>
      <c r="B24" s="2">
        <v>6</v>
      </c>
      <c r="C24" s="123" t="s">
        <v>398</v>
      </c>
      <c r="D24" s="325" t="str">
        <f>VLOOKUP(C24,Extrusion!B:C,2,0)</f>
        <v>APPROVED EL 8/1</v>
      </c>
      <c r="E24" s="326"/>
      <c r="F24" s="108" t="str">
        <f ca="1">VLOOKUP(C24,Extrusion!B:N,5,0)</f>
        <v/>
      </c>
      <c r="G24" s="108">
        <f>VLOOKUP(C24,Extrusion!B:N,6,0)</f>
        <v>1</v>
      </c>
      <c r="H24" s="108">
        <f>VLOOKUP(C24,Extrusion!B:N,7,0)</f>
        <v>0</v>
      </c>
      <c r="I24" s="109"/>
      <c r="J24" s="46" t="str">
        <f>VLOOKUP(C24,Extrusion!B:N,8,0)</f>
        <v>T-Slots</v>
      </c>
      <c r="K24" s="46">
        <f>VLOOKUP(C24,Extrusion!B:N,9,0)</f>
        <v>0</v>
      </c>
      <c r="L24" s="46">
        <f>VLOOKUP(C24,Extrusion!B:N,10,0)</f>
        <v>0</v>
      </c>
      <c r="M24" s="46">
        <f>VLOOKUP(C24,Extrusion!B:N,11,0)</f>
        <v>0</v>
      </c>
      <c r="N24" s="47">
        <f>VLOOKUP(C24,Extrusion!B:O,12,0)</f>
        <v>0</v>
      </c>
      <c r="O24" s="47">
        <f t="shared" ref="O24:O30" ca="1" si="10">B24*$L$2</f>
        <v>6</v>
      </c>
      <c r="P24" s="51">
        <f>VLOOKUP(C24,Extrusion!B:G,4,0)</f>
        <v>20</v>
      </c>
      <c r="Q24" s="52">
        <f t="shared" ref="Q24:Q30" si="11">B24*P24</f>
        <v>120</v>
      </c>
    </row>
    <row r="25" spans="1:17" s="2" customFormat="1" ht="12" customHeight="1" x14ac:dyDescent="0.25">
      <c r="A25" s="4">
        <v>702</v>
      </c>
      <c r="B25" s="2">
        <v>2</v>
      </c>
      <c r="C25" s="123" t="s">
        <v>572</v>
      </c>
      <c r="D25" s="325" t="str">
        <f>VLOOKUP(C25,Extrusion!B:C,2,0)</f>
        <v>APPROVED EL 8/1</v>
      </c>
      <c r="E25" s="326"/>
      <c r="F25" s="108" t="str">
        <f ca="1">VLOOKUP(C25,Extrusion!B:N,5,0)</f>
        <v/>
      </c>
      <c r="G25" s="108">
        <f>VLOOKUP(C25,Extrusion!B:N,6,0)</f>
        <v>1</v>
      </c>
      <c r="H25" s="108">
        <f>VLOOKUP(C25,Extrusion!B:N,7,0)</f>
        <v>0</v>
      </c>
      <c r="I25" s="109"/>
      <c r="J25" s="46" t="str">
        <f>VLOOKUP(C25,Extrusion!B:N,8,0)</f>
        <v>T-Slots</v>
      </c>
      <c r="K25" s="46">
        <f>VLOOKUP(C25,Extrusion!B:N,9,0)</f>
        <v>0</v>
      </c>
      <c r="L25" s="46">
        <f>VLOOKUP(C25,Extrusion!B:N,10,0)</f>
        <v>0</v>
      </c>
      <c r="M25" s="46">
        <f>VLOOKUP(C25,Extrusion!B:N,11,0)</f>
        <v>0</v>
      </c>
      <c r="N25" s="47">
        <f>VLOOKUP(C25,Extrusion!B:O,12,0)</f>
        <v>0</v>
      </c>
      <c r="O25" s="47">
        <f t="shared" ca="1" si="10"/>
        <v>2</v>
      </c>
      <c r="P25" s="51">
        <f>VLOOKUP(C25,Extrusion!B:G,4,0)</f>
        <v>2</v>
      </c>
      <c r="Q25" s="52">
        <f t="shared" si="11"/>
        <v>4</v>
      </c>
    </row>
    <row r="26" spans="1:17" s="2" customFormat="1" ht="12" customHeight="1" x14ac:dyDescent="0.25">
      <c r="A26" s="4">
        <v>703</v>
      </c>
      <c r="B26" s="2">
        <v>4</v>
      </c>
      <c r="C26" s="123" t="s">
        <v>160</v>
      </c>
      <c r="D26" s="325" t="str">
        <f>VLOOKUP(C26,Extrusion!B:C,2,0)</f>
        <v>APPROVED EL 8/1</v>
      </c>
      <c r="E26" s="326"/>
      <c r="F26" s="108" t="str">
        <f ca="1">VLOOKUP(C26,Extrusion!B:N,5,0)</f>
        <v/>
      </c>
      <c r="G26" s="108">
        <f>VLOOKUP(C26,Extrusion!B:N,6,0)</f>
        <v>1</v>
      </c>
      <c r="H26" s="108">
        <f>VLOOKUP(C26,Extrusion!B:N,7,0)</f>
        <v>0</v>
      </c>
      <c r="I26" s="109"/>
      <c r="J26" s="46" t="str">
        <f>VLOOKUP(C26,Extrusion!B:N,8,0)</f>
        <v>T-Slots</v>
      </c>
      <c r="K26" s="46">
        <f>VLOOKUP(C26,Extrusion!B:N,9,0)</f>
        <v>0</v>
      </c>
      <c r="L26" s="46">
        <f>VLOOKUP(C26,Extrusion!B:N,10,0)</f>
        <v>0</v>
      </c>
      <c r="M26" s="46">
        <f>VLOOKUP(C26,Extrusion!B:N,11,0)</f>
        <v>0</v>
      </c>
      <c r="N26" s="47">
        <f>VLOOKUP(C26,Extrusion!B:O,12,0)</f>
        <v>0</v>
      </c>
      <c r="O26" s="47">
        <f t="shared" ca="1" si="10"/>
        <v>4</v>
      </c>
      <c r="P26" s="51">
        <f>VLOOKUP(C26,Extrusion!B:G,4,0)</f>
        <v>34</v>
      </c>
      <c r="Q26" s="52">
        <f t="shared" si="11"/>
        <v>136</v>
      </c>
    </row>
    <row r="27" spans="1:17" s="2" customFormat="1" ht="12" customHeight="1" x14ac:dyDescent="0.25">
      <c r="A27" s="4">
        <v>704</v>
      </c>
      <c r="B27" s="2">
        <v>2</v>
      </c>
      <c r="C27" s="123" t="s">
        <v>573</v>
      </c>
      <c r="D27" s="325" t="str">
        <f>VLOOKUP(C27,Extrusion!B:C,2,0)</f>
        <v>APPROVED EL 8/1</v>
      </c>
      <c r="E27" s="326"/>
      <c r="F27" s="108" t="str">
        <f ca="1">VLOOKUP(C27,Extrusion!B:N,5,0)</f>
        <v/>
      </c>
      <c r="G27" s="108">
        <f>VLOOKUP(C27,Extrusion!B:N,6,0)</f>
        <v>1</v>
      </c>
      <c r="H27" s="108">
        <f>VLOOKUP(C27,Extrusion!B:N,7,0)</f>
        <v>0</v>
      </c>
      <c r="I27" s="109"/>
      <c r="J27" s="46" t="str">
        <f>VLOOKUP(C27,Extrusion!B:N,8,0)</f>
        <v>T-Slots</v>
      </c>
      <c r="K27" s="46">
        <f>VLOOKUP(C27,Extrusion!B:N,9,0)</f>
        <v>0</v>
      </c>
      <c r="L27" s="46">
        <f>VLOOKUP(C27,Extrusion!B:N,10,0)</f>
        <v>0</v>
      </c>
      <c r="M27" s="46">
        <f>VLOOKUP(C27,Extrusion!B:N,11,0)</f>
        <v>0</v>
      </c>
      <c r="N27" s="47">
        <f>VLOOKUP(C27,Extrusion!B:O,12,0)</f>
        <v>0</v>
      </c>
      <c r="O27" s="47">
        <f t="shared" ca="1" si="10"/>
        <v>2</v>
      </c>
      <c r="P27" s="51">
        <f>VLOOKUP(C27,Extrusion!B:G,4,0)</f>
        <v>2</v>
      </c>
      <c r="Q27" s="52">
        <f t="shared" si="11"/>
        <v>4</v>
      </c>
    </row>
    <row r="28" spans="1:17" s="2" customFormat="1" ht="12" customHeight="1" x14ac:dyDescent="0.25">
      <c r="A28" s="4">
        <v>705</v>
      </c>
      <c r="B28" s="2">
        <v>1</v>
      </c>
      <c r="C28" s="123" t="s">
        <v>530</v>
      </c>
      <c r="D28" s="325" t="str">
        <f>VLOOKUP(C28,Extrusion!B:C,2,0)</f>
        <v>APPROVED EL 8/1</v>
      </c>
      <c r="E28" s="326"/>
      <c r="F28" s="108" t="str">
        <f ca="1">VLOOKUP(C28,Extrusion!B:N,5,0)</f>
        <v/>
      </c>
      <c r="G28" s="108">
        <f>VLOOKUP(C28,Extrusion!B:N,6,0)</f>
        <v>1</v>
      </c>
      <c r="H28" s="108">
        <f>VLOOKUP(C28,Extrusion!B:N,7,0)</f>
        <v>0</v>
      </c>
      <c r="I28" s="109"/>
      <c r="J28" s="46" t="str">
        <f>VLOOKUP(C28,Extrusion!B:N,8,0)</f>
        <v>T-Slots</v>
      </c>
      <c r="K28" s="46">
        <f>VLOOKUP(C28,Extrusion!B:N,9,0)</f>
        <v>0</v>
      </c>
      <c r="L28" s="46">
        <f>VLOOKUP(C28,Extrusion!B:N,10,0)</f>
        <v>0</v>
      </c>
      <c r="M28" s="46">
        <f>VLOOKUP(C28,Extrusion!B:N,11,0)</f>
        <v>0</v>
      </c>
      <c r="N28" s="47">
        <f>VLOOKUP(C28,Extrusion!B:O,12,0)</f>
        <v>0</v>
      </c>
      <c r="O28" s="47">
        <f t="shared" ca="1" si="10"/>
        <v>1</v>
      </c>
      <c r="P28" s="51">
        <f>VLOOKUP(C28,Extrusion!B:G,4,0)</f>
        <v>5</v>
      </c>
      <c r="Q28" s="52">
        <f t="shared" si="11"/>
        <v>5</v>
      </c>
    </row>
    <row r="29" spans="1:17" s="2" customFormat="1" ht="12" customHeight="1" x14ac:dyDescent="0.25">
      <c r="A29" s="4">
        <v>706</v>
      </c>
      <c r="B29" s="2">
        <v>1</v>
      </c>
      <c r="C29" s="123" t="s">
        <v>399</v>
      </c>
      <c r="D29" s="325" t="str">
        <f>VLOOKUP(C29,Extrusion!B:C,2,0)</f>
        <v>APPROVED EL 8/1</v>
      </c>
      <c r="E29" s="326"/>
      <c r="F29" s="108" t="str">
        <f ca="1">VLOOKUP(C29,Extrusion!B:N,5,0)</f>
        <v/>
      </c>
      <c r="G29" s="108">
        <f>VLOOKUP(C29,Extrusion!B:N,6,0)</f>
        <v>1</v>
      </c>
      <c r="H29" s="108">
        <f>VLOOKUP(C29,Extrusion!B:N,7,0)</f>
        <v>0</v>
      </c>
      <c r="I29" s="109"/>
      <c r="J29" s="46" t="str">
        <f>VLOOKUP(C29,Extrusion!B:N,8,0)</f>
        <v>T-Slots</v>
      </c>
      <c r="K29" s="46">
        <f>VLOOKUP(C29,Extrusion!B:N,9,0)</f>
        <v>0</v>
      </c>
      <c r="L29" s="46">
        <f>VLOOKUP(C29,Extrusion!B:N,10,0)</f>
        <v>0</v>
      </c>
      <c r="M29" s="46">
        <f>VLOOKUP(C29,Extrusion!B:N,11,0)</f>
        <v>0</v>
      </c>
      <c r="N29" s="47">
        <f>VLOOKUP(C29,Extrusion!B:O,12,0)</f>
        <v>0</v>
      </c>
      <c r="O29" s="47">
        <f t="shared" ca="1" si="10"/>
        <v>1</v>
      </c>
      <c r="P29" s="51">
        <f>VLOOKUP(C29,Extrusion!B:G,4,0)</f>
        <v>3</v>
      </c>
      <c r="Q29" s="52">
        <f t="shared" si="11"/>
        <v>3</v>
      </c>
    </row>
    <row r="30" spans="1:17" s="2" customFormat="1" ht="12" customHeight="1" thickBot="1" x14ac:dyDescent="0.3">
      <c r="A30" s="4">
        <v>707</v>
      </c>
      <c r="B30" s="2">
        <v>1</v>
      </c>
      <c r="C30" s="123" t="s">
        <v>574</v>
      </c>
      <c r="D30" s="325" t="str">
        <f>VLOOKUP(C30,Extrusion!B:C,2,0)</f>
        <v>APPROVED EL 8/1</v>
      </c>
      <c r="E30" s="326"/>
      <c r="F30" s="108" t="str">
        <f ca="1">VLOOKUP(C30,Extrusion!B:N,5,0)</f>
        <v/>
      </c>
      <c r="G30" s="108">
        <f>VLOOKUP(C30,Extrusion!B:N,6,0)</f>
        <v>1</v>
      </c>
      <c r="H30" s="108">
        <f>VLOOKUP(C30,Extrusion!B:N,7,0)</f>
        <v>0</v>
      </c>
      <c r="I30" s="109"/>
      <c r="J30" s="46" t="str">
        <f>VLOOKUP(C30,Extrusion!B:N,8,0)</f>
        <v>T-Slots</v>
      </c>
      <c r="K30" s="46">
        <f>VLOOKUP(C30,Extrusion!B:N,9,0)</f>
        <v>0</v>
      </c>
      <c r="L30" s="46">
        <f>VLOOKUP(C30,Extrusion!B:N,10,0)</f>
        <v>0</v>
      </c>
      <c r="M30" s="46">
        <f>VLOOKUP(C30,Extrusion!B:N,11,0)</f>
        <v>0</v>
      </c>
      <c r="N30" s="47">
        <f>VLOOKUP(C30,Extrusion!B:O,12,0)</f>
        <v>0</v>
      </c>
      <c r="O30" s="47">
        <f t="shared" ca="1" si="10"/>
        <v>1</v>
      </c>
      <c r="P30" s="51">
        <f>VLOOKUP(C30,Extrusion!B:G,4,0)</f>
        <v>1</v>
      </c>
      <c r="Q30" s="52">
        <f t="shared" si="11"/>
        <v>1</v>
      </c>
    </row>
    <row r="31" spans="1:17" s="2" customFormat="1" ht="12" customHeight="1" thickBot="1" x14ac:dyDescent="0.3">
      <c r="A31" s="34"/>
      <c r="B31" s="35"/>
      <c r="C31" s="35"/>
      <c r="D31" s="316"/>
      <c r="E31" s="317"/>
      <c r="F31" s="35"/>
      <c r="G31" s="35"/>
      <c r="H31" s="309"/>
      <c r="I31" s="310"/>
      <c r="J31" s="36"/>
      <c r="K31" s="36"/>
      <c r="L31" s="36"/>
      <c r="M31" s="37"/>
      <c r="N31" s="132"/>
      <c r="O31" s="38"/>
      <c r="P31" s="99" t="s">
        <v>43</v>
      </c>
      <c r="Q31" s="104">
        <f>SUM(Q5:Q30)</f>
        <v>4320.82</v>
      </c>
    </row>
  </sheetData>
  <sheetProtection selectLockedCells="1"/>
  <mergeCells count="49">
    <mergeCell ref="D18:E18"/>
    <mergeCell ref="H18:I18"/>
    <mergeCell ref="D13:E13"/>
    <mergeCell ref="D12:E12"/>
    <mergeCell ref="H12:I12"/>
    <mergeCell ref="D15:E15"/>
    <mergeCell ref="H15:I15"/>
    <mergeCell ref="D16:E16"/>
    <mergeCell ref="H16:I16"/>
    <mergeCell ref="D17:E17"/>
    <mergeCell ref="H17:I17"/>
    <mergeCell ref="H6:I6"/>
    <mergeCell ref="D14:E14"/>
    <mergeCell ref="H14:I14"/>
    <mergeCell ref="D8:E8"/>
    <mergeCell ref="H8:I8"/>
    <mergeCell ref="D7:E7"/>
    <mergeCell ref="H7:I7"/>
    <mergeCell ref="D6:E6"/>
    <mergeCell ref="D9:E9"/>
    <mergeCell ref="H9:I9"/>
    <mergeCell ref="D10:E10"/>
    <mergeCell ref="H10:I10"/>
    <mergeCell ref="D11:E11"/>
    <mergeCell ref="H11:I11"/>
    <mergeCell ref="D1:E1"/>
    <mergeCell ref="D4:E4"/>
    <mergeCell ref="H4:I4"/>
    <mergeCell ref="D5:E5"/>
    <mergeCell ref="H5:I5"/>
    <mergeCell ref="H22:I22"/>
    <mergeCell ref="D19:E19"/>
    <mergeCell ref="H19:I19"/>
    <mergeCell ref="D20:E20"/>
    <mergeCell ref="H20:I20"/>
    <mergeCell ref="D21:E21"/>
    <mergeCell ref="H21:I21"/>
    <mergeCell ref="D22:E22"/>
    <mergeCell ref="D31:E31"/>
    <mergeCell ref="H31:I31"/>
    <mergeCell ref="D23:E23"/>
    <mergeCell ref="H23:I23"/>
    <mergeCell ref="D24:E24"/>
    <mergeCell ref="D25:E25"/>
    <mergeCell ref="D26:E26"/>
    <mergeCell ref="D27:E27"/>
    <mergeCell ref="D28:E28"/>
    <mergeCell ref="D29:E29"/>
    <mergeCell ref="D30:E30"/>
  </mergeCells>
  <conditionalFormatting sqref="M19 M23:M30">
    <cfRule type="cellIs" dxfId="1500" priority="7" stopIfTrue="1" operator="lessThanOrEqual">
      <formula>$L19</formula>
    </cfRule>
    <cfRule type="cellIs" dxfId="1499" priority="8" operator="greaterThan">
      <formula>L19</formula>
    </cfRule>
  </conditionalFormatting>
  <conditionalFormatting sqref="M20">
    <cfRule type="cellIs" dxfId="1498" priority="5" stopIfTrue="1" operator="lessThanOrEqual">
      <formula>$L20</formula>
    </cfRule>
    <cfRule type="cellIs" dxfId="1497" priority="6" operator="greaterThan">
      <formula>L20</formula>
    </cfRule>
  </conditionalFormatting>
  <conditionalFormatting sqref="M21:M22">
    <cfRule type="cellIs" dxfId="1496" priority="1" stopIfTrue="1" operator="lessThanOrEqual">
      <formula>$L21</formula>
    </cfRule>
    <cfRule type="cellIs" dxfId="1495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50D08E-C6CE-4A3B-8CF1-83DA9185DFCE}">
          <x14:formula1>
            <xm:f>Extrusion!$B:$B</xm:f>
          </x14:formula1>
          <xm:sqref>C24:C30</xm:sqref>
        </x14:dataValidation>
        <x14:dataValidation type="list" allowBlank="1" showInputMessage="1" showErrorMessage="1" xr:uid="{0C6DFA0C-426A-4A53-864E-794DC7C3785E}">
          <x14:formula1>
            <xm:f>Assemblies!$E:$E</xm:f>
          </x14:formula1>
          <xm:sqref>C5:C18</xm:sqref>
        </x14:dataValidation>
        <x14:dataValidation type="list" allowBlank="1" showInputMessage="1" showErrorMessage="1" xr:uid="{599F31C7-0EBA-4F67-B08D-D45358407DB7}">
          <x14:formula1>
            <xm:f>Purchased!$A:$A</xm:f>
          </x14:formula1>
          <xm:sqref>C19:C22</xm:sqref>
        </x14:dataValidation>
      </x14:dataValidations>
    </ext>
  </extLst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71FD3-0E64-46AD-9588-1EE36960FEAE}">
  <sheetPr codeName="Sheet103">
    <tabColor theme="6" tint="0.59999389629810485"/>
  </sheetPr>
  <dimension ref="A1:Q14"/>
  <sheetViews>
    <sheetView zoomScale="113" zoomScaleNormal="115" workbookViewId="0">
      <selection activeCell="E23" sqref="E2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'4.2'!C9</f>
        <v>PG10.4.2.1.0.A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'4.2'!D9</f>
        <v>Downweb Upper Guard Assy</v>
      </c>
      <c r="D3" s="85" t="s">
        <v>50</v>
      </c>
      <c r="E3" s="86" t="str">
        <f ca="1">MID(CELL("filename",A1),FIND("]",CELL("filename",A1))+1,256)</f>
        <v>4.2.1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10</v>
      </c>
      <c r="P5" s="117">
        <f>'1.1.11.1'!Q9</f>
        <v>7.1199999999999992</v>
      </c>
      <c r="Q5" s="118">
        <f t="shared" ref="Q5" si="1">B5*P5</f>
        <v>71.199999999999989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1</v>
      </c>
      <c r="C7" s="121" t="s">
        <v>575</v>
      </c>
      <c r="D7" s="314" t="str">
        <f>VLOOKUP(C7,Machined!C:X,2,0)</f>
        <v>Downweb Upper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200</v>
      </c>
      <c r="Q7" s="50">
        <f>B7*P7</f>
        <v>200</v>
      </c>
    </row>
    <row r="8" spans="1:17" s="2" customFormat="1" ht="12.75" customHeight="1" x14ac:dyDescent="0.25">
      <c r="A8" s="77">
        <v>2</v>
      </c>
      <c r="B8" s="20">
        <v>4</v>
      </c>
      <c r="C8" s="121" t="s">
        <v>557</v>
      </c>
      <c r="D8" s="314" t="str">
        <f>VLOOKUP(C8,Machined!C:X,2,0)</f>
        <v>Sheet Metal Guard Guide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>Proto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304 STAINLESS STEEL</v>
      </c>
      <c r="J8" s="44">
        <f>IF(VLOOKUP($C8,Machined!C:Z,18,0) = 0, " ", VLOOKUP($C8,Machined!C:Z,18,0))</f>
        <v>45526</v>
      </c>
      <c r="K8" s="44">
        <f>IF(VLOOKUP($C8,Machined!C:Z,19,0) = 0, " ", VLOOKUP($C8,Machined!C:Z,19,0))</f>
        <v>45527</v>
      </c>
      <c r="L8" s="44">
        <f>IF(VLOOKUP($C8,Machined!C:Z,20,0) = 0, " ", VLOOKUP($C8,Machined!C:Z,20,0))</f>
        <v>45548</v>
      </c>
      <c r="M8" s="44">
        <f>IF(VLOOKUP($C8,Machined!C:Z,21,0) = 0, " ", VLOOKUP($C8,Machined!C:Z,21,0))</f>
        <v>45548</v>
      </c>
      <c r="N8" s="129">
        <f>IF(VLOOKUP($C8,Machined!C:Z,22,0) = 0, " ", VLOOKUP($C8,Machined!C:Z,22,0))</f>
        <v>55702</v>
      </c>
      <c r="O8" s="45">
        <f t="shared" ref="O8" ca="1" si="2">B8*$L$2</f>
        <v>4</v>
      </c>
      <c r="P8" s="49">
        <f>VLOOKUP(C8,Machined!C:F,3,0)</f>
        <v>0</v>
      </c>
      <c r="Q8" s="50">
        <f t="shared" ref="Q8" si="3">B8*P8</f>
        <v>0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12</v>
      </c>
      <c r="C10" s="135" t="s">
        <v>554</v>
      </c>
      <c r="D10" s="325" t="str">
        <f>VLOOKUP(C10,Purchased!A:B,2,0)</f>
        <v>18-8 Stainless Steel Cap Nut M4 x 0.7 mm Thread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45526</v>
      </c>
      <c r="K10" s="46">
        <f>IF(VLOOKUP(C10,Purchased!A:R,14,0)=0, " ", VLOOKUP(C10,Purchased!A:R,14,0))</f>
        <v>45526</v>
      </c>
      <c r="L10" s="46">
        <f>IF(VLOOKUP(C10,Purchased!A:R,15,0)=0, " ", VLOOKUP(C10,Purchased!A:R,15,0))</f>
        <v>45526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t="shared" ref="O10:O11" ca="1" si="4">B10*$L$2</f>
        <v>12</v>
      </c>
      <c r="P10" s="51">
        <f>VLOOKUP(C10,Purchased!A:D,3,FALSE)</f>
        <v>3.91</v>
      </c>
      <c r="Q10" s="52">
        <f t="shared" ref="Q10:Q11" si="5">B10*P10</f>
        <v>46.92</v>
      </c>
    </row>
    <row r="11" spans="1:17" s="2" customFormat="1" ht="12" customHeight="1" x14ac:dyDescent="0.25">
      <c r="A11" s="4">
        <v>302</v>
      </c>
      <c r="B11" s="2">
        <v>12</v>
      </c>
      <c r="C11" s="135" t="s">
        <v>233</v>
      </c>
      <c r="D11" s="325" t="str">
        <f>VLOOKUP(C11,Purchased!A:B,2,0)</f>
        <v>Hot-Dipped Galvanized Steel with Neoprene Sealing Washer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>2 Additional Quantity Added to 55697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ca="1" si="4"/>
        <v>12</v>
      </c>
      <c r="P11" s="51">
        <f>VLOOKUP(C11,Purchased!A:D,3,FALSE)</f>
        <v>6.56</v>
      </c>
      <c r="Q11" s="52">
        <f t="shared" si="5"/>
        <v>78.72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thickBot="1" x14ac:dyDescent="0.3">
      <c r="A13" s="4">
        <v>501</v>
      </c>
      <c r="B13" s="2">
        <v>12</v>
      </c>
      <c r="C13" s="122" t="s">
        <v>349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ref="O13" ca="1" si="6">B13*$L$2</f>
        <v>12</v>
      </c>
      <c r="P13" s="51">
        <f>VLOOKUP(C13,Bolts!A:B,2,FALSE)</f>
        <v>0</v>
      </c>
      <c r="Q13" s="52">
        <f t="shared" ref="Q13" si="7">B13*P13</f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396.84000000000003</v>
      </c>
    </row>
  </sheetData>
  <sheetProtection selectLockedCells="1"/>
  <mergeCells count="22">
    <mergeCell ref="D1:E1"/>
    <mergeCell ref="D4:E4"/>
    <mergeCell ref="H4:I4"/>
    <mergeCell ref="D5:E5"/>
    <mergeCell ref="H5:I5"/>
    <mergeCell ref="D8:E8"/>
    <mergeCell ref="H8:I8"/>
    <mergeCell ref="D6:E6"/>
    <mergeCell ref="H6:I6"/>
    <mergeCell ref="D7:E7"/>
    <mergeCell ref="H7:I7"/>
    <mergeCell ref="D11:E11"/>
    <mergeCell ref="H11:I11"/>
    <mergeCell ref="D9:E9"/>
    <mergeCell ref="H9:I9"/>
    <mergeCell ref="D10:E10"/>
    <mergeCell ref="H10:I10"/>
    <mergeCell ref="D14:E14"/>
    <mergeCell ref="H14:I14"/>
    <mergeCell ref="D12:E12"/>
    <mergeCell ref="H12:I12"/>
    <mergeCell ref="D13:E13"/>
  </mergeCells>
  <conditionalFormatting sqref="M6 M9 M12:M13">
    <cfRule type="cellIs" dxfId="1494" priority="7" stopIfTrue="1" operator="lessThanOrEqual">
      <formula>$L6</formula>
    </cfRule>
    <cfRule type="cellIs" dxfId="1493" priority="8" operator="greaterThan">
      <formula>L6</formula>
    </cfRule>
  </conditionalFormatting>
  <conditionalFormatting sqref="M10">
    <cfRule type="cellIs" dxfId="1492" priority="3" stopIfTrue="1" operator="lessThanOrEqual">
      <formula>$L10</formula>
    </cfRule>
    <cfRule type="cellIs" dxfId="1491" priority="4" operator="greaterThan">
      <formula>L10</formula>
    </cfRule>
  </conditionalFormatting>
  <conditionalFormatting sqref="M11">
    <cfRule type="cellIs" dxfId="1490" priority="1" stopIfTrue="1" operator="lessThanOrEqual">
      <formula>$L11</formula>
    </cfRule>
    <cfRule type="cellIs" dxfId="1489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A8A0428-3EEC-49C4-A0C8-F95D0616CD98}">
          <x14:formula1>
            <xm:f>Bolts!$A:$A</xm:f>
          </x14:formula1>
          <xm:sqref>C12:C13</xm:sqref>
        </x14:dataValidation>
        <x14:dataValidation type="list" allowBlank="1" showInputMessage="1" showErrorMessage="1" xr:uid="{F63BA57A-C27C-4C6E-8D01-F74F3F3434DB}">
          <x14:formula1>
            <xm:f>Assemblies!$E:$E</xm:f>
          </x14:formula1>
          <xm:sqref>C5</xm:sqref>
        </x14:dataValidation>
        <x14:dataValidation type="list" allowBlank="1" showInputMessage="1" showErrorMessage="1" xr:uid="{4EE46D0E-9295-43F3-BC0B-0A24A1ECE6ED}">
          <x14:formula1>
            <xm:f>Machined!$C:$C</xm:f>
          </x14:formula1>
          <xm:sqref>C6:C8</xm:sqref>
        </x14:dataValidation>
        <x14:dataValidation type="list" allowBlank="1" showInputMessage="1" showErrorMessage="1" xr:uid="{11DFB009-8724-4E80-B1F9-72735222A68F}">
          <x14:formula1>
            <xm:f>Purchased!$A:$A</xm:f>
          </x14:formula1>
          <xm:sqref>C9:C11</xm:sqref>
        </x14:dataValidation>
      </x14:dataValidations>
    </ext>
  </extLst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5CBED-1785-4896-9B85-EB6D38E6978B}">
  <sheetPr codeName="Sheet104">
    <tabColor theme="6" tint="0.59999389629810485"/>
  </sheetPr>
  <dimension ref="A1:Q8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'4.2'!C10</f>
        <v>PG10.4.2.2.0.A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'4.2'!D10</f>
        <v>End Upper Side Guard Assy</v>
      </c>
      <c r="D3" s="85" t="s">
        <v>50</v>
      </c>
      <c r="E3" s="86" t="str">
        <f ca="1">MID(CELL("filename",A1),FIND("]",CELL("filename",A1))+1,256)</f>
        <v>4.2.2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6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12</v>
      </c>
      <c r="P5" s="117">
        <f>'1.1.11.1'!Q9</f>
        <v>7.1199999999999992</v>
      </c>
      <c r="Q5" s="118">
        <f t="shared" ref="Q5" si="1">B5*P5</f>
        <v>42.72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576</v>
      </c>
      <c r="D7" s="314" t="str">
        <f>VLOOKUP(C7,Machined!C:X,2,0)</f>
        <v>End Upper Side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2</v>
      </c>
      <c r="P7" s="49">
        <f>VLOOKUP(C7,Machined!C:F,3,0)</f>
        <v>72</v>
      </c>
      <c r="Q7" s="50">
        <f>B7*P7</f>
        <v>72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114.72</v>
      </c>
    </row>
  </sheetData>
  <sheetProtection selectLockedCells="1"/>
  <mergeCells count="11">
    <mergeCell ref="D1:E1"/>
    <mergeCell ref="D4:E4"/>
    <mergeCell ref="H4:I4"/>
    <mergeCell ref="D5:E5"/>
    <mergeCell ref="H5:I5"/>
    <mergeCell ref="D8:E8"/>
    <mergeCell ref="H8:I8"/>
    <mergeCell ref="D6:E6"/>
    <mergeCell ref="H6:I6"/>
    <mergeCell ref="D7:E7"/>
    <mergeCell ref="H7:I7"/>
  </mergeCells>
  <conditionalFormatting sqref="M6">
    <cfRule type="cellIs" dxfId="1488" priority="3" stopIfTrue="1" operator="lessThanOrEqual">
      <formula>$L6</formula>
    </cfRule>
    <cfRule type="cellIs" dxfId="1487" priority="4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59775E-5A18-4442-ABFA-1E39EF56791C}">
          <x14:formula1>
            <xm:f>Assemblies!$E:$E</xm:f>
          </x14:formula1>
          <xm:sqref>C5</xm:sqref>
        </x14:dataValidation>
        <x14:dataValidation type="list" allowBlank="1" showInputMessage="1" showErrorMessage="1" xr:uid="{8174B886-0F0F-4536-8F10-F6DB4B57B604}">
          <x14:formula1>
            <xm:f>Machined!$C:$C</xm:f>
          </x14:formula1>
          <xm:sqref>C6:C7</xm:sqref>
        </x14:dataValidation>
      </x14:dataValidations>
    </ext>
  </extLst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23EEE-84A4-42E4-8C1B-EB4AE84F99CE}">
  <sheetPr codeName="Sheet105">
    <tabColor theme="6" tint="0.59999389629810485"/>
  </sheetPr>
  <dimension ref="A1:Q8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'4.2'!C11</f>
        <v>PG10.4.2.3.0.A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'4.2'!D11</f>
        <v>End Upper Guard Assy</v>
      </c>
      <c r="D3" s="85" t="s">
        <v>50</v>
      </c>
      <c r="E3" s="86" t="str">
        <f ca="1">MID(CELL("filename",A1),FIND("]",CELL("filename",A1))+1,256)</f>
        <v>4.2.3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9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9</v>
      </c>
      <c r="P5" s="117">
        <f>'1.1.11.1'!Q9</f>
        <v>7.1199999999999992</v>
      </c>
      <c r="Q5" s="118">
        <f t="shared" ref="Q5" si="1">B5*P5</f>
        <v>64.08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577</v>
      </c>
      <c r="D7" s="314" t="str">
        <f>VLOOKUP(C7,Machined!C:X,2,0)</f>
        <v>End Upper Guard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90</v>
      </c>
      <c r="Q7" s="50">
        <f>B7*P7</f>
        <v>90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154.07999999999998</v>
      </c>
    </row>
  </sheetData>
  <sheetProtection selectLockedCells="1"/>
  <mergeCells count="11">
    <mergeCell ref="D1:E1"/>
    <mergeCell ref="D4:E4"/>
    <mergeCell ref="H4:I4"/>
    <mergeCell ref="D5:E5"/>
    <mergeCell ref="H5:I5"/>
    <mergeCell ref="D8:E8"/>
    <mergeCell ref="H8:I8"/>
    <mergeCell ref="D6:E6"/>
    <mergeCell ref="H6:I6"/>
    <mergeCell ref="D7:E7"/>
    <mergeCell ref="H7:I7"/>
  </mergeCells>
  <conditionalFormatting sqref="M6">
    <cfRule type="cellIs" dxfId="1486" priority="3" stopIfTrue="1" operator="lessThanOrEqual">
      <formula>$L6</formula>
    </cfRule>
    <cfRule type="cellIs" dxfId="1485" priority="4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3EC0AF-A34A-43EC-9E65-6B056933CE17}">
          <x14:formula1>
            <xm:f>Assemblies!$E:$E</xm:f>
          </x14:formula1>
          <xm:sqref>C5</xm:sqref>
        </x14:dataValidation>
        <x14:dataValidation type="list" allowBlank="1" showInputMessage="1" showErrorMessage="1" xr:uid="{568C4036-26C9-48B0-B432-F101DB60058D}">
          <x14:formula1>
            <xm:f>Machined!$C:$C</xm:f>
          </x14:formula1>
          <xm:sqref>C6:C7</xm:sqref>
        </x14:dataValidation>
      </x14:dataValidations>
    </ext>
  </extLst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0EEE3-547D-49C3-814E-106A5D8195F2}">
  <sheetPr codeName="Sheet106">
    <tabColor theme="6" tint="0.59999389629810485"/>
  </sheetPr>
  <dimension ref="A1:Q20"/>
  <sheetViews>
    <sheetView zoomScale="115" zoomScaleNormal="115" workbookViewId="0">
      <selection activeCell="C24" sqref="C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'3.2'!C16</f>
        <v>PG10.4.2.4.0.A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'3.2'!D16</f>
        <v>Door 11</v>
      </c>
      <c r="D3" s="85" t="s">
        <v>50</v>
      </c>
      <c r="E3" s="86" t="str">
        <f ca="1">MID(CELL("filename",A1),FIND("]",CELL("filename",A1))+1,256)</f>
        <v>4.2.4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'1.4.1'!Q15</f>
        <v>0</v>
      </c>
      <c r="Q5" s="118">
        <f>B5*P5</f>
        <v>0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'1.4.2'!Q8</f>
        <v>0</v>
      </c>
      <c r="Q6" s="153">
        <f>B6*P6</f>
        <v>0</v>
      </c>
    </row>
    <row r="7" spans="1:17" s="1" customFormat="1" ht="12.75" customHeight="1" x14ac:dyDescent="0.2">
      <c r="A7" s="150" t="s">
        <v>58</v>
      </c>
      <c r="B7" s="1">
        <v>2</v>
      </c>
      <c r="C7" s="145" t="s">
        <v>401</v>
      </c>
      <c r="D7" s="314" t="str">
        <f ca="1">VLOOKUP(C7,Assemblies!E:P,2,0)</f>
        <v>Door Support Assem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'1.4.2'!Q9</f>
        <v>11.93</v>
      </c>
      <c r="Q7" s="153">
        <f>B7*P7</f>
        <v>23.86</v>
      </c>
    </row>
    <row r="8" spans="1:17" s="2" customFormat="1" ht="12.75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578</v>
      </c>
      <c r="D9" s="314" t="str">
        <f>VLOOKUP(C9,Machined!C:X,2,0)</f>
        <v>Clear PolyPanel Door 11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ca="1">B9*$L$2</f>
        <v>1</v>
      </c>
      <c r="P9" s="49">
        <f>VLOOKUP(C9,Machined!C:F,3,0)</f>
        <v>65</v>
      </c>
      <c r="Q9" s="50">
        <f>B9*P9</f>
        <v>65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 t="s">
        <v>149</v>
      </c>
      <c r="D11" s="325" t="str">
        <f>VLOOKUP(C11,Purchased!A:B,2,0)</f>
        <v>BRX GOTO QUICK CONNECTOR N10 0°</v>
      </c>
      <c r="E11" s="326"/>
      <c r="F11" s="108" t="str">
        <f>IF(VLOOKUP($C11,Purchased!A:Z,11,0) = 0, " ", VLOOKUP($C11,Purchased!A:Z,11,0))</f>
        <v>T-SLOTS</v>
      </c>
      <c r="G11" s="108" t="str">
        <f>IF(VLOOKUP($C11,Purchased!A:Z,12,0)=0, " ", VLOOKUP($C11,Purchased!A:Z,12,0))</f>
        <v>Process Tech</v>
      </c>
      <c r="H11" s="327" t="str">
        <f>IF(VLOOKUP($C11,Purchased!A:Z,13,0)=0, " ", VLOOKUP($C11,Purchased!A:Z,13,0))</f>
        <v>500 More on P.O. #55639 Part# 659730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45362</v>
      </c>
      <c r="M11" s="46">
        <f>IF(VLOOKUP(C11,Purchased!A:R,16,0)=0, " ",VLOOKUP(C11,Purchased!A:R,16,0))</f>
        <v>45378</v>
      </c>
      <c r="N11" s="130">
        <f>IF(VLOOKUP(C11,Purchased!A:R,17,0)=0, " ", VLOOKUP(C11,Purchased!A:R,17,0))</f>
        <v>45378</v>
      </c>
      <c r="O11" s="47">
        <f t="shared" ref="O11:O13" ca="1" si="0">B11*$L$2</f>
        <v>8</v>
      </c>
      <c r="P11" s="51">
        <f>VLOOKUP(C11,Purchased!A:D,3,FALSE)</f>
        <v>4.17</v>
      </c>
      <c r="Q11" s="52">
        <f t="shared" ref="Q11:Q12" si="1">B11*P11</f>
        <v>33.36</v>
      </c>
    </row>
    <row r="12" spans="1:17" s="2" customFormat="1" ht="12.75" customHeight="1" x14ac:dyDescent="0.25">
      <c r="A12" s="4">
        <v>302</v>
      </c>
      <c r="B12" s="2">
        <v>3</v>
      </c>
      <c r="C12" s="135" t="s">
        <v>341</v>
      </c>
      <c r="D12" s="325" t="str">
        <f>VLOOKUP(C12,Purchased!A:B,2,0)</f>
        <v>BRX GOTO HINGE AL 45/45, 2PK</v>
      </c>
      <c r="E12" s="326"/>
      <c r="F12" s="108" t="str">
        <f>IF(VLOOKUP($C12,Purchased!A:Z,11,0) = 0, " ", VLOOKUP($C12,Purchased!A:Z,11,0))</f>
        <v>BRX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Nuline has 40X Quantity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45532</v>
      </c>
      <c r="M12" s="46">
        <f>IF(VLOOKUP(C12,Purchased!A:R,16,0)=0, " ",VLOOKUP(C12,Purchased!A:R,16,0))</f>
        <v>45561</v>
      </c>
      <c r="N12" s="130" t="str">
        <f>IF(VLOOKUP(C12,Purchased!A:R,17,0)=0, " ", VLOOKUP(C12,Purchased!A:R,17,0))</f>
        <v xml:space="preserve"> </v>
      </c>
      <c r="O12" s="47">
        <f t="shared" ca="1" si="0"/>
        <v>3</v>
      </c>
      <c r="P12" s="51">
        <f>VLOOKUP(C12,Purchased!A:D,3,FALSE)</f>
        <v>22.16</v>
      </c>
      <c r="Q12" s="52">
        <f t="shared" si="1"/>
        <v>66.48</v>
      </c>
    </row>
    <row r="13" spans="1:17" s="2" customFormat="1" ht="12.75" customHeight="1" x14ac:dyDescent="0.25">
      <c r="A13" s="4">
        <v>303</v>
      </c>
      <c r="B13" s="2">
        <v>5800</v>
      </c>
      <c r="C13" s="135">
        <v>3842146906</v>
      </c>
      <c r="D13" s="325" t="str">
        <f>VLOOKUP(C13,Purchased!A:B,2,0)</f>
        <v>SLOT PROFILE SCHWARZ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P/N changed to 3842555270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t="shared" ca="1" si="0"/>
        <v>5800</v>
      </c>
      <c r="P13" s="51">
        <f>VLOOKUP(C13,Purchased!A:D,3,FALSE)</f>
        <v>5</v>
      </c>
      <c r="Q13" s="52">
        <f>(B13/2000)*P13</f>
        <v>14.5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501</v>
      </c>
      <c r="B15" s="2">
        <v>24</v>
      </c>
      <c r="C15" s="122" t="s">
        <v>277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24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701</v>
      </c>
      <c r="B17" s="2">
        <v>2</v>
      </c>
      <c r="C17" s="123" t="s">
        <v>579</v>
      </c>
      <c r="D17" s="325" t="str">
        <f>VLOOKUP(C17,Extrusion!B:C,2,0)</f>
        <v>APPROVED EL 9/3</v>
      </c>
      <c r="E17" s="326"/>
      <c r="F17" s="108" t="str">
        <f ca="1">VLOOKUP(C17,Extrusion!B:N,5,0)</f>
        <v>YES</v>
      </c>
      <c r="G17" s="108">
        <f>VLOOKUP(C17,Extrusion!B:N,6,0)</f>
        <v>1</v>
      </c>
      <c r="H17" s="108">
        <f>VLOOKUP(C17,Extrusion!B:N,7,0)</f>
        <v>0</v>
      </c>
      <c r="I17" s="109"/>
      <c r="J17" s="46" t="str">
        <f>VLOOKUP(C17,Extrusion!B:N,8,0)</f>
        <v>T-Slots</v>
      </c>
      <c r="K17" s="46">
        <f>VLOOKUP(C17,Extrusion!B:N,9,0)</f>
        <v>0</v>
      </c>
      <c r="L17" s="46">
        <f>VLOOKUP(C17,Extrusion!B:N,10,0)</f>
        <v>0</v>
      </c>
      <c r="M17" s="46">
        <f>VLOOKUP(C17,Extrusion!B:N,11,0)</f>
        <v>0</v>
      </c>
      <c r="N17" s="47">
        <f>VLOOKUP(C17,Extrusion!B:O,12,0)</f>
        <v>0</v>
      </c>
      <c r="O17" s="47">
        <f ca="1">B17*$L$2</f>
        <v>2</v>
      </c>
      <c r="P17" s="51">
        <f>VLOOKUP(C17,Extrusion!B:G,4,0)</f>
        <v>0</v>
      </c>
      <c r="Q17" s="52">
        <f>B17*P17</f>
        <v>0</v>
      </c>
    </row>
    <row r="18" spans="1:17" s="2" customFormat="1" ht="12.75" customHeight="1" thickBot="1" x14ac:dyDescent="0.3">
      <c r="A18" s="4">
        <v>702</v>
      </c>
      <c r="B18" s="2">
        <v>2</v>
      </c>
      <c r="C18" s="123" t="s">
        <v>406</v>
      </c>
      <c r="D18" s="325" t="str">
        <f>VLOOKUP(C18,Extrusion!B:C,2,0)</f>
        <v>APPROVED EL 9/3</v>
      </c>
      <c r="E18" s="326"/>
      <c r="F18" s="108" t="str">
        <f ca="1">VLOOKUP(C18,Extrusion!B:N,5,0)</f>
        <v>YES</v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ca="1">B18*$L$2</f>
        <v>2</v>
      </c>
      <c r="P18" s="51">
        <f>VLOOKUP(C18,Extrusion!B:G,4,0)</f>
        <v>0</v>
      </c>
      <c r="Q18" s="52">
        <f>B18*P18</f>
        <v>0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SUM(Q7:Q18)</f>
        <v>203.2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</sheetData>
  <mergeCells count="29">
    <mergeCell ref="D6:E6"/>
    <mergeCell ref="H6:I6"/>
    <mergeCell ref="D1:E1"/>
    <mergeCell ref="D4:E4"/>
    <mergeCell ref="H4:I4"/>
    <mergeCell ref="D5:E5"/>
    <mergeCell ref="H5:I5"/>
    <mergeCell ref="D19:E19"/>
    <mergeCell ref="H19:I19"/>
    <mergeCell ref="D16:E16"/>
    <mergeCell ref="H16:I16"/>
    <mergeCell ref="D11:E11"/>
    <mergeCell ref="H11:I11"/>
    <mergeCell ref="D12:E12"/>
    <mergeCell ref="H12:I12"/>
    <mergeCell ref="D13:E13"/>
    <mergeCell ref="H13:I13"/>
    <mergeCell ref="D14:E14"/>
    <mergeCell ref="H14:I14"/>
    <mergeCell ref="D17:E17"/>
    <mergeCell ref="D18:E18"/>
    <mergeCell ref="D10:E10"/>
    <mergeCell ref="H10:I10"/>
    <mergeCell ref="D7:E7"/>
    <mergeCell ref="H7:I7"/>
    <mergeCell ref="D8:E8"/>
    <mergeCell ref="H8:I8"/>
    <mergeCell ref="D9:E9"/>
    <mergeCell ref="H9:I9"/>
  </mergeCells>
  <conditionalFormatting sqref="M8 M10 M14:M18">
    <cfRule type="cellIs" dxfId="1484" priority="9" stopIfTrue="1" operator="lessThanOrEqual">
      <formula>$L8</formula>
    </cfRule>
    <cfRule type="cellIs" dxfId="1483" priority="10" operator="greaterThan">
      <formula>L8</formula>
    </cfRule>
  </conditionalFormatting>
  <conditionalFormatting sqref="M11:M13">
    <cfRule type="cellIs" dxfId="1482" priority="1" stopIfTrue="1" operator="lessThanOrEqual">
      <formula>$L11</formula>
    </cfRule>
    <cfRule type="cellIs" dxfId="1481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2F6FDA4B-C1F9-4C6E-AEF5-EED9851E210D}">
          <x14:formula1>
            <xm:f>Extrusion!$B:$B</xm:f>
          </x14:formula1>
          <xm:sqref>C17:C18</xm:sqref>
        </x14:dataValidation>
        <x14:dataValidation type="list" allowBlank="1" showInputMessage="1" showErrorMessage="1" xr:uid="{56F5B02E-D536-4373-95BC-00B418873EB4}">
          <x14:formula1>
            <xm:f>Bolts!$A:$A</xm:f>
          </x14:formula1>
          <xm:sqref>C15</xm:sqref>
        </x14:dataValidation>
        <x14:dataValidation type="list" allowBlank="1" showInputMessage="1" showErrorMessage="1" xr:uid="{8F12679C-0AA1-4854-A621-99950DF96DC5}">
          <x14:formula1>
            <xm:f>Assemblies!$E:$E</xm:f>
          </x14:formula1>
          <xm:sqref>C5:C7</xm:sqref>
        </x14:dataValidation>
        <x14:dataValidation type="list" allowBlank="1" showInputMessage="1" showErrorMessage="1" xr:uid="{19EE447B-DDC5-40AA-BA3C-C39FE6D64D1F}">
          <x14:formula1>
            <xm:f>Machined!$C:$C</xm:f>
          </x14:formula1>
          <xm:sqref>C9</xm:sqref>
        </x14:dataValidation>
        <x14:dataValidation type="list" allowBlank="1" showInputMessage="1" showErrorMessage="1" xr:uid="{D9C70092-9260-41E2-A85F-CF1A3FF7D70D}">
          <x14:formula1>
            <xm:f>Purchased!$A:$A</xm:f>
          </x14:formula1>
          <xm:sqref>C11:C13</xm:sqref>
        </x14:dataValidation>
      </x14:dataValidations>
    </ext>
  </extLst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CB21-D6F4-4392-A5AD-4F86443403AE}">
  <sheetPr codeName="Sheet107">
    <tabColor theme="6" tint="0.59999389629810485"/>
  </sheetPr>
  <dimension ref="A1:Q20"/>
  <sheetViews>
    <sheetView zoomScale="115" zoomScaleNormal="115" workbookViewId="0">
      <selection activeCell="C21" sqref="C2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'3.2'!C17</f>
        <v>PG10.4.2.5.0.A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'3.2'!D17</f>
        <v>Door 12</v>
      </c>
      <c r="D3" s="85" t="s">
        <v>50</v>
      </c>
      <c r="E3" s="86" t="str">
        <f ca="1">MID(CELL("filename",A1),FIND("]",CELL("filename",A1))+1,256)</f>
        <v>4.2.5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'1.4.1'!Q15</f>
        <v>0</v>
      </c>
      <c r="Q5" s="118">
        <f>B5*P5</f>
        <v>0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'1.4.2'!Q8</f>
        <v>0</v>
      </c>
      <c r="Q6" s="153">
        <f>B6*P6</f>
        <v>0</v>
      </c>
    </row>
    <row r="7" spans="1:17" s="1" customFormat="1" ht="12.75" customHeight="1" x14ac:dyDescent="0.2">
      <c r="A7" s="150" t="s">
        <v>58</v>
      </c>
      <c r="B7" s="1">
        <v>2</v>
      </c>
      <c r="C7" s="145" t="s">
        <v>401</v>
      </c>
      <c r="D7" s="314" t="str">
        <f ca="1">VLOOKUP(C7,Assemblies!E:P,2,0)</f>
        <v>Door Support Assem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'1.4.2'!Q9</f>
        <v>11.93</v>
      </c>
      <c r="Q7" s="153">
        <f>B7*P7</f>
        <v>23.86</v>
      </c>
    </row>
    <row r="8" spans="1:17" s="2" customFormat="1" ht="12.75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580</v>
      </c>
      <c r="D9" s="314" t="str">
        <f>VLOOKUP(C9,Machined!C:X,2,0)</f>
        <v>Clear PolyPanel Door 12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ca="1">B9*$L$2</f>
        <v>1</v>
      </c>
      <c r="P9" s="49">
        <f>VLOOKUP(C9,Machined!C:F,3,0)</f>
        <v>65</v>
      </c>
      <c r="Q9" s="50">
        <f>B9*P9</f>
        <v>65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 t="s">
        <v>149</v>
      </c>
      <c r="D11" s="325" t="str">
        <f>VLOOKUP(C11,Purchased!A:B,2,0)</f>
        <v>BRX GOTO QUICK CONNECTOR N10 0°</v>
      </c>
      <c r="E11" s="326"/>
      <c r="F11" s="108" t="str">
        <f>IF(VLOOKUP($C11,Purchased!A:Z,11,0) = 0, " ", VLOOKUP($C11,Purchased!A:Z,11,0))</f>
        <v>T-SLOTS</v>
      </c>
      <c r="G11" s="108" t="str">
        <f>IF(VLOOKUP($C11,Purchased!A:Z,12,0)=0, " ", VLOOKUP($C11,Purchased!A:Z,12,0))</f>
        <v>Process Tech</v>
      </c>
      <c r="H11" s="327" t="str">
        <f>IF(VLOOKUP($C11,Purchased!A:Z,13,0)=0, " ", VLOOKUP($C11,Purchased!A:Z,13,0))</f>
        <v>500 More on P.O. #55639 Part# 659730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45362</v>
      </c>
      <c r="M11" s="46">
        <f>IF(VLOOKUP(C11,Purchased!A:R,16,0)=0, " ",VLOOKUP(C11,Purchased!A:R,16,0))</f>
        <v>45378</v>
      </c>
      <c r="N11" s="130">
        <f>IF(VLOOKUP(C11,Purchased!A:R,17,0)=0, " ", VLOOKUP(C11,Purchased!A:R,17,0))</f>
        <v>45378</v>
      </c>
      <c r="O11" s="47">
        <f t="shared" ref="O11:O13" ca="1" si="0">B11*$L$2</f>
        <v>8</v>
      </c>
      <c r="P11" s="51">
        <f>VLOOKUP(C11,Purchased!A:D,3,FALSE)</f>
        <v>4.17</v>
      </c>
      <c r="Q11" s="52">
        <f t="shared" ref="Q11:Q12" si="1">B11*P11</f>
        <v>33.36</v>
      </c>
    </row>
    <row r="12" spans="1:17" s="2" customFormat="1" ht="12.75" customHeight="1" x14ac:dyDescent="0.25">
      <c r="A12" s="4">
        <v>302</v>
      </c>
      <c r="B12" s="2">
        <v>3</v>
      </c>
      <c r="C12" s="135" t="s">
        <v>341</v>
      </c>
      <c r="D12" s="325" t="str">
        <f>VLOOKUP(C12,Purchased!A:B,2,0)</f>
        <v>BRX GOTO HINGE AL 45/45, 2PK</v>
      </c>
      <c r="E12" s="326"/>
      <c r="F12" s="108" t="str">
        <f>IF(VLOOKUP($C12,Purchased!A:Z,11,0) = 0, " ", VLOOKUP($C12,Purchased!A:Z,11,0))</f>
        <v>BRX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Nuline has 40X Quantity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45532</v>
      </c>
      <c r="M12" s="46">
        <f>IF(VLOOKUP(C12,Purchased!A:R,16,0)=0, " ",VLOOKUP(C12,Purchased!A:R,16,0))</f>
        <v>45561</v>
      </c>
      <c r="N12" s="130" t="str">
        <f>IF(VLOOKUP(C12,Purchased!A:R,17,0)=0, " ", VLOOKUP(C12,Purchased!A:R,17,0))</f>
        <v xml:space="preserve"> </v>
      </c>
      <c r="O12" s="47">
        <f t="shared" ca="1" si="0"/>
        <v>3</v>
      </c>
      <c r="P12" s="51">
        <f>VLOOKUP(C12,Purchased!A:D,3,FALSE)</f>
        <v>22.16</v>
      </c>
      <c r="Q12" s="52">
        <f t="shared" si="1"/>
        <v>66.48</v>
      </c>
    </row>
    <row r="13" spans="1:17" s="2" customFormat="1" ht="12.75" customHeight="1" x14ac:dyDescent="0.25">
      <c r="A13" s="4">
        <v>303</v>
      </c>
      <c r="B13" s="2">
        <v>5800</v>
      </c>
      <c r="C13" s="135">
        <v>3842146906</v>
      </c>
      <c r="D13" s="325" t="str">
        <f>VLOOKUP(C13,Purchased!A:B,2,0)</f>
        <v>SLOT PROFILE SCHWARZ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P/N changed to 3842555270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t="shared" ca="1" si="0"/>
        <v>5800</v>
      </c>
      <c r="P13" s="51">
        <f>VLOOKUP(C13,Purchased!A:D,3,FALSE)</f>
        <v>5</v>
      </c>
      <c r="Q13" s="52">
        <f>(B13/2000)*P13</f>
        <v>14.5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501</v>
      </c>
      <c r="B15" s="2">
        <v>24</v>
      </c>
      <c r="C15" s="122" t="s">
        <v>277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24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701</v>
      </c>
      <c r="B17" s="2">
        <v>2</v>
      </c>
      <c r="C17" s="123" t="s">
        <v>579</v>
      </c>
      <c r="D17" s="325" t="str">
        <f>VLOOKUP(C17,Extrusion!B:C,2,0)</f>
        <v>APPROVED EL 9/3</v>
      </c>
      <c r="E17" s="326"/>
      <c r="F17" s="108" t="str">
        <f ca="1">VLOOKUP(C17,Extrusion!B:N,5,0)</f>
        <v>YES</v>
      </c>
      <c r="G17" s="108">
        <f>VLOOKUP(C17,Extrusion!B:N,6,0)</f>
        <v>1</v>
      </c>
      <c r="H17" s="108">
        <f>VLOOKUP(C17,Extrusion!B:N,7,0)</f>
        <v>0</v>
      </c>
      <c r="I17" s="109"/>
      <c r="J17" s="46" t="str">
        <f>VLOOKUP(C17,Extrusion!B:N,8,0)</f>
        <v>T-Slots</v>
      </c>
      <c r="K17" s="46">
        <f>VLOOKUP(C17,Extrusion!B:N,9,0)</f>
        <v>0</v>
      </c>
      <c r="L17" s="46">
        <f>VLOOKUP(C17,Extrusion!B:N,10,0)</f>
        <v>0</v>
      </c>
      <c r="M17" s="46">
        <f>VLOOKUP(C17,Extrusion!B:N,11,0)</f>
        <v>0</v>
      </c>
      <c r="N17" s="47">
        <f>VLOOKUP(C17,Extrusion!B:O,12,0)</f>
        <v>0</v>
      </c>
      <c r="O17" s="47">
        <f ca="1">B17*$L$2</f>
        <v>2</v>
      </c>
      <c r="P17" s="51">
        <f>VLOOKUP(C17,Extrusion!B:G,4,0)</f>
        <v>0</v>
      </c>
      <c r="Q17" s="52">
        <f>B17*P17</f>
        <v>0</v>
      </c>
    </row>
    <row r="18" spans="1:17" s="2" customFormat="1" ht="12.75" customHeight="1" thickBot="1" x14ac:dyDescent="0.3">
      <c r="A18" s="4">
        <v>702</v>
      </c>
      <c r="B18" s="2">
        <v>2</v>
      </c>
      <c r="C18" s="123" t="s">
        <v>414</v>
      </c>
      <c r="D18" s="325" t="str">
        <f>VLOOKUP(C18,Extrusion!B:C,2,0)</f>
        <v>APPROVED EL 9/3</v>
      </c>
      <c r="E18" s="326"/>
      <c r="F18" s="108" t="str">
        <f ca="1">VLOOKUP(C18,Extrusion!B:N,5,0)</f>
        <v>YES</v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ca="1">B18*$L$2</f>
        <v>2</v>
      </c>
      <c r="P18" s="51">
        <f>VLOOKUP(C18,Extrusion!B:G,4,0)</f>
        <v>0</v>
      </c>
      <c r="Q18" s="52">
        <f>B18*P18</f>
        <v>0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SUM(Q7:Q18)</f>
        <v>203.2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</sheetData>
  <mergeCells count="29">
    <mergeCell ref="D6:E6"/>
    <mergeCell ref="H6:I6"/>
    <mergeCell ref="D1:E1"/>
    <mergeCell ref="D4:E4"/>
    <mergeCell ref="H4:I4"/>
    <mergeCell ref="D5:E5"/>
    <mergeCell ref="H5:I5"/>
    <mergeCell ref="D19:E19"/>
    <mergeCell ref="H19:I19"/>
    <mergeCell ref="D16:E16"/>
    <mergeCell ref="H16:I16"/>
    <mergeCell ref="D11:E11"/>
    <mergeCell ref="H11:I11"/>
    <mergeCell ref="D12:E12"/>
    <mergeCell ref="H12:I12"/>
    <mergeCell ref="D13:E13"/>
    <mergeCell ref="H13:I13"/>
    <mergeCell ref="D14:E14"/>
    <mergeCell ref="H14:I14"/>
    <mergeCell ref="D17:E17"/>
    <mergeCell ref="D18:E18"/>
    <mergeCell ref="D10:E10"/>
    <mergeCell ref="H10:I10"/>
    <mergeCell ref="D7:E7"/>
    <mergeCell ref="H7:I7"/>
    <mergeCell ref="D8:E8"/>
    <mergeCell ref="H8:I8"/>
    <mergeCell ref="D9:E9"/>
    <mergeCell ref="H9:I9"/>
  </mergeCells>
  <conditionalFormatting sqref="M8 M10 M14:M18">
    <cfRule type="cellIs" dxfId="1480" priority="9" stopIfTrue="1" operator="lessThanOrEqual">
      <formula>$L8</formula>
    </cfRule>
    <cfRule type="cellIs" dxfId="1479" priority="10" operator="greaterThan">
      <formula>L8</formula>
    </cfRule>
  </conditionalFormatting>
  <conditionalFormatting sqref="M11">
    <cfRule type="cellIs" dxfId="1478" priority="5" stopIfTrue="1" operator="lessThanOrEqual">
      <formula>$L11</formula>
    </cfRule>
    <cfRule type="cellIs" dxfId="1477" priority="6" operator="greaterThan">
      <formula>L11</formula>
    </cfRule>
  </conditionalFormatting>
  <conditionalFormatting sqref="M12">
    <cfRule type="cellIs" dxfId="1476" priority="3" stopIfTrue="1" operator="lessThanOrEqual">
      <formula>$L12</formula>
    </cfRule>
    <cfRule type="cellIs" dxfId="1475" priority="4" operator="greaterThan">
      <formula>L12</formula>
    </cfRule>
  </conditionalFormatting>
  <conditionalFormatting sqref="M13">
    <cfRule type="cellIs" dxfId="1474" priority="1" stopIfTrue="1" operator="lessThanOrEqual">
      <formula>$L13</formula>
    </cfRule>
    <cfRule type="cellIs" dxfId="1473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51510C6-E718-4DFC-8EA7-4DB20F422AB9}">
          <x14:formula1>
            <xm:f>Extrusion!$B:$B</xm:f>
          </x14:formula1>
          <xm:sqref>C17:C18</xm:sqref>
        </x14:dataValidation>
        <x14:dataValidation type="list" allowBlank="1" showInputMessage="1" showErrorMessage="1" xr:uid="{3CE4B5EE-5039-4441-9946-BE34F2E8C3A5}">
          <x14:formula1>
            <xm:f>Bolts!$A:$A</xm:f>
          </x14:formula1>
          <xm:sqref>C15</xm:sqref>
        </x14:dataValidation>
        <x14:dataValidation type="list" allowBlank="1" showInputMessage="1" showErrorMessage="1" xr:uid="{30726864-9FF1-4DA8-8EA0-AC16E72F7ADD}">
          <x14:formula1>
            <xm:f>Assemblies!$E:$E</xm:f>
          </x14:formula1>
          <xm:sqref>C5:C7</xm:sqref>
        </x14:dataValidation>
        <x14:dataValidation type="list" allowBlank="1" showInputMessage="1" showErrorMessage="1" xr:uid="{24921199-E3E1-4B75-9B7B-D608D26ECC94}">
          <x14:formula1>
            <xm:f>Machined!$C:$C</xm:f>
          </x14:formula1>
          <xm:sqref>C9</xm:sqref>
        </x14:dataValidation>
        <x14:dataValidation type="list" allowBlank="1" showInputMessage="1" showErrorMessage="1" xr:uid="{745DDDCA-A272-45A7-9E1A-A5E84C7A066E}">
          <x14:formula1>
            <xm:f>Purchased!$A:$A</xm:f>
          </x14:formula1>
          <xm:sqref>C11:C13</xm:sqref>
        </x14:dataValidation>
      </x14:dataValidations>
    </ext>
  </extLst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4E8D-FCF0-40C3-A9DE-3BF7006CE5DF}">
  <sheetPr codeName="Sheet108">
    <tabColor theme="6" tint="0.59999389629810485"/>
  </sheetPr>
  <dimension ref="A1:Q23"/>
  <sheetViews>
    <sheetView zoomScale="115" zoomScaleNormal="115" workbookViewId="0">
      <selection activeCell="C26" sqref="C2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'4.2'!C12</f>
        <v>PG10.4.2.6.0.A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'4.2'!D12</f>
        <v>Door 13</v>
      </c>
      <c r="D3" s="85" t="s">
        <v>50</v>
      </c>
      <c r="E3" s="86" t="str">
        <f ca="1">MID(CELL("filename",A1),FIND("]",CELL("filename",A1))+1,256)</f>
        <v>4.2.6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'1.4.1'!Q15</f>
        <v>0</v>
      </c>
      <c r="Q5" s="118">
        <f>B5*P5</f>
        <v>0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'1.4.2'!Q8</f>
        <v>0</v>
      </c>
      <c r="Q6" s="153">
        <f>B6*P6</f>
        <v>0</v>
      </c>
    </row>
    <row r="7" spans="1:17" s="1" customFormat="1" ht="12" customHeight="1" x14ac:dyDescent="0.2">
      <c r="A7" s="150" t="s">
        <v>58</v>
      </c>
      <c r="B7" s="1">
        <v>2</v>
      </c>
      <c r="C7" s="145" t="s">
        <v>400</v>
      </c>
      <c r="D7" s="314" t="str">
        <f ca="1">VLOOKUP(C7,Assemblies!E:P,2,0)</f>
        <v>Guard Pivot Assy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'2.2.1.1'!Q13</f>
        <v>37.954999999999998</v>
      </c>
      <c r="Q7" s="153">
        <f>B7*P7</f>
        <v>75.91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401</v>
      </c>
      <c r="D8" s="314" t="str">
        <f ca="1">VLOOKUP(C8,Assemblies!E:P,2,0)</f>
        <v>Door Support Assem</v>
      </c>
      <c r="E8" s="347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2</v>
      </c>
      <c r="P8" s="147">
        <f>'1.4.2'!Q9</f>
        <v>11.93</v>
      </c>
      <c r="Q8" s="153">
        <f>B8*P8</f>
        <v>23.86</v>
      </c>
    </row>
    <row r="9" spans="1:17" s="2" customFormat="1" ht="12.75" customHeight="1" x14ac:dyDescent="0.2">
      <c r="A9" s="25"/>
      <c r="B9" s="26"/>
      <c r="C9" s="26"/>
      <c r="D9" s="332"/>
      <c r="E9" s="346"/>
      <c r="F9" s="26"/>
      <c r="G9" s="26"/>
      <c r="H9" s="322"/>
      <c r="I9" s="322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581</v>
      </c>
      <c r="D10" s="314" t="str">
        <f>VLOOKUP(C10,Machined!C:X,2,0)</f>
        <v>Clear PolyPanel Long Door 13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ca="1">B10*$L$2</f>
        <v>1</v>
      </c>
      <c r="P10" s="49">
        <f>VLOOKUP(C10,Machined!C:F,3,0)</f>
        <v>80</v>
      </c>
      <c r="Q10" s="50">
        <f>B10*P10</f>
        <v>80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582</v>
      </c>
      <c r="D11" s="314" t="str">
        <f>VLOOKUP(C11,Machined!C:X,2,0)</f>
        <v>Clear PolyPanel Short Door 13</v>
      </c>
      <c r="E11" s="329"/>
      <c r="F11" s="107" t="str">
        <f>VLOOKUP($C11,Machined!C:Z,13,0)</f>
        <v>POLYCARBONITE-CLEAR</v>
      </c>
      <c r="G11" s="44" t="str">
        <f>IF(VLOOKUP($C11,Machined!C:Z,16,0) = 0, " ", VLOOKUP($C11,Machined!C:Z,16,0))</f>
        <v>Port Plastics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POLYCARBONITE-CLEAR</v>
      </c>
      <c r="J11" s="44" t="str">
        <f>IF(VLOOKUP($C11,Machined!C:Z,18,0) = 0, " ", VLOOKUP($C11,Machined!C:Z,18,0))</f>
        <v>(TJ) 8/8/2024</v>
      </c>
      <c r="K11" s="44">
        <f>IF(VLOOKUP($C11,Machined!C:Z,19,0) = 0, " ", VLOOKUP($C11,Machined!C:Z,19,0))</f>
        <v>45530</v>
      </c>
      <c r="L11" s="44">
        <f>IF(VLOOKUP($C11,Machined!C:Z,20,0) = 0, " ", VLOOKUP($C11,Machined!C:Z,20,0))</f>
        <v>45561</v>
      </c>
      <c r="M11" s="44" t="str">
        <f>IF(VLOOKUP($C11,Machined!C:Z,21,0) = 0, " ", VLOOKUP($C11,Machined!C:Z,21,0))</f>
        <v xml:space="preserve"> </v>
      </c>
      <c r="N11" s="129">
        <f>IF(VLOOKUP($C11,Machined!C:Z,22,0) = 0, " ", VLOOKUP($C11,Machined!C:Z,22,0))</f>
        <v>55708</v>
      </c>
      <c r="O11" s="45">
        <f ca="1">B11*$L$2</f>
        <v>1</v>
      </c>
      <c r="P11" s="49">
        <f>VLOOKUP(C11,Machined!C:F,3,0)</f>
        <v>80</v>
      </c>
      <c r="Q11" s="50">
        <f>B11*P11</f>
        <v>80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301</v>
      </c>
      <c r="B13" s="2">
        <v>8</v>
      </c>
      <c r="C13" s="135" t="s">
        <v>149</v>
      </c>
      <c r="D13" s="325" t="str">
        <f>VLOOKUP(C13,Purchased!A:B,2,0)</f>
        <v>BRX GOTO QUICK CONNECTOR N10 0°</v>
      </c>
      <c r="E13" s="326"/>
      <c r="F13" s="108" t="str">
        <f>IF(VLOOKUP($C13,Purchased!A:Z,11,0) = 0, " ", VLOOKUP($C13,Purchased!A:Z,11,0))</f>
        <v>T-SLOTS</v>
      </c>
      <c r="G13" s="108" t="str">
        <f>IF(VLOOKUP($C13,Purchased!A:Z,12,0)=0, " ", VLOOKUP($C13,Purchased!A:Z,12,0))</f>
        <v>Process Tech</v>
      </c>
      <c r="H13" s="327" t="str">
        <f>IF(VLOOKUP($C13,Purchased!A:Z,13,0)=0, " ", VLOOKUP($C13,Purchased!A:Z,13,0))</f>
        <v>500 More on P.O. #55639 Part# 659730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45362</v>
      </c>
      <c r="M13" s="46">
        <f>IF(VLOOKUP(C13,Purchased!A:R,16,0)=0, " ",VLOOKUP(C13,Purchased!A:R,16,0))</f>
        <v>45378</v>
      </c>
      <c r="N13" s="130">
        <f>IF(VLOOKUP(C13,Purchased!A:R,17,0)=0, " ", VLOOKUP(C13,Purchased!A:R,17,0))</f>
        <v>45378</v>
      </c>
      <c r="O13" s="47">
        <f t="shared" ref="O13:O15" ca="1" si="0">B13*$L$2</f>
        <v>8</v>
      </c>
      <c r="P13" s="51">
        <f>VLOOKUP(C13,Purchased!A:D,3,FALSE)</f>
        <v>4.17</v>
      </c>
      <c r="Q13" s="52">
        <f t="shared" ref="Q13:Q14" si="1">B13*P13</f>
        <v>33.36</v>
      </c>
    </row>
    <row r="14" spans="1:17" s="2" customFormat="1" ht="12.75" customHeight="1" x14ac:dyDescent="0.25">
      <c r="A14" s="4">
        <v>302</v>
      </c>
      <c r="B14" s="2">
        <v>6</v>
      </c>
      <c r="C14" s="135" t="s">
        <v>341</v>
      </c>
      <c r="D14" s="325" t="str">
        <f>VLOOKUP(C14,Purchased!A:B,2,0)</f>
        <v>BRX GOTO HINGE AL 45/45, 2PK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Nuline has 40X Quantity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t="shared" ca="1" si="0"/>
        <v>6</v>
      </c>
      <c r="P14" s="51">
        <f>VLOOKUP(C14,Purchased!A:D,3,FALSE)</f>
        <v>22.16</v>
      </c>
      <c r="Q14" s="52">
        <f t="shared" si="1"/>
        <v>132.96</v>
      </c>
    </row>
    <row r="15" spans="1:17" s="2" customFormat="1" ht="12.75" customHeight="1" x14ac:dyDescent="0.25">
      <c r="A15" s="4">
        <v>303</v>
      </c>
      <c r="B15" s="2">
        <v>5800</v>
      </c>
      <c r="C15" s="135">
        <v>3842146906</v>
      </c>
      <c r="D15" s="325" t="str">
        <f>VLOOKUP(C15,Purchased!A:B,2,0)</f>
        <v>SLOT PROFILE SCHWARZ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P/N changed to 3842555270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45532</v>
      </c>
      <c r="M15" s="46">
        <f>IF(VLOOKUP(C15,Purchased!A:R,16,0)=0, " ",VLOOKUP(C15,Purchased!A:R,16,0))</f>
        <v>45561</v>
      </c>
      <c r="N15" s="130" t="str">
        <f>IF(VLOOKUP(C15,Purchased!A:R,17,0)=0, " ", VLOOKUP(C15,Purchased!A:R,17,0))</f>
        <v xml:space="preserve"> </v>
      </c>
      <c r="O15" s="47">
        <f t="shared" ca="1" si="0"/>
        <v>5800</v>
      </c>
      <c r="P15" s="51">
        <f>VLOOKUP(C15,Purchased!A:D,3,FALSE)</f>
        <v>5</v>
      </c>
      <c r="Q15" s="52">
        <f>B15/2000*P15</f>
        <v>14.5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24</v>
      </c>
      <c r="C17" s="122" t="s">
        <v>277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24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701</v>
      </c>
      <c r="B19" s="2">
        <v>2</v>
      </c>
      <c r="C19" s="123" t="s">
        <v>583</v>
      </c>
      <c r="D19" s="325" t="str">
        <f>VLOOKUP(C19,Extrusion!B:C,2,0)</f>
        <v>APPROVED EL 9/3</v>
      </c>
      <c r="E19" s="326"/>
      <c r="F19" s="108" t="str">
        <f ca="1">VLOOKUP(C19,Extrusion!B:N,5,0)</f>
        <v>YES</v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ca="1">B19*$L$2</f>
        <v>2</v>
      </c>
      <c r="P19" s="51">
        <f>VLOOKUP(C19,Extrusion!B:G,4,0)</f>
        <v>0</v>
      </c>
      <c r="Q19" s="52">
        <f>B19*P19</f>
        <v>0</v>
      </c>
    </row>
    <row r="20" spans="1:17" s="2" customFormat="1" ht="12.75" customHeight="1" x14ac:dyDescent="0.25">
      <c r="A20" s="4">
        <v>702</v>
      </c>
      <c r="B20" s="2">
        <v>2</v>
      </c>
      <c r="C20" s="123" t="s">
        <v>584</v>
      </c>
      <c r="D20" s="325" t="str">
        <f>VLOOKUP(C20,Extrusion!B:C,2,0)</f>
        <v>APPROVED EL 9/3</v>
      </c>
      <c r="E20" s="326"/>
      <c r="F20" s="108" t="str">
        <f ca="1">VLOOKUP(C20,Extrusion!B:N,5,0)</f>
        <v>YES</v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ca="1">B20*$L$2</f>
        <v>2</v>
      </c>
      <c r="P20" s="51">
        <f>VLOOKUP(C20,Extrusion!B:G,4,0)</f>
        <v>0</v>
      </c>
      <c r="Q20" s="52">
        <f>B20*P20</f>
        <v>0</v>
      </c>
    </row>
    <row r="21" spans="1:17" s="2" customFormat="1" ht="12.75" customHeight="1" thickBot="1" x14ac:dyDescent="0.3">
      <c r="A21" s="4">
        <v>703</v>
      </c>
      <c r="B21" s="2">
        <v>4</v>
      </c>
      <c r="C21" s="123" t="s">
        <v>406</v>
      </c>
      <c r="D21" s="325" t="str">
        <f>VLOOKUP(C21,Extrusion!B:C,2,0)</f>
        <v>APPROVED EL 9/3</v>
      </c>
      <c r="E21" s="326"/>
      <c r="F21" s="108" t="str">
        <f ca="1">VLOOKUP(C21,Extrusion!B:N,5,0)</f>
        <v>YES</v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4</v>
      </c>
      <c r="P21" s="51">
        <f>VLOOKUP(C21,Extrusion!B:G,4,0)</f>
        <v>0</v>
      </c>
      <c r="Q21" s="52">
        <f>B21*P21</f>
        <v>0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SUM(Q8:Q21)</f>
        <v>364.68000000000006</v>
      </c>
    </row>
    <row r="23" spans="1:17" s="2" customFormat="1" ht="12" customHeight="1" x14ac:dyDescent="0.2">
      <c r="D23" s="21"/>
      <c r="E23" s="21"/>
      <c r="J23" s="8"/>
      <c r="K23" s="8"/>
      <c r="L23" s="8"/>
      <c r="M23" s="8"/>
      <c r="N23" s="131"/>
      <c r="O23" s="5"/>
      <c r="P23" s="98"/>
      <c r="Q23" s="105"/>
    </row>
  </sheetData>
  <mergeCells count="34">
    <mergeCell ref="D6:E6"/>
    <mergeCell ref="H6:I6"/>
    <mergeCell ref="D1:E1"/>
    <mergeCell ref="D4:E4"/>
    <mergeCell ref="H4:I4"/>
    <mergeCell ref="D5:E5"/>
    <mergeCell ref="H5:I5"/>
    <mergeCell ref="D22:E22"/>
    <mergeCell ref="H22:I22"/>
    <mergeCell ref="D18:E18"/>
    <mergeCell ref="H18:I18"/>
    <mergeCell ref="D13:E13"/>
    <mergeCell ref="H13:I13"/>
    <mergeCell ref="D14:E14"/>
    <mergeCell ref="H14:I14"/>
    <mergeCell ref="D15:E15"/>
    <mergeCell ref="H15:I15"/>
    <mergeCell ref="D16:E16"/>
    <mergeCell ref="H16:I16"/>
    <mergeCell ref="D7:E7"/>
    <mergeCell ref="H7:I7"/>
    <mergeCell ref="D19:E19"/>
    <mergeCell ref="D20:E20"/>
    <mergeCell ref="D21:E21"/>
    <mergeCell ref="D11:E11"/>
    <mergeCell ref="H11:I11"/>
    <mergeCell ref="D12:E12"/>
    <mergeCell ref="H12:I12"/>
    <mergeCell ref="D8:E8"/>
    <mergeCell ref="H8:I8"/>
    <mergeCell ref="D9:E9"/>
    <mergeCell ref="H9:I9"/>
    <mergeCell ref="D10:E10"/>
    <mergeCell ref="H10:I10"/>
  </mergeCells>
  <conditionalFormatting sqref="M9 M12 M16:M21">
    <cfRule type="cellIs" dxfId="1472" priority="9" stopIfTrue="1" operator="lessThanOrEqual">
      <formula>$L9</formula>
    </cfRule>
    <cfRule type="cellIs" dxfId="1471" priority="10" operator="greaterThan">
      <formula>L9</formula>
    </cfRule>
  </conditionalFormatting>
  <conditionalFormatting sqref="M13">
    <cfRule type="cellIs" dxfId="1470" priority="5" stopIfTrue="1" operator="lessThanOrEqual">
      <formula>$L13</formula>
    </cfRule>
    <cfRule type="cellIs" dxfId="1469" priority="6" operator="greaterThan">
      <formula>L13</formula>
    </cfRule>
  </conditionalFormatting>
  <conditionalFormatting sqref="M14">
    <cfRule type="cellIs" dxfId="1468" priority="3" stopIfTrue="1" operator="lessThanOrEqual">
      <formula>$L14</formula>
    </cfRule>
    <cfRule type="cellIs" dxfId="1467" priority="4" operator="greaterThan">
      <formula>L14</formula>
    </cfRule>
  </conditionalFormatting>
  <conditionalFormatting sqref="M15">
    <cfRule type="cellIs" dxfId="1466" priority="1" stopIfTrue="1" operator="lessThanOrEqual">
      <formula>$L15</formula>
    </cfRule>
    <cfRule type="cellIs" dxfId="1465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6983405-865F-4C8A-974E-8D02F628F6F6}">
          <x14:formula1>
            <xm:f>Extrusion!$B:$B</xm:f>
          </x14:formula1>
          <xm:sqref>C19:C21</xm:sqref>
        </x14:dataValidation>
        <x14:dataValidation type="list" allowBlank="1" showInputMessage="1" showErrorMessage="1" xr:uid="{369F4C4E-D852-4D78-9512-5016E189EE7D}">
          <x14:formula1>
            <xm:f>Bolts!$A:$A</xm:f>
          </x14:formula1>
          <xm:sqref>C17</xm:sqref>
        </x14:dataValidation>
        <x14:dataValidation type="list" allowBlank="1" showInputMessage="1" showErrorMessage="1" xr:uid="{C3A150A1-0795-4519-AB0A-20F513D64946}">
          <x14:formula1>
            <xm:f>Assemblies!$E:$E</xm:f>
          </x14:formula1>
          <xm:sqref>C5:C8</xm:sqref>
        </x14:dataValidation>
        <x14:dataValidation type="list" allowBlank="1" showInputMessage="1" showErrorMessage="1" xr:uid="{0F408904-35D0-47B9-B3DD-AB014AA99B3C}">
          <x14:formula1>
            <xm:f>Machined!$C:$C</xm:f>
          </x14:formula1>
          <xm:sqref>C10:C11</xm:sqref>
        </x14:dataValidation>
        <x14:dataValidation type="list" allowBlank="1" showInputMessage="1" showErrorMessage="1" xr:uid="{8731E9FF-8834-400C-851A-83BB501B96DB}">
          <x14:formula1>
            <xm:f>Purchased!$A:$A</xm:f>
          </x14:formula1>
          <xm:sqref>C13:C15</xm:sqref>
        </x14:dataValidation>
      </x14:dataValidations>
    </ext>
  </extLst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3BB3C-1846-4E3E-9FB9-A6317BF1A38B}">
  <sheetPr codeName="Sheet109">
    <tabColor theme="6" tint="0.59999389629810485"/>
  </sheetPr>
  <dimension ref="A1:Q23"/>
  <sheetViews>
    <sheetView zoomScale="115" zoomScaleNormal="115" workbookViewId="0">
      <selection activeCell="D26" sqref="D2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'4.2'!C13</f>
        <v>PG10.4.2.7.0.A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'4.2'!D13</f>
        <v>Door 14</v>
      </c>
      <c r="D3" s="85" t="s">
        <v>50</v>
      </c>
      <c r="E3" s="86" t="str">
        <f ca="1">MID(CELL("filename",A1),FIND("]",CELL("filename",A1))+1,256)</f>
        <v>4.2.7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'1.4.1'!Q15</f>
        <v>0</v>
      </c>
      <c r="Q5" s="118">
        <f>B5*P5</f>
        <v>0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'1.4.2'!Q8</f>
        <v>0</v>
      </c>
      <c r="Q6" s="153">
        <f>B6*P6</f>
        <v>0</v>
      </c>
    </row>
    <row r="7" spans="1:17" s="1" customFormat="1" ht="12" customHeight="1" x14ac:dyDescent="0.2">
      <c r="A7" s="150" t="s">
        <v>58</v>
      </c>
      <c r="B7" s="1">
        <v>2</v>
      </c>
      <c r="C7" s="145" t="s">
        <v>400</v>
      </c>
      <c r="D7" s="314" t="str">
        <f ca="1">VLOOKUP(C7,Assemblies!E:P,2,0)</f>
        <v>Guard Pivot Assy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'2.2.1.1'!Q13</f>
        <v>37.954999999999998</v>
      </c>
      <c r="Q7" s="153">
        <f>B7*P7</f>
        <v>75.91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401</v>
      </c>
      <c r="D8" s="314" t="str">
        <f ca="1">VLOOKUP(C8,Assemblies!E:P,2,0)</f>
        <v>Door Support Assem</v>
      </c>
      <c r="E8" s="347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2</v>
      </c>
      <c r="P8" s="147">
        <f>'1.4.2'!Q9</f>
        <v>11.93</v>
      </c>
      <c r="Q8" s="153">
        <f>B8*P8</f>
        <v>23.86</v>
      </c>
    </row>
    <row r="9" spans="1:17" s="2" customFormat="1" ht="12.75" customHeight="1" x14ac:dyDescent="0.2">
      <c r="A9" s="25"/>
      <c r="B9" s="26"/>
      <c r="C9" s="26"/>
      <c r="D9" s="332"/>
      <c r="E9" s="346"/>
      <c r="F9" s="26"/>
      <c r="G9" s="26"/>
      <c r="H9" s="322"/>
      <c r="I9" s="322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585</v>
      </c>
      <c r="D10" s="314" t="str">
        <f>VLOOKUP(C10,Machined!C:X,2,0)</f>
        <v>Clear PolyPanel Long Door 14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ca="1">B10*$L$2</f>
        <v>1</v>
      </c>
      <c r="P10" s="49">
        <f>VLOOKUP(C10,Machined!C:F,3,0)</f>
        <v>80</v>
      </c>
      <c r="Q10" s="50">
        <f>B10*P10</f>
        <v>80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586</v>
      </c>
      <c r="D11" s="314" t="str">
        <f>VLOOKUP(C11,Machined!C:X,2,0)</f>
        <v>Clear PolyPanel Short Door 14</v>
      </c>
      <c r="E11" s="329"/>
      <c r="F11" s="107" t="str">
        <f>VLOOKUP($C11,Machined!C:Z,13,0)</f>
        <v>POLYCARBONITE-CLEAR</v>
      </c>
      <c r="G11" s="44" t="str">
        <f>IF(VLOOKUP($C11,Machined!C:Z,16,0) = 0, " ", VLOOKUP($C11,Machined!C:Z,16,0))</f>
        <v>Port Plastics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POLYCARBONITE-CLEAR</v>
      </c>
      <c r="J11" s="44" t="str">
        <f>IF(VLOOKUP($C11,Machined!C:Z,18,0) = 0, " ", VLOOKUP($C11,Machined!C:Z,18,0))</f>
        <v>(TJ) 8/8/2024</v>
      </c>
      <c r="K11" s="44">
        <f>IF(VLOOKUP($C11,Machined!C:Z,19,0) = 0, " ", VLOOKUP($C11,Machined!C:Z,19,0))</f>
        <v>45530</v>
      </c>
      <c r="L11" s="44">
        <f>IF(VLOOKUP($C11,Machined!C:Z,20,0) = 0, " ", VLOOKUP($C11,Machined!C:Z,20,0))</f>
        <v>45561</v>
      </c>
      <c r="M11" s="44" t="str">
        <f>IF(VLOOKUP($C11,Machined!C:Z,21,0) = 0, " ", VLOOKUP($C11,Machined!C:Z,21,0))</f>
        <v xml:space="preserve"> </v>
      </c>
      <c r="N11" s="129">
        <f>IF(VLOOKUP($C11,Machined!C:Z,22,0) = 0, " ", VLOOKUP($C11,Machined!C:Z,22,0))</f>
        <v>55708</v>
      </c>
      <c r="O11" s="45">
        <f ca="1">B11*$L$2</f>
        <v>1</v>
      </c>
      <c r="P11" s="49">
        <f>VLOOKUP(C11,Machined!C:F,3,0)</f>
        <v>80</v>
      </c>
      <c r="Q11" s="50">
        <f>B11*P11</f>
        <v>80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301</v>
      </c>
      <c r="B13" s="2">
        <v>8</v>
      </c>
      <c r="C13" s="135" t="s">
        <v>149</v>
      </c>
      <c r="D13" s="325" t="str">
        <f>VLOOKUP(C13,Purchased!A:B,2,0)</f>
        <v>BRX GOTO QUICK CONNECTOR N10 0°</v>
      </c>
      <c r="E13" s="326"/>
      <c r="F13" s="108" t="str">
        <f>IF(VLOOKUP($C13,Purchased!A:Z,11,0) = 0, " ", VLOOKUP($C13,Purchased!A:Z,11,0))</f>
        <v>T-SLOTS</v>
      </c>
      <c r="G13" s="108" t="str">
        <f>IF(VLOOKUP($C13,Purchased!A:Z,12,0)=0, " ", VLOOKUP($C13,Purchased!A:Z,12,0))</f>
        <v>Process Tech</v>
      </c>
      <c r="H13" s="327" t="str">
        <f>IF(VLOOKUP($C13,Purchased!A:Z,13,0)=0, " ", VLOOKUP($C13,Purchased!A:Z,13,0))</f>
        <v>500 More on P.O. #55639 Part# 659730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45362</v>
      </c>
      <c r="M13" s="46">
        <f>IF(VLOOKUP(C13,Purchased!A:R,16,0)=0, " ",VLOOKUP(C13,Purchased!A:R,16,0))</f>
        <v>45378</v>
      </c>
      <c r="N13" s="130">
        <f>IF(VLOOKUP(C13,Purchased!A:R,17,0)=0, " ", VLOOKUP(C13,Purchased!A:R,17,0))</f>
        <v>45378</v>
      </c>
      <c r="O13" s="47">
        <f t="shared" ref="O13:O15" ca="1" si="0">B13*$L$2</f>
        <v>8</v>
      </c>
      <c r="P13" s="51">
        <f>VLOOKUP(C13,Purchased!A:D,3,FALSE)</f>
        <v>4.17</v>
      </c>
      <c r="Q13" s="52">
        <f t="shared" ref="Q13:Q14" si="1">B13*P13</f>
        <v>33.36</v>
      </c>
    </row>
    <row r="14" spans="1:17" s="2" customFormat="1" ht="12.75" customHeight="1" x14ac:dyDescent="0.25">
      <c r="A14" s="4">
        <v>302</v>
      </c>
      <c r="B14" s="2">
        <v>6</v>
      </c>
      <c r="C14" s="135" t="s">
        <v>341</v>
      </c>
      <c r="D14" s="325" t="str">
        <f>VLOOKUP(C14,Purchased!A:B,2,0)</f>
        <v>BRX GOTO HINGE AL 45/45, 2PK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Nuline has 40X Quantity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t="shared" ca="1" si="0"/>
        <v>6</v>
      </c>
      <c r="P14" s="51">
        <f>VLOOKUP(C14,Purchased!A:D,3,FALSE)</f>
        <v>22.16</v>
      </c>
      <c r="Q14" s="52">
        <f t="shared" si="1"/>
        <v>132.96</v>
      </c>
    </row>
    <row r="15" spans="1:17" s="2" customFormat="1" ht="12.75" customHeight="1" x14ac:dyDescent="0.25">
      <c r="A15" s="4">
        <v>303</v>
      </c>
      <c r="B15" s="2">
        <v>5800</v>
      </c>
      <c r="C15" s="135">
        <v>3842146906</v>
      </c>
      <c r="D15" s="325" t="str">
        <f>VLOOKUP(C15,Purchased!A:B,2,0)</f>
        <v>SLOT PROFILE SCHWARZ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P/N changed to 3842555270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45532</v>
      </c>
      <c r="M15" s="46">
        <f>IF(VLOOKUP(C15,Purchased!A:R,16,0)=0, " ",VLOOKUP(C15,Purchased!A:R,16,0))</f>
        <v>45561</v>
      </c>
      <c r="N15" s="130" t="str">
        <f>IF(VLOOKUP(C15,Purchased!A:R,17,0)=0, " ", VLOOKUP(C15,Purchased!A:R,17,0))</f>
        <v xml:space="preserve"> </v>
      </c>
      <c r="O15" s="47">
        <f t="shared" ca="1" si="0"/>
        <v>5800</v>
      </c>
      <c r="P15" s="51">
        <f>VLOOKUP(C15,Purchased!A:D,3,FALSE)</f>
        <v>5</v>
      </c>
      <c r="Q15" s="52">
        <f>B15/2000*P15</f>
        <v>14.5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24</v>
      </c>
      <c r="C17" s="122" t="s">
        <v>277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24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4">
        <v>701</v>
      </c>
      <c r="B19" s="2">
        <v>2</v>
      </c>
      <c r="C19" s="123" t="s">
        <v>583</v>
      </c>
      <c r="D19" s="325" t="str">
        <f>VLOOKUP(C19,Extrusion!B:C,2,0)</f>
        <v>APPROVED EL 9/3</v>
      </c>
      <c r="E19" s="326"/>
      <c r="F19" s="108" t="str">
        <f ca="1">VLOOKUP(C19,Extrusion!B:N,5,0)</f>
        <v>YES</v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ca="1">B19*$L$2</f>
        <v>2</v>
      </c>
      <c r="P19" s="51">
        <f>VLOOKUP(C19,Extrusion!B:G,4,0)</f>
        <v>0</v>
      </c>
      <c r="Q19" s="52">
        <f>B19*P19</f>
        <v>0</v>
      </c>
    </row>
    <row r="20" spans="1:17" s="2" customFormat="1" ht="12.75" customHeight="1" x14ac:dyDescent="0.25">
      <c r="A20" s="4">
        <v>702</v>
      </c>
      <c r="B20" s="2">
        <v>2</v>
      </c>
      <c r="C20" s="123" t="s">
        <v>584</v>
      </c>
      <c r="D20" s="325" t="str">
        <f>VLOOKUP(C20,Extrusion!B:C,2,0)</f>
        <v>APPROVED EL 9/3</v>
      </c>
      <c r="E20" s="326"/>
      <c r="F20" s="108" t="str">
        <f ca="1">VLOOKUP(C20,Extrusion!B:N,5,0)</f>
        <v>YES</v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ca="1">B20*$L$2</f>
        <v>2</v>
      </c>
      <c r="P20" s="51">
        <f>VLOOKUP(C20,Extrusion!B:G,4,0)</f>
        <v>0</v>
      </c>
      <c r="Q20" s="52">
        <f>B20*P20</f>
        <v>0</v>
      </c>
    </row>
    <row r="21" spans="1:17" s="2" customFormat="1" ht="12.75" customHeight="1" thickBot="1" x14ac:dyDescent="0.3">
      <c r="A21" s="4">
        <v>703</v>
      </c>
      <c r="B21" s="2">
        <v>4</v>
      </c>
      <c r="C21" s="123" t="s">
        <v>414</v>
      </c>
      <c r="D21" s="325" t="str">
        <f>VLOOKUP(C21,Extrusion!B:C,2,0)</f>
        <v>APPROVED EL 9/3</v>
      </c>
      <c r="E21" s="326"/>
      <c r="F21" s="108" t="str">
        <f ca="1">VLOOKUP(C21,Extrusion!B:N,5,0)</f>
        <v>YES</v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4</v>
      </c>
      <c r="P21" s="51">
        <f>VLOOKUP(C21,Extrusion!B:G,4,0)</f>
        <v>0</v>
      </c>
      <c r="Q21" s="52">
        <f>B21*P21</f>
        <v>0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SUM(Q8:Q21)</f>
        <v>364.68000000000006</v>
      </c>
    </row>
    <row r="23" spans="1:17" s="2" customFormat="1" ht="12" customHeight="1" x14ac:dyDescent="0.2">
      <c r="D23" s="21"/>
      <c r="E23" s="21"/>
      <c r="J23" s="8"/>
      <c r="K23" s="8"/>
      <c r="L23" s="8"/>
      <c r="M23" s="8"/>
      <c r="N23" s="131"/>
      <c r="O23" s="5"/>
      <c r="P23" s="98"/>
      <c r="Q23" s="105"/>
    </row>
  </sheetData>
  <mergeCells count="34">
    <mergeCell ref="D6:E6"/>
    <mergeCell ref="H6:I6"/>
    <mergeCell ref="D1:E1"/>
    <mergeCell ref="D4:E4"/>
    <mergeCell ref="H4:I4"/>
    <mergeCell ref="D5:E5"/>
    <mergeCell ref="H5:I5"/>
    <mergeCell ref="D22:E22"/>
    <mergeCell ref="H22:I22"/>
    <mergeCell ref="D18:E18"/>
    <mergeCell ref="H18:I18"/>
    <mergeCell ref="D13:E13"/>
    <mergeCell ref="H13:I13"/>
    <mergeCell ref="D14:E14"/>
    <mergeCell ref="H14:I14"/>
    <mergeCell ref="D15:E15"/>
    <mergeCell ref="H15:I15"/>
    <mergeCell ref="D16:E16"/>
    <mergeCell ref="H16:I16"/>
    <mergeCell ref="D7:E7"/>
    <mergeCell ref="H7:I7"/>
    <mergeCell ref="D19:E19"/>
    <mergeCell ref="D20:E20"/>
    <mergeCell ref="D21:E21"/>
    <mergeCell ref="D11:E11"/>
    <mergeCell ref="H11:I11"/>
    <mergeCell ref="D12:E12"/>
    <mergeCell ref="H12:I12"/>
    <mergeCell ref="D8:E8"/>
    <mergeCell ref="H8:I8"/>
    <mergeCell ref="D9:E9"/>
    <mergeCell ref="H9:I9"/>
    <mergeCell ref="D10:E10"/>
    <mergeCell ref="H10:I10"/>
  </mergeCells>
  <conditionalFormatting sqref="M9 M12 M16:M21">
    <cfRule type="cellIs" dxfId="1464" priority="9" stopIfTrue="1" operator="lessThanOrEqual">
      <formula>$L9</formula>
    </cfRule>
    <cfRule type="cellIs" dxfId="1463" priority="10" operator="greaterThan">
      <formula>L9</formula>
    </cfRule>
  </conditionalFormatting>
  <conditionalFormatting sqref="M13">
    <cfRule type="cellIs" dxfId="1462" priority="5" stopIfTrue="1" operator="lessThanOrEqual">
      <formula>$L13</formula>
    </cfRule>
    <cfRule type="cellIs" dxfId="1461" priority="6" operator="greaterThan">
      <formula>L13</formula>
    </cfRule>
  </conditionalFormatting>
  <conditionalFormatting sqref="M14">
    <cfRule type="cellIs" dxfId="1460" priority="3" stopIfTrue="1" operator="lessThanOrEqual">
      <formula>$L14</formula>
    </cfRule>
    <cfRule type="cellIs" dxfId="1459" priority="4" operator="greaterThan">
      <formula>L14</formula>
    </cfRule>
  </conditionalFormatting>
  <conditionalFormatting sqref="M15">
    <cfRule type="cellIs" dxfId="1458" priority="1" stopIfTrue="1" operator="lessThanOrEqual">
      <formula>$L15</formula>
    </cfRule>
    <cfRule type="cellIs" dxfId="1457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180FF5-AD47-46B5-BC9D-A39A29116170}">
          <x14:formula1>
            <xm:f>Extrusion!$B:$B</xm:f>
          </x14:formula1>
          <xm:sqref>C19:C21</xm:sqref>
        </x14:dataValidation>
        <x14:dataValidation type="list" allowBlank="1" showInputMessage="1" showErrorMessage="1" xr:uid="{C2139451-5A4B-4E58-8CA8-811EC4E2698D}">
          <x14:formula1>
            <xm:f>Bolts!$A:$A</xm:f>
          </x14:formula1>
          <xm:sqref>C17</xm:sqref>
        </x14:dataValidation>
        <x14:dataValidation type="list" allowBlank="1" showInputMessage="1" showErrorMessage="1" xr:uid="{58198052-05C6-4142-9B42-4064B91E18BE}">
          <x14:formula1>
            <xm:f>Assemblies!$E:$E</xm:f>
          </x14:formula1>
          <xm:sqref>C5:C8</xm:sqref>
        </x14:dataValidation>
        <x14:dataValidation type="list" allowBlank="1" showInputMessage="1" showErrorMessage="1" xr:uid="{B6244F32-1A5D-4F31-894E-A532120134DA}">
          <x14:formula1>
            <xm:f>Machined!$C:$C</xm:f>
          </x14:formula1>
          <xm:sqref>C10:C11</xm:sqref>
        </x14:dataValidation>
        <x14:dataValidation type="list" allowBlank="1" showInputMessage="1" showErrorMessage="1" xr:uid="{EF416398-A451-4901-8DCB-D3073D9EE172}">
          <x14:formula1>
            <xm:f>Purchased!$A:$A</xm:f>
          </x14:formula1>
          <xm:sqref>C13:C15</xm:sqref>
        </x14:dataValidation>
      </x14:dataValidations>
    </ext>
  </extLst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5953B-F572-4F77-9DAF-202F95116EBD}">
  <sheetPr codeName="Sheet110">
    <tabColor theme="6" tint="0.59999389629810485"/>
  </sheetPr>
  <dimension ref="A1:Q20"/>
  <sheetViews>
    <sheetView zoomScale="115" zoomScaleNormal="115" workbookViewId="0">
      <selection activeCell="C24" sqref="C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'4.2'!C14</f>
        <v>PG10.4.2.8.0.A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'4.2'!D14</f>
        <v>Door 15</v>
      </c>
      <c r="D3" s="85" t="s">
        <v>50</v>
      </c>
      <c r="E3" s="86" t="str">
        <f ca="1">MID(CELL("filename",A1),FIND("]",CELL("filename",A1))+1,256)</f>
        <v>4.2.8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'1.4.1'!Q15</f>
        <v>0</v>
      </c>
      <c r="Q5" s="118">
        <f>B5*P5</f>
        <v>0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'1.4.2'!Q8</f>
        <v>0</v>
      </c>
      <c r="Q6" s="153">
        <f>B6*P6</f>
        <v>0</v>
      </c>
    </row>
    <row r="7" spans="1:17" s="1" customFormat="1" ht="12.75" customHeight="1" x14ac:dyDescent="0.2">
      <c r="A7" s="150" t="s">
        <v>58</v>
      </c>
      <c r="B7" s="1">
        <v>2</v>
      </c>
      <c r="C7" s="145" t="s">
        <v>401</v>
      </c>
      <c r="D7" s="314" t="str">
        <f ca="1">VLOOKUP(C7,Assemblies!E:P,2,0)</f>
        <v>Door Support Assem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'1.4.2'!Q9</f>
        <v>11.93</v>
      </c>
      <c r="Q7" s="153">
        <f>B7*P7</f>
        <v>23.86</v>
      </c>
    </row>
    <row r="8" spans="1:17" s="2" customFormat="1" ht="12.75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587</v>
      </c>
      <c r="D9" s="314" t="str">
        <f>VLOOKUP(C9,Machined!C:X,2,0)</f>
        <v>Clear PolyPanel Door 15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ca="1">B9*$L$2</f>
        <v>1</v>
      </c>
      <c r="P9" s="49">
        <f>VLOOKUP(C9,Machined!C:F,3,0)</f>
        <v>65</v>
      </c>
      <c r="Q9" s="50">
        <f>B9*P9</f>
        <v>65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 t="s">
        <v>149</v>
      </c>
      <c r="D11" s="325" t="str">
        <f>VLOOKUP(C11,Purchased!A:B,2,0)</f>
        <v>BRX GOTO QUICK CONNECTOR N10 0°</v>
      </c>
      <c r="E11" s="326"/>
      <c r="F11" s="108" t="str">
        <f>IF(VLOOKUP($C11,Purchased!A:Z,11,0) = 0, " ", VLOOKUP($C11,Purchased!A:Z,11,0))</f>
        <v>T-SLOTS</v>
      </c>
      <c r="G11" s="108" t="str">
        <f>IF(VLOOKUP($C11,Purchased!A:Z,12,0)=0, " ", VLOOKUP($C11,Purchased!A:Z,12,0))</f>
        <v>Process Tech</v>
      </c>
      <c r="H11" s="327" t="str">
        <f>IF(VLOOKUP($C11,Purchased!A:Z,13,0)=0, " ", VLOOKUP($C11,Purchased!A:Z,13,0))</f>
        <v>500 More on P.O. #55639 Part# 659730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45362</v>
      </c>
      <c r="M11" s="46">
        <f>IF(VLOOKUP(C11,Purchased!A:R,16,0)=0, " ",VLOOKUP(C11,Purchased!A:R,16,0))</f>
        <v>45378</v>
      </c>
      <c r="N11" s="130">
        <f>IF(VLOOKUP(C11,Purchased!A:R,17,0)=0, " ", VLOOKUP(C11,Purchased!A:R,17,0))</f>
        <v>45378</v>
      </c>
      <c r="O11" s="47">
        <f t="shared" ref="O11:O13" ca="1" si="0">B11*$L$2</f>
        <v>8</v>
      </c>
      <c r="P11" s="51">
        <f>VLOOKUP(C11,Purchased!A:D,3,FALSE)</f>
        <v>4.17</v>
      </c>
      <c r="Q11" s="52">
        <f t="shared" ref="Q11:Q12" si="1">B11*P11</f>
        <v>33.36</v>
      </c>
    </row>
    <row r="12" spans="1:17" s="2" customFormat="1" ht="12.75" customHeight="1" x14ac:dyDescent="0.25">
      <c r="A12" s="4">
        <v>302</v>
      </c>
      <c r="B12" s="2">
        <v>3</v>
      </c>
      <c r="C12" s="135" t="s">
        <v>341</v>
      </c>
      <c r="D12" s="325" t="str">
        <f>VLOOKUP(C12,Purchased!A:B,2,0)</f>
        <v>BRX GOTO HINGE AL 45/45, 2PK</v>
      </c>
      <c r="E12" s="326"/>
      <c r="F12" s="108" t="str">
        <f>IF(VLOOKUP($C12,Purchased!A:Z,11,0) = 0, " ", VLOOKUP($C12,Purchased!A:Z,11,0))</f>
        <v>BRX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Nuline has 40X Quantity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45532</v>
      </c>
      <c r="M12" s="46">
        <f>IF(VLOOKUP(C12,Purchased!A:R,16,0)=0, " ",VLOOKUP(C12,Purchased!A:R,16,0))</f>
        <v>45561</v>
      </c>
      <c r="N12" s="130" t="str">
        <f>IF(VLOOKUP(C12,Purchased!A:R,17,0)=0, " ", VLOOKUP(C12,Purchased!A:R,17,0))</f>
        <v xml:space="preserve"> </v>
      </c>
      <c r="O12" s="47">
        <f t="shared" ca="1" si="0"/>
        <v>3</v>
      </c>
      <c r="P12" s="51">
        <f>VLOOKUP(C12,Purchased!A:D,3,FALSE)</f>
        <v>22.16</v>
      </c>
      <c r="Q12" s="52">
        <f t="shared" si="1"/>
        <v>66.48</v>
      </c>
    </row>
    <row r="13" spans="1:17" s="2" customFormat="1" ht="12.75" customHeight="1" x14ac:dyDescent="0.25">
      <c r="A13" s="4">
        <v>303</v>
      </c>
      <c r="B13" s="2">
        <v>5800</v>
      </c>
      <c r="C13" s="135">
        <v>3842146906</v>
      </c>
      <c r="D13" s="325" t="str">
        <f>VLOOKUP(C13,Purchased!A:B,2,0)</f>
        <v>SLOT PROFILE SCHWARZ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P/N changed to 3842555270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t="shared" ca="1" si="0"/>
        <v>5800</v>
      </c>
      <c r="P13" s="51">
        <f>VLOOKUP(C13,Purchased!A:D,3,FALSE)</f>
        <v>5</v>
      </c>
      <c r="Q13" s="52">
        <f>B13/2000*P13</f>
        <v>14.5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501</v>
      </c>
      <c r="B15" s="2">
        <v>24</v>
      </c>
      <c r="C15" s="122" t="s">
        <v>277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24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701</v>
      </c>
      <c r="B17" s="2">
        <v>2</v>
      </c>
      <c r="C17" s="123" t="s">
        <v>588</v>
      </c>
      <c r="D17" s="325" t="str">
        <f>VLOOKUP(C17,Extrusion!B:C,2,0)</f>
        <v>APPROVED EL 9/3</v>
      </c>
      <c r="E17" s="326"/>
      <c r="F17" s="108" t="str">
        <f ca="1">VLOOKUP(C17,Extrusion!B:N,5,0)</f>
        <v>YES</v>
      </c>
      <c r="G17" s="108">
        <f>VLOOKUP(C17,Extrusion!B:N,6,0)</f>
        <v>1</v>
      </c>
      <c r="H17" s="108">
        <f>VLOOKUP(C17,Extrusion!B:N,7,0)</f>
        <v>0</v>
      </c>
      <c r="I17" s="109"/>
      <c r="J17" s="46" t="str">
        <f>VLOOKUP(C17,Extrusion!B:N,8,0)</f>
        <v>T-Slots</v>
      </c>
      <c r="K17" s="46">
        <f>VLOOKUP(C17,Extrusion!B:N,9,0)</f>
        <v>0</v>
      </c>
      <c r="L17" s="46">
        <f>VLOOKUP(C17,Extrusion!B:N,10,0)</f>
        <v>0</v>
      </c>
      <c r="M17" s="46">
        <f>VLOOKUP(C17,Extrusion!B:N,11,0)</f>
        <v>0</v>
      </c>
      <c r="N17" s="47">
        <f>VLOOKUP(C17,Extrusion!B:O,12,0)</f>
        <v>0</v>
      </c>
      <c r="O17" s="47">
        <f ca="1">B17*$L$2</f>
        <v>2</v>
      </c>
      <c r="P17" s="51">
        <f>VLOOKUP(C17,Extrusion!B:G,4,0)</f>
        <v>0</v>
      </c>
      <c r="Q17" s="52">
        <f>B17*P17</f>
        <v>0</v>
      </c>
    </row>
    <row r="18" spans="1:17" s="2" customFormat="1" ht="12.75" customHeight="1" thickBot="1" x14ac:dyDescent="0.3">
      <c r="A18" s="4">
        <v>702</v>
      </c>
      <c r="B18" s="2">
        <v>2</v>
      </c>
      <c r="C18" s="123" t="s">
        <v>406</v>
      </c>
      <c r="D18" s="325" t="str">
        <f>VLOOKUP(C18,Extrusion!B:C,2,0)</f>
        <v>APPROVED EL 9/3</v>
      </c>
      <c r="E18" s="326"/>
      <c r="F18" s="108" t="str">
        <f ca="1">VLOOKUP(C18,Extrusion!B:N,5,0)</f>
        <v>YES</v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ca="1">B18*$L$2</f>
        <v>2</v>
      </c>
      <c r="P18" s="51">
        <f>VLOOKUP(C18,Extrusion!B:G,4,0)</f>
        <v>0</v>
      </c>
      <c r="Q18" s="52">
        <f>B18*P18</f>
        <v>0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SUM(Q7:Q18)</f>
        <v>203.2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</sheetData>
  <mergeCells count="29">
    <mergeCell ref="D6:E6"/>
    <mergeCell ref="H6:I6"/>
    <mergeCell ref="D1:E1"/>
    <mergeCell ref="D4:E4"/>
    <mergeCell ref="H4:I4"/>
    <mergeCell ref="D5:E5"/>
    <mergeCell ref="H5:I5"/>
    <mergeCell ref="D19:E19"/>
    <mergeCell ref="H19:I19"/>
    <mergeCell ref="D16:E16"/>
    <mergeCell ref="H16:I16"/>
    <mergeCell ref="D11:E11"/>
    <mergeCell ref="H11:I11"/>
    <mergeCell ref="D12:E12"/>
    <mergeCell ref="H12:I12"/>
    <mergeCell ref="D13:E13"/>
    <mergeCell ref="H13:I13"/>
    <mergeCell ref="D14:E14"/>
    <mergeCell ref="H14:I14"/>
    <mergeCell ref="D17:E17"/>
    <mergeCell ref="D18:E18"/>
    <mergeCell ref="D10:E10"/>
    <mergeCell ref="H10:I10"/>
    <mergeCell ref="D7:E7"/>
    <mergeCell ref="H7:I7"/>
    <mergeCell ref="D8:E8"/>
    <mergeCell ref="H8:I8"/>
    <mergeCell ref="D9:E9"/>
    <mergeCell ref="H9:I9"/>
  </mergeCells>
  <conditionalFormatting sqref="M8 M10 M14:M18">
    <cfRule type="cellIs" dxfId="1456" priority="9" stopIfTrue="1" operator="lessThanOrEqual">
      <formula>$L8</formula>
    </cfRule>
    <cfRule type="cellIs" dxfId="1455" priority="10" operator="greaterThan">
      <formula>L8</formula>
    </cfRule>
  </conditionalFormatting>
  <conditionalFormatting sqref="M11">
    <cfRule type="cellIs" dxfId="1454" priority="5" stopIfTrue="1" operator="lessThanOrEqual">
      <formula>$L11</formula>
    </cfRule>
    <cfRule type="cellIs" dxfId="1453" priority="6" operator="greaterThan">
      <formula>L11</formula>
    </cfRule>
  </conditionalFormatting>
  <conditionalFormatting sqref="M12">
    <cfRule type="cellIs" dxfId="1452" priority="3" stopIfTrue="1" operator="lessThanOrEqual">
      <formula>$L12</formula>
    </cfRule>
    <cfRule type="cellIs" dxfId="1451" priority="4" operator="greaterThan">
      <formula>L12</formula>
    </cfRule>
  </conditionalFormatting>
  <conditionalFormatting sqref="M13">
    <cfRule type="cellIs" dxfId="1450" priority="1" stopIfTrue="1" operator="lessThanOrEqual">
      <formula>$L13</formula>
    </cfRule>
    <cfRule type="cellIs" dxfId="1449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B0E84A-0EDE-44CD-9F2E-CE87E74AAA7C}">
          <x14:formula1>
            <xm:f>Extrusion!$B:$B</xm:f>
          </x14:formula1>
          <xm:sqref>C17:C18</xm:sqref>
        </x14:dataValidation>
        <x14:dataValidation type="list" allowBlank="1" showInputMessage="1" showErrorMessage="1" xr:uid="{30DAC582-CDE9-461E-95BD-BAC4E081A2A0}">
          <x14:formula1>
            <xm:f>Bolts!$A:$A</xm:f>
          </x14:formula1>
          <xm:sqref>C15</xm:sqref>
        </x14:dataValidation>
        <x14:dataValidation type="list" allowBlank="1" showInputMessage="1" showErrorMessage="1" xr:uid="{1F26D2C9-3BA2-490E-AC05-89A5B1A9BA1D}">
          <x14:formula1>
            <xm:f>Assemblies!$E:$E</xm:f>
          </x14:formula1>
          <xm:sqref>C5:C7</xm:sqref>
        </x14:dataValidation>
        <x14:dataValidation type="list" allowBlank="1" showInputMessage="1" showErrorMessage="1" xr:uid="{FB979E24-1F54-4F9A-99D7-BF6B00887063}">
          <x14:formula1>
            <xm:f>Machined!$C:$C</xm:f>
          </x14:formula1>
          <xm:sqref>C9</xm:sqref>
        </x14:dataValidation>
        <x14:dataValidation type="list" allowBlank="1" showInputMessage="1" showErrorMessage="1" xr:uid="{0C0304B3-3C94-479E-ABE6-946D463494DA}">
          <x14:formula1>
            <xm:f>Purchased!$A:$A</xm:f>
          </x14:formula1>
          <xm:sqref>C11:C13</xm:sqref>
        </x14:dataValidation>
      </x14:dataValidations>
    </ext>
  </extLst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DA1F4-A15B-4B72-B96D-21B8F0FC378A}">
  <sheetPr codeName="Sheet111">
    <tabColor theme="6" tint="0.59999389629810485"/>
  </sheetPr>
  <dimension ref="A1:Q20"/>
  <sheetViews>
    <sheetView zoomScale="115" zoomScaleNormal="115" workbookViewId="0">
      <selection activeCell="C26" sqref="C2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'4.2'!C18</f>
        <v>PG10.4.2.12.0.A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'4.2'!D18</f>
        <v>Twin Wall Top Guard 8</v>
      </c>
      <c r="D3" s="85" t="s">
        <v>50</v>
      </c>
      <c r="E3" s="86" t="str">
        <f ca="1">MID(CELL("filename",A1),FIND("]",CELL("filename",A1))+1,256)</f>
        <v>4.2.9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</v>
      </c>
      <c r="C5" s="112" t="s">
        <v>337</v>
      </c>
      <c r="D5" s="336" t="str">
        <f ca="1">VLOOKUP(C5,Assemblies!E:P,2,0)</f>
        <v>Door Mag Lock Assembly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'1.4.1'!Q15</f>
        <v>0</v>
      </c>
      <c r="Q5" s="118">
        <f>B5*P5</f>
        <v>0</v>
      </c>
    </row>
    <row r="6" spans="1:17" s="1" customFormat="1" ht="12" customHeight="1" x14ac:dyDescent="0.2">
      <c r="A6" s="150" t="s">
        <v>56</v>
      </c>
      <c r="B6" s="1">
        <v>2</v>
      </c>
      <c r="C6" s="145" t="s">
        <v>338</v>
      </c>
      <c r="D6" s="314" t="str">
        <f ca="1">VLOOKUP(C6,Assemblies!E:P,2,0)</f>
        <v>Elesa Door Handle Assembly</v>
      </c>
      <c r="E6" s="347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'1.4.2'!Q8</f>
        <v>0</v>
      </c>
      <c r="Q6" s="153">
        <f>B6*P6</f>
        <v>0</v>
      </c>
    </row>
    <row r="7" spans="1:17" s="1" customFormat="1" ht="12.75" customHeight="1" x14ac:dyDescent="0.2">
      <c r="A7" s="150" t="s">
        <v>58</v>
      </c>
      <c r="B7" s="1">
        <v>2</v>
      </c>
      <c r="C7" s="145" t="s">
        <v>401</v>
      </c>
      <c r="D7" s="314" t="str">
        <f ca="1">VLOOKUP(C7,Assemblies!E:P,2,0)</f>
        <v>Door Support Assem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'1.4.2'!Q9</f>
        <v>11.93</v>
      </c>
      <c r="Q7" s="153">
        <f>B7*P7</f>
        <v>23.86</v>
      </c>
    </row>
    <row r="8" spans="1:17" s="2" customFormat="1" ht="12.75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589</v>
      </c>
      <c r="D9" s="314" t="str">
        <f>VLOOKUP(C9,Machined!C:X,2,0)</f>
        <v>Clear PolyPanel Door 16</v>
      </c>
      <c r="E9" s="329"/>
      <c r="F9" s="107" t="str">
        <f>VLOOKUP($C9,Machined!C:Z,13,0)</f>
        <v>POLYCARBONITE-CLEAR</v>
      </c>
      <c r="G9" s="44" t="str">
        <f>IF(VLOOKUP($C9,Machined!C:Z,16,0) = 0, " ", VLOOKUP($C9,Machined!C:Z,16,0))</f>
        <v>Port Plastics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POLYCARBONITE-CLEAR</v>
      </c>
      <c r="J9" s="44" t="str">
        <f>IF(VLOOKUP($C9,Machined!C:Z,18,0) = 0, " ", VLOOKUP($C9,Machined!C:Z,18,0))</f>
        <v>(TJ) 8/8/2024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45561</v>
      </c>
      <c r="M9" s="44" t="str">
        <f>IF(VLOOKUP($C9,Machined!C:Z,21,0) = 0, " ", VLOOKUP($C9,Machined!C:Z,21,0))</f>
        <v xml:space="preserve"> </v>
      </c>
      <c r="N9" s="129">
        <f>IF(VLOOKUP($C9,Machined!C:Z,22,0) = 0, " ", VLOOKUP($C9,Machined!C:Z,22,0))</f>
        <v>55708</v>
      </c>
      <c r="O9" s="45">
        <f ca="1">B9*$L$2</f>
        <v>1</v>
      </c>
      <c r="P9" s="49">
        <f>VLOOKUP(C9,Machined!C:F,3,0)</f>
        <v>65</v>
      </c>
      <c r="Q9" s="50">
        <f>B9*P9</f>
        <v>65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8</v>
      </c>
      <c r="C11" s="135" t="s">
        <v>149</v>
      </c>
      <c r="D11" s="325" t="str">
        <f>VLOOKUP(C11,Purchased!A:B,2,0)</f>
        <v>BRX GOTO QUICK CONNECTOR N10 0°</v>
      </c>
      <c r="E11" s="326"/>
      <c r="F11" s="108" t="str">
        <f>IF(VLOOKUP($C11,Purchased!A:Z,11,0) = 0, " ", VLOOKUP($C11,Purchased!A:Z,11,0))</f>
        <v>T-SLOTS</v>
      </c>
      <c r="G11" s="108" t="str">
        <f>IF(VLOOKUP($C11,Purchased!A:Z,12,0)=0, " ", VLOOKUP($C11,Purchased!A:Z,12,0))</f>
        <v>Process Tech</v>
      </c>
      <c r="H11" s="327" t="str">
        <f>IF(VLOOKUP($C11,Purchased!A:Z,13,0)=0, " ", VLOOKUP($C11,Purchased!A:Z,13,0))</f>
        <v>500 More on P.O. #55639 Part# 659730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45362</v>
      </c>
      <c r="M11" s="46">
        <f>IF(VLOOKUP(C11,Purchased!A:R,16,0)=0, " ",VLOOKUP(C11,Purchased!A:R,16,0))</f>
        <v>45378</v>
      </c>
      <c r="N11" s="130">
        <f>IF(VLOOKUP(C11,Purchased!A:R,17,0)=0, " ", VLOOKUP(C11,Purchased!A:R,17,0))</f>
        <v>45378</v>
      </c>
      <c r="O11" s="47">
        <f t="shared" ref="O11:O13" ca="1" si="0">B11*$L$2</f>
        <v>8</v>
      </c>
      <c r="P11" s="51">
        <f>VLOOKUP(C11,Purchased!A:D,3,FALSE)</f>
        <v>4.17</v>
      </c>
      <c r="Q11" s="52">
        <f t="shared" ref="Q11:Q12" si="1">B11*P11</f>
        <v>33.36</v>
      </c>
    </row>
    <row r="12" spans="1:17" s="2" customFormat="1" ht="12.75" customHeight="1" x14ac:dyDescent="0.25">
      <c r="A12" s="4">
        <v>302</v>
      </c>
      <c r="B12" s="2">
        <v>3</v>
      </c>
      <c r="C12" s="135" t="s">
        <v>341</v>
      </c>
      <c r="D12" s="325" t="str">
        <f>VLOOKUP(C12,Purchased!A:B,2,0)</f>
        <v>BRX GOTO HINGE AL 45/45, 2PK</v>
      </c>
      <c r="E12" s="326"/>
      <c r="F12" s="108" t="str">
        <f>IF(VLOOKUP($C12,Purchased!A:Z,11,0) = 0, " ", VLOOKUP($C12,Purchased!A:Z,11,0))</f>
        <v>BRX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Nuline has 40X Quantity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45532</v>
      </c>
      <c r="M12" s="46">
        <f>IF(VLOOKUP(C12,Purchased!A:R,16,0)=0, " ",VLOOKUP(C12,Purchased!A:R,16,0))</f>
        <v>45561</v>
      </c>
      <c r="N12" s="130" t="str">
        <f>IF(VLOOKUP(C12,Purchased!A:R,17,0)=0, " ", VLOOKUP(C12,Purchased!A:R,17,0))</f>
        <v xml:space="preserve"> </v>
      </c>
      <c r="O12" s="47">
        <f t="shared" ca="1" si="0"/>
        <v>3</v>
      </c>
      <c r="P12" s="51">
        <f>VLOOKUP(C12,Purchased!A:D,3,FALSE)</f>
        <v>22.16</v>
      </c>
      <c r="Q12" s="52">
        <f t="shared" si="1"/>
        <v>66.48</v>
      </c>
    </row>
    <row r="13" spans="1:17" s="2" customFormat="1" ht="12.75" customHeight="1" x14ac:dyDescent="0.25">
      <c r="A13" s="4">
        <v>303</v>
      </c>
      <c r="B13" s="2">
        <v>5800</v>
      </c>
      <c r="C13" s="135">
        <v>3842146906</v>
      </c>
      <c r="D13" s="325" t="str">
        <f>VLOOKUP(C13,Purchased!A:B,2,0)</f>
        <v>SLOT PROFILE SCHWARZ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P/N changed to 3842555270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t="shared" ca="1" si="0"/>
        <v>5800</v>
      </c>
      <c r="P13" s="51">
        <f>VLOOKUP(C13,Purchased!A:D,3,FALSE)</f>
        <v>5</v>
      </c>
      <c r="Q13" s="52">
        <f>B13/2000*P13</f>
        <v>14.5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501</v>
      </c>
      <c r="B15" s="2">
        <v>24</v>
      </c>
      <c r="C15" s="122" t="s">
        <v>277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24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701</v>
      </c>
      <c r="B17" s="2">
        <v>2</v>
      </c>
      <c r="C17" s="123" t="s">
        <v>588</v>
      </c>
      <c r="D17" s="325" t="str">
        <f>VLOOKUP(C17,Extrusion!B:C,2,0)</f>
        <v>APPROVED EL 9/3</v>
      </c>
      <c r="E17" s="326"/>
      <c r="F17" s="108" t="str">
        <f ca="1">VLOOKUP(C17,Extrusion!B:N,5,0)</f>
        <v>YES</v>
      </c>
      <c r="G17" s="108">
        <f>VLOOKUP(C17,Extrusion!B:N,6,0)</f>
        <v>1</v>
      </c>
      <c r="H17" s="108">
        <f>VLOOKUP(C17,Extrusion!B:N,7,0)</f>
        <v>0</v>
      </c>
      <c r="I17" s="109"/>
      <c r="J17" s="46" t="str">
        <f>VLOOKUP(C17,Extrusion!B:N,8,0)</f>
        <v>T-Slots</v>
      </c>
      <c r="K17" s="46">
        <f>VLOOKUP(C17,Extrusion!B:N,9,0)</f>
        <v>0</v>
      </c>
      <c r="L17" s="46">
        <f>VLOOKUP(C17,Extrusion!B:N,10,0)</f>
        <v>0</v>
      </c>
      <c r="M17" s="46">
        <f>VLOOKUP(C17,Extrusion!B:N,11,0)</f>
        <v>0</v>
      </c>
      <c r="N17" s="47">
        <f>VLOOKUP(C17,Extrusion!B:O,12,0)</f>
        <v>0</v>
      </c>
      <c r="O17" s="47">
        <f ca="1">B17*$L$2</f>
        <v>2</v>
      </c>
      <c r="P17" s="51">
        <f>VLOOKUP(C17,Extrusion!B:G,4,0)</f>
        <v>0</v>
      </c>
      <c r="Q17" s="52">
        <f>B17*P17</f>
        <v>0</v>
      </c>
    </row>
    <row r="18" spans="1:17" s="2" customFormat="1" ht="12.75" customHeight="1" thickBot="1" x14ac:dyDescent="0.3">
      <c r="A18" s="4">
        <v>702</v>
      </c>
      <c r="B18" s="2">
        <v>2</v>
      </c>
      <c r="C18" s="123" t="s">
        <v>414</v>
      </c>
      <c r="D18" s="325" t="str">
        <f>VLOOKUP(C18,Extrusion!B:C,2,0)</f>
        <v>APPROVED EL 9/3</v>
      </c>
      <c r="E18" s="326"/>
      <c r="F18" s="108" t="str">
        <f ca="1">VLOOKUP(C18,Extrusion!B:N,5,0)</f>
        <v>YES</v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ca="1">B18*$L$2</f>
        <v>2</v>
      </c>
      <c r="P18" s="51">
        <f>VLOOKUP(C18,Extrusion!B:G,4,0)</f>
        <v>0</v>
      </c>
      <c r="Q18" s="52">
        <f>B18*P18</f>
        <v>0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SUM(Q7:Q18)</f>
        <v>203.2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</sheetData>
  <mergeCells count="29">
    <mergeCell ref="D6:E6"/>
    <mergeCell ref="H6:I6"/>
    <mergeCell ref="D1:E1"/>
    <mergeCell ref="D4:E4"/>
    <mergeCell ref="H4:I4"/>
    <mergeCell ref="D5:E5"/>
    <mergeCell ref="H5:I5"/>
    <mergeCell ref="D19:E19"/>
    <mergeCell ref="H19:I19"/>
    <mergeCell ref="D16:E16"/>
    <mergeCell ref="H16:I16"/>
    <mergeCell ref="D11:E11"/>
    <mergeCell ref="H11:I11"/>
    <mergeCell ref="D12:E12"/>
    <mergeCell ref="H12:I12"/>
    <mergeCell ref="D13:E13"/>
    <mergeCell ref="H13:I13"/>
    <mergeCell ref="D14:E14"/>
    <mergeCell ref="H14:I14"/>
    <mergeCell ref="D17:E17"/>
    <mergeCell ref="D18:E18"/>
    <mergeCell ref="D10:E10"/>
    <mergeCell ref="H10:I10"/>
    <mergeCell ref="D7:E7"/>
    <mergeCell ref="H7:I7"/>
    <mergeCell ref="D8:E8"/>
    <mergeCell ref="H8:I8"/>
    <mergeCell ref="D9:E9"/>
    <mergeCell ref="H9:I9"/>
  </mergeCells>
  <conditionalFormatting sqref="M8 M10 M14:M18">
    <cfRule type="cellIs" dxfId="1448" priority="9" stopIfTrue="1" operator="lessThanOrEqual">
      <formula>$L8</formula>
    </cfRule>
    <cfRule type="cellIs" dxfId="1447" priority="10" operator="greaterThan">
      <formula>L8</formula>
    </cfRule>
  </conditionalFormatting>
  <conditionalFormatting sqref="M11">
    <cfRule type="cellIs" dxfId="1446" priority="5" stopIfTrue="1" operator="lessThanOrEqual">
      <formula>$L11</formula>
    </cfRule>
    <cfRule type="cellIs" dxfId="1445" priority="6" operator="greaterThan">
      <formula>L11</formula>
    </cfRule>
  </conditionalFormatting>
  <conditionalFormatting sqref="M12">
    <cfRule type="cellIs" dxfId="1444" priority="3" stopIfTrue="1" operator="lessThanOrEqual">
      <formula>$L12</formula>
    </cfRule>
    <cfRule type="cellIs" dxfId="1443" priority="4" operator="greaterThan">
      <formula>L12</formula>
    </cfRule>
  </conditionalFormatting>
  <conditionalFormatting sqref="M13">
    <cfRule type="cellIs" dxfId="1442" priority="1" stopIfTrue="1" operator="lessThanOrEqual">
      <formula>$L13</formula>
    </cfRule>
    <cfRule type="cellIs" dxfId="1441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6B8E106-FA55-48B5-B0A3-B6D77C429E9F}">
          <x14:formula1>
            <xm:f>Extrusion!$B:$B</xm:f>
          </x14:formula1>
          <xm:sqref>C17:C18</xm:sqref>
        </x14:dataValidation>
        <x14:dataValidation type="list" allowBlank="1" showInputMessage="1" showErrorMessage="1" xr:uid="{5B9D5ED9-ECA4-47B2-9A5D-2F566D674E5D}">
          <x14:formula1>
            <xm:f>Bolts!$A:$A</xm:f>
          </x14:formula1>
          <xm:sqref>C15</xm:sqref>
        </x14:dataValidation>
        <x14:dataValidation type="list" allowBlank="1" showInputMessage="1" showErrorMessage="1" xr:uid="{E99CCB9E-F706-49FE-AF7F-6D01E85A7931}">
          <x14:formula1>
            <xm:f>Assemblies!$E:$E</xm:f>
          </x14:formula1>
          <xm:sqref>C5:C7</xm:sqref>
        </x14:dataValidation>
        <x14:dataValidation type="list" allowBlank="1" showInputMessage="1" showErrorMessage="1" xr:uid="{B8FFDD95-A638-49DB-BADD-5C15BCB76D1D}">
          <x14:formula1>
            <xm:f>Machined!$C:$C</xm:f>
          </x14:formula1>
          <xm:sqref>C9</xm:sqref>
        </x14:dataValidation>
        <x14:dataValidation type="list" allowBlank="1" showInputMessage="1" showErrorMessage="1" xr:uid="{098D3AC8-4D37-4395-9B72-838FDC3985BF}">
          <x14:formula1>
            <xm:f>Purchased!$A:$A</xm:f>
          </x14:formula1>
          <xm:sqref>C11:C13</xm:sqref>
        </x14:dataValidation>
      </x14:dataValidations>
    </ext>
  </extLst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D326B-F324-4363-9D73-AE1E7F141505}">
  <sheetPr codeName="Sheet259">
    <tabColor theme="6" tint="0.59999389629810485"/>
  </sheetPr>
  <dimension ref="A1:Q9"/>
  <sheetViews>
    <sheetView zoomScale="115" zoomScaleNormal="115" workbookViewId="0">
      <selection activeCell="D16" sqref="D1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'4.2'!C16</f>
        <v>PG10.4.2.10.0.A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'4.2'!D16</f>
        <v>Twin Wall Top Guard 6</v>
      </c>
      <c r="D3" s="85" t="s">
        <v>50</v>
      </c>
      <c r="E3" s="86" t="str">
        <f ca="1">MID(CELL("filename",A1),FIND("]",CELL("filename",A1))+1,256)</f>
        <v>4.2.10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12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12</v>
      </c>
      <c r="P5" s="117">
        <f>'1.1.11.1'!Q9</f>
        <v>7.1199999999999992</v>
      </c>
      <c r="Q5" s="152">
        <f>B5*P5</f>
        <v>85.44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590</v>
      </c>
      <c r="D7" s="314" t="str">
        <f>VLOOKUP(C7,Machined!C:X,2,0)</f>
        <v>Twin Wall Top Guard 6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ca="1">B7*$L$2</f>
        <v>1</v>
      </c>
      <c r="P7" s="49">
        <f>VLOOKUP(C7,Machined!C:F,3,0)</f>
        <v>84.9</v>
      </c>
      <c r="Q7" s="50">
        <f>B7*P7</f>
        <v>84.9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170.34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440" priority="1" stopIfTrue="1" operator="lessThanOrEqual">
      <formula>$L6</formula>
    </cfRule>
    <cfRule type="cellIs" dxfId="1439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2E3DD5-1ECE-486E-9264-E3179C42956F}">
          <x14:formula1>
            <xm:f>Assemblies!$E:$E</xm:f>
          </x14:formula1>
          <xm:sqref>C5</xm:sqref>
        </x14:dataValidation>
        <x14:dataValidation type="list" allowBlank="1" showInputMessage="1" showErrorMessage="1" xr:uid="{82389A47-0F11-4D6E-B128-2085D863E692}">
          <x14:formula1>
            <xm:f>Machined!$C:$C</xm:f>
          </x14:formula1>
          <xm:sqref>C7</xm:sqref>
        </x14:dataValidation>
      </x14:dataValidations>
    </ext>
  </extLst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FBCEB-FC75-4330-A35C-1DEC95B93D9F}">
  <sheetPr codeName="Sheet260">
    <tabColor theme="6" tint="0.59999389629810485"/>
  </sheetPr>
  <dimension ref="A1:Q9"/>
  <sheetViews>
    <sheetView zoomScale="115" zoomScaleNormal="115" workbookViewId="0">
      <selection activeCell="C15" sqref="C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'4.2'!C17</f>
        <v>PG10.4.2.11.0.A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'4.2'!D17</f>
        <v>Twin Wall Top Guard 7</v>
      </c>
      <c r="D3" s="85" t="s">
        <v>50</v>
      </c>
      <c r="E3" s="86" t="str">
        <f ca="1">MID(CELL("filename",A1),FIND("]",CELL("filename",A1))+1,256)</f>
        <v>4.2.11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12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12</v>
      </c>
      <c r="P5" s="117">
        <f>'1.1.11.1'!Q9</f>
        <v>7.1199999999999992</v>
      </c>
      <c r="Q5" s="152">
        <f>B5*P5</f>
        <v>85.44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591</v>
      </c>
      <c r="D7" s="314" t="str">
        <f>VLOOKUP(C7,Machined!C:X,2,0)</f>
        <v>Twin Wall Top Guard 7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ca="1">B7*$L$2</f>
        <v>1</v>
      </c>
      <c r="P7" s="49">
        <f>VLOOKUP(C7,Machined!C:F,3,0)</f>
        <v>84.9</v>
      </c>
      <c r="Q7" s="50">
        <f>B7*P7</f>
        <v>84.9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170.34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1438" priority="1" stopIfTrue="1" operator="lessThanOrEqual">
      <formula>$L6</formula>
    </cfRule>
    <cfRule type="cellIs" dxfId="143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510075-47E2-473B-A7D2-4E65FC146F68}">
          <x14:formula1>
            <xm:f>Assemblies!$E:$E</xm:f>
          </x14:formula1>
          <xm:sqref>C5</xm:sqref>
        </x14:dataValidation>
        <x14:dataValidation type="list" allowBlank="1" showInputMessage="1" showErrorMessage="1" xr:uid="{33729298-E7FF-4391-854A-803941411B7C}">
          <x14:formula1>
            <xm:f>Machined!$C:$C</xm:f>
          </x14:formula1>
          <xm:sqref>C7</xm:sqref>
        </x14:dataValidation>
      </x14:dataValidations>
    </ext>
  </extLst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39666-8A24-4495-98E2-548CA61DB344}">
  <sheetPr codeName="Sheet261">
    <tabColor theme="6" tint="0.59999389629810485"/>
  </sheetPr>
  <dimension ref="A1:Q10"/>
  <sheetViews>
    <sheetView zoomScale="115" zoomScaleNormal="115" workbookViewId="0">
      <selection activeCell="D13" sqref="D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'4.2'!C18</f>
        <v>PG10.4.2.12.0.A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'4.2'!D18</f>
        <v>Twin Wall Top Guard 8</v>
      </c>
      <c r="D3" s="85" t="s">
        <v>50</v>
      </c>
      <c r="E3" s="86" t="str">
        <f ca="1">MID(CELL("filename",A1),FIND("]",CELL("filename",A1))+1,256)</f>
        <v>4.2.12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24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24</v>
      </c>
      <c r="P5" s="117">
        <f>'1.1.11.1'!Q9</f>
        <v>7.1199999999999992</v>
      </c>
      <c r="Q5" s="152">
        <f>B5*P5</f>
        <v>170.88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1</v>
      </c>
      <c r="C7" s="121" t="s">
        <v>592</v>
      </c>
      <c r="D7" s="314" t="str">
        <f>VLOOKUP(C7,Machined!C:X,2,0)</f>
        <v>Twin Wall Top Guard 8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ca="1">B7*$L$2</f>
        <v>1</v>
      </c>
      <c r="P7" s="49">
        <f>VLOOKUP(C7,Machined!C:F,3,0)</f>
        <v>84.91</v>
      </c>
      <c r="Q7" s="50">
        <f>B7*P7</f>
        <v>84.91</v>
      </c>
    </row>
    <row r="8" spans="1:17" s="2" customFormat="1" ht="12.75" customHeight="1" thickBot="1" x14ac:dyDescent="0.3">
      <c r="A8" s="77" t="s">
        <v>624</v>
      </c>
      <c r="B8" s="20">
        <v>1</v>
      </c>
      <c r="C8" s="121" t="s">
        <v>3828</v>
      </c>
      <c r="D8" s="314" t="str">
        <f>VLOOKUP(C8,Machined!C:X,2,0)</f>
        <v>Twin Wall Top Guard 8-2</v>
      </c>
      <c r="E8" s="329"/>
      <c r="F8" s="107" t="str">
        <f>VLOOKUP($C8,Machined!C:Z,13,0)</f>
        <v>POLYCARBONITE-CLEAR</v>
      </c>
      <c r="G8" s="44" t="str">
        <f>IF(VLOOKUP($C8,Machined!C:Z,16,0) = 0, " ", VLOOKUP($C8,Machined!C:Z,16,0))</f>
        <v>Polycarbstore.com</v>
      </c>
      <c r="H8" s="320" t="str">
        <f>IF(VLOOKUP($C8,Machined!C:Z,17,0) = 0, " ", VLOOKUP($C8,Machined!C:Z,17,0))</f>
        <v xml:space="preserve"> </v>
      </c>
      <c r="I8" s="321"/>
      <c r="J8" s="44">
        <f>IF(VLOOKUP($C8,Machined!C:Z,18,0) = 0, " ", VLOOKUP($C8,Machined!C:Z,18,0))</f>
        <v>45545</v>
      </c>
      <c r="K8" s="44">
        <f>IF(VLOOKUP($C8,Machined!C:Z,19,0) = 0, " ", VLOOKUP($C8,Machined!C:Z,19,0))</f>
        <v>45554</v>
      </c>
      <c r="L8" s="44">
        <f>IF(VLOOKUP($C8,Machined!C:Z,20,0) = 0, " ", VLOOKUP($C8,Machined!C:Z,20,0))</f>
        <v>45576</v>
      </c>
      <c r="M8" s="44" t="str">
        <f>IF(VLOOKUP($C8,Machined!C:Z,21,0) = 0, " ", VLOOKUP($C8,Machined!C:Z,21,0))</f>
        <v xml:space="preserve"> </v>
      </c>
      <c r="N8" s="129">
        <f>IF(VLOOKUP($C8,Machined!C:Z,22,0) = 0, " ", VLOOKUP($C8,Machined!C:Z,22,0))</f>
        <v>55745</v>
      </c>
      <c r="O8" s="45">
        <f ca="1">B8*$L$2</f>
        <v>1</v>
      </c>
      <c r="P8" s="49">
        <f>VLOOKUP(C8,Machined!C:F,3,0)</f>
        <v>84.91</v>
      </c>
      <c r="Q8" s="50">
        <f>B8*P8</f>
        <v>84.91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340.7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mergeCells count="13">
    <mergeCell ref="D8:E8"/>
    <mergeCell ref="H8:I8"/>
    <mergeCell ref="D9:E9"/>
    <mergeCell ref="H9:I9"/>
    <mergeCell ref="D1:E1"/>
    <mergeCell ref="D4:E4"/>
    <mergeCell ref="H4:I4"/>
    <mergeCell ref="D5:E5"/>
    <mergeCell ref="H5:I5"/>
    <mergeCell ref="D6:E6"/>
    <mergeCell ref="H6:I6"/>
    <mergeCell ref="D7:E7"/>
    <mergeCell ref="H7:I7"/>
  </mergeCells>
  <conditionalFormatting sqref="M6">
    <cfRule type="cellIs" dxfId="1436" priority="1" stopIfTrue="1" operator="lessThanOrEqual">
      <formula>$L6</formula>
    </cfRule>
    <cfRule type="cellIs" dxfId="143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059C8A5-C3CF-499E-A070-356E517F96D6}">
          <x14:formula1>
            <xm:f>Assemblies!$E:$E</xm:f>
          </x14:formula1>
          <xm:sqref>C5</xm:sqref>
        </x14:dataValidation>
        <x14:dataValidation type="list" allowBlank="1" showInputMessage="1" showErrorMessage="1" xr:uid="{FA2C8835-8F2A-4170-8695-0CC49A7098A1}">
          <x14:formula1>
            <xm:f>Machined!$C:$C</xm:f>
          </x14:formula1>
          <xm:sqref>C7:C8</xm:sqref>
        </x14:dataValidation>
      </x14:dataValidations>
    </ext>
  </extLst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42767-90EC-4D0F-961A-65CC16F92D98}">
  <sheetPr codeName="Sheet112">
    <tabColor theme="9" tint="0.59999389629810485"/>
    <pageSetUpPr fitToPage="1"/>
  </sheetPr>
  <dimension ref="A1:Q51"/>
  <sheetViews>
    <sheetView zoomScale="114" zoomScaleNormal="115" workbookViewId="0">
      <selection activeCell="C12" sqref="C12"/>
    </sheetView>
  </sheetViews>
  <sheetFormatPr defaultColWidth="9.140625" defaultRowHeight="12" customHeight="1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'4'!C7</f>
        <v>PG10.4.3.0.A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'4'!D7</f>
        <v>CENTER KNIFE ASSY</v>
      </c>
      <c r="D3" s="85" t="s">
        <v>50</v>
      </c>
      <c r="E3" s="86" t="str">
        <f ca="1">MID(CELL("filename",A1),FIND("]",CELL("filename",A1))+1,256)</f>
        <v>4.3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77">
        <v>1</v>
      </c>
      <c r="B5" s="20">
        <v>1</v>
      </c>
      <c r="C5" s="121" t="s">
        <v>593</v>
      </c>
      <c r="D5" s="314" t="str">
        <f>VLOOKUP(C5,Machined!C:X,2,0)</f>
        <v>CENTER KNIFE SIDE PLATE A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ca="1">B5*$L$2</f>
        <v>1</v>
      </c>
      <c r="P5" s="49">
        <f>VLOOKUP(C5,Machined!C:F,3,0)</f>
        <v>326</v>
      </c>
      <c r="Q5" s="50">
        <f>B5*P5</f>
        <v>326</v>
      </c>
    </row>
    <row r="6" spans="1:17" s="2" customFormat="1" ht="12" customHeight="1" x14ac:dyDescent="0.25">
      <c r="A6" s="77">
        <v>2</v>
      </c>
      <c r="B6" s="20">
        <v>1</v>
      </c>
      <c r="C6" s="121" t="s">
        <v>594</v>
      </c>
      <c r="D6" s="314" t="str">
        <f>VLOOKUP(C6,Machined!C:X,2,0)</f>
        <v>CENTER KNIFE SIDE PLATE B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45463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55572</v>
      </c>
      <c r="O6" s="45">
        <f t="shared" ref="O6:O7" ca="1" si="0">B6*$L$2</f>
        <v>1</v>
      </c>
      <c r="P6" s="49">
        <f>VLOOKUP(C6,Machined!C:F,3,0)</f>
        <v>326</v>
      </c>
      <c r="Q6" s="50">
        <f t="shared" ref="Q6:Q7" si="1">B6*P6</f>
        <v>326</v>
      </c>
    </row>
    <row r="7" spans="1:17" s="2" customFormat="1" ht="12" customHeight="1" x14ac:dyDescent="0.25">
      <c r="A7" s="77">
        <v>3</v>
      </c>
      <c r="B7" s="20">
        <v>1</v>
      </c>
      <c r="C7" s="121" t="s">
        <v>595</v>
      </c>
      <c r="D7" s="314" t="str">
        <f>VLOOKUP(C7,Machined!C:X,2,0)</f>
        <v>Mount Mount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1</v>
      </c>
      <c r="P7" s="49">
        <f>VLOOKUP(C7,Machined!C:F,3,0)</f>
        <v>212</v>
      </c>
      <c r="Q7" s="50">
        <f t="shared" si="1"/>
        <v>212</v>
      </c>
    </row>
    <row r="8" spans="1:17" s="2" customFormat="1" ht="12" customHeight="1" x14ac:dyDescent="0.25">
      <c r="A8" s="77">
        <v>4</v>
      </c>
      <c r="B8" s="20">
        <v>1</v>
      </c>
      <c r="C8" s="121" t="s">
        <v>596</v>
      </c>
      <c r="D8" s="314" t="str">
        <f>VLOOKUP(C8,Machined!C:X,2,0)</f>
        <v>Center Knife Cylinder Mount Plate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45463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55572</v>
      </c>
      <c r="O8" s="45">
        <f ca="1">B8*$L$2</f>
        <v>1</v>
      </c>
      <c r="P8" s="49">
        <f>VLOOKUP(C8,Machined!C:F,3,0)</f>
        <v>137</v>
      </c>
      <c r="Q8" s="50">
        <f>B8*P8</f>
        <v>137</v>
      </c>
    </row>
    <row r="9" spans="1:17" s="2" customFormat="1" ht="12" customHeight="1" x14ac:dyDescent="0.25">
      <c r="A9" s="77">
        <v>5</v>
      </c>
      <c r="B9" s="20">
        <v>1</v>
      </c>
      <c r="C9" s="121" t="s">
        <v>597</v>
      </c>
      <c r="D9" s="314" t="str">
        <f>VLOOKUP(C9,Machined!C:X,2,0)</f>
        <v>Igus Lead Nut Bushing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Bemox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45463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55572</v>
      </c>
      <c r="O9" s="45">
        <f t="shared" ref="O9:O10" ca="1" si="2">B9*$L$2</f>
        <v>1</v>
      </c>
      <c r="P9" s="49">
        <f>VLOOKUP(C9,Machined!C:F,3,0)</f>
        <v>212</v>
      </c>
      <c r="Q9" s="50">
        <f t="shared" ref="Q9:Q10" si="3">B9*P9</f>
        <v>212</v>
      </c>
    </row>
    <row r="10" spans="1:17" s="2" customFormat="1" ht="12" customHeight="1" x14ac:dyDescent="0.25">
      <c r="A10" s="77">
        <v>6</v>
      </c>
      <c r="B10" s="20">
        <v>1</v>
      </c>
      <c r="C10" s="121" t="s">
        <v>598</v>
      </c>
      <c r="D10" s="314" t="str">
        <f>VLOOKUP(C10,Machined!C:X,2,0)</f>
        <v>CENTER KNIFE BASE</v>
      </c>
      <c r="E10" s="329"/>
      <c r="F10" s="107" t="str">
        <f>VLOOKUP($C10,Machined!C:Z,13,0)</f>
        <v>6061-T6 ALUMINUM</v>
      </c>
      <c r="G10" s="44" t="str">
        <f>IF(VLOOKUP($C10,Machined!C:Z,16,0) = 0, " ", VLOOKUP($C10,Machined!C:Z,16,0))</f>
        <v>Bemox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6061-T6 ALUMINUM</v>
      </c>
      <c r="J10" s="44">
        <f>IF(VLOOKUP($C10,Machined!C:Z,18,0) = 0, " ", VLOOKUP($C10,Machined!C:Z,18,0))</f>
        <v>45463</v>
      </c>
      <c r="K10" s="44">
        <f>IF(VLOOKUP($C10,Machined!C:Z,19,0) = 0, " ", VLOOKUP($C10,Machined!C:Z,19,0))</f>
        <v>45467</v>
      </c>
      <c r="L10" s="44">
        <f>IF(VLOOKUP($C10,Machined!C:Z,20,0) = 0, " ", VLOOKUP($C10,Machined!C:Z,20,0))</f>
        <v>45504</v>
      </c>
      <c r="M10" s="44">
        <f>IF(VLOOKUP($C10,Machined!C:Z,21,0) = 0, " ", VLOOKUP($C10,Machined!C:Z,21,0))</f>
        <v>45504</v>
      </c>
      <c r="N10" s="129">
        <f>IF(VLOOKUP($C10,Machined!C:Z,22,0) = 0, " ", VLOOKUP($C10,Machined!C:Z,22,0))</f>
        <v>55572</v>
      </c>
      <c r="O10" s="45">
        <f t="shared" ca="1" si="2"/>
        <v>1</v>
      </c>
      <c r="P10" s="49">
        <f>VLOOKUP(C10,Machined!C:F,3,0)</f>
        <v>137</v>
      </c>
      <c r="Q10" s="50">
        <f t="shared" si="3"/>
        <v>137</v>
      </c>
    </row>
    <row r="11" spans="1:17" s="2" customFormat="1" ht="12" customHeight="1" x14ac:dyDescent="0.25">
      <c r="A11" s="77">
        <v>7</v>
      </c>
      <c r="B11" s="20">
        <v>1</v>
      </c>
      <c r="C11" s="121" t="s">
        <v>599</v>
      </c>
      <c r="D11" s="314" t="str">
        <f>VLOOKUP(C11,Machined!C:X,2,0)</f>
        <v>CENTER KNIFE HOLDER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Bemox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45463</v>
      </c>
      <c r="K11" s="44">
        <f>IF(VLOOKUP($C11,Machined!C:Z,19,0) = 0, " ", VLOOKUP($C11,Machined!C:Z,19,0))</f>
        <v>45467</v>
      </c>
      <c r="L11" s="44">
        <f>IF(VLOOKUP($C11,Machined!C:Z,20,0) = 0, " ", VLOOKUP($C11,Machined!C:Z,20,0))</f>
        <v>45504</v>
      </c>
      <c r="M11" s="44">
        <f>IF(VLOOKUP($C11,Machined!C:Z,21,0) = 0, " ", VLOOKUP($C11,Machined!C:Z,21,0))</f>
        <v>45504</v>
      </c>
      <c r="N11" s="129">
        <f>IF(VLOOKUP($C11,Machined!C:Z,22,0) = 0, " ", VLOOKUP($C11,Machined!C:Z,22,0))</f>
        <v>55572</v>
      </c>
      <c r="O11" s="45">
        <f ca="1">B11*$L$2</f>
        <v>1</v>
      </c>
      <c r="P11" s="49">
        <f>VLOOKUP(C11,Machined!C:F,3,0)</f>
        <v>287</v>
      </c>
      <c r="Q11" s="50">
        <f>B11*P11</f>
        <v>287</v>
      </c>
    </row>
    <row r="12" spans="1:17" s="2" customFormat="1" ht="12" customHeight="1" x14ac:dyDescent="0.25">
      <c r="A12" s="77">
        <v>8</v>
      </c>
      <c r="B12" s="20">
        <v>2</v>
      </c>
      <c r="C12" s="121" t="s">
        <v>600</v>
      </c>
      <c r="D12" s="314" t="str">
        <f>VLOOKUP(C12,Machined!C:X,2,0)</f>
        <v>Center Knife Support Rod</v>
      </c>
      <c r="E12" s="329"/>
      <c r="F12" s="107" t="str">
        <f>VLOOKUP($C12,Machined!C:Z,13,0)</f>
        <v>303 TG&amp;P, Round Stock, -0.0005</v>
      </c>
      <c r="G12" s="44" t="str">
        <f>IF(VLOOKUP($C12,Machined!C:Z,16,0) = 0, " ", VLOOKUP($C12,Machined!C:Z,16,0))</f>
        <v xml:space="preserve">Nuline 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303 TG&amp;P, Round Stock, -0.0005</v>
      </c>
      <c r="J12" s="44">
        <f>IF(VLOOKUP($C12,Machined!C:Z,18,0) = 0, " ", VLOOKUP($C12,Machined!C:Z,18,0))</f>
        <v>45463</v>
      </c>
      <c r="K12" s="44" t="str">
        <f>IF(VLOOKUP($C12,Machined!C:Z,19,0) = 0, " ", VLOOKUP($C12,Machined!C:Z,19,0))</f>
        <v xml:space="preserve"> </v>
      </c>
      <c r="L12" s="44">
        <f>IF(VLOOKUP($C12,Machined!C:Z,20,0) = 0, " ", VLOOKUP($C12,Machined!C:Z,20,0))</f>
        <v>45520</v>
      </c>
      <c r="M12" s="44">
        <f>IF(VLOOKUP($C12,Machined!C:Z,21,0) = 0, " ", VLOOKUP($C12,Machined!C:Z,21,0))</f>
        <v>45520</v>
      </c>
      <c r="N12" s="129">
        <f>IF(VLOOKUP($C12,Machined!C:Z,22,0) = 0, " ", VLOOKUP($C12,Machined!C:Z,22,0))</f>
        <v>55555</v>
      </c>
      <c r="O12" s="45">
        <f t="shared" ref="O12:O13" ca="1" si="4">B12*$L$2</f>
        <v>2</v>
      </c>
      <c r="P12" s="49">
        <f>VLOOKUP(C12,Machined!C:F,3,0)</f>
        <v>0</v>
      </c>
      <c r="Q12" s="50">
        <f t="shared" ref="Q12:Q13" si="5">B12*P12</f>
        <v>0</v>
      </c>
    </row>
    <row r="13" spans="1:17" s="2" customFormat="1" ht="12" customHeight="1" x14ac:dyDescent="0.25">
      <c r="A13" s="77">
        <v>9</v>
      </c>
      <c r="B13" s="20">
        <v>1</v>
      </c>
      <c r="C13" s="121" t="s">
        <v>601</v>
      </c>
      <c r="D13" s="314" t="str">
        <f>VLOOKUP(C13,Machined!C:X,2,0)</f>
        <v>Lead Nut Mount Mount</v>
      </c>
      <c r="E13" s="329"/>
      <c r="F13" s="107" t="str">
        <f>VLOOKUP($C13,Machined!C:Z,13,0)</f>
        <v>6061-T6 ALUMINUM</v>
      </c>
      <c r="G13" s="44" t="str">
        <f>IF(VLOOKUP($C13,Machined!C:Z,16,0) = 0, " ", VLOOKUP($C13,Machined!C:Z,16,0))</f>
        <v>Bemox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6061-T6 ALUMINUM</v>
      </c>
      <c r="J13" s="44">
        <f>IF(VLOOKUP($C13,Machined!C:Z,18,0) = 0, " ", VLOOKUP($C13,Machined!C:Z,18,0))</f>
        <v>45463</v>
      </c>
      <c r="K13" s="44">
        <f>IF(VLOOKUP($C13,Machined!C:Z,19,0) = 0, " ", VLOOKUP($C13,Machined!C:Z,19,0))</f>
        <v>45467</v>
      </c>
      <c r="L13" s="44">
        <f>IF(VLOOKUP($C13,Machined!C:Z,20,0) = 0, " ", VLOOKUP($C13,Machined!C:Z,20,0))</f>
        <v>45504</v>
      </c>
      <c r="M13" s="44">
        <f>IF(VLOOKUP($C13,Machined!C:Z,21,0) = 0, " ", VLOOKUP($C13,Machined!C:Z,21,0))</f>
        <v>45504</v>
      </c>
      <c r="N13" s="129">
        <f>IF(VLOOKUP($C13,Machined!C:Z,22,0) = 0, " ", VLOOKUP($C13,Machined!C:Z,22,0))</f>
        <v>55572</v>
      </c>
      <c r="O13" s="45">
        <f t="shared" ca="1" si="4"/>
        <v>1</v>
      </c>
      <c r="P13" s="49">
        <f>VLOOKUP(C13,Machined!C:F,3,0)</f>
        <v>137</v>
      </c>
      <c r="Q13" s="50">
        <f t="shared" si="5"/>
        <v>137</v>
      </c>
    </row>
    <row r="14" spans="1:17" s="2" customFormat="1" ht="12" customHeight="1" x14ac:dyDescent="0.25">
      <c r="A14" s="77">
        <v>10</v>
      </c>
      <c r="B14" s="20">
        <v>1</v>
      </c>
      <c r="C14" s="121" t="s">
        <v>602</v>
      </c>
      <c r="D14" s="314" t="str">
        <f>VLOOKUP(C14,Machined!C:X,2,0)</f>
        <v>Center Knife Adjustment Shaft-Short</v>
      </c>
      <c r="E14" s="329"/>
      <c r="F14" s="107" t="str">
        <f>VLOOKUP($C14,Machined!C:Z,13,0)</f>
        <v>303 TG&amp;P, Round Stock, -0.0005</v>
      </c>
      <c r="G14" s="44" t="str">
        <f>IF(VLOOKUP($C14,Machined!C:Z,16,0) = 0, " ", VLOOKUP($C14,Machined!C:Z,16,0))</f>
        <v>Craig Miller</v>
      </c>
      <c r="H14" s="320" t="str">
        <f>IF(VLOOKUP($C14,Machined!C:Z,17,0) = 0, " ", VLOOKUP($C14,Machined!C:Z,17,0))</f>
        <v xml:space="preserve"> </v>
      </c>
      <c r="I14" s="321" t="str">
        <f>IF(VLOOKUP($C14,Machined!$C:$Y,13,0) = 0, " ", VLOOKUP($C14,Machined!$C:$Y,13,0))</f>
        <v>303 TG&amp;P, Round Stock, -0.0005</v>
      </c>
      <c r="J14" s="44">
        <f>IF(VLOOKUP($C14,Machined!C:Z,18,0) = 0, " ", VLOOKUP($C14,Machined!C:Z,18,0))</f>
        <v>45468</v>
      </c>
      <c r="K14" s="44">
        <f>IF(VLOOKUP($C14,Machined!C:Z,19,0) = 0, " ", VLOOKUP($C14,Machined!C:Z,19,0))</f>
        <v>45470</v>
      </c>
      <c r="L14" s="44">
        <f>IF(VLOOKUP($C14,Machined!C:Z,20,0) = 0, " ", VLOOKUP($C14,Machined!C:Z,20,0))</f>
        <v>45495</v>
      </c>
      <c r="M14" s="44">
        <f>IF(VLOOKUP($C14,Machined!C:Z,21,0) = 0, " ", VLOOKUP($C14,Machined!C:Z,21,0))</f>
        <v>45495</v>
      </c>
      <c r="N14" s="129">
        <f>IF(VLOOKUP($C14,Machined!C:Z,22,0) = 0, " ", VLOOKUP($C14,Machined!C:Z,22,0))</f>
        <v>55576</v>
      </c>
      <c r="O14" s="45">
        <f ca="1">B14*$L$2</f>
        <v>1</v>
      </c>
      <c r="P14" s="49">
        <f>VLOOKUP(C14,Machined!C:F,3,0)</f>
        <v>150</v>
      </c>
      <c r="Q14" s="50">
        <f>B14*P14</f>
        <v>150</v>
      </c>
    </row>
    <row r="15" spans="1:17" s="2" customFormat="1" ht="12" customHeight="1" x14ac:dyDescent="0.25">
      <c r="A15" s="77">
        <v>11</v>
      </c>
      <c r="B15" s="20">
        <v>1</v>
      </c>
      <c r="C15" s="121" t="s">
        <v>497</v>
      </c>
      <c r="D15" s="314" t="str">
        <f>VLOOKUP(C15,Machined!C:X,2,0)</f>
        <v>CENTER KNIFE HANDWHEEL PLATE</v>
      </c>
      <c r="E15" s="329"/>
      <c r="F15" s="107" t="str">
        <f>VLOOKUP($C15,Machined!C:Z,13,0)</f>
        <v>6061-T6 ALUMINUM</v>
      </c>
      <c r="G15" s="44" t="str">
        <f>IF(VLOOKUP($C15,Machined!C:Z,16,0) = 0, " ", VLOOKUP($C15,Machined!C:Z,16,0))</f>
        <v>Bemox, Xometry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6061-T6 ALUMINUM</v>
      </c>
      <c r="J15" s="44">
        <f>IF(VLOOKUP($C15,Machined!C:Z,18,0) = 0, " ", VLOOKUP($C15,Machined!C:Z,18,0))</f>
        <v>45463</v>
      </c>
      <c r="K15" s="44">
        <f>IF(VLOOKUP($C15,Machined!C:Z,19,0) = 0, " ", VLOOKUP($C15,Machined!C:Z,19,0))</f>
        <v>45467</v>
      </c>
      <c r="L15" s="44">
        <f>IF(VLOOKUP($C15,Machined!C:Z,20,0) = 0, " ", VLOOKUP($C15,Machined!C:Z,20,0))</f>
        <v>45504</v>
      </c>
      <c r="M15" s="44">
        <f>IF(VLOOKUP($C15,Machined!C:Z,21,0) = 0, " ", VLOOKUP($C15,Machined!C:Z,21,0))</f>
        <v>45504</v>
      </c>
      <c r="N15" s="129">
        <f>IF(VLOOKUP($C15,Machined!C:Z,22,0) = 0, " ", VLOOKUP($C15,Machined!C:Z,22,0))</f>
        <v>55572</v>
      </c>
      <c r="O15" s="45">
        <f t="shared" ref="O15" ca="1" si="6">B15*$L$2</f>
        <v>1</v>
      </c>
      <c r="P15" s="49">
        <f>VLOOKUP(C15,Machined!C:F,3,0)</f>
        <v>137</v>
      </c>
      <c r="Q15" s="50">
        <f t="shared" ref="Q15" si="7">B15*P15</f>
        <v>137</v>
      </c>
    </row>
    <row r="16" spans="1:17" s="2" customFormat="1" ht="12" customHeight="1" x14ac:dyDescent="0.25">
      <c r="A16" s="77" t="s">
        <v>603</v>
      </c>
      <c r="B16" s="20">
        <v>1</v>
      </c>
      <c r="C16" s="121" t="s">
        <v>604</v>
      </c>
      <c r="D16" s="314" t="str">
        <f>VLOOKUP(C16,Machined!C:X,2,0)</f>
        <v>Center Knife Tube Guide</v>
      </c>
      <c r="E16" s="329"/>
      <c r="F16" s="107" t="str">
        <f>VLOOKUP($C16,Machined!C:Z,13,0)</f>
        <v>304 STAINLESS STEEL</v>
      </c>
      <c r="G16" s="44" t="str">
        <f>IF(VLOOKUP($C16,Machined!C:Z,16,0) = 0, " ", VLOOKUP($C16,Machined!C:Z,16,0))</f>
        <v xml:space="preserve"> </v>
      </c>
      <c r="H16" s="320" t="str">
        <f>IF(VLOOKUP($C16,Machined!C:Z,17,0) = 0, " ", VLOOKUP($C16,Machined!C:Z,17,0))</f>
        <v xml:space="preserve"> </v>
      </c>
      <c r="I16" s="321" t="str">
        <f>IF(VLOOKUP($C16,Machined!$C:$Y,13,0) = 0, " ", VLOOKUP($C16,Machined!$C:$Y,13,0))</f>
        <v>304 STAINLESS STEEL</v>
      </c>
      <c r="J16" s="44" t="str">
        <f>IF(VLOOKUP($C16,Machined!C:Z,18,0) = 0, " ", VLOOKUP($C16,Machined!C:Z,18,0))</f>
        <v xml:space="preserve"> </v>
      </c>
      <c r="K16" s="44" t="str">
        <f>IF(VLOOKUP($C16,Machined!C:Z,19,0) = 0, " ", VLOOKUP($C16,Machined!C:Z,19,0))</f>
        <v xml:space="preserve"> </v>
      </c>
      <c r="L16" s="44" t="str">
        <f>IF(VLOOKUP($C16,Machined!C:Z,20,0) = 0, " ", VLOOKUP($C16,Machined!C:Z,20,0))</f>
        <v xml:space="preserve"> </v>
      </c>
      <c r="M16" s="44" t="str">
        <f>IF(VLOOKUP($C16,Machined!C:Z,21,0) = 0, " ", VLOOKUP($C16,Machined!C:Z,21,0))</f>
        <v xml:space="preserve"> </v>
      </c>
      <c r="N16" s="129" t="str">
        <f>IF(VLOOKUP($C16,Machined!C:Z,22,0) = 0, " ", VLOOKUP($C16,Machined!C:Z,22,0))</f>
        <v xml:space="preserve"> </v>
      </c>
      <c r="O16" s="45">
        <f t="shared" ref="O16" ca="1" si="8">B16*$L$2</f>
        <v>1</v>
      </c>
      <c r="P16" s="49">
        <f>VLOOKUP(C16,Machined!C:F,3,0)</f>
        <v>0</v>
      </c>
      <c r="Q16" s="50">
        <f t="shared" ref="Q16" si="9">B16*P16</f>
        <v>0</v>
      </c>
    </row>
    <row r="17" spans="1:17" s="2" customFormat="1" ht="12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" customHeight="1" x14ac:dyDescent="0.25">
      <c r="A18" s="4">
        <v>301</v>
      </c>
      <c r="B18" s="2">
        <v>7</v>
      </c>
      <c r="C18" s="135">
        <v>3842530283</v>
      </c>
      <c r="D18" s="325" t="str">
        <f>VLOOKUP(C18,Purchased!A:B,2,0)</f>
        <v>BRX GOTO T-NUT 10 M5</v>
      </c>
      <c r="E18" s="326"/>
      <c r="F18" s="108" t="str">
        <f>IF(VLOOKUP($C18,Purchased!A:Z,11,0) = 0, " ", VLOOKUP($C18,Purchased!A:Z,11,0))</f>
        <v>BRX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>100 additional quantity added to 55710</v>
      </c>
      <c r="I18" s="328"/>
      <c r="J18" s="46">
        <f>IF(VLOOKUP($C18,Purchased!A:Z,14,0)=0, " ", VLOOKUP($C18,Purchased!A:Z,14,0))</f>
        <v>45463</v>
      </c>
      <c r="K18" s="46">
        <f>IF(VLOOKUP(C18,Purchased!A:R,14,0)=0, " ", VLOOKUP(C18,Purchased!A:R,14,0))</f>
        <v>45463</v>
      </c>
      <c r="L18" s="46">
        <f>IF(VLOOKUP(C18,Purchased!A:R,15,0)=0, " ", VLOOKUP(C18,Purchased!A:R,15,0))</f>
        <v>45463</v>
      </c>
      <c r="M18" s="46">
        <f>IF(VLOOKUP(C18,Purchased!A:R,16,0)=0, " ",VLOOKUP(C18,Purchased!A:R,16,0))</f>
        <v>45481</v>
      </c>
      <c r="N18" s="130">
        <f>IF(VLOOKUP(C18,Purchased!A:R,17,0)=0, " ", VLOOKUP(C18,Purchased!A:R,17,0))</f>
        <v>45481</v>
      </c>
      <c r="O18" s="47">
        <f t="shared" ref="O18:O35" ca="1" si="10">B18*$L$2</f>
        <v>7</v>
      </c>
      <c r="P18" s="51">
        <f>VLOOKUP(C18,Purchased!A:D,3,FALSE)</f>
        <v>0.56000000000000005</v>
      </c>
      <c r="Q18" s="52">
        <f t="shared" ref="Q18:Q35" si="11">B18*P18</f>
        <v>3.9200000000000004</v>
      </c>
    </row>
    <row r="19" spans="1:17" s="2" customFormat="1" ht="12" customHeight="1" x14ac:dyDescent="0.25">
      <c r="A19" s="4">
        <v>302</v>
      </c>
      <c r="B19" s="2">
        <v>14</v>
      </c>
      <c r="C19" s="135" t="s">
        <v>104</v>
      </c>
      <c r="D19" s="325" t="str">
        <f>VLOOKUP(C19,Purchased!A:B,2,0)</f>
        <v>BRX GOTO T-NUT 10 M8</v>
      </c>
      <c r="E19" s="326"/>
      <c r="F19" s="108" t="str">
        <f>IF(VLOOKUP($C19,Purchased!A:Z,11,0) = 0, " ", VLOOKUP($C19,Purchased!A:Z,11,0))</f>
        <v>BRX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>400 additional quantity added to 55710</v>
      </c>
      <c r="I19" s="328"/>
      <c r="J19" s="46">
        <f>IF(VLOOKUP($C19,Purchased!A:Z,14,0)=0, " ", VLOOKUP($C19,Purchased!A:Z,14,0))</f>
        <v>45463</v>
      </c>
      <c r="K19" s="46">
        <f>IF(VLOOKUP(C19,Purchased!A:R,14,0)=0, " ", VLOOKUP(C19,Purchased!A:R,14,0))</f>
        <v>45463</v>
      </c>
      <c r="L19" s="46">
        <f>IF(VLOOKUP(C19,Purchased!A:R,15,0)=0, " ", VLOOKUP(C19,Purchased!A:R,15,0))</f>
        <v>45463</v>
      </c>
      <c r="M19" s="46">
        <f>IF(VLOOKUP(C19,Purchased!A:R,16,0)=0, " ",VLOOKUP(C19,Purchased!A:R,16,0))</f>
        <v>45481</v>
      </c>
      <c r="N19" s="130">
        <f>IF(VLOOKUP(C19,Purchased!A:R,17,0)=0, " ", VLOOKUP(C19,Purchased!A:R,17,0))</f>
        <v>45481</v>
      </c>
      <c r="O19" s="47">
        <f t="shared" ca="1" si="10"/>
        <v>14</v>
      </c>
      <c r="P19" s="51">
        <f>VLOOKUP(C19,Purchased!A:D,3,FALSE)</f>
        <v>0.56000000000000005</v>
      </c>
      <c r="Q19" s="52">
        <f t="shared" si="11"/>
        <v>7.8400000000000007</v>
      </c>
    </row>
    <row r="20" spans="1:17" s="2" customFormat="1" ht="12" customHeight="1" x14ac:dyDescent="0.25">
      <c r="A20" s="4">
        <v>303</v>
      </c>
      <c r="B20" s="2">
        <v>1</v>
      </c>
      <c r="C20" s="135" t="s">
        <v>501</v>
      </c>
      <c r="D20" s="325" t="str">
        <f>VLOOKUP(C20,Purchased!A:B,2,0)</f>
        <v>Digital Position Indicator DD51-E-SST-IP65-C2</v>
      </c>
      <c r="E20" s="326"/>
      <c r="F20" s="108" t="str">
        <f>IF(VLOOKUP($C20,Purchased!A:Z,11,0) = 0, " ", VLOOKUP($C20,Purchased!A:Z,11,0))</f>
        <v>ELESA</v>
      </c>
      <c r="G20" s="108" t="str">
        <f>IF(VLOOKUP($C20,Purchased!A:Z,12,0)=0, " ", VLOOKUP($C20,Purchased!A:Z,12,0))</f>
        <v>ELESA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45506</v>
      </c>
      <c r="K20" s="46">
        <f>IF(VLOOKUP(C20,Purchased!A:R,14,0)=0, " ", VLOOKUP(C20,Purchased!A:R,14,0))</f>
        <v>45506</v>
      </c>
      <c r="L20" s="46">
        <f>IF(VLOOKUP(C20,Purchased!A:R,15,0)=0, " ", VLOOKUP(C20,Purchased!A:R,15,0))</f>
        <v>45526</v>
      </c>
      <c r="M20" s="46">
        <f>IF(VLOOKUP(C20,Purchased!A:R,16,0)=0, " ",VLOOKUP(C20,Purchased!A:R,16,0))</f>
        <v>45551</v>
      </c>
      <c r="N20" s="130">
        <f>IF(VLOOKUP(C20,Purchased!A:R,17,0)=0, " ", VLOOKUP(C20,Purchased!A:R,17,0))</f>
        <v>45551</v>
      </c>
      <c r="O20" s="47">
        <f t="shared" ca="1" si="10"/>
        <v>1</v>
      </c>
      <c r="P20" s="51">
        <f>VLOOKUP(C20,Purchased!A:D,3,FALSE)</f>
        <v>258</v>
      </c>
      <c r="Q20" s="52">
        <f t="shared" si="11"/>
        <v>258</v>
      </c>
    </row>
    <row r="21" spans="1:17" s="2" customFormat="1" ht="12" customHeight="1" x14ac:dyDescent="0.25">
      <c r="A21" s="4">
        <v>304</v>
      </c>
      <c r="B21" s="2">
        <v>1</v>
      </c>
      <c r="C21" s="135" t="s">
        <v>500</v>
      </c>
      <c r="D21" s="325" t="str">
        <f>VLOOKUP(C21,Purchased!A:B,2,0)</f>
        <v>Aluminum Handwheel GN 322.3-160-B14-R</v>
      </c>
      <c r="E21" s="326"/>
      <c r="F21" s="108" t="str">
        <f>IF(VLOOKUP($C21,Purchased!A:Z,11,0) = 0, " ", VLOOKUP($C21,Purchased!A:Z,11,0))</f>
        <v>ELESA</v>
      </c>
      <c r="G21" s="108" t="str">
        <f>IF(VLOOKUP($C21,Purchased!A:Z,12,0)=0, " ", VLOOKUP($C21,Purchased!A:Z,12,0))</f>
        <v>ELESA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45506</v>
      </c>
      <c r="K21" s="46">
        <f>IF(VLOOKUP(C21,Purchased!A:R,14,0)=0, " ", VLOOKUP(C21,Purchased!A:R,14,0))</f>
        <v>45506</v>
      </c>
      <c r="L21" s="46">
        <f>IF(VLOOKUP(C21,Purchased!A:R,15,0)=0, " ", VLOOKUP(C21,Purchased!A:R,15,0))</f>
        <v>45526</v>
      </c>
      <c r="M21" s="46">
        <f>IF(VLOOKUP(C21,Purchased!A:R,16,0)=0, " ",VLOOKUP(C21,Purchased!A:R,16,0))</f>
        <v>45551</v>
      </c>
      <c r="N21" s="130">
        <f>IF(VLOOKUP(C21,Purchased!A:R,17,0)=0, " ", VLOOKUP(C21,Purchased!A:R,17,0))</f>
        <v>45551</v>
      </c>
      <c r="O21" s="47">
        <f t="shared" ca="1" si="10"/>
        <v>1</v>
      </c>
      <c r="P21" s="51">
        <f>VLOOKUP(C21,Purchased!A:D,3,FALSE)</f>
        <v>87.05</v>
      </c>
      <c r="Q21" s="52">
        <f t="shared" si="11"/>
        <v>87.05</v>
      </c>
    </row>
    <row r="22" spans="1:17" s="2" customFormat="1" ht="12" customHeight="1" x14ac:dyDescent="0.25">
      <c r="A22" s="4">
        <v>305</v>
      </c>
      <c r="B22" s="2">
        <v>1</v>
      </c>
      <c r="C22" s="135" t="s">
        <v>502</v>
      </c>
      <c r="D22" s="325" t="str">
        <f>VLOOKUP(C22,Purchased!A:B,2,0)</f>
        <v>Spindle Locking</v>
      </c>
      <c r="E22" s="326"/>
      <c r="F22" s="108" t="str">
        <f>IF(VLOOKUP($C22,Purchased!A:Z,11,0) = 0, " ", VLOOKUP($C22,Purchased!A:Z,11,0))</f>
        <v>ELESA</v>
      </c>
      <c r="G22" s="108" t="str">
        <f>IF(VLOOKUP($C22,Purchased!A:Z,12,0)=0, " ", VLOOKUP($C22,Purchased!A:Z,12,0))</f>
        <v>ELESA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45506</v>
      </c>
      <c r="K22" s="46">
        <f>IF(VLOOKUP(C22,Purchased!A:R,14,0)=0, " ", VLOOKUP(C22,Purchased!A:R,14,0))</f>
        <v>45506</v>
      </c>
      <c r="L22" s="46">
        <f>IF(VLOOKUP(C22,Purchased!A:R,15,0)=0, " ", VLOOKUP(C22,Purchased!A:R,15,0))</f>
        <v>45526</v>
      </c>
      <c r="M22" s="46">
        <f>IF(VLOOKUP(C22,Purchased!A:R,16,0)=0, " ",VLOOKUP(C22,Purchased!A:R,16,0))</f>
        <v>45551</v>
      </c>
      <c r="N22" s="130">
        <f>IF(VLOOKUP(C22,Purchased!A:R,17,0)=0, " ", VLOOKUP(C22,Purchased!A:R,17,0))</f>
        <v>45551</v>
      </c>
      <c r="O22" s="47">
        <f t="shared" ca="1" si="10"/>
        <v>1</v>
      </c>
      <c r="P22" s="51">
        <f>VLOOKUP(C22,Purchased!A:D,3,FALSE)</f>
        <v>45.32</v>
      </c>
      <c r="Q22" s="52">
        <f t="shared" si="11"/>
        <v>45.32</v>
      </c>
    </row>
    <row r="23" spans="1:17" s="2" customFormat="1" ht="12" customHeight="1" x14ac:dyDescent="0.25">
      <c r="A23" s="4">
        <v>306</v>
      </c>
      <c r="B23" s="2">
        <v>1</v>
      </c>
      <c r="C23" s="135" t="s">
        <v>605</v>
      </c>
      <c r="D23" s="325" t="str">
        <f>VLOOKUP(C23,Purchased!A:B,2,0)</f>
        <v>10mm lead screw 1620mm long 8mm ends at 80mm long each, DSK-00060094</v>
      </c>
      <c r="E23" s="326"/>
      <c r="F23" s="108" t="str">
        <f>IF(VLOOKUP($C23,Purchased!A:Z,11,0) = 0, " ", VLOOKUP($C23,Purchased!A:Z,11,0))</f>
        <v>IGUS</v>
      </c>
      <c r="G23" s="108" t="str">
        <f>IF(VLOOKUP($C23,Purchased!A:Z,12,0)=0, " ", VLOOKUP($C23,Purchased!A:Z,12,0))</f>
        <v>IGUS</v>
      </c>
      <c r="H23" s="327" t="str">
        <f>IF(VLOOKUP($C23,Purchased!A:Z,13,0)=0, " ", VLOOKUP($C23,Purchased!A:Z,13,0))</f>
        <v xml:space="preserve"> </v>
      </c>
      <c r="I23" s="328"/>
      <c r="J23" s="46">
        <f>IF(VLOOKUP($C23,Purchased!A:Z,14,0)=0, " ", VLOOKUP($C23,Purchased!A:Z,14,0))</f>
        <v>45489</v>
      </c>
      <c r="K23" s="46">
        <f>IF(VLOOKUP(C23,Purchased!A:R,14,0)=0, " ", VLOOKUP(C23,Purchased!A:R,14,0))</f>
        <v>45489</v>
      </c>
      <c r="L23" s="46">
        <f>IF(VLOOKUP(C23,Purchased!A:R,15,0)=0, " ", VLOOKUP(C23,Purchased!A:R,15,0))</f>
        <v>45489</v>
      </c>
      <c r="M23" s="46">
        <f>IF(VLOOKUP(C23,Purchased!A:R,16,0)=0, " ",VLOOKUP(C23,Purchased!A:R,16,0))</f>
        <v>45534</v>
      </c>
      <c r="N23" s="130">
        <f>IF(VLOOKUP(C23,Purchased!A:R,17,0)=0, " ", VLOOKUP(C23,Purchased!A:R,17,0))</f>
        <v>45534</v>
      </c>
      <c r="O23" s="47">
        <f t="shared" ca="1" si="10"/>
        <v>1</v>
      </c>
      <c r="P23" s="51">
        <f>VLOOKUP(C23,Purchased!A:D,3,FALSE)</f>
        <v>266.61</v>
      </c>
      <c r="Q23" s="52">
        <f t="shared" si="11"/>
        <v>266.61</v>
      </c>
    </row>
    <row r="24" spans="1:17" s="2" customFormat="1" ht="12" customHeight="1" x14ac:dyDescent="0.25">
      <c r="A24" s="4">
        <v>307</v>
      </c>
      <c r="B24" s="2">
        <v>1</v>
      </c>
      <c r="C24" s="135" t="s">
        <v>606</v>
      </c>
      <c r="D24" s="325" t="str">
        <f>VLOOKUP(C24,Purchased!A:B,2,0)</f>
        <v>LINIAR RAIL</v>
      </c>
      <c r="E24" s="326"/>
      <c r="F24" s="108" t="str">
        <f>IF(VLOOKUP($C24,Purchased!A:Z,11,0) = 0, " ", VLOOKUP($C24,Purchased!A:Z,11,0))</f>
        <v>IGUS</v>
      </c>
      <c r="G24" s="108" t="str">
        <f>IF(VLOOKUP($C24,Purchased!A:Z,12,0)=0, " ", VLOOKUP($C24,Purchased!A:Z,12,0))</f>
        <v>IGUS</v>
      </c>
      <c r="H24" s="327" t="str">
        <f>IF(VLOOKUP($C24,Purchased!A:Z,13,0)=0, " ", VLOOKUP($C24,Purchased!A:Z,13,0))</f>
        <v xml:space="preserve"> </v>
      </c>
      <c r="I24" s="328"/>
      <c r="J24" s="46">
        <f>IF(VLOOKUP($C24,Purchased!A:Z,14,0)=0, " ", VLOOKUP($C24,Purchased!A:Z,14,0))</f>
        <v>45489</v>
      </c>
      <c r="K24" s="46">
        <f>IF(VLOOKUP(C24,Purchased!A:R,14,0)=0, " ", VLOOKUP(C24,Purchased!A:R,14,0))</f>
        <v>45489</v>
      </c>
      <c r="L24" s="46">
        <f>IF(VLOOKUP(C24,Purchased!A:R,15,0)=0, " ", VLOOKUP(C24,Purchased!A:R,15,0))</f>
        <v>45489</v>
      </c>
      <c r="M24" s="46">
        <f>IF(VLOOKUP(C24,Purchased!A:R,16,0)=0, " ",VLOOKUP(C24,Purchased!A:R,16,0))</f>
        <v>45534</v>
      </c>
      <c r="N24" s="130">
        <f>IF(VLOOKUP(C24,Purchased!A:R,17,0)=0, " ", VLOOKUP(C24,Purchased!A:R,17,0))</f>
        <v>45534</v>
      </c>
      <c r="O24" s="47">
        <f t="shared" ca="1" si="10"/>
        <v>1</v>
      </c>
      <c r="P24" s="51">
        <f>VLOOKUP(C24,Purchased!A:D,3,FALSE)</f>
        <v>48.79</v>
      </c>
      <c r="Q24" s="52">
        <f t="shared" si="11"/>
        <v>48.79</v>
      </c>
    </row>
    <row r="25" spans="1:17" s="2" customFormat="1" ht="12" customHeight="1" x14ac:dyDescent="0.25">
      <c r="A25" s="4">
        <v>308</v>
      </c>
      <c r="B25" s="2">
        <v>1</v>
      </c>
      <c r="C25" s="135" t="s">
        <v>607</v>
      </c>
      <c r="D25" s="325" t="str">
        <f>VLOOKUP(C25,Purchased!A:B,2,0)</f>
        <v>LINER DRYLIN STAGE</v>
      </c>
      <c r="E25" s="326"/>
      <c r="F25" s="108" t="str">
        <f>IF(VLOOKUP($C25,Purchased!A:Z,11,0) = 0, " ", VLOOKUP($C25,Purchased!A:Z,11,0))</f>
        <v>IGUS</v>
      </c>
      <c r="G25" s="108" t="str">
        <f>IF(VLOOKUP($C25,Purchased!A:Z,12,0)=0, " ", VLOOKUP($C25,Purchased!A:Z,12,0))</f>
        <v>IGUS</v>
      </c>
      <c r="H25" s="327" t="str">
        <f>IF(VLOOKUP($C25,Purchased!A:Z,13,0)=0, " ", VLOOKUP($C25,Purchased!A:Z,13,0))</f>
        <v xml:space="preserve"> </v>
      </c>
      <c r="I25" s="328"/>
      <c r="J25" s="46">
        <f>IF(VLOOKUP($C25,Purchased!A:Z,14,0)=0, " ", VLOOKUP($C25,Purchased!A:Z,14,0))</f>
        <v>45489</v>
      </c>
      <c r="K25" s="46">
        <f>IF(VLOOKUP(C25,Purchased!A:R,14,0)=0, " ", VLOOKUP(C25,Purchased!A:R,14,0))</f>
        <v>45489</v>
      </c>
      <c r="L25" s="46">
        <f>IF(VLOOKUP(C25,Purchased!A:R,15,0)=0, " ", VLOOKUP(C25,Purchased!A:R,15,0))</f>
        <v>45489</v>
      </c>
      <c r="M25" s="46">
        <f>IF(VLOOKUP(C25,Purchased!A:R,16,0)=0, " ",VLOOKUP(C25,Purchased!A:R,16,0))</f>
        <v>45534</v>
      </c>
      <c r="N25" s="130">
        <f>IF(VLOOKUP(C25,Purchased!A:R,17,0)=0, " ", VLOOKUP(C25,Purchased!A:R,17,0))</f>
        <v>45534</v>
      </c>
      <c r="O25" s="47">
        <f t="shared" ca="1" si="10"/>
        <v>1</v>
      </c>
      <c r="P25" s="51">
        <f>VLOOKUP(C25,Purchased!A:D,3,FALSE)</f>
        <v>88.84</v>
      </c>
      <c r="Q25" s="52">
        <f t="shared" si="11"/>
        <v>88.84</v>
      </c>
    </row>
    <row r="26" spans="1:17" s="2" customFormat="1" ht="12" customHeight="1" x14ac:dyDescent="0.25">
      <c r="A26" s="4">
        <v>309</v>
      </c>
      <c r="B26" s="2">
        <v>1</v>
      </c>
      <c r="C26" s="135" t="s">
        <v>608</v>
      </c>
      <c r="D26" s="325" t="str">
        <f>VLOOKUP(C26,Purchased!A:B,2,0)</f>
        <v>Trapezoidal Nut</v>
      </c>
      <c r="E26" s="326"/>
      <c r="F26" s="108" t="str">
        <f>IF(VLOOKUP($C26,Purchased!A:Z,11,0) = 0, " ", VLOOKUP($C26,Purchased!A:Z,11,0))</f>
        <v>IGUS</v>
      </c>
      <c r="G26" s="108" t="str">
        <f>IF(VLOOKUP($C26,Purchased!A:Z,12,0)=0, " ", VLOOKUP($C26,Purchased!A:Z,12,0))</f>
        <v>IGUS</v>
      </c>
      <c r="H26" s="327" t="str">
        <f>IF(VLOOKUP($C26,Purchased!A:Z,13,0)=0, " ", VLOOKUP($C26,Purchased!A:Z,13,0))</f>
        <v xml:space="preserve"> </v>
      </c>
      <c r="I26" s="328"/>
      <c r="J26" s="46">
        <f>IF(VLOOKUP($C26,Purchased!A:Z,14,0)=0, " ", VLOOKUP($C26,Purchased!A:Z,14,0))</f>
        <v>45489</v>
      </c>
      <c r="K26" s="46">
        <f>IF(VLOOKUP(C26,Purchased!A:R,14,0)=0, " ", VLOOKUP(C26,Purchased!A:R,14,0))</f>
        <v>45489</v>
      </c>
      <c r="L26" s="46">
        <f>IF(VLOOKUP(C26,Purchased!A:R,15,0)=0, " ", VLOOKUP(C26,Purchased!A:R,15,0))</f>
        <v>45489</v>
      </c>
      <c r="M26" s="46">
        <f>IF(VLOOKUP(C26,Purchased!A:R,16,0)=0, " ",VLOOKUP(C26,Purchased!A:R,16,0))</f>
        <v>45534</v>
      </c>
      <c r="N26" s="130">
        <f>IF(VLOOKUP(C26,Purchased!A:R,17,0)=0, " ", VLOOKUP(C26,Purchased!A:R,17,0))</f>
        <v>45534</v>
      </c>
      <c r="O26" s="47">
        <f t="shared" ca="1" si="10"/>
        <v>1</v>
      </c>
      <c r="P26" s="51">
        <f>VLOOKUP(C26,Purchased!A:D,3,FALSE)</f>
        <v>20.033000000000001</v>
      </c>
      <c r="Q26" s="52">
        <f t="shared" si="11"/>
        <v>20.033000000000001</v>
      </c>
    </row>
    <row r="27" spans="1:17" s="2" customFormat="1" ht="12" customHeight="1" x14ac:dyDescent="0.25">
      <c r="A27" s="4">
        <v>310</v>
      </c>
      <c r="B27" s="2">
        <v>2</v>
      </c>
      <c r="C27" s="135" t="s">
        <v>609</v>
      </c>
      <c r="D27" s="325" t="str">
        <f>VLOOKUP(C27,Purchased!A:B,2,0)</f>
        <v>10mm Clamping Two-Piece Shaft Collar</v>
      </c>
      <c r="E27" s="326"/>
      <c r="F27" s="108" t="str">
        <f>IF(VLOOKUP($C27,Purchased!A:Z,11,0) = 0, " ", VLOOKUP($C27,Purchased!A:Z,11,0))</f>
        <v>MCM</v>
      </c>
      <c r="G27" s="108" t="str">
        <f>IF(VLOOKUP($C27,Purchased!A:Z,12,0)=0, " ", VLOOKUP($C27,Purchased!A:Z,12,0))</f>
        <v>MCM</v>
      </c>
      <c r="H27" s="327" t="str">
        <f>IF(VLOOKUP($C27,Purchased!A:Z,13,0)=0, " ", VLOOKUP($C27,Purchased!A:Z,13,0))</f>
        <v xml:space="preserve"> </v>
      </c>
      <c r="I27" s="328"/>
      <c r="J27" s="46">
        <f>IF(VLOOKUP($C27,Purchased!A:Z,14,0)=0, " ", VLOOKUP($C27,Purchased!A:Z,14,0))</f>
        <v>45481</v>
      </c>
      <c r="K27" s="46">
        <f>IF(VLOOKUP(C27,Purchased!A:R,14,0)=0, " ", VLOOKUP(C27,Purchased!A:R,14,0))</f>
        <v>45481</v>
      </c>
      <c r="L27" s="46">
        <f>IF(VLOOKUP(C27,Purchased!A:R,15,0)=0, " ", VLOOKUP(C27,Purchased!A:R,15,0))</f>
        <v>45481</v>
      </c>
      <c r="M27" s="46">
        <f>IF(VLOOKUP(C27,Purchased!A:R,16,0)=0, " ",VLOOKUP(C27,Purchased!A:R,16,0))</f>
        <v>45482</v>
      </c>
      <c r="N27" s="130">
        <f>IF(VLOOKUP(C27,Purchased!A:R,17,0)=0, " ", VLOOKUP(C27,Purchased!A:R,17,0))</f>
        <v>45482</v>
      </c>
      <c r="O27" s="47">
        <f t="shared" ca="1" si="10"/>
        <v>2</v>
      </c>
      <c r="P27" s="51">
        <f>VLOOKUP(C27,Purchased!A:D,3,FALSE)</f>
        <v>14.83</v>
      </c>
      <c r="Q27" s="52">
        <f t="shared" si="11"/>
        <v>29.66</v>
      </c>
    </row>
    <row r="28" spans="1:17" s="2" customFormat="1" ht="12" customHeight="1" x14ac:dyDescent="0.25">
      <c r="A28" s="4">
        <v>311</v>
      </c>
      <c r="B28" s="2">
        <v>4</v>
      </c>
      <c r="C28" s="135" t="s">
        <v>610</v>
      </c>
      <c r="D28" s="325" t="str">
        <f>VLOOKUP(C28,Purchased!A:B,2,0)</f>
        <v>Passivated Carbon Steel Set Screw Shaft Collar</v>
      </c>
      <c r="E28" s="326"/>
      <c r="F28" s="108" t="str">
        <f>IF(VLOOKUP($C28,Purchased!A:Z,11,0) = 0, " ", VLOOKUP($C28,Purchased!A:Z,11,0))</f>
        <v>MCM</v>
      </c>
      <c r="G28" s="108" t="str">
        <f>IF(VLOOKUP($C28,Purchased!A:Z,12,0)=0, " ", VLOOKUP($C28,Purchased!A:Z,12,0))</f>
        <v>MCM</v>
      </c>
      <c r="H28" s="327" t="str">
        <f>IF(VLOOKUP($C28,Purchased!A:Z,13,0)=0, " ", VLOOKUP($C28,Purchased!A:Z,13,0))</f>
        <v>2 Additional Quantity Added to 55697</v>
      </c>
      <c r="I28" s="328"/>
      <c r="J28" s="46">
        <f>IF(VLOOKUP($C28,Purchased!A:Z,14,0)=0, " ", VLOOKUP($C28,Purchased!A:Z,14,0))</f>
        <v>45481</v>
      </c>
      <c r="K28" s="46">
        <f>IF(VLOOKUP(C28,Purchased!A:R,14,0)=0, " ", VLOOKUP(C28,Purchased!A:R,14,0))</f>
        <v>45481</v>
      </c>
      <c r="L28" s="46">
        <f>IF(VLOOKUP(C28,Purchased!A:R,15,0)=0, " ", VLOOKUP(C28,Purchased!A:R,15,0))</f>
        <v>45481</v>
      </c>
      <c r="M28" s="46">
        <f>IF(VLOOKUP(C28,Purchased!A:R,16,0)=0, " ",VLOOKUP(C28,Purchased!A:R,16,0))</f>
        <v>45482</v>
      </c>
      <c r="N28" s="130">
        <f>IF(VLOOKUP(C28,Purchased!A:R,17,0)=0, " ", VLOOKUP(C28,Purchased!A:R,17,0))</f>
        <v>45482</v>
      </c>
      <c r="O28" s="47">
        <f t="shared" ca="1" si="10"/>
        <v>4</v>
      </c>
      <c r="P28" s="51">
        <f>VLOOKUP(C28,Purchased!A:D,3,FALSE)</f>
        <v>4.97</v>
      </c>
      <c r="Q28" s="52">
        <f t="shared" si="11"/>
        <v>19.88</v>
      </c>
    </row>
    <row r="29" spans="1:17" s="2" customFormat="1" ht="12" customHeight="1" x14ac:dyDescent="0.25">
      <c r="A29" s="4">
        <v>312</v>
      </c>
      <c r="B29" s="2">
        <v>1</v>
      </c>
      <c r="C29" s="135" t="s">
        <v>611</v>
      </c>
      <c r="D29" s="325" t="str">
        <f>VLOOKUP(C29,Purchased!A:B,2,0)</f>
        <v>8mm Two-Piece Shaft Coupling</v>
      </c>
      <c r="E29" s="326"/>
      <c r="F29" s="108" t="str">
        <f>IF(VLOOKUP($C29,Purchased!A:Z,11,0) = 0, " ", VLOOKUP($C29,Purchased!A:Z,11,0))</f>
        <v>MCM</v>
      </c>
      <c r="G29" s="108" t="str">
        <f>IF(VLOOKUP($C29,Purchased!A:Z,12,0)=0, " ", VLOOKUP($C29,Purchased!A:Z,12,0))</f>
        <v>MCM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45481</v>
      </c>
      <c r="K29" s="46">
        <f>IF(VLOOKUP(C29,Purchased!A:R,14,0)=0, " ", VLOOKUP(C29,Purchased!A:R,14,0))</f>
        <v>45481</v>
      </c>
      <c r="L29" s="46">
        <f>IF(VLOOKUP(C29,Purchased!A:R,15,0)=0, " ", VLOOKUP(C29,Purchased!A:R,15,0))</f>
        <v>45481</v>
      </c>
      <c r="M29" s="46">
        <f>IF(VLOOKUP(C29,Purchased!A:R,16,0)=0, " ",VLOOKUP(C29,Purchased!A:R,16,0))</f>
        <v>45482</v>
      </c>
      <c r="N29" s="130">
        <f>IF(VLOOKUP(C29,Purchased!A:R,17,0)=0, " ", VLOOKUP(C29,Purchased!A:R,17,0))</f>
        <v>45482</v>
      </c>
      <c r="O29" s="47">
        <f t="shared" ca="1" si="10"/>
        <v>1</v>
      </c>
      <c r="P29" s="51">
        <f>VLOOKUP(C29,Purchased!A:D,3,FALSE)</f>
        <v>79.930000000000007</v>
      </c>
      <c r="Q29" s="52">
        <f t="shared" si="11"/>
        <v>79.930000000000007</v>
      </c>
    </row>
    <row r="30" spans="1:17" s="2" customFormat="1" ht="12" customHeight="1" x14ac:dyDescent="0.25">
      <c r="A30" s="4">
        <v>313</v>
      </c>
      <c r="B30" s="2">
        <v>1</v>
      </c>
      <c r="C30" s="135" t="s">
        <v>612</v>
      </c>
      <c r="D30" s="325" t="str">
        <f>VLOOKUP(C30,Purchased!A:B,2,0)</f>
        <v>8mm Passivated Carbon Steel Set Screw Shaft Collar</v>
      </c>
      <c r="E30" s="326"/>
      <c r="F30" s="108" t="str">
        <f>IF(VLOOKUP($C30,Purchased!A:Z,11,0) = 0, " ", VLOOKUP($C30,Purchased!A:Z,11,0))</f>
        <v>MCM</v>
      </c>
      <c r="G30" s="108" t="str">
        <f>IF(VLOOKUP($C30,Purchased!A:Z,12,0)=0, " ", VLOOKUP($C30,Purchased!A:Z,12,0))</f>
        <v>MCM</v>
      </c>
      <c r="H30" s="327" t="str">
        <f>IF(VLOOKUP($C30,Purchased!A:Z,13,0)=0, " ", VLOOKUP($C30,Purchased!A:Z,13,0))</f>
        <v xml:space="preserve"> </v>
      </c>
      <c r="I30" s="328"/>
      <c r="J30" s="46">
        <f>IF(VLOOKUP($C30,Purchased!A:Z,14,0)=0, " ", VLOOKUP($C30,Purchased!A:Z,14,0))</f>
        <v>45481</v>
      </c>
      <c r="K30" s="46">
        <f>IF(VLOOKUP(C30,Purchased!A:R,14,0)=0, " ", VLOOKUP(C30,Purchased!A:R,14,0))</f>
        <v>45481</v>
      </c>
      <c r="L30" s="46">
        <f>IF(VLOOKUP(C30,Purchased!A:R,15,0)=0, " ", VLOOKUP(C30,Purchased!A:R,15,0))</f>
        <v>45481</v>
      </c>
      <c r="M30" s="46">
        <f>IF(VLOOKUP(C30,Purchased!A:R,16,0)=0, " ",VLOOKUP(C30,Purchased!A:R,16,0))</f>
        <v>45482</v>
      </c>
      <c r="N30" s="130">
        <f>IF(VLOOKUP(C30,Purchased!A:R,17,0)=0, " ", VLOOKUP(C30,Purchased!A:R,17,0))</f>
        <v>45482</v>
      </c>
      <c r="O30" s="47">
        <f t="shared" ca="1" si="10"/>
        <v>1</v>
      </c>
      <c r="P30" s="51">
        <f>VLOOKUP(C30,Purchased!A:D,3,FALSE)</f>
        <v>3.6</v>
      </c>
      <c r="Q30" s="52">
        <f t="shared" si="11"/>
        <v>3.6</v>
      </c>
    </row>
    <row r="31" spans="1:17" s="2" customFormat="1" ht="12" customHeight="1" x14ac:dyDescent="0.25">
      <c r="A31" s="4">
        <v>314</v>
      </c>
      <c r="B31" s="2">
        <v>1</v>
      </c>
      <c r="C31" s="135" t="s">
        <v>504</v>
      </c>
      <c r="D31" s="325" t="str">
        <f>VLOOKUP(C31,Purchased!A:B,2,0)</f>
        <v>20mm ID 32mm OD 7mm Thick Ball Bearing</v>
      </c>
      <c r="E31" s="326"/>
      <c r="F31" s="108" t="str">
        <f>IF(VLOOKUP($C31,Purchased!A:Z,11,0) = 0, " ", VLOOKUP($C31,Purchased!A:Z,11,0))</f>
        <v>MCM</v>
      </c>
      <c r="G31" s="108" t="str">
        <f>IF(VLOOKUP($C31,Purchased!A:Z,12,0)=0, " ", VLOOKUP($C31,Purchased!A:Z,12,0))</f>
        <v>MCM</v>
      </c>
      <c r="H31" s="327" t="str">
        <f>IF(VLOOKUP($C31,Purchased!A:Z,13,0)=0, " ", VLOOKUP($C31,Purchased!A:Z,13,0))</f>
        <v>11 Additional Quantity Added to 55697</v>
      </c>
      <c r="I31" s="328"/>
      <c r="J31" s="46">
        <f>IF(VLOOKUP($C31,Purchased!A:Z,14,0)=0, " ", VLOOKUP($C31,Purchased!A:Z,14,0))</f>
        <v>45481</v>
      </c>
      <c r="K31" s="46">
        <f>IF(VLOOKUP(C31,Purchased!A:R,14,0)=0, " ", VLOOKUP(C31,Purchased!A:R,14,0))</f>
        <v>45481</v>
      </c>
      <c r="L31" s="46">
        <f>IF(VLOOKUP(C31,Purchased!A:R,15,0)=0, " ", VLOOKUP(C31,Purchased!A:R,15,0))</f>
        <v>45481</v>
      </c>
      <c r="M31" s="46">
        <f>IF(VLOOKUP(C31,Purchased!A:R,16,0)=0, " ",VLOOKUP(C31,Purchased!A:R,16,0))</f>
        <v>45482</v>
      </c>
      <c r="N31" s="130">
        <f>IF(VLOOKUP(C31,Purchased!A:R,17,0)=0, " ", VLOOKUP(C31,Purchased!A:R,17,0))</f>
        <v>45482</v>
      </c>
      <c r="O31" s="47">
        <f t="shared" ca="1" si="10"/>
        <v>1</v>
      </c>
      <c r="P31" s="51">
        <f>VLOOKUP(C31,Purchased!A:D,3,FALSE)</f>
        <v>16.88</v>
      </c>
      <c r="Q31" s="52">
        <f t="shared" si="11"/>
        <v>16.88</v>
      </c>
    </row>
    <row r="32" spans="1:17" s="2" customFormat="1" ht="12" customHeight="1" x14ac:dyDescent="0.25">
      <c r="A32" s="4">
        <v>315</v>
      </c>
      <c r="B32" s="2">
        <v>1</v>
      </c>
      <c r="C32" s="135" t="s">
        <v>613</v>
      </c>
      <c r="D32" s="325" t="str">
        <f>VLOOKUP(C32,Purchased!A:B,2,0)</f>
        <v>BALL BEARING 22OD 8ID</v>
      </c>
      <c r="E32" s="326"/>
      <c r="F32" s="108" t="str">
        <f>IF(VLOOKUP($C32,Purchased!A:Z,11,0) = 0, " ", VLOOKUP($C32,Purchased!A:Z,11,0))</f>
        <v>MCM</v>
      </c>
      <c r="G32" s="108" t="str">
        <f>IF(VLOOKUP($C32,Purchased!A:Z,12,0)=0, " ", VLOOKUP($C32,Purchased!A:Z,12,0))</f>
        <v>MCM</v>
      </c>
      <c r="H32" s="327" t="str">
        <f>IF(VLOOKUP($C32,Purchased!A:Z,13,0)=0, " ", VLOOKUP($C32,Purchased!A:Z,13,0))</f>
        <v>MCM part # 5972K91</v>
      </c>
      <c r="I32" s="328"/>
      <c r="J32" s="46">
        <f>IF(VLOOKUP($C32,Purchased!A:Z,14,0)=0, " ", VLOOKUP($C32,Purchased!A:Z,14,0))</f>
        <v>45481</v>
      </c>
      <c r="K32" s="46">
        <f>IF(VLOOKUP(C32,Purchased!A:R,14,0)=0, " ", VLOOKUP(C32,Purchased!A:R,14,0))</f>
        <v>45481</v>
      </c>
      <c r="L32" s="46">
        <f>IF(VLOOKUP(C32,Purchased!A:R,15,0)=0, " ", VLOOKUP(C32,Purchased!A:R,15,0))</f>
        <v>45481</v>
      </c>
      <c r="M32" s="46">
        <f>IF(VLOOKUP(C32,Purchased!A:R,16,0)=0, " ",VLOOKUP(C32,Purchased!A:R,16,0))</f>
        <v>45482</v>
      </c>
      <c r="N32" s="130">
        <f>IF(VLOOKUP(C32,Purchased!A:R,17,0)=0, " ", VLOOKUP(C32,Purchased!A:R,17,0))</f>
        <v>45482</v>
      </c>
      <c r="O32" s="47">
        <f t="shared" ca="1" si="10"/>
        <v>1</v>
      </c>
      <c r="P32" s="51">
        <f>VLOOKUP(C32,Purchased!A:D,3,FALSE)</f>
        <v>4.82</v>
      </c>
      <c r="Q32" s="52">
        <f t="shared" si="11"/>
        <v>4.82</v>
      </c>
    </row>
    <row r="33" spans="1:17" s="2" customFormat="1" ht="12" customHeight="1" x14ac:dyDescent="0.25">
      <c r="A33" s="4">
        <v>316</v>
      </c>
      <c r="B33" s="2">
        <v>1</v>
      </c>
      <c r="C33" s="135" t="s">
        <v>614</v>
      </c>
      <c r="D33" s="325" t="str">
        <f>VLOOKUP(C33,Purchased!A:B,2,0)</f>
        <v>CAPTURED BEARING, 20MM ID</v>
      </c>
      <c r="E33" s="326"/>
      <c r="F33" s="108" t="str">
        <f>IF(VLOOKUP($C33,Purchased!A:Z,11,0) = 0, " ", VLOOKUP($C33,Purchased!A:Z,11,0))</f>
        <v>MISUMI</v>
      </c>
      <c r="G33" s="108" t="str">
        <f>IF(VLOOKUP($C33,Purchased!A:Z,12,0)=0, " ", VLOOKUP($C33,Purchased!A:Z,12,0))</f>
        <v>MISUMI</v>
      </c>
      <c r="H33" s="327" t="str">
        <f>IF(VLOOKUP($C33,Purchased!A:Z,13,0)=0, " ", VLOOKUP($C33,Purchased!A:Z,13,0))</f>
        <v xml:space="preserve"> </v>
      </c>
      <c r="I33" s="328"/>
      <c r="J33" s="46">
        <f>IF(VLOOKUP($C33,Purchased!A:Z,14,0)=0, " ", VLOOKUP($C33,Purchased!A:Z,14,0))</f>
        <v>45483</v>
      </c>
      <c r="K33" s="46">
        <f>IF(VLOOKUP(C33,Purchased!A:R,14,0)=0, " ", VLOOKUP(C33,Purchased!A:R,14,0))</f>
        <v>45483</v>
      </c>
      <c r="L33" s="46">
        <f>IF(VLOOKUP(C33,Purchased!A:R,15,0)=0, " ", VLOOKUP(C33,Purchased!A:R,15,0))</f>
        <v>45483</v>
      </c>
      <c r="M33" s="46">
        <f>IF(VLOOKUP(C33,Purchased!A:R,16,0)=0, " ",VLOOKUP(C33,Purchased!A:R,16,0))</f>
        <v>45512</v>
      </c>
      <c r="N33" s="130">
        <f>IF(VLOOKUP(C33,Purchased!A:R,17,0)=0, " ", VLOOKUP(C33,Purchased!A:R,17,0))</f>
        <v>45512</v>
      </c>
      <c r="O33" s="47">
        <f t="shared" ca="1" si="10"/>
        <v>1</v>
      </c>
      <c r="P33" s="51">
        <f>VLOOKUP(C33,Purchased!A:D,3,FALSE)</f>
        <v>57.16</v>
      </c>
      <c r="Q33" s="52">
        <f t="shared" si="11"/>
        <v>57.16</v>
      </c>
    </row>
    <row r="34" spans="1:17" s="2" customFormat="1" ht="12" customHeight="1" x14ac:dyDescent="0.25">
      <c r="A34" s="4">
        <v>317</v>
      </c>
      <c r="B34" s="2">
        <v>2</v>
      </c>
      <c r="C34" s="135" t="s">
        <v>219</v>
      </c>
      <c r="D34" s="325" t="str">
        <f>VLOOKUP(C34,Purchased!A:B,2,0)</f>
        <v>KQ2 unifit, one touch fitting, 4mm D to 1/8in port male elbow</v>
      </c>
      <c r="E34" s="326"/>
      <c r="F34" s="108" t="str">
        <f>IF(VLOOKUP($C34,Purchased!A:Z,11,0) = 0, " ", VLOOKUP($C34,Purchased!A:Z,11,0))</f>
        <v>SMC</v>
      </c>
      <c r="G34" s="108" t="str">
        <f>IF(VLOOKUP($C34,Purchased!A:Z,12,0)=0, " ", VLOOKUP($C34,Purchased!A:Z,12,0))</f>
        <v>AAP</v>
      </c>
      <c r="H34" s="327" t="str">
        <f>IF(VLOOKUP($C34,Purchased!A:Z,13,0)=0, " ", VLOOKUP($C34,Purchased!A:Z,13,0))</f>
        <v xml:space="preserve"> </v>
      </c>
      <c r="I34" s="328"/>
      <c r="J34" s="46">
        <f>IF(VLOOKUP($C34,Purchased!A:Z,14,0)=0, " ", VLOOKUP($C34,Purchased!A:Z,14,0))</f>
        <v>45489</v>
      </c>
      <c r="K34" s="46">
        <f>IF(VLOOKUP(C34,Purchased!A:R,14,0)=0, " ", VLOOKUP(C34,Purchased!A:R,14,0))</f>
        <v>45489</v>
      </c>
      <c r="L34" s="46">
        <f>IF(VLOOKUP(C34,Purchased!A:R,15,0)=0, " ", VLOOKUP(C34,Purchased!A:R,15,0))</f>
        <v>45491</v>
      </c>
      <c r="M34" s="46">
        <f>IF(VLOOKUP(C34,Purchased!A:R,16,0)=0, " ",VLOOKUP(C34,Purchased!A:R,16,0))</f>
        <v>45520</v>
      </c>
      <c r="N34" s="130">
        <f>IF(VLOOKUP(C34,Purchased!A:R,17,0)=0, " ", VLOOKUP(C34,Purchased!A:R,17,0))</f>
        <v>45511</v>
      </c>
      <c r="O34" s="47">
        <f t="shared" ca="1" si="10"/>
        <v>2</v>
      </c>
      <c r="P34" s="51">
        <f>VLOOKUP(C34,Purchased!A:D,3,FALSE)</f>
        <v>1.38</v>
      </c>
      <c r="Q34" s="52">
        <f t="shared" si="11"/>
        <v>2.76</v>
      </c>
    </row>
    <row r="35" spans="1:17" s="2" customFormat="1" ht="12" customHeight="1" x14ac:dyDescent="0.25">
      <c r="A35" s="4">
        <v>318</v>
      </c>
      <c r="B35" s="2">
        <v>1</v>
      </c>
      <c r="C35" s="135" t="s">
        <v>615</v>
      </c>
      <c r="D35" s="325" t="str">
        <f>VLOOKUP(C35,Purchased!A:B,2,0)</f>
        <v>Guided Cylinder</v>
      </c>
      <c r="E35" s="326"/>
      <c r="F35" s="108" t="str">
        <f>IF(VLOOKUP($C35,Purchased!A:Z,11,0) = 0, " ", VLOOKUP($C35,Purchased!A:Z,11,0))</f>
        <v>SMC</v>
      </c>
      <c r="G35" s="108" t="str">
        <f>IF(VLOOKUP($C35,Purchased!A:Z,12,0)=0, " ", VLOOKUP($C35,Purchased!A:Z,12,0))</f>
        <v>AAP</v>
      </c>
      <c r="H35" s="327" t="str">
        <f>IF(VLOOKUP($C35,Purchased!A:Z,13,0)=0, " ", VLOOKUP($C35,Purchased!A:Z,13,0))</f>
        <v xml:space="preserve"> </v>
      </c>
      <c r="I35" s="328"/>
      <c r="J35" s="46">
        <f>IF(VLOOKUP($C35,Purchased!A:Z,14,0)=0, " ", VLOOKUP($C35,Purchased!A:Z,14,0))</f>
        <v>45489</v>
      </c>
      <c r="K35" s="46">
        <f>IF(VLOOKUP(C35,Purchased!A:R,14,0)=0, " ", VLOOKUP(C35,Purchased!A:R,14,0))</f>
        <v>45489</v>
      </c>
      <c r="L35" s="46">
        <f>IF(VLOOKUP(C35,Purchased!A:R,15,0)=0, " ", VLOOKUP(C35,Purchased!A:R,15,0))</f>
        <v>45489</v>
      </c>
      <c r="M35" s="46">
        <f>IF(VLOOKUP(C35,Purchased!A:R,16,0)=0, " ",VLOOKUP(C35,Purchased!A:R,16,0))</f>
        <v>45510</v>
      </c>
      <c r="N35" s="130">
        <f>IF(VLOOKUP(C35,Purchased!A:R,17,0)=0, " ", VLOOKUP(C35,Purchased!A:R,17,0))</f>
        <v>45513</v>
      </c>
      <c r="O35" s="47">
        <f t="shared" ca="1" si="10"/>
        <v>1</v>
      </c>
      <c r="P35" s="51">
        <f>VLOOKUP(C35,Purchased!A:D,3,FALSE)</f>
        <v>83.63</v>
      </c>
      <c r="Q35" s="52">
        <f t="shared" si="11"/>
        <v>83.63</v>
      </c>
    </row>
    <row r="36" spans="1:17" s="2" customFormat="1" ht="12" customHeight="1" x14ac:dyDescent="0.25">
      <c r="A36" s="25"/>
      <c r="B36" s="26"/>
      <c r="C36" s="26"/>
      <c r="D36" s="332"/>
      <c r="E36" s="333"/>
      <c r="F36" s="26"/>
      <c r="G36" s="26"/>
      <c r="H36" s="322"/>
      <c r="I36" s="323"/>
      <c r="J36" s="27"/>
      <c r="K36" s="27"/>
      <c r="L36" s="27"/>
      <c r="M36" s="28"/>
      <c r="N36" s="29"/>
      <c r="O36" s="29"/>
      <c r="P36" s="148"/>
      <c r="Q36" s="149"/>
    </row>
    <row r="37" spans="1:17" s="2" customFormat="1" ht="12" customHeight="1" x14ac:dyDescent="0.25">
      <c r="A37" s="4">
        <v>501</v>
      </c>
      <c r="B37" s="2">
        <v>1</v>
      </c>
      <c r="C37" s="122" t="s">
        <v>616</v>
      </c>
      <c r="D37" s="325"/>
      <c r="E37" s="326"/>
      <c r="F37" s="108">
        <f>VLOOKUP(C37,Bolts!A:L,5,0)</f>
        <v>0</v>
      </c>
      <c r="G37" s="108">
        <f>VLOOKUP(C37,Bolts!A:L,6,0)</f>
        <v>0</v>
      </c>
      <c r="H37" s="108">
        <f>VLOOKUP(C37,Bolts!A:L,7,0)</f>
        <v>0</v>
      </c>
      <c r="I37" s="109"/>
      <c r="J37" s="46">
        <f>VLOOKUP(C37,Bolts!A:L,8,0)</f>
        <v>0</v>
      </c>
      <c r="K37" s="46">
        <f>VLOOKUP(C37,Bolts!A:L,9,0)</f>
        <v>0</v>
      </c>
      <c r="L37" s="46">
        <f>VLOOKUP(C37,Bolts!A:L,10,0)</f>
        <v>0</v>
      </c>
      <c r="M37" s="46">
        <f>VLOOKUP(C37,Bolts!A:L,11,0)</f>
        <v>0</v>
      </c>
      <c r="N37" s="130">
        <f>VLOOKUP(C37,Bolts!A:L,12,0)</f>
        <v>0</v>
      </c>
      <c r="O37" s="47">
        <f t="shared" ref="O37:O48" ca="1" si="12">B37*$L$2</f>
        <v>1</v>
      </c>
      <c r="P37" s="51">
        <f>VLOOKUP(C37,Bolts!A:B,2,FALSE)</f>
        <v>0</v>
      </c>
      <c r="Q37" s="52">
        <f t="shared" ref="Q37:Q48" si="13">B37*P37</f>
        <v>0</v>
      </c>
    </row>
    <row r="38" spans="1:17" s="2" customFormat="1" ht="12" customHeight="1" x14ac:dyDescent="0.25">
      <c r="A38" s="4">
        <v>502</v>
      </c>
      <c r="B38" s="2">
        <v>2</v>
      </c>
      <c r="C38" s="122" t="s">
        <v>342</v>
      </c>
      <c r="D38" s="325"/>
      <c r="E38" s="326"/>
      <c r="F38" s="108">
        <f>VLOOKUP(C38,Bolts!A:L,5,0)</f>
        <v>0</v>
      </c>
      <c r="G38" s="108">
        <f>VLOOKUP(C38,Bolts!A:L,6,0)</f>
        <v>0</v>
      </c>
      <c r="H38" s="108">
        <f>VLOOKUP(C38,Bolts!A:L,7,0)</f>
        <v>0</v>
      </c>
      <c r="I38" s="109"/>
      <c r="J38" s="46">
        <f>VLOOKUP(C38,Bolts!A:L,8,0)</f>
        <v>0</v>
      </c>
      <c r="K38" s="46">
        <f>VLOOKUP(C38,Bolts!A:L,9,0)</f>
        <v>0</v>
      </c>
      <c r="L38" s="46">
        <f>VLOOKUP(C38,Bolts!A:L,10,0)</f>
        <v>0</v>
      </c>
      <c r="M38" s="46">
        <f>VLOOKUP(C38,Bolts!A:L,11,0)</f>
        <v>0</v>
      </c>
      <c r="N38" s="130">
        <f>VLOOKUP(C38,Bolts!A:L,12,0)</f>
        <v>0</v>
      </c>
      <c r="O38" s="47">
        <f t="shared" ca="1" si="12"/>
        <v>2</v>
      </c>
      <c r="P38" s="51">
        <f>VLOOKUP(C38,Bolts!A:B,2,FALSE)</f>
        <v>0</v>
      </c>
      <c r="Q38" s="52">
        <f t="shared" si="13"/>
        <v>0</v>
      </c>
    </row>
    <row r="39" spans="1:17" s="2" customFormat="1" ht="12" customHeight="1" x14ac:dyDescent="0.25">
      <c r="A39" s="4">
        <v>503</v>
      </c>
      <c r="B39" s="2">
        <v>2</v>
      </c>
      <c r="C39" s="122" t="s">
        <v>506</v>
      </c>
      <c r="D39" s="325"/>
      <c r="E39" s="326"/>
      <c r="F39" s="108">
        <f>VLOOKUP(C39,Bolts!A:L,5,0)</f>
        <v>0</v>
      </c>
      <c r="G39" s="108">
        <f>VLOOKUP(C39,Bolts!A:L,6,0)</f>
        <v>0</v>
      </c>
      <c r="H39" s="108">
        <f>VLOOKUP(C39,Bolts!A:L,7,0)</f>
        <v>0</v>
      </c>
      <c r="I39" s="109"/>
      <c r="J39" s="46">
        <f>VLOOKUP(C39,Bolts!A:L,8,0)</f>
        <v>0</v>
      </c>
      <c r="K39" s="46">
        <f>VLOOKUP(C39,Bolts!A:L,9,0)</f>
        <v>0</v>
      </c>
      <c r="L39" s="46">
        <f>VLOOKUP(C39,Bolts!A:L,10,0)</f>
        <v>0</v>
      </c>
      <c r="M39" s="46">
        <f>VLOOKUP(C39,Bolts!A:L,11,0)</f>
        <v>0</v>
      </c>
      <c r="N39" s="130">
        <f>VLOOKUP(C39,Bolts!A:L,12,0)</f>
        <v>0</v>
      </c>
      <c r="O39" s="47">
        <f t="shared" ca="1" si="12"/>
        <v>2</v>
      </c>
      <c r="P39" s="51">
        <f>VLOOKUP(C39,Bolts!A:B,2,FALSE)</f>
        <v>0</v>
      </c>
      <c r="Q39" s="52">
        <f t="shared" si="13"/>
        <v>0</v>
      </c>
    </row>
    <row r="40" spans="1:17" s="2" customFormat="1" ht="12" customHeight="1" x14ac:dyDescent="0.25">
      <c r="A40" s="4">
        <v>504</v>
      </c>
      <c r="B40" s="2">
        <v>2</v>
      </c>
      <c r="C40" s="122" t="s">
        <v>225</v>
      </c>
      <c r="D40" s="325"/>
      <c r="E40" s="326"/>
      <c r="F40" s="108">
        <f>VLOOKUP(C40,Bolts!A:L,5,0)</f>
        <v>0</v>
      </c>
      <c r="G40" s="108">
        <f>VLOOKUP(C40,Bolts!A:L,6,0)</f>
        <v>0</v>
      </c>
      <c r="H40" s="108">
        <f>VLOOKUP(C40,Bolts!A:L,7,0)</f>
        <v>0</v>
      </c>
      <c r="I40" s="109"/>
      <c r="J40" s="46">
        <f>VLOOKUP(C40,Bolts!A:L,8,0)</f>
        <v>0</v>
      </c>
      <c r="K40" s="46">
        <f>VLOOKUP(C40,Bolts!A:L,9,0)</f>
        <v>0</v>
      </c>
      <c r="L40" s="46">
        <f>VLOOKUP(C40,Bolts!A:L,10,0)</f>
        <v>0</v>
      </c>
      <c r="M40" s="46">
        <f>VLOOKUP(C40,Bolts!A:L,11,0)</f>
        <v>0</v>
      </c>
      <c r="N40" s="130">
        <f>VLOOKUP(C40,Bolts!A:L,12,0)</f>
        <v>0</v>
      </c>
      <c r="O40" s="47">
        <f t="shared" ca="1" si="12"/>
        <v>2</v>
      </c>
      <c r="P40" s="51">
        <f>VLOOKUP(C40,Bolts!A:B,2,FALSE)</f>
        <v>0</v>
      </c>
      <c r="Q40" s="52">
        <f t="shared" si="13"/>
        <v>0</v>
      </c>
    </row>
    <row r="41" spans="1:17" s="2" customFormat="1" ht="12" customHeight="1" x14ac:dyDescent="0.25">
      <c r="A41" s="4">
        <v>505</v>
      </c>
      <c r="B41" s="2">
        <v>2</v>
      </c>
      <c r="C41" s="122" t="s">
        <v>473</v>
      </c>
      <c r="D41" s="325"/>
      <c r="E41" s="326"/>
      <c r="F41" s="108">
        <f>VLOOKUP(C41,Bolts!A:L,5,0)</f>
        <v>0</v>
      </c>
      <c r="G41" s="108">
        <f>VLOOKUP(C41,Bolts!A:L,6,0)</f>
        <v>0</v>
      </c>
      <c r="H41" s="108">
        <f>VLOOKUP(C41,Bolts!A:L,7,0)</f>
        <v>0</v>
      </c>
      <c r="I41" s="109"/>
      <c r="J41" s="46">
        <f>VLOOKUP(C41,Bolts!A:L,8,0)</f>
        <v>0</v>
      </c>
      <c r="K41" s="46">
        <f>VLOOKUP(C41,Bolts!A:L,9,0)</f>
        <v>0</v>
      </c>
      <c r="L41" s="46">
        <f>VLOOKUP(C41,Bolts!A:L,10,0)</f>
        <v>0</v>
      </c>
      <c r="M41" s="46">
        <f>VLOOKUP(C41,Bolts!A:L,11,0)</f>
        <v>0</v>
      </c>
      <c r="N41" s="130">
        <f>VLOOKUP(C41,Bolts!A:L,12,0)</f>
        <v>0</v>
      </c>
      <c r="O41" s="47">
        <f t="shared" ca="1" si="12"/>
        <v>2</v>
      </c>
      <c r="P41" s="51">
        <f>VLOOKUP(C41,Bolts!A:B,2,FALSE)</f>
        <v>0</v>
      </c>
      <c r="Q41" s="52">
        <f t="shared" si="13"/>
        <v>0</v>
      </c>
    </row>
    <row r="42" spans="1:17" s="2" customFormat="1" ht="12" customHeight="1" x14ac:dyDescent="0.25">
      <c r="A42" s="4">
        <v>506</v>
      </c>
      <c r="B42" s="2">
        <v>7</v>
      </c>
      <c r="C42" s="122" t="s">
        <v>95</v>
      </c>
      <c r="D42" s="325"/>
      <c r="E42" s="326"/>
      <c r="F42" s="108">
        <f>VLOOKUP(C42,Bolts!A:L,5,0)</f>
        <v>0</v>
      </c>
      <c r="G42" s="108">
        <f>VLOOKUP(C42,Bolts!A:L,6,0)</f>
        <v>0</v>
      </c>
      <c r="H42" s="108">
        <f>VLOOKUP(C42,Bolts!A:L,7,0)</f>
        <v>0</v>
      </c>
      <c r="I42" s="109"/>
      <c r="J42" s="46">
        <f>VLOOKUP(C42,Bolts!A:L,8,0)</f>
        <v>0</v>
      </c>
      <c r="K42" s="46">
        <f>VLOOKUP(C42,Bolts!A:L,9,0)</f>
        <v>0</v>
      </c>
      <c r="L42" s="46">
        <f>VLOOKUP(C42,Bolts!A:L,10,0)</f>
        <v>0</v>
      </c>
      <c r="M42" s="46">
        <f>VLOOKUP(C42,Bolts!A:L,11,0)</f>
        <v>0</v>
      </c>
      <c r="N42" s="130">
        <f>VLOOKUP(C42,Bolts!A:L,12,0)</f>
        <v>0</v>
      </c>
      <c r="O42" s="47">
        <f t="shared" ca="1" si="12"/>
        <v>7</v>
      </c>
      <c r="P42" s="51">
        <f>VLOOKUP(C42,Bolts!A:B,2,FALSE)</f>
        <v>0</v>
      </c>
      <c r="Q42" s="52">
        <f t="shared" si="13"/>
        <v>0</v>
      </c>
    </row>
    <row r="43" spans="1:17" s="2" customFormat="1" ht="12" customHeight="1" x14ac:dyDescent="0.25">
      <c r="A43" s="4">
        <v>507</v>
      </c>
      <c r="B43" s="2">
        <v>2</v>
      </c>
      <c r="C43" s="122" t="s">
        <v>617</v>
      </c>
      <c r="D43" s="325"/>
      <c r="E43" s="326"/>
      <c r="F43" s="108">
        <f>VLOOKUP(C43,Bolts!A:L,5,0)</f>
        <v>0</v>
      </c>
      <c r="G43" s="108">
        <f>VLOOKUP(C43,Bolts!A:L,6,0)</f>
        <v>0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t="shared" ca="1" si="12"/>
        <v>2</v>
      </c>
      <c r="P43" s="51">
        <f>VLOOKUP(C43,Bolts!A:B,2,FALSE)</f>
        <v>0</v>
      </c>
      <c r="Q43" s="52">
        <f t="shared" si="13"/>
        <v>0</v>
      </c>
    </row>
    <row r="44" spans="1:17" s="2" customFormat="1" ht="12" customHeight="1" x14ac:dyDescent="0.25">
      <c r="A44" s="4">
        <v>508</v>
      </c>
      <c r="B44" s="2">
        <v>6</v>
      </c>
      <c r="C44" s="122" t="s">
        <v>174</v>
      </c>
      <c r="D44" s="325"/>
      <c r="E44" s="326"/>
      <c r="F44" s="108">
        <f>VLOOKUP(C44,Bolts!A:L,5,0)</f>
        <v>0</v>
      </c>
      <c r="G44" s="108">
        <f>VLOOKUP(C44,Bolts!A:L,6,0)</f>
        <v>0</v>
      </c>
      <c r="H44" s="108">
        <f>VLOOKUP(C44,Bolts!A:L,7,0)</f>
        <v>0</v>
      </c>
      <c r="I44" s="109"/>
      <c r="J44" s="46">
        <f>VLOOKUP(C44,Bolts!A:L,8,0)</f>
        <v>0</v>
      </c>
      <c r="K44" s="46">
        <f>VLOOKUP(C44,Bolts!A:L,9,0)</f>
        <v>0</v>
      </c>
      <c r="L44" s="46">
        <f>VLOOKUP(C44,Bolts!A:L,10,0)</f>
        <v>0</v>
      </c>
      <c r="M44" s="46">
        <f>VLOOKUP(C44,Bolts!A:L,11,0)</f>
        <v>0</v>
      </c>
      <c r="N44" s="130">
        <f>VLOOKUP(C44,Bolts!A:L,12,0)</f>
        <v>0</v>
      </c>
      <c r="O44" s="47">
        <f t="shared" ca="1" si="12"/>
        <v>6</v>
      </c>
      <c r="P44" s="51">
        <f>VLOOKUP(C44,Bolts!A:B,2,FALSE)</f>
        <v>0</v>
      </c>
      <c r="Q44" s="52">
        <f t="shared" si="13"/>
        <v>0</v>
      </c>
    </row>
    <row r="45" spans="1:17" s="2" customFormat="1" ht="12" customHeight="1" x14ac:dyDescent="0.25">
      <c r="A45" s="4">
        <v>509</v>
      </c>
      <c r="B45" s="2">
        <v>8</v>
      </c>
      <c r="C45" s="122" t="s">
        <v>180</v>
      </c>
      <c r="D45" s="325"/>
      <c r="E45" s="326"/>
      <c r="F45" s="108">
        <f>VLOOKUP(C45,Bolts!A:L,5,0)</f>
        <v>0</v>
      </c>
      <c r="G45" s="108">
        <f>VLOOKUP(C45,Bolts!A:L,6,0)</f>
        <v>0</v>
      </c>
      <c r="H45" s="108">
        <f>VLOOKUP(C45,Bolts!A:L,7,0)</f>
        <v>0</v>
      </c>
      <c r="I45" s="109"/>
      <c r="J45" s="46">
        <f>VLOOKUP(C45,Bolts!A:L,8,0)</f>
        <v>0</v>
      </c>
      <c r="K45" s="46">
        <f>VLOOKUP(C45,Bolts!A:L,9,0)</f>
        <v>0</v>
      </c>
      <c r="L45" s="46">
        <f>VLOOKUP(C45,Bolts!A:L,10,0)</f>
        <v>0</v>
      </c>
      <c r="M45" s="46">
        <f>VLOOKUP(C45,Bolts!A:L,11,0)</f>
        <v>0</v>
      </c>
      <c r="N45" s="130">
        <f>VLOOKUP(C45,Bolts!A:L,12,0)</f>
        <v>0</v>
      </c>
      <c r="O45" s="47">
        <f t="shared" ca="1" si="12"/>
        <v>8</v>
      </c>
      <c r="P45" s="51">
        <f>VLOOKUP(C45,Bolts!A:B,2,FALSE)</f>
        <v>0</v>
      </c>
      <c r="Q45" s="52">
        <f t="shared" si="13"/>
        <v>0</v>
      </c>
    </row>
    <row r="46" spans="1:17" s="2" customFormat="1" ht="12" customHeight="1" x14ac:dyDescent="0.25">
      <c r="A46" s="4">
        <v>510</v>
      </c>
      <c r="B46" s="2">
        <v>2</v>
      </c>
      <c r="C46" s="122" t="s">
        <v>109</v>
      </c>
      <c r="D46" s="325"/>
      <c r="E46" s="326"/>
      <c r="F46" s="108">
        <f>VLOOKUP(C46,Bolts!A:L,5,0)</f>
        <v>0</v>
      </c>
      <c r="G46" s="108">
        <f>VLOOKUP(C46,Bolts!A:L,6,0)</f>
        <v>0</v>
      </c>
      <c r="H46" s="108">
        <f>VLOOKUP(C46,Bolts!A:L,7,0)</f>
        <v>0</v>
      </c>
      <c r="I46" s="109"/>
      <c r="J46" s="46">
        <f>VLOOKUP(C46,Bolts!A:L,8,0)</f>
        <v>0</v>
      </c>
      <c r="K46" s="46">
        <f>VLOOKUP(C46,Bolts!A:L,9,0)</f>
        <v>0</v>
      </c>
      <c r="L46" s="46">
        <f>VLOOKUP(C46,Bolts!A:L,10,0)</f>
        <v>0</v>
      </c>
      <c r="M46" s="46">
        <f>VLOOKUP(C46,Bolts!A:L,11,0)</f>
        <v>0</v>
      </c>
      <c r="N46" s="130">
        <f>VLOOKUP(C46,Bolts!A:L,12,0)</f>
        <v>0</v>
      </c>
      <c r="O46" s="47">
        <f t="shared" ca="1" si="12"/>
        <v>2</v>
      </c>
      <c r="P46" s="51">
        <f>VLOOKUP(C46,Bolts!A:B,2,FALSE)</f>
        <v>0</v>
      </c>
      <c r="Q46" s="52">
        <f t="shared" si="13"/>
        <v>0</v>
      </c>
    </row>
    <row r="47" spans="1:17" s="2" customFormat="1" ht="12" customHeight="1" x14ac:dyDescent="0.25">
      <c r="A47" s="4">
        <v>511</v>
      </c>
      <c r="B47" s="2">
        <v>12</v>
      </c>
      <c r="C47" s="122" t="s">
        <v>186</v>
      </c>
      <c r="D47" s="325"/>
      <c r="E47" s="326"/>
      <c r="F47" s="108">
        <f>VLOOKUP(C47,Bolts!A:L,5,0)</f>
        <v>0</v>
      </c>
      <c r="G47" s="108">
        <f>VLOOKUP(C47,Bolts!A:L,6,0)</f>
        <v>0</v>
      </c>
      <c r="H47" s="108">
        <f>VLOOKUP(C47,Bolts!A:L,7,0)</f>
        <v>0</v>
      </c>
      <c r="I47" s="109"/>
      <c r="J47" s="46">
        <f>VLOOKUP(C47,Bolts!A:L,8,0)</f>
        <v>0</v>
      </c>
      <c r="K47" s="46">
        <f>VLOOKUP(C47,Bolts!A:L,9,0)</f>
        <v>0</v>
      </c>
      <c r="L47" s="46">
        <f>VLOOKUP(C47,Bolts!A:L,10,0)</f>
        <v>0</v>
      </c>
      <c r="M47" s="46">
        <f>VLOOKUP(C47,Bolts!A:L,11,0)</f>
        <v>0</v>
      </c>
      <c r="N47" s="130">
        <f>VLOOKUP(C47,Bolts!A:L,12,0)</f>
        <v>0</v>
      </c>
      <c r="O47" s="47">
        <f t="shared" ref="O47" ca="1" si="14">B47*$L$2</f>
        <v>12</v>
      </c>
      <c r="P47" s="51">
        <f>VLOOKUP(C47,Bolts!A:B,2,FALSE)</f>
        <v>0</v>
      </c>
      <c r="Q47" s="52">
        <f t="shared" ref="Q47" si="15">B47*P47</f>
        <v>0</v>
      </c>
    </row>
    <row r="48" spans="1:17" s="2" customFormat="1" ht="12" customHeight="1" x14ac:dyDescent="0.25">
      <c r="A48" s="4">
        <v>512</v>
      </c>
      <c r="B48" s="2">
        <v>4</v>
      </c>
      <c r="C48" s="122" t="s">
        <v>618</v>
      </c>
      <c r="D48" s="325"/>
      <c r="E48" s="326"/>
      <c r="F48" s="108">
        <f>VLOOKUP(C48,Bolts!A:L,5,0)</f>
        <v>0</v>
      </c>
      <c r="G48" s="108">
        <f>VLOOKUP(C48,Bolts!A:L,6,0)</f>
        <v>0</v>
      </c>
      <c r="H48" s="108">
        <f>VLOOKUP(C48,Bolts!A:L,7,0)</f>
        <v>0</v>
      </c>
      <c r="I48" s="109"/>
      <c r="J48" s="46">
        <f>VLOOKUP(C48,Bolts!A:L,8,0)</f>
        <v>0</v>
      </c>
      <c r="K48" s="46">
        <f>VLOOKUP(C48,Bolts!A:L,9,0)</f>
        <v>0</v>
      </c>
      <c r="L48" s="46">
        <f>VLOOKUP(C48,Bolts!A:L,10,0)</f>
        <v>0</v>
      </c>
      <c r="M48" s="46">
        <f>VLOOKUP(C48,Bolts!A:L,11,0)</f>
        <v>0</v>
      </c>
      <c r="N48" s="130">
        <f>VLOOKUP(C48,Bolts!A:L,12,0)</f>
        <v>0</v>
      </c>
      <c r="O48" s="47">
        <f t="shared" ca="1" si="12"/>
        <v>4</v>
      </c>
      <c r="P48" s="51">
        <f>VLOOKUP(C48,Bolts!A:B,2,FALSE)</f>
        <v>0</v>
      </c>
      <c r="Q48" s="52">
        <f t="shared" si="13"/>
        <v>0</v>
      </c>
    </row>
    <row r="49" spans="1:17" s="2" customFormat="1" ht="12" customHeight="1" x14ac:dyDescent="0.25">
      <c r="A49" s="25"/>
      <c r="B49" s="26"/>
      <c r="C49" s="26"/>
      <c r="D49" s="332"/>
      <c r="E49" s="333"/>
      <c r="F49" s="26"/>
      <c r="G49" s="26"/>
      <c r="H49" s="322"/>
      <c r="I49" s="323"/>
      <c r="J49" s="27"/>
      <c r="K49" s="27"/>
      <c r="L49" s="27"/>
      <c r="M49" s="28"/>
      <c r="N49" s="29"/>
      <c r="O49" s="29"/>
      <c r="P49" s="148"/>
      <c r="Q49" s="149"/>
    </row>
    <row r="50" spans="1:17" s="2" customFormat="1" ht="12" customHeight="1" thickBot="1" x14ac:dyDescent="0.3">
      <c r="A50" s="4">
        <v>701</v>
      </c>
      <c r="B50" s="2">
        <v>1</v>
      </c>
      <c r="C50" s="123" t="s">
        <v>619</v>
      </c>
      <c r="D50" s="325" t="str">
        <f>VLOOKUP(C50,Extrusion!B:C,2,0)</f>
        <v>APPROVED EL 8/1</v>
      </c>
      <c r="E50" s="326"/>
      <c r="F50" s="108" t="str">
        <f ca="1">VLOOKUP(C50,Extrusion!B:N,5,0)</f>
        <v/>
      </c>
      <c r="G50" s="108">
        <f>VLOOKUP(C50,Extrusion!B:N,6,0)</f>
        <v>1</v>
      </c>
      <c r="H50" s="108">
        <f>VLOOKUP(C50,Extrusion!B:N,7,0)</f>
        <v>0</v>
      </c>
      <c r="I50" s="109"/>
      <c r="J50" s="46" t="str">
        <f>VLOOKUP(C50,Extrusion!B:N,8,0)</f>
        <v>T-Slots</v>
      </c>
      <c r="K50" s="46">
        <f>VLOOKUP(C50,Extrusion!B:N,9,0)</f>
        <v>0</v>
      </c>
      <c r="L50" s="46">
        <f>VLOOKUP(C50,Extrusion!B:N,10,0)</f>
        <v>0</v>
      </c>
      <c r="M50" s="46">
        <f>VLOOKUP(C50,Extrusion!B:N,11,0)</f>
        <v>0</v>
      </c>
      <c r="N50" s="47">
        <f>VLOOKUP(C50,Extrusion!B:O,12,0)</f>
        <v>0</v>
      </c>
      <c r="O50" s="47">
        <f t="shared" ref="O50" ca="1" si="16">B50*$L$2</f>
        <v>1</v>
      </c>
      <c r="P50" s="51">
        <f>VLOOKUP(C50,Extrusion!B:G,4,0)</f>
        <v>1</v>
      </c>
      <c r="Q50" s="52">
        <f t="shared" ref="Q50" si="17">B50*P50</f>
        <v>1</v>
      </c>
    </row>
    <row r="51" spans="1:17" s="2" customFormat="1" ht="12" customHeight="1" thickBot="1" x14ac:dyDescent="0.3">
      <c r="A51" s="34"/>
      <c r="B51" s="35"/>
      <c r="C51" s="35"/>
      <c r="D51" s="316"/>
      <c r="E51" s="317"/>
      <c r="F51" s="35"/>
      <c r="G51" s="35"/>
      <c r="H51" s="309"/>
      <c r="I51" s="310"/>
      <c r="J51" s="36"/>
      <c r="K51" s="36"/>
      <c r="L51" s="36"/>
      <c r="M51" s="37"/>
      <c r="N51" s="132"/>
      <c r="O51" s="38"/>
      <c r="P51" s="99" t="s">
        <v>43</v>
      </c>
      <c r="Q51" s="104">
        <f>SUM(Q5:Q50)</f>
        <v>3186.7230000000009</v>
      </c>
    </row>
  </sheetData>
  <sheetProtection selectLockedCells="1"/>
  <mergeCells count="84">
    <mergeCell ref="D51:E51"/>
    <mergeCell ref="H51:I51"/>
    <mergeCell ref="D27:E27"/>
    <mergeCell ref="H27:I27"/>
    <mergeCell ref="D48:E48"/>
    <mergeCell ref="D49:E49"/>
    <mergeCell ref="H49:I49"/>
    <mergeCell ref="D50:E50"/>
    <mergeCell ref="D47:E47"/>
    <mergeCell ref="D46:E46"/>
    <mergeCell ref="D36:E36"/>
    <mergeCell ref="H36:I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33:E33"/>
    <mergeCell ref="H33:I33"/>
    <mergeCell ref="D34:E34"/>
    <mergeCell ref="H34:I34"/>
    <mergeCell ref="D35:E35"/>
    <mergeCell ref="H35:I35"/>
    <mergeCell ref="D26:E26"/>
    <mergeCell ref="H26:I26"/>
    <mergeCell ref="D32:E32"/>
    <mergeCell ref="H32:I32"/>
    <mergeCell ref="D28:E28"/>
    <mergeCell ref="H28:I28"/>
    <mergeCell ref="D29:E29"/>
    <mergeCell ref="H29:I29"/>
    <mergeCell ref="D30:E30"/>
    <mergeCell ref="H30:I30"/>
    <mergeCell ref="D31:E31"/>
    <mergeCell ref="H31:I31"/>
    <mergeCell ref="D23:E23"/>
    <mergeCell ref="H23:I23"/>
    <mergeCell ref="D24:E24"/>
    <mergeCell ref="H24:I24"/>
    <mergeCell ref="D25:E25"/>
    <mergeCell ref="H25:I25"/>
    <mergeCell ref="D20:E20"/>
    <mergeCell ref="H20:I20"/>
    <mergeCell ref="D21:E21"/>
    <mergeCell ref="H21:I21"/>
    <mergeCell ref="D22:E22"/>
    <mergeCell ref="H22:I22"/>
    <mergeCell ref="D17:E17"/>
    <mergeCell ref="H17:I17"/>
    <mergeCell ref="D18:E18"/>
    <mergeCell ref="H18:I18"/>
    <mergeCell ref="D19:E19"/>
    <mergeCell ref="H19:I19"/>
    <mergeCell ref="D13:E13"/>
    <mergeCell ref="H13:I13"/>
    <mergeCell ref="D14:E14"/>
    <mergeCell ref="H14:I14"/>
    <mergeCell ref="D16:E16"/>
    <mergeCell ref="H16:I16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5:E5"/>
    <mergeCell ref="H5:I5"/>
    <mergeCell ref="D6:E6"/>
    <mergeCell ref="H6:I6"/>
    <mergeCell ref="D1:E1"/>
    <mergeCell ref="D4:E4"/>
    <mergeCell ref="H4:I4"/>
  </mergeCells>
  <conditionalFormatting sqref="M17 M36:M50">
    <cfRule type="cellIs" dxfId="1434" priority="37" stopIfTrue="1" operator="lessThanOrEqual">
      <formula>$L17</formula>
    </cfRule>
    <cfRule type="cellIs" dxfId="1433" priority="38" operator="greaterThan">
      <formula>L17</formula>
    </cfRule>
  </conditionalFormatting>
  <conditionalFormatting sqref="M18:M35">
    <cfRule type="cellIs" dxfId="1432" priority="1" stopIfTrue="1" operator="lessThanOrEqual">
      <formula>$L18</formula>
    </cfRule>
    <cfRule type="cellIs" dxfId="1431" priority="2" operator="greaterThan">
      <formula>L18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166CC51-09A9-4D66-9BD0-F4F9E19BAD8D}">
          <x14:formula1>
            <xm:f>Extrusion!$B:$B</xm:f>
          </x14:formula1>
          <xm:sqref>C49:C50</xm:sqref>
        </x14:dataValidation>
        <x14:dataValidation type="list" allowBlank="1" showInputMessage="1" showErrorMessage="1" xr:uid="{C00E726F-726A-400B-B19C-ED2C8F82CB20}">
          <x14:formula1>
            <xm:f>Bolts!$A:$A</xm:f>
          </x14:formula1>
          <xm:sqref>C27:C47</xm:sqref>
        </x14:dataValidation>
        <x14:dataValidation type="list" allowBlank="1" showInputMessage="1" showErrorMessage="1" xr:uid="{621C2251-4369-4DA9-B2EC-0F031F490B1A}">
          <x14:formula1>
            <xm:f>Machined!$C:$C</xm:f>
          </x14:formula1>
          <xm:sqref>C5:C16</xm:sqref>
        </x14:dataValidation>
        <x14:dataValidation type="list" allowBlank="1" showInputMessage="1" showErrorMessage="1" xr:uid="{656A7C7C-74B3-40AB-A59A-2CB0DD95EDED}">
          <x14:formula1>
            <xm:f>Purchased!$A:$A</xm:f>
          </x14:formula1>
          <xm:sqref>C17:C34</xm:sqref>
        </x14:dataValidation>
      </x14:dataValidations>
    </ext>
  </extLst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51DF3-7A7E-4449-BE39-00761C5ADDE5}">
  <sheetPr codeName="Sheet113">
    <tabColor theme="9" tint="0.59999389629810485"/>
  </sheetPr>
  <dimension ref="A1:Q32"/>
  <sheetViews>
    <sheetView zoomScale="112" zoomScaleNormal="115" workbookViewId="0">
      <selection activeCell="A11" sqref="A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'4'!C9</f>
        <v>PG10.4.4.0.A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'4'!D9</f>
        <v>Presto Welder Assy</v>
      </c>
      <c r="D3" s="85" t="s">
        <v>50</v>
      </c>
      <c r="E3" s="86" t="str">
        <f ca="1">MID(CELL("filename",A1),FIND("]",CELL("filename",A1))+1,256)</f>
        <v>4.4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</v>
      </c>
      <c r="C5" s="112" t="s">
        <v>620</v>
      </c>
      <c r="D5" s="336" t="str">
        <f ca="1">VLOOKUP(C5,Assemblies!E:P,2,0)</f>
        <v>Main Frame 3 Adjustment Handwheel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6" ca="1" si="0">B5*$L$2</f>
        <v>2</v>
      </c>
      <c r="P5" s="117">
        <f>'4.4.1'!Q20</f>
        <v>1018.0600000000001</v>
      </c>
      <c r="Q5" s="118">
        <f t="shared" ref="Q5:Q6" si="1">B5*P5</f>
        <v>2036.1200000000001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621</v>
      </c>
      <c r="D6" s="314" t="str">
        <f ca="1">VLOOKUP(C6,Assemblies!E:P,2,0)</f>
        <v>Main Frame 3 Geared Adjustment Handwheel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'4.4.2'!Q26</f>
        <v>1097.82</v>
      </c>
      <c r="Q6" s="103">
        <f t="shared" si="1"/>
        <v>1097.82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622</v>
      </c>
      <c r="D7" s="314" t="str">
        <f ca="1">VLOOKUP(C7,Assemblies!E:P,2,0)</f>
        <v>TOE ROLLER ASSEMBLY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1</v>
      </c>
      <c r="P7" s="147">
        <f>'8.4'!Q23</f>
        <v>624.98</v>
      </c>
      <c r="Q7" s="103">
        <f>B7*P7</f>
        <v>624.98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272">
        <v>1</v>
      </c>
      <c r="B9" s="20">
        <v>2</v>
      </c>
      <c r="C9" s="121" t="s">
        <v>623</v>
      </c>
      <c r="D9" s="314" t="str">
        <f>VLOOKUP(C9,Machined!C:X,2,0)</f>
        <v>Welder Cross Beam</v>
      </c>
      <c r="E9" s="329"/>
      <c r="F9" s="107" t="str">
        <f>VLOOKUP($C9,Machined!C:Z,13,0)</f>
        <v>MIC-6 CAST ALUMINUM</v>
      </c>
      <c r="G9" s="44" t="str">
        <f>IF(VLOOKUP($C9,Machined!C:Z,16,0) = 0, " ", VLOOKUP($C9,Machined!C:Z,16,0))</f>
        <v>Craig Miller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MIC-6 CAST ALUMINUM</v>
      </c>
      <c r="J9" s="44">
        <f>IF(VLOOKUP($C9,Machined!C:Z,18,0) = 0, " ", VLOOKUP($C9,Machined!C:Z,18,0))</f>
        <v>45503</v>
      </c>
      <c r="K9" s="44">
        <f>IF(VLOOKUP($C9,Machined!C:Z,19,0) = 0, " ", VLOOKUP($C9,Machined!C:Z,19,0))</f>
        <v>45509</v>
      </c>
      <c r="L9" s="44">
        <f>IF(VLOOKUP($C9,Machined!C:Z,20,0) = 0, " ", VLOOKUP($C9,Machined!C:Z,20,0))</f>
        <v>45540</v>
      </c>
      <c r="M9" s="44">
        <f>IF(VLOOKUP($C9,Machined!C:Z,21,0) = 0, " ", VLOOKUP($C9,Machined!C:Z,21,0))</f>
        <v>45540</v>
      </c>
      <c r="N9" s="129">
        <f>IF(VLOOKUP($C9,Machined!C:Z,22,0) = 0, " ", VLOOKUP($C9,Machined!C:Z,22,0))</f>
        <v>55656</v>
      </c>
      <c r="O9" s="45">
        <f ca="1">B9*$L$2</f>
        <v>2</v>
      </c>
      <c r="P9" s="49">
        <f>VLOOKUP(C9,Machined!C:F,3,0)</f>
        <v>147</v>
      </c>
      <c r="Q9" s="50">
        <f>B9*P9</f>
        <v>294</v>
      </c>
    </row>
    <row r="10" spans="1:17" s="2" customFormat="1" ht="12.75" customHeight="1" x14ac:dyDescent="0.25">
      <c r="A10" s="272" t="s">
        <v>624</v>
      </c>
      <c r="B10" s="20">
        <v>1</v>
      </c>
      <c r="C10" s="121" t="s">
        <v>625</v>
      </c>
      <c r="D10" s="314" t="str">
        <f>VLOOKUP(C10,Machined!C:X,2,0)</f>
        <v>Welder Spur Gear Guard A Side</v>
      </c>
      <c r="E10" s="329"/>
      <c r="F10" s="107" t="str">
        <f>VLOOKUP($C10,Machined!C:Z,13,0)</f>
        <v>304 STAINLESS STEEL</v>
      </c>
      <c r="G10" s="44" t="str">
        <f>IF(VLOOKUP($C10,Machined!C:Z,16,0) = 0, " ", VLOOKUP($C10,Machined!C:Z,16,0))</f>
        <v>Proto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304 STAINLESS STEEL</v>
      </c>
      <c r="J10" s="44">
        <f>IF(VLOOKUP($C10,Machined!C:Z,18,0) = 0, " ", VLOOKUP($C10,Machined!C:Z,18,0))</f>
        <v>45526</v>
      </c>
      <c r="K10" s="44">
        <f>IF(VLOOKUP($C10,Machined!C:Z,19,0) = 0, " ", VLOOKUP($C10,Machined!C:Z,19,0))</f>
        <v>45527</v>
      </c>
      <c r="L10" s="44">
        <f>IF(VLOOKUP($C10,Machined!C:Z,20,0) = 0, " ", VLOOKUP($C10,Machined!C:Z,20,0))</f>
        <v>45548</v>
      </c>
      <c r="M10" s="44">
        <f>IF(VLOOKUP($C10,Machined!C:Z,21,0) = 0, " ", VLOOKUP($C10,Machined!C:Z,21,0))</f>
        <v>45548</v>
      </c>
      <c r="N10" s="129">
        <f>IF(VLOOKUP($C10,Machined!C:Z,22,0) = 0, " ", VLOOKUP($C10,Machined!C:Z,22,0))</f>
        <v>55702</v>
      </c>
      <c r="O10" s="45">
        <f ca="1">B10*$L$2</f>
        <v>1</v>
      </c>
      <c r="P10" s="49">
        <f>VLOOKUP(C10,Machined!C:F,3,0)</f>
        <v>0</v>
      </c>
      <c r="Q10" s="50">
        <f>B10*P10</f>
        <v>0</v>
      </c>
    </row>
    <row r="11" spans="1:17" s="2" customFormat="1" ht="12.75" customHeight="1" x14ac:dyDescent="0.25">
      <c r="A11" s="272" t="s">
        <v>626</v>
      </c>
      <c r="B11" s="20">
        <v>1</v>
      </c>
      <c r="C11" s="121" t="s">
        <v>627</v>
      </c>
      <c r="D11" s="314" t="str">
        <f>VLOOKUP(C11,Machined!C:X,2,0)</f>
        <v>Welder Spur Gear Guard B Side</v>
      </c>
      <c r="E11" s="329"/>
      <c r="F11" s="107" t="str">
        <f>VLOOKUP($C11,Machined!C:Z,13,0)</f>
        <v>304 STAINLESS STEEL</v>
      </c>
      <c r="G11" s="44" t="str">
        <f>IF(VLOOKUP($C11,Machined!C:Z,16,0) = 0, " ", VLOOKUP($C11,Machined!C:Z,16,0))</f>
        <v>Proto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304 STAINLESS STEEL</v>
      </c>
      <c r="J11" s="44">
        <f>IF(VLOOKUP($C11,Machined!C:Z,18,0) = 0, " ", VLOOKUP($C11,Machined!C:Z,18,0))</f>
        <v>45526</v>
      </c>
      <c r="K11" s="44">
        <f>IF(VLOOKUP($C11,Machined!C:Z,19,0) = 0, " ", VLOOKUP($C11,Machined!C:Z,19,0))</f>
        <v>45527</v>
      </c>
      <c r="L11" s="44">
        <f>IF(VLOOKUP($C11,Machined!C:Z,20,0) = 0, " ", VLOOKUP($C11,Machined!C:Z,20,0))</f>
        <v>45548</v>
      </c>
      <c r="M11" s="44">
        <f>IF(VLOOKUP($C11,Machined!C:Z,21,0) = 0, " ", VLOOKUP($C11,Machined!C:Z,21,0))</f>
        <v>45548</v>
      </c>
      <c r="N11" s="129">
        <f>IF(VLOOKUP($C11,Machined!C:Z,22,0) = 0, " ", VLOOKUP($C11,Machined!C:Z,22,0))</f>
        <v>55702</v>
      </c>
      <c r="O11" s="45">
        <f ca="1">B11*$L$2</f>
        <v>1</v>
      </c>
      <c r="P11" s="49">
        <f>VLOOKUP(C11,Machined!C:F,3,0)</f>
        <v>0</v>
      </c>
      <c r="Q11" s="50">
        <f>B11*P11</f>
        <v>0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301</v>
      </c>
      <c r="B13" s="2">
        <v>8</v>
      </c>
      <c r="C13" s="265" t="s">
        <v>628</v>
      </c>
      <c r="D13" s="325" t="str">
        <f>VLOOKUP(C13,Purchased!A:B,2,0)</f>
        <v>Custom Threaded Standoff 50mmL M6 to M8</v>
      </c>
      <c r="E13" s="326"/>
      <c r="F13" s="108" t="str">
        <f>IF(VLOOKUP($C13,Purchased!A:Z,11,0) = 0, " ", VLOOKUP($C13,Purchased!A:Z,11,0))</f>
        <v>MISUMI</v>
      </c>
      <c r="G13" s="108" t="str">
        <f>IF(VLOOKUP($C13,Purchased!A:Z,12,0)=0, " ", VLOOKUP($C13,Purchased!A:Z,12,0))</f>
        <v>MISUMI</v>
      </c>
      <c r="H13" s="327" t="str">
        <f>IF(VLOOKUP($C13,Purchased!A:Z,13,0)=0, " ", VLOOKUP($C13,Purchased!A:Z,13,0))</f>
        <v>QB REC QTY is 10, BOM SAYS 24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45524</v>
      </c>
      <c r="M13" s="46">
        <f>IF(VLOOKUP(C13,Purchased!A:R,16,0)=0, " ",VLOOKUP(C13,Purchased!A:R,16,0))</f>
        <v>45540</v>
      </c>
      <c r="N13" s="130">
        <f>IF(VLOOKUP(C13,Purchased!A:R,17,0)=0, " ", VLOOKUP(C13,Purchased!A:R,17,0))</f>
        <v>45527</v>
      </c>
      <c r="O13" s="47">
        <f t="shared" ref="O13:O18" ca="1" si="2">B13*$L$2</f>
        <v>8</v>
      </c>
      <c r="P13" s="51">
        <f>VLOOKUP(C13,Purchased!A:D,3,FALSE)</f>
        <v>15.25</v>
      </c>
      <c r="Q13" s="52">
        <f t="shared" ref="Q13:Q18" si="3">B13*P13</f>
        <v>122</v>
      </c>
    </row>
    <row r="14" spans="1:17" s="2" customFormat="1" ht="12" customHeight="1" x14ac:dyDescent="0.25">
      <c r="A14" s="4">
        <v>302</v>
      </c>
      <c r="B14" s="2">
        <v>4</v>
      </c>
      <c r="C14" s="265" t="s">
        <v>629</v>
      </c>
      <c r="D14" s="325" t="str">
        <f>VLOOKUP(C14,Purchased!A:B,2,0)</f>
        <v>15mm C1 Preload Runner Block</v>
      </c>
      <c r="E14" s="326"/>
      <c r="F14" s="108" t="str">
        <f>IF(VLOOKUP($C14,Purchased!A:Z,11,0) = 0, " ", VLOOKUP($C14,Purchased!A:Z,11,0))</f>
        <v>BRL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Ordered 24 additional PO 55645</v>
      </c>
      <c r="I14" s="328"/>
      <c r="J14" s="46">
        <f>IF(VLOOKUP($C14,Purchased!A:Z,14,0)=0, " ", VLOOKUP($C14,Purchased!A:Z,14,0))</f>
        <v>45461</v>
      </c>
      <c r="K14" s="46">
        <f>IF(VLOOKUP(C14,Purchased!A:R,14,0)=0, " ", VLOOKUP(C14,Purchased!A:R,14,0))</f>
        <v>45461</v>
      </c>
      <c r="L14" s="46">
        <f>IF(VLOOKUP(C14,Purchased!A:R,15,0)=0, " ", VLOOKUP(C14,Purchased!A:R,15,0))</f>
        <v>45462</v>
      </c>
      <c r="M14" s="46">
        <f>IF(VLOOKUP(C14,Purchased!A:R,16,0)=0, " ",VLOOKUP(C14,Purchased!A:R,16,0))</f>
        <v>45504</v>
      </c>
      <c r="N14" s="130">
        <f>IF(VLOOKUP(C14,Purchased!A:R,17,0)=0, " ", VLOOKUP(C14,Purchased!A:R,17,0))</f>
        <v>45504</v>
      </c>
      <c r="O14" s="47">
        <f t="shared" ca="1" si="2"/>
        <v>4</v>
      </c>
      <c r="P14" s="51">
        <f>VLOOKUP(C14,Purchased!A:D,3,FALSE)</f>
        <v>109.2133</v>
      </c>
      <c r="Q14" s="52">
        <f t="shared" si="3"/>
        <v>436.85320000000002</v>
      </c>
    </row>
    <row r="15" spans="1:17" s="2" customFormat="1" ht="12" customHeight="1" x14ac:dyDescent="0.25">
      <c r="A15" s="4">
        <v>303</v>
      </c>
      <c r="B15" s="2">
        <v>2</v>
      </c>
      <c r="C15" s="265" t="s">
        <v>498</v>
      </c>
      <c r="D15" s="325" t="str">
        <f>VLOOKUP(C15,Purchased!A:B,2,0)</f>
        <v>Presto Turner, Welders, Parkers, Adjustment Mechanism</v>
      </c>
      <c r="E15" s="326"/>
      <c r="F15" s="108" t="str">
        <f>IF(VLOOKUP($C15,Purchased!A:Z,11,0) = 0, " ", VLOOKUP($C15,Purchased!A:Z,11,0))</f>
        <v>Presto</v>
      </c>
      <c r="G15" s="108" t="str">
        <f>IF(VLOOKUP($C15,Purchased!A:Z,12,0)=0, " ", VLOOKUP($C15,Purchased!A:Z,12,0))</f>
        <v>Presto</v>
      </c>
      <c r="H15" s="327" t="str">
        <f>IF(VLOOKUP($C15,Purchased!A:Z,13,0)=0, " ", VLOOKUP($C15,Purchased!A:Z,13,0))</f>
        <v xml:space="preserve"> 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45307</v>
      </c>
      <c r="M15" s="46">
        <f>IF(VLOOKUP(C15,Purchased!A:R,16,0)=0, " ",VLOOKUP(C15,Purchased!A:R,16,0))</f>
        <v>45561</v>
      </c>
      <c r="N15" s="130">
        <f>IF(VLOOKUP(C15,Purchased!A:R,17,0)=0, " ", VLOOKUP(C15,Purchased!A:R,17,0))</f>
        <v>45561</v>
      </c>
      <c r="O15" s="47">
        <f t="shared" ca="1" si="2"/>
        <v>2</v>
      </c>
      <c r="P15" s="51">
        <f>VLOOKUP(C15,Purchased!A:D,3,FALSE)</f>
        <v>0</v>
      </c>
      <c r="Q15" s="52">
        <f t="shared" si="3"/>
        <v>0</v>
      </c>
    </row>
    <row r="16" spans="1:17" s="2" customFormat="1" ht="12" customHeight="1" x14ac:dyDescent="0.25">
      <c r="A16" s="4">
        <v>304</v>
      </c>
      <c r="B16" s="2">
        <v>2</v>
      </c>
      <c r="C16" s="265" t="s">
        <v>630</v>
      </c>
      <c r="D16" s="325" t="str">
        <f>VLOOKUP(C16,Purchased!A:B,2,0)</f>
        <v>Presto Slider Parker Module</v>
      </c>
      <c r="E16" s="326"/>
      <c r="F16" s="108" t="str">
        <f>IF(VLOOKUP($C16,Purchased!A:Z,11,0) = 0, " ", VLOOKUP($C16,Purchased!A:Z,11,0))</f>
        <v>Presto</v>
      </c>
      <c r="G16" s="108" t="str">
        <f>IF(VLOOKUP($C16,Purchased!A:Z,12,0)=0, " ", VLOOKUP($C16,Purchased!A:Z,12,0))</f>
        <v>Presto</v>
      </c>
      <c r="H16" s="327" t="str">
        <f>IF(VLOOKUP($C16,Purchased!A:Z,13,0)=0, " ", VLOOKUP($C16,Purchased!A:Z,13,0))</f>
        <v xml:space="preserve"> 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>
        <f>IF(VLOOKUP(C16,Purchased!A:R,15,0)=0, " ", VLOOKUP(C16,Purchased!A:R,15,0))</f>
        <v>45307</v>
      </c>
      <c r="M16" s="46">
        <f>IF(VLOOKUP(C16,Purchased!A:R,16,0)=0, " ",VLOOKUP(C16,Purchased!A:R,16,0))</f>
        <v>45561</v>
      </c>
      <c r="N16" s="130">
        <f>IF(VLOOKUP(C16,Purchased!A:R,17,0)=0, " ", VLOOKUP(C16,Purchased!A:R,17,0))</f>
        <v>45561</v>
      </c>
      <c r="O16" s="47">
        <f t="shared" ca="1" si="2"/>
        <v>2</v>
      </c>
      <c r="P16" s="51">
        <f>VLOOKUP(C16,Purchased!A:D,3,FALSE)</f>
        <v>0</v>
      </c>
      <c r="Q16" s="52">
        <f t="shared" si="3"/>
        <v>0</v>
      </c>
    </row>
    <row r="17" spans="1:17" s="2" customFormat="1" ht="12" customHeight="1" x14ac:dyDescent="0.25">
      <c r="A17" s="4">
        <v>305</v>
      </c>
      <c r="B17" s="2">
        <v>2</v>
      </c>
      <c r="C17" s="265" t="s">
        <v>631</v>
      </c>
      <c r="D17" s="325" t="str">
        <f>VLOOKUP(C17,Purchased!A:B,2,0)</f>
        <v>Presto Welder</v>
      </c>
      <c r="E17" s="326"/>
      <c r="F17" s="108" t="str">
        <f>IF(VLOOKUP($C17,Purchased!A:Z,11,0) = 0, " ", VLOOKUP($C17,Purchased!A:Z,11,0))</f>
        <v>Presto</v>
      </c>
      <c r="G17" s="108" t="str">
        <f>IF(VLOOKUP($C17,Purchased!A:Z,12,0)=0, " ", VLOOKUP($C17,Purchased!A:Z,12,0))</f>
        <v>Presto</v>
      </c>
      <c r="H17" s="327" t="str">
        <f>IF(VLOOKUP($C17,Purchased!A:Z,13,0)=0, " ", VLOOKUP($C17,Purchased!A:Z,13,0))</f>
        <v xml:space="preserve"> </v>
      </c>
      <c r="I17" s="328"/>
      <c r="J17" s="46" t="str">
        <f>IF(VLOOKUP($C17,Purchased!A:Z,14,0)=0, " ", VLOOKUP($C17,Purchased!A:Z,14,0))</f>
        <v>N/A</v>
      </c>
      <c r="K17" s="46" t="str">
        <f>IF(VLOOKUP(C17,Purchased!A:R,14,0)=0, " ", VLOOKUP(C17,Purchased!A:R,14,0))</f>
        <v>N/A</v>
      </c>
      <c r="L17" s="46">
        <f>IF(VLOOKUP(C17,Purchased!A:R,15,0)=0, " ", VLOOKUP(C17,Purchased!A:R,15,0))</f>
        <v>45307</v>
      </c>
      <c r="M17" s="46">
        <f>IF(VLOOKUP(C17,Purchased!A:R,16,0)=0, " ",VLOOKUP(C17,Purchased!A:R,16,0))</f>
        <v>45561</v>
      </c>
      <c r="N17" s="130">
        <f>IF(VLOOKUP(C17,Purchased!A:R,17,0)=0, " ", VLOOKUP(C17,Purchased!A:R,17,0))</f>
        <v>45561</v>
      </c>
      <c r="O17" s="47">
        <f t="shared" ca="1" si="2"/>
        <v>2</v>
      </c>
      <c r="P17" s="51">
        <f>VLOOKUP(C17,Purchased!A:D,3,FALSE)</f>
        <v>0</v>
      </c>
      <c r="Q17" s="52">
        <f t="shared" si="3"/>
        <v>0</v>
      </c>
    </row>
    <row r="18" spans="1:17" s="2" customFormat="1" ht="12" customHeight="1" x14ac:dyDescent="0.25">
      <c r="A18" s="4">
        <v>306</v>
      </c>
      <c r="B18" s="2">
        <v>2</v>
      </c>
      <c r="C18" s="135">
        <v>3842548758</v>
      </c>
      <c r="D18" s="325" t="str">
        <f>VLOOKUP(C18,Purchased!A:B,2,0)</f>
        <v>BRX 3842548758 Cover Cap 90x90 Grey</v>
      </c>
      <c r="E18" s="326"/>
      <c r="F18" s="108" t="str">
        <f>IF(VLOOKUP($C18,Purchased!A:Z,11,0) = 0, " ", VLOOKUP($C18,Purchased!A:Z,11,0))</f>
        <v>BRX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>
        <f>IF(VLOOKUP(C18,Purchased!A:R,15,0)=0, " ", VLOOKUP(C18,Purchased!A:R,15,0))</f>
        <v>45524</v>
      </c>
      <c r="M18" s="46">
        <f>IF(VLOOKUP(C18,Purchased!A:R,16,0)=0, " ",VLOOKUP(C18,Purchased!A:R,16,0))</f>
        <v>45547</v>
      </c>
      <c r="N18" s="130" t="str">
        <f>IF(VLOOKUP(C18,Purchased!A:R,17,0)=0, " ", VLOOKUP(C18,Purchased!A:R,17,0))</f>
        <v xml:space="preserve"> </v>
      </c>
      <c r="O18" s="47">
        <f t="shared" ca="1" si="2"/>
        <v>2</v>
      </c>
      <c r="P18" s="51">
        <f>VLOOKUP(C18,Purchased!A:D,3,FALSE)</f>
        <v>2.83</v>
      </c>
      <c r="Q18" s="52">
        <f t="shared" si="3"/>
        <v>5.66</v>
      </c>
    </row>
    <row r="19" spans="1:17" s="2" customFormat="1" ht="12" customHeight="1" x14ac:dyDescent="0.25">
      <c r="A19" s="4">
        <v>307</v>
      </c>
      <c r="B19" s="2">
        <v>2</v>
      </c>
      <c r="C19" s="135" t="s">
        <v>150</v>
      </c>
      <c r="D19" s="325" t="str">
        <f>VLOOKUP(C19,Purchased!A:B,2,0)</f>
        <v>BRX 45X45 GREY END CAP</v>
      </c>
      <c r="E19" s="326"/>
      <c r="F19" s="108" t="str">
        <f>IF(VLOOKUP($C19,Purchased!A:Z,11,0) = 0, " ", VLOOKUP($C19,Purchased!A:Z,11,0))</f>
        <v>BRX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45524</v>
      </c>
      <c r="M19" s="46">
        <f>IF(VLOOKUP(C19,Purchased!A:R,16,0)=0, " ",VLOOKUP(C19,Purchased!A:R,16,0))</f>
        <v>45547</v>
      </c>
      <c r="N19" s="130" t="str">
        <f>IF(VLOOKUP(C19,Purchased!A:R,17,0)=0, " ", VLOOKUP(C19,Purchased!A:R,17,0))</f>
        <v xml:space="preserve"> </v>
      </c>
      <c r="O19" s="47">
        <f t="shared" ref="O19" ca="1" si="4">B19*$L$2</f>
        <v>2</v>
      </c>
      <c r="P19" s="51">
        <f>VLOOKUP(C19,Purchased!A:D,3,FALSE)</f>
        <v>0.9</v>
      </c>
      <c r="Q19" s="52">
        <f t="shared" ref="Q19" si="5">B19*P19</f>
        <v>1.8</v>
      </c>
    </row>
    <row r="20" spans="1:17" s="2" customFormat="1" ht="12" customHeight="1" x14ac:dyDescent="0.25">
      <c r="A20" s="4">
        <v>308</v>
      </c>
      <c r="B20" s="2">
        <v>4</v>
      </c>
      <c r="C20" s="135" t="s">
        <v>149</v>
      </c>
      <c r="D20" s="325" t="str">
        <f>VLOOKUP(C20,Purchased!A:B,2,0)</f>
        <v>BRX GOTO QUICK CONNECTOR N10 0°</v>
      </c>
      <c r="E20" s="326"/>
      <c r="F20" s="108" t="str">
        <f>IF(VLOOKUP($C20,Purchased!A:Z,11,0) = 0, " ", VLOOKUP($C20,Purchased!A:Z,11,0))</f>
        <v>T-SLOTS</v>
      </c>
      <c r="G20" s="108" t="str">
        <f>IF(VLOOKUP($C20,Purchased!A:Z,12,0)=0, " ", VLOOKUP($C20,Purchased!A:Z,12,0))</f>
        <v>Process Tech</v>
      </c>
      <c r="H20" s="327" t="str">
        <f>IF(VLOOKUP($C20,Purchased!A:Z,13,0)=0, " ", VLOOKUP($C20,Purchased!A:Z,13,0))</f>
        <v>500 More on P.O. #55639 Part# 659730</v>
      </c>
      <c r="I20" s="328"/>
      <c r="J20" s="46" t="str">
        <f>IF(VLOOKUP($C20,Purchased!A:Z,14,0)=0, " ", VLOOKUP($C20,Purchased!A:Z,14,0))</f>
        <v>N/A</v>
      </c>
      <c r="K20" s="46" t="str">
        <f>IF(VLOOKUP(C20,Purchased!A:R,14,0)=0, " ", VLOOKUP(C20,Purchased!A:R,14,0))</f>
        <v>N/A</v>
      </c>
      <c r="L20" s="46">
        <f>IF(VLOOKUP(C20,Purchased!A:R,15,0)=0, " ", VLOOKUP(C20,Purchased!A:R,15,0))</f>
        <v>45362</v>
      </c>
      <c r="M20" s="46">
        <f>IF(VLOOKUP(C20,Purchased!A:R,16,0)=0, " ",VLOOKUP(C20,Purchased!A:R,16,0))</f>
        <v>45378</v>
      </c>
      <c r="N20" s="130">
        <f>IF(VLOOKUP(C20,Purchased!A:R,17,0)=0, " ", VLOOKUP(C20,Purchased!A:R,17,0))</f>
        <v>45378</v>
      </c>
      <c r="O20" s="47">
        <f t="shared" ref="O20" ca="1" si="6">B20*$L$2</f>
        <v>4</v>
      </c>
      <c r="P20" s="51">
        <f>VLOOKUP(C20,Purchased!A:D,3,FALSE)</f>
        <v>4.17</v>
      </c>
      <c r="Q20" s="52">
        <f t="shared" ref="Q20" si="7">B20*P20</f>
        <v>16.68</v>
      </c>
    </row>
    <row r="21" spans="1:17" s="2" customFormat="1" ht="12" customHeight="1" x14ac:dyDescent="0.25">
      <c r="A21" s="4">
        <v>309</v>
      </c>
      <c r="B21" s="2">
        <v>4</v>
      </c>
      <c r="C21" s="135" t="s">
        <v>172</v>
      </c>
      <c r="D21" s="325" t="str">
        <f>VLOOKUP(C21,Purchased!A:B,2,0)</f>
        <v>BRX GOTO T-NUT 10 M6</v>
      </c>
      <c r="E21" s="326"/>
      <c r="F21" s="108" t="str">
        <f>IF(VLOOKUP($C21,Purchased!A:Z,11,0) = 0, " ", VLOOKUP($C21,Purchased!A:Z,11,0))</f>
        <v>BRX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45463</v>
      </c>
      <c r="K21" s="46">
        <f>IF(VLOOKUP(C21,Purchased!A:R,14,0)=0, " ", VLOOKUP(C21,Purchased!A:R,14,0))</f>
        <v>45463</v>
      </c>
      <c r="L21" s="46">
        <f>IF(VLOOKUP(C21,Purchased!A:R,15,0)=0, " ", VLOOKUP(C21,Purchased!A:R,15,0))</f>
        <v>45463</v>
      </c>
      <c r="M21" s="46">
        <f>IF(VLOOKUP(C21,Purchased!A:R,16,0)=0, " ",VLOOKUP(C21,Purchased!A:R,16,0))</f>
        <v>45481</v>
      </c>
      <c r="N21" s="130">
        <f>IF(VLOOKUP(C21,Purchased!A:R,17,0)=0, " ", VLOOKUP(C21,Purchased!A:R,17,0))</f>
        <v>45481</v>
      </c>
      <c r="O21" s="47">
        <f t="shared" ref="O21" ca="1" si="8">B21*$L$2</f>
        <v>4</v>
      </c>
      <c r="P21" s="51">
        <f>VLOOKUP(C21,Purchased!A:D,3,FALSE)</f>
        <v>0.56000000000000005</v>
      </c>
      <c r="Q21" s="52">
        <f t="shared" ref="Q21" si="9">B21*P21</f>
        <v>2.2400000000000002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501</v>
      </c>
      <c r="B23" s="2">
        <v>16</v>
      </c>
      <c r="C23" s="122" t="s">
        <v>389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ref="O23:O26" ca="1" si="10">B23*$L$2</f>
        <v>16</v>
      </c>
      <c r="P23" s="51">
        <f>VLOOKUP(C23,Bolts!A:B,2,FALSE)</f>
        <v>0</v>
      </c>
      <c r="Q23" s="52">
        <f t="shared" ref="Q23:Q26" si="11">B23*P23</f>
        <v>0</v>
      </c>
    </row>
    <row r="24" spans="1:17" s="2" customFormat="1" ht="12" customHeight="1" x14ac:dyDescent="0.25">
      <c r="A24" s="4">
        <v>502</v>
      </c>
      <c r="B24" s="2">
        <v>8</v>
      </c>
      <c r="C24" s="122" t="s">
        <v>180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10"/>
        <v>8</v>
      </c>
      <c r="P24" s="51">
        <f>VLOOKUP(C24,Bolts!A:B,2,FALSE)</f>
        <v>0</v>
      </c>
      <c r="Q24" s="52">
        <f t="shared" si="11"/>
        <v>0</v>
      </c>
    </row>
    <row r="25" spans="1:17" s="2" customFormat="1" ht="12" customHeight="1" x14ac:dyDescent="0.25">
      <c r="A25" s="4">
        <v>503</v>
      </c>
      <c r="B25" s="2">
        <v>8</v>
      </c>
      <c r="C25" s="122" t="s">
        <v>632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10"/>
        <v>8</v>
      </c>
      <c r="P25" s="51">
        <f>VLOOKUP(C25,Bolts!A:B,2,FALSE)</f>
        <v>0</v>
      </c>
      <c r="Q25" s="52">
        <f t="shared" si="11"/>
        <v>0</v>
      </c>
    </row>
    <row r="26" spans="1:17" s="2" customFormat="1" ht="12" customHeight="1" x14ac:dyDescent="0.25">
      <c r="A26" s="4">
        <v>504</v>
      </c>
      <c r="B26" s="2">
        <v>8</v>
      </c>
      <c r="C26" s="122" t="s">
        <v>633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10"/>
        <v>8</v>
      </c>
      <c r="P26" s="51">
        <f>VLOOKUP(C26,Bolts!A:B,2,FALSE)</f>
        <v>0</v>
      </c>
      <c r="Q26" s="52">
        <f t="shared" si="11"/>
        <v>0</v>
      </c>
    </row>
    <row r="27" spans="1:17" s="2" customFormat="1" ht="12" customHeight="1" x14ac:dyDescent="0.25">
      <c r="A27" s="4">
        <v>505</v>
      </c>
      <c r="B27" s="2">
        <v>4</v>
      </c>
      <c r="C27" s="122" t="s">
        <v>246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ref="O27" ca="1" si="12">B27*$L$2</f>
        <v>4</v>
      </c>
      <c r="P27" s="51">
        <f>VLOOKUP(C27,Bolts!A:B,2,FALSE)</f>
        <v>0</v>
      </c>
      <c r="Q27" s="52">
        <f t="shared" ref="Q27" si="13">B27*P27</f>
        <v>0</v>
      </c>
    </row>
    <row r="28" spans="1:17" s="2" customFormat="1" ht="12" customHeight="1" x14ac:dyDescent="0.25">
      <c r="A28" s="25"/>
      <c r="B28" s="26"/>
      <c r="C28" s="26"/>
      <c r="D28" s="332"/>
      <c r="E28" s="333"/>
      <c r="F28" s="26"/>
      <c r="G28" s="26"/>
      <c r="H28" s="322"/>
      <c r="I28" s="323"/>
      <c r="J28" s="27"/>
      <c r="K28" s="27"/>
      <c r="L28" s="27"/>
      <c r="M28" s="28"/>
      <c r="N28" s="29"/>
      <c r="O28" s="29"/>
      <c r="P28" s="148"/>
      <c r="Q28" s="149"/>
    </row>
    <row r="29" spans="1:17" s="2" customFormat="1" ht="12" customHeight="1" x14ac:dyDescent="0.25">
      <c r="A29" s="4">
        <v>701</v>
      </c>
      <c r="B29" s="2">
        <v>2</v>
      </c>
      <c r="C29" s="123" t="s">
        <v>634</v>
      </c>
      <c r="D29" s="325" t="str">
        <f>VLOOKUP(C29,Extrusion!B:C,2,0)</f>
        <v>APPROVED EL 8/1</v>
      </c>
      <c r="E29" s="326"/>
      <c r="F29" s="108" t="str">
        <f ca="1">VLOOKUP(C29,Extrusion!B:N,5,0)</f>
        <v/>
      </c>
      <c r="G29" s="108">
        <f>VLOOKUP(C29,Extrusion!B:N,6,0)</f>
        <v>1</v>
      </c>
      <c r="H29" s="108">
        <f>VLOOKUP(C29,Extrusion!B:N,7,0)</f>
        <v>0</v>
      </c>
      <c r="I29" s="109"/>
      <c r="J29" s="46" t="str">
        <f>VLOOKUP(C29,Extrusion!B:N,8,0)</f>
        <v>T-Slots</v>
      </c>
      <c r="K29" s="46">
        <f>VLOOKUP(C29,Extrusion!B:N,9,0)</f>
        <v>0</v>
      </c>
      <c r="L29" s="46">
        <f>VLOOKUP(C29,Extrusion!B:N,10,0)</f>
        <v>0</v>
      </c>
      <c r="M29" s="46">
        <f>VLOOKUP(C29,Extrusion!B:N,11,0)</f>
        <v>0</v>
      </c>
      <c r="N29" s="47">
        <f>VLOOKUP(C29,Extrusion!B:O,12,0)</f>
        <v>0</v>
      </c>
      <c r="O29" s="47">
        <f t="shared" ref="O29" ca="1" si="14">B29*$L$2</f>
        <v>2</v>
      </c>
      <c r="P29" s="51">
        <f>VLOOKUP(C29,Extrusion!B:G,4,0)</f>
        <v>2</v>
      </c>
      <c r="Q29" s="52">
        <f t="shared" ref="Q29" si="15">B29*P29</f>
        <v>4</v>
      </c>
    </row>
    <row r="30" spans="1:17" s="2" customFormat="1" ht="12" customHeight="1" x14ac:dyDescent="0.25">
      <c r="A30" s="4">
        <v>702</v>
      </c>
      <c r="B30" s="2">
        <v>2</v>
      </c>
      <c r="C30" s="123" t="s">
        <v>635</v>
      </c>
      <c r="D30" s="325" t="str">
        <f>VLOOKUP(C30,Extrusion!B:C,2,0)</f>
        <v>APPROVED EL 8/1</v>
      </c>
      <c r="E30" s="326"/>
      <c r="F30" s="108" t="str">
        <f ca="1">VLOOKUP(C30,Extrusion!B:N,5,0)</f>
        <v/>
      </c>
      <c r="G30" s="108">
        <f>VLOOKUP(C30,Extrusion!B:N,6,0)</f>
        <v>1</v>
      </c>
      <c r="H30" s="108">
        <f>VLOOKUP(C30,Extrusion!B:N,7,0)</f>
        <v>0</v>
      </c>
      <c r="I30" s="109"/>
      <c r="J30" s="46" t="str">
        <f>VLOOKUP(C30,Extrusion!B:N,8,0)</f>
        <v>T-Slots</v>
      </c>
      <c r="K30" s="46">
        <f>VLOOKUP(C30,Extrusion!B:N,9,0)</f>
        <v>0</v>
      </c>
      <c r="L30" s="46">
        <f>VLOOKUP(C30,Extrusion!B:N,10,0)</f>
        <v>0</v>
      </c>
      <c r="M30" s="46">
        <f>VLOOKUP(C30,Extrusion!B:N,11,0)</f>
        <v>0</v>
      </c>
      <c r="N30" s="47">
        <f>VLOOKUP(C30,Extrusion!B:O,12,0)</f>
        <v>0</v>
      </c>
      <c r="O30" s="47">
        <f t="shared" ref="O30:O31" ca="1" si="16">B30*$L$2</f>
        <v>2</v>
      </c>
      <c r="P30" s="51">
        <f>VLOOKUP(C30,Extrusion!B:G,4,0)</f>
        <v>2</v>
      </c>
      <c r="Q30" s="52">
        <f t="shared" ref="Q30:Q31" si="17">B30*P30</f>
        <v>4</v>
      </c>
    </row>
    <row r="31" spans="1:17" s="2" customFormat="1" ht="12" customHeight="1" thickBot="1" x14ac:dyDescent="0.3">
      <c r="A31" s="4">
        <v>703</v>
      </c>
      <c r="B31" s="2">
        <v>1</v>
      </c>
      <c r="C31" s="123" t="s">
        <v>636</v>
      </c>
      <c r="D31" s="325" t="str">
        <f>VLOOKUP(C31,Extrusion!B:C,2,0)</f>
        <v>APPROVED EL 8/1</v>
      </c>
      <c r="E31" s="326"/>
      <c r="F31" s="108" t="str">
        <f ca="1">VLOOKUP(C31,Extrusion!B:N,5,0)</f>
        <v/>
      </c>
      <c r="G31" s="108">
        <f>VLOOKUP(C31,Extrusion!B:N,6,0)</f>
        <v>1</v>
      </c>
      <c r="H31" s="108">
        <f>VLOOKUP(C31,Extrusion!B:N,7,0)</f>
        <v>0</v>
      </c>
      <c r="I31" s="109"/>
      <c r="J31" s="46" t="str">
        <f>VLOOKUP(C31,Extrusion!B:N,8,0)</f>
        <v>T-Slots</v>
      </c>
      <c r="K31" s="46">
        <f>VLOOKUP(C31,Extrusion!B:N,9,0)</f>
        <v>0</v>
      </c>
      <c r="L31" s="46">
        <f>VLOOKUP(C31,Extrusion!B:N,10,0)</f>
        <v>0</v>
      </c>
      <c r="M31" s="46">
        <f>VLOOKUP(C31,Extrusion!B:N,11,0)</f>
        <v>0</v>
      </c>
      <c r="N31" s="47">
        <f>VLOOKUP(C31,Extrusion!B:O,12,0)</f>
        <v>0</v>
      </c>
      <c r="O31" s="47">
        <f t="shared" ca="1" si="16"/>
        <v>1</v>
      </c>
      <c r="P31" s="51">
        <f>VLOOKUP(C31,Extrusion!B:G,4,0)</f>
        <v>1</v>
      </c>
      <c r="Q31" s="52">
        <f t="shared" si="17"/>
        <v>1</v>
      </c>
    </row>
    <row r="32" spans="1:17" s="2" customFormat="1" ht="12" customHeight="1" thickBot="1" x14ac:dyDescent="0.3">
      <c r="A32" s="34"/>
      <c r="B32" s="35"/>
      <c r="C32" s="35"/>
      <c r="D32" s="316"/>
      <c r="E32" s="317"/>
      <c r="F32" s="35"/>
      <c r="G32" s="35"/>
      <c r="H32" s="309"/>
      <c r="I32" s="310"/>
      <c r="J32" s="36"/>
      <c r="K32" s="36"/>
      <c r="L32" s="36"/>
      <c r="M32" s="37"/>
      <c r="N32" s="132"/>
      <c r="O32" s="38"/>
      <c r="P32" s="99" t="s">
        <v>43</v>
      </c>
      <c r="Q32" s="104">
        <f>SUM(Q5:Q29)</f>
        <v>4642.1531999999997</v>
      </c>
    </row>
  </sheetData>
  <sheetProtection selectLockedCells="1"/>
  <mergeCells count="51">
    <mergeCell ref="D13:E13"/>
    <mergeCell ref="H13:I13"/>
    <mergeCell ref="D14:E14"/>
    <mergeCell ref="H14:I14"/>
    <mergeCell ref="D22:E22"/>
    <mergeCell ref="H22:I22"/>
    <mergeCell ref="D15:E15"/>
    <mergeCell ref="H15:I15"/>
    <mergeCell ref="D16:E16"/>
    <mergeCell ref="H16:I16"/>
    <mergeCell ref="D17:E17"/>
    <mergeCell ref="H17:I17"/>
    <mergeCell ref="D18:E18"/>
    <mergeCell ref="H18:I18"/>
    <mergeCell ref="D21:E21"/>
    <mergeCell ref="H21:I21"/>
    <mergeCell ref="D10:E10"/>
    <mergeCell ref="H10:I10"/>
    <mergeCell ref="D11:E11"/>
    <mergeCell ref="H11:I11"/>
    <mergeCell ref="D12:E12"/>
    <mergeCell ref="H12:I12"/>
    <mergeCell ref="D9:E9"/>
    <mergeCell ref="H9:I9"/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19:E19"/>
    <mergeCell ref="H19:I19"/>
    <mergeCell ref="D20:E20"/>
    <mergeCell ref="H20:I20"/>
    <mergeCell ref="D32:E32"/>
    <mergeCell ref="H32:I32"/>
    <mergeCell ref="D23:E23"/>
    <mergeCell ref="D24:E24"/>
    <mergeCell ref="D25:E25"/>
    <mergeCell ref="D26:E26"/>
    <mergeCell ref="D28:E28"/>
    <mergeCell ref="D27:E27"/>
    <mergeCell ref="D30:E30"/>
    <mergeCell ref="D31:E31"/>
    <mergeCell ref="H28:I28"/>
    <mergeCell ref="D29:E29"/>
  </mergeCells>
  <conditionalFormatting sqref="M8 M12 M22:M31">
    <cfRule type="cellIs" dxfId="1430" priority="15" stopIfTrue="1" operator="lessThanOrEqual">
      <formula>$L8</formula>
    </cfRule>
    <cfRule type="cellIs" dxfId="1429" priority="16" operator="greaterThan">
      <formula>L8</formula>
    </cfRule>
  </conditionalFormatting>
  <conditionalFormatting sqref="M13:M21">
    <cfRule type="cellIs" dxfId="1428" priority="1" stopIfTrue="1" operator="lessThanOrEqual">
      <formula>$L13</formula>
    </cfRule>
    <cfRule type="cellIs" dxfId="1427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0BC316-9721-47CC-8201-6F5A66813FB7}">
          <x14:formula1>
            <xm:f>Extrusion!$B:$B</xm:f>
          </x14:formula1>
          <xm:sqref>C29:C31</xm:sqref>
        </x14:dataValidation>
        <x14:dataValidation type="list" allowBlank="1" showInputMessage="1" showErrorMessage="1" xr:uid="{22F32CEF-68D0-45B3-A032-D59A740A601B}">
          <x14:formula1>
            <xm:f>Bolts!$A:$A</xm:f>
          </x14:formula1>
          <xm:sqref>C22</xm:sqref>
        </x14:dataValidation>
        <x14:dataValidation type="list" allowBlank="1" showInputMessage="1" showErrorMessage="1" xr:uid="{734C7FA1-7FC2-4A3E-BCF3-0556B4D3A8E1}">
          <x14:formula1>
            <xm:f>Assemblies!$E:$E</xm:f>
          </x14:formula1>
          <xm:sqref>C5:C7</xm:sqref>
        </x14:dataValidation>
        <x14:dataValidation type="list" allowBlank="1" showInputMessage="1" showErrorMessage="1" xr:uid="{B79ED9B1-DF0A-46CD-A9FF-AB8AC133A1FA}">
          <x14:formula1>
            <xm:f>Machined!$C:$C</xm:f>
          </x14:formula1>
          <xm:sqref>C8:C11</xm:sqref>
        </x14:dataValidation>
        <x14:dataValidation type="list" allowBlank="1" showInputMessage="1" showErrorMessage="1" xr:uid="{81BE6556-27A8-4FBA-8A3B-3D124F46C56F}">
          <x14:formula1>
            <xm:f>Purchased!$A:$A</xm:f>
          </x14:formula1>
          <xm:sqref>C12:C21</xm:sqref>
        </x14:dataValidation>
      </x14:dataValidations>
    </ext>
  </extLst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9D6-24C7-4F7B-9513-ED086F6A4A89}">
  <sheetPr codeName="Sheet114">
    <tabColor theme="6" tint="0.59999389629810485"/>
  </sheetPr>
  <dimension ref="A1:Q20"/>
  <sheetViews>
    <sheetView zoomScale="115" zoomScaleNormal="115" workbookViewId="0">
      <selection activeCell="C29" sqref="C2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0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'4.4'!C5</f>
        <v>PG10.4.4.1.0.A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'4.4'!D5</f>
        <v>Main Frame 3 Adjustment Handwheel Assy</v>
      </c>
      <c r="D3" s="85" t="s">
        <v>50</v>
      </c>
      <c r="E3" s="86" t="str">
        <f ca="1">MID(CELL("filename",A1),FIND("]",CELL("filename",A1))+1,256)</f>
        <v>4.4.1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25">
      <c r="A4" s="90" t="s">
        <v>13</v>
      </c>
      <c r="B4" s="91" t="s">
        <v>14</v>
      </c>
      <c r="C4" s="91" t="s">
        <v>15</v>
      </c>
      <c r="D4" s="338" t="s">
        <v>16</v>
      </c>
      <c r="E4" s="338"/>
      <c r="F4" s="119" t="s">
        <v>17</v>
      </c>
      <c r="G4" s="91" t="s">
        <v>18</v>
      </c>
      <c r="H4" s="340" t="s">
        <v>19</v>
      </c>
      <c r="I4" s="340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637</v>
      </c>
      <c r="D5" s="336" t="str">
        <f>VLOOKUP(C5,Machined!C:X,2,0)</f>
        <v>Main Frame 3 Handwheel Mount Plate</v>
      </c>
      <c r="E5" s="337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45503</v>
      </c>
      <c r="K5" s="44">
        <f>IF(VLOOKUP($C5,Machined!C:Z,19,0) = 0, " ", VLOOKUP($C5,Machined!C:Z,19,0))</f>
        <v>45509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55656</v>
      </c>
      <c r="O5" s="45">
        <f ca="1">B5*$L$2</f>
        <v>2</v>
      </c>
      <c r="P5" s="49">
        <f>VLOOKUP(C5,Machined!C:F,3,0)</f>
        <v>75</v>
      </c>
      <c r="Q5" s="50">
        <f>B5*P5</f>
        <v>75</v>
      </c>
    </row>
    <row r="6" spans="1:17" s="2" customFormat="1" ht="12.75" customHeight="1" x14ac:dyDescent="0.25">
      <c r="A6" s="77">
        <v>2</v>
      </c>
      <c r="B6" s="20">
        <v>1</v>
      </c>
      <c r="C6" s="121" t="s">
        <v>638</v>
      </c>
      <c r="D6" s="314" t="str">
        <f>VLOOKUP(C6,Machined!C:X,2,0)</f>
        <v>Main Frame 3 Handwheel Plate</v>
      </c>
      <c r="E6" s="315"/>
      <c r="F6" s="107" t="str">
        <f>VLOOKUP($C6,Machined!C:Z,13,0)</f>
        <v>6061-T6 ALUMINUM</v>
      </c>
      <c r="G6" s="44" t="str">
        <f>IF(VLOOKUP($C6,Machined!C:Z,16,0) = 0, " ", VLOOKUP($C6,Machined!C:Z,16,0))</f>
        <v>Xometry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 t="str">
        <f>IF(VLOOKUP($C6,Machined!C:Z,18,0) = 0, " ", VLOOKUP($C6,Machined!C:Z,18,0))</f>
        <v>N/A</v>
      </c>
      <c r="K6" s="44">
        <f>IF(VLOOKUP($C6,Machined!C:Z,19,0) = 0, " ", VLOOKUP($C6,Machined!C:Z,19,0))</f>
        <v>45561</v>
      </c>
      <c r="L6" s="44">
        <f>IF(VLOOKUP($C6,Machined!C:Z,20,0) = 0, " ", VLOOKUP($C6,Machined!C:Z,20,0))</f>
        <v>45575</v>
      </c>
      <c r="M6" s="44">
        <f>IF(VLOOKUP($C6,Machined!C:Z,21,0) = 0, " ", VLOOKUP($C6,Machined!C:Z,21,0))</f>
        <v>45575</v>
      </c>
      <c r="N6" s="129">
        <f>IF(VLOOKUP($C6,Machined!C:Z,22,0) = 0, " ", VLOOKUP($C6,Machined!C:Z,22,0))</f>
        <v>55706</v>
      </c>
      <c r="O6" s="45">
        <f t="shared" ref="O6:O7" ca="1" si="0">B6*$L$2</f>
        <v>2</v>
      </c>
      <c r="P6" s="49">
        <f>VLOOKUP(C6,Machined!C:F,3,0)</f>
        <v>0</v>
      </c>
      <c r="Q6" s="50">
        <f t="shared" ref="Q6:Q7" si="1">B6*P6</f>
        <v>0</v>
      </c>
    </row>
    <row r="7" spans="1:17" s="2" customFormat="1" ht="12.75" customHeight="1" x14ac:dyDescent="0.25">
      <c r="A7" s="77">
        <v>3</v>
      </c>
      <c r="B7" s="20">
        <v>2</v>
      </c>
      <c r="C7" s="121" t="s">
        <v>639</v>
      </c>
      <c r="D7" s="314" t="str">
        <f>VLOOKUP(C7,Machined!C:X,2,0)</f>
        <v>Main Frame 3 Handwheel Adjustment Rod</v>
      </c>
      <c r="E7" s="315"/>
      <c r="F7" s="107" t="str">
        <f>VLOOKUP($C7,Machined!C:Z,13,0)</f>
        <v>303 TG&amp;P, Round Stock, -0.0005</v>
      </c>
      <c r="G7" s="44" t="str">
        <f>IF(VLOOKUP($C7,Machined!C:Z,16,0) = 0, " ", VLOOKUP($C7,Machined!C:Z,16,0))</f>
        <v>Craig Miller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303 TG&amp;P, Round Stock, -0.0005</v>
      </c>
      <c r="J7" s="44">
        <f>IF(VLOOKUP($C7,Machined!C:Z,18,0) = 0, " ", VLOOKUP($C7,Machined!C:Z,18,0))</f>
        <v>45503</v>
      </c>
      <c r="K7" s="44">
        <f>IF(VLOOKUP($C7,Machined!C:Z,19,0) = 0, " ", VLOOKUP($C7,Machined!C:Z,19,0))</f>
        <v>45509</v>
      </c>
      <c r="L7" s="44">
        <f>IF(VLOOKUP($C7,Machined!C:Z,20,0) = 0, " ", VLOOKUP($C7,Machined!C:Z,20,0))</f>
        <v>45540</v>
      </c>
      <c r="M7" s="44">
        <f>IF(VLOOKUP($C7,Machined!C:Z,21,0) = 0, " ", VLOOKUP($C7,Machined!C:Z,21,0))</f>
        <v>45540</v>
      </c>
      <c r="N7" s="129">
        <f>IF(VLOOKUP($C7,Machined!C:Z,22,0) = 0, " ", VLOOKUP($C7,Machined!C:Z,22,0))</f>
        <v>55656</v>
      </c>
      <c r="O7" s="45">
        <f t="shared" ca="1" si="0"/>
        <v>4</v>
      </c>
      <c r="P7" s="49">
        <f>VLOOKUP(C7,Machined!C:F,3,0)</f>
        <v>37.5</v>
      </c>
      <c r="Q7" s="50">
        <f t="shared" si="1"/>
        <v>75</v>
      </c>
    </row>
    <row r="8" spans="1:17" s="2" customFormat="1" ht="12" customHeight="1" x14ac:dyDescent="0.2">
      <c r="A8" s="25"/>
      <c r="B8" s="26"/>
      <c r="C8" s="26"/>
      <c r="D8" s="332"/>
      <c r="E8" s="346"/>
      <c r="F8" s="26"/>
      <c r="G8" s="26"/>
      <c r="H8" s="322"/>
      <c r="I8" s="322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2</v>
      </c>
      <c r="C9" s="135" t="s">
        <v>500</v>
      </c>
      <c r="D9" s="325" t="str">
        <f>VLOOKUP(C9,Purchased!A:B,2,0)</f>
        <v>Aluminum Handwheel GN 322.3-160-B14-R</v>
      </c>
      <c r="E9" s="342"/>
      <c r="F9" s="108" t="str">
        <f>IF(VLOOKUP($C9,Purchased!A:Z,11,0) = 0, " ", VLOOKUP($C9,Purchased!A:Z,11,0))</f>
        <v>ELESA</v>
      </c>
      <c r="G9" s="108" t="str">
        <f>IF(VLOOKUP($C9,Purchased!A:Z,12,0)=0, " ", VLOOKUP($C9,Purchased!A:Z,12,0))</f>
        <v>ELESA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45506</v>
      </c>
      <c r="K9" s="46">
        <f>IF(VLOOKUP(C9,Purchased!A:R,14,0)=0, " ", VLOOKUP(C9,Purchased!A:R,14,0))</f>
        <v>45506</v>
      </c>
      <c r="L9" s="46">
        <f>IF(VLOOKUP(C9,Purchased!A:R,15,0)=0, " ", VLOOKUP(C9,Purchased!A:R,15,0))</f>
        <v>45526</v>
      </c>
      <c r="M9" s="46">
        <f>IF(VLOOKUP(C9,Purchased!A:R,16,0)=0, " ",VLOOKUP(C9,Purchased!A:R,16,0))</f>
        <v>45551</v>
      </c>
      <c r="N9" s="130">
        <f>IF(VLOOKUP(C9,Purchased!A:R,17,0)=0, " ", VLOOKUP(C9,Purchased!A:R,17,0))</f>
        <v>45551</v>
      </c>
      <c r="O9" s="47">
        <f t="shared" ref="O9:O15" ca="1" si="2">B9*$L$2</f>
        <v>4</v>
      </c>
      <c r="P9" s="51">
        <f>VLOOKUP(C9,Purchased!A:D,3,FALSE)</f>
        <v>87.05</v>
      </c>
      <c r="Q9" s="52">
        <f t="shared" ref="Q9:Q15" si="3">B9*P9</f>
        <v>174.1</v>
      </c>
    </row>
    <row r="10" spans="1:17" s="2" customFormat="1" ht="12" customHeight="1" x14ac:dyDescent="0.25">
      <c r="A10" s="4">
        <v>302</v>
      </c>
      <c r="B10" s="2">
        <v>2</v>
      </c>
      <c r="C10" s="135" t="s">
        <v>501</v>
      </c>
      <c r="D10" s="325" t="str">
        <f>VLOOKUP(C10,Purchased!A:B,2,0)</f>
        <v>Digital Position Indicator DD51-E-SST-IP65-C2</v>
      </c>
      <c r="E10" s="342"/>
      <c r="F10" s="108" t="str">
        <f>IF(VLOOKUP($C10,Purchased!A:Z,11,0) = 0, " ", VLOOKUP($C10,Purchased!A:Z,11,0))</f>
        <v>ELESA</v>
      </c>
      <c r="G10" s="108" t="str">
        <f>IF(VLOOKUP($C10,Purchased!A:Z,12,0)=0, " ", VLOOKUP($C10,Purchased!A:Z,12,0))</f>
        <v>ELESA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45506</v>
      </c>
      <c r="K10" s="46">
        <f>IF(VLOOKUP(C10,Purchased!A:R,14,0)=0, " ", VLOOKUP(C10,Purchased!A:R,14,0))</f>
        <v>45506</v>
      </c>
      <c r="L10" s="46">
        <f>IF(VLOOKUP(C10,Purchased!A:R,15,0)=0, " ", VLOOKUP(C10,Purchased!A:R,15,0))</f>
        <v>45526</v>
      </c>
      <c r="M10" s="46">
        <f>IF(VLOOKUP(C10,Purchased!A:R,16,0)=0, " ",VLOOKUP(C10,Purchased!A:R,16,0))</f>
        <v>45551</v>
      </c>
      <c r="N10" s="130">
        <f>IF(VLOOKUP(C10,Purchased!A:R,17,0)=0, " ", VLOOKUP(C10,Purchased!A:R,17,0))</f>
        <v>45551</v>
      </c>
      <c r="O10" s="47">
        <f t="shared" ca="1" si="2"/>
        <v>4</v>
      </c>
      <c r="P10" s="51">
        <f>VLOOKUP(C10,Purchased!A:D,3,FALSE)</f>
        <v>258</v>
      </c>
      <c r="Q10" s="52">
        <f t="shared" si="3"/>
        <v>516</v>
      </c>
    </row>
    <row r="11" spans="1:17" s="2" customFormat="1" ht="12" customHeight="1" x14ac:dyDescent="0.25">
      <c r="A11" s="4">
        <v>303</v>
      </c>
      <c r="B11" s="2">
        <v>2</v>
      </c>
      <c r="C11" s="135" t="s">
        <v>502</v>
      </c>
      <c r="D11" s="325" t="str">
        <f>VLOOKUP(C11,Purchased!A:B,2,0)</f>
        <v>Spindle Locking</v>
      </c>
      <c r="E11" s="342"/>
      <c r="F11" s="108" t="str">
        <f>IF(VLOOKUP($C11,Purchased!A:Z,11,0) = 0, " ", VLOOKUP($C11,Purchased!A:Z,11,0))</f>
        <v>ELESA</v>
      </c>
      <c r="G11" s="108" t="str">
        <f>IF(VLOOKUP($C11,Purchased!A:Z,12,0)=0, " ", VLOOKUP($C11,Purchased!A:Z,12,0))</f>
        <v>ELESA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>
        <f>IF(VLOOKUP(C11,Purchased!A:R,15,0)=0, " ", VLOOKUP(C11,Purchased!A:R,15,0))</f>
        <v>45526</v>
      </c>
      <c r="M11" s="46">
        <f>IF(VLOOKUP(C11,Purchased!A:R,16,0)=0, " ",VLOOKUP(C11,Purchased!A:R,16,0))</f>
        <v>45551</v>
      </c>
      <c r="N11" s="130">
        <f>IF(VLOOKUP(C11,Purchased!A:R,17,0)=0, " ", VLOOKUP(C11,Purchased!A:R,17,0))</f>
        <v>45551</v>
      </c>
      <c r="O11" s="47">
        <f t="shared" ca="1" si="2"/>
        <v>4</v>
      </c>
      <c r="P11" s="51">
        <f>VLOOKUP(C11,Purchased!A:D,3,FALSE)</f>
        <v>45.32</v>
      </c>
      <c r="Q11" s="52">
        <f t="shared" si="3"/>
        <v>90.64</v>
      </c>
    </row>
    <row r="12" spans="1:17" s="2" customFormat="1" ht="12" customHeight="1" x14ac:dyDescent="0.25">
      <c r="A12" s="4">
        <v>304</v>
      </c>
      <c r="B12" s="2">
        <v>2</v>
      </c>
      <c r="C12" s="135" t="s">
        <v>640</v>
      </c>
      <c r="D12" s="325" t="str">
        <f>VLOOKUP(C12,Purchased!A:B,2,0)</f>
        <v>Two-Piece Shaft Coupling, 6061 Aluminum, for 3/8" x 3/8" Diameter Round Shaft</v>
      </c>
      <c r="E12" s="326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45526</v>
      </c>
      <c r="K12" s="46">
        <f>IF(VLOOKUP(C12,Purchased!A:R,14,0)=0, " ", VLOOKUP(C12,Purchased!A:R,14,0))</f>
        <v>45526</v>
      </c>
      <c r="L12" s="46">
        <f>IF(VLOOKUP(C12,Purchased!A:R,15,0)=0, " ", VLOOKUP(C12,Purchased!A:R,15,0))</f>
        <v>45526</v>
      </c>
      <c r="M12" s="46" t="str">
        <f>IF(VLOOKUP(C12,Purchased!A:R,16,0)=0, " ",VLOOKUP(C12,Purchased!A:R,16,0))</f>
        <v xml:space="preserve"> </v>
      </c>
      <c r="N12" s="130" t="str">
        <f>IF(VLOOKUP(C12,Purchased!A:R,17,0)=0, " ", VLOOKUP(C12,Purchased!A:R,17,0))</f>
        <v xml:space="preserve"> </v>
      </c>
      <c r="O12" s="47">
        <f t="shared" ca="1" si="2"/>
        <v>4</v>
      </c>
      <c r="P12" s="51">
        <f>VLOOKUP(C12,Purchased!A:D,3,FALSE)</f>
        <v>20.11</v>
      </c>
      <c r="Q12" s="52">
        <f t="shared" si="3"/>
        <v>40.22</v>
      </c>
    </row>
    <row r="13" spans="1:17" s="2" customFormat="1" ht="12" customHeight="1" x14ac:dyDescent="0.25">
      <c r="A13" s="4">
        <v>305</v>
      </c>
      <c r="B13" s="2">
        <v>2</v>
      </c>
      <c r="C13" s="135" t="s">
        <v>504</v>
      </c>
      <c r="D13" s="325" t="str">
        <f>VLOOKUP(C13,Purchased!A:B,2,0)</f>
        <v>20mm ID 32mm OD 7mm Thick Ball Bearing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>11 Additional Quantity Added to 55697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2"/>
        <v>4</v>
      </c>
      <c r="P13" s="51">
        <f>VLOOKUP(C13,Purchased!A:D,3,FALSE)</f>
        <v>16.88</v>
      </c>
      <c r="Q13" s="52">
        <f t="shared" si="3"/>
        <v>33.76</v>
      </c>
    </row>
    <row r="14" spans="1:17" s="2" customFormat="1" ht="12" customHeight="1" x14ac:dyDescent="0.25">
      <c r="A14" s="4">
        <v>306</v>
      </c>
      <c r="B14" s="2">
        <v>2</v>
      </c>
      <c r="C14" s="135" t="s">
        <v>641</v>
      </c>
      <c r="D14" s="325" t="str">
        <f>VLOOKUP(C14,Purchased!A:B,2,0)</f>
        <v>Custom Threaded Standoff 120mm L M6</v>
      </c>
      <c r="E14" s="326"/>
      <c r="F14" s="108" t="str">
        <f>IF(VLOOKUP($C14,Purchased!A:Z,11,0) = 0, " ", VLOOKUP($C14,Purchased!A:Z,11,0))</f>
        <v>MISUMI</v>
      </c>
      <c r="G14" s="108" t="str">
        <f>IF(VLOOKUP($C14,Purchased!A:Z,12,0)=0, " ", VLOOKUP($C14,Purchased!A:Z,12,0))</f>
        <v>MISUMI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45524</v>
      </c>
      <c r="M14" s="46">
        <f>IF(VLOOKUP(C14,Purchased!A:R,16,0)=0, " ",VLOOKUP(C14,Purchased!A:R,16,0))</f>
        <v>45540</v>
      </c>
      <c r="N14" s="130">
        <f>IF(VLOOKUP(C14,Purchased!A:R,17,0)=0, " ", VLOOKUP(C14,Purchased!A:R,17,0))</f>
        <v>45527</v>
      </c>
      <c r="O14" s="47">
        <f t="shared" ca="1" si="2"/>
        <v>4</v>
      </c>
      <c r="P14" s="51">
        <f>VLOOKUP(C14,Purchased!A:D,3,FALSE)</f>
        <v>5.55</v>
      </c>
      <c r="Q14" s="52">
        <f t="shared" si="3"/>
        <v>11.1</v>
      </c>
    </row>
    <row r="15" spans="1:17" s="2" customFormat="1" ht="12" customHeight="1" x14ac:dyDescent="0.25">
      <c r="A15" s="4">
        <v>307</v>
      </c>
      <c r="B15" s="2">
        <v>4</v>
      </c>
      <c r="C15" s="135" t="s">
        <v>104</v>
      </c>
      <c r="D15" s="325" t="str">
        <f>VLOOKUP(C15,Purchased!A:B,2,0)</f>
        <v>BRX GOTO T-NUT 10 M8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400 additional quantity added to 55710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45463</v>
      </c>
      <c r="M15" s="46">
        <f>IF(VLOOKUP(C15,Purchased!A:R,16,0)=0, " ",VLOOKUP(C15,Purchased!A:R,16,0))</f>
        <v>45481</v>
      </c>
      <c r="N15" s="130">
        <f>IF(VLOOKUP(C15,Purchased!A:R,17,0)=0, " ", VLOOKUP(C15,Purchased!A:R,17,0))</f>
        <v>45481</v>
      </c>
      <c r="O15" s="47">
        <f t="shared" ca="1" si="2"/>
        <v>8</v>
      </c>
      <c r="P15" s="51">
        <f>VLOOKUP(C15,Purchased!A:D,3,FALSE)</f>
        <v>0.56000000000000005</v>
      </c>
      <c r="Q15" s="52">
        <f t="shared" si="3"/>
        <v>2.2400000000000002</v>
      </c>
    </row>
    <row r="16" spans="1:17" s="2" customFormat="1" ht="12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" customHeight="1" x14ac:dyDescent="0.25">
      <c r="A17" s="4">
        <v>501</v>
      </c>
      <c r="B17" s="2">
        <v>4</v>
      </c>
      <c r="C17" s="122" t="s">
        <v>506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ref="O17" ca="1" si="4">B17*$L$2</f>
        <v>8</v>
      </c>
      <c r="P17" s="51">
        <f>VLOOKUP(C17,Bolts!A:B,2,FALSE)</f>
        <v>0</v>
      </c>
      <c r="Q17" s="52">
        <f t="shared" ref="Q17" si="5">B17*P17</f>
        <v>0</v>
      </c>
    </row>
    <row r="18" spans="1:17" s="2" customFormat="1" ht="12" customHeight="1" x14ac:dyDescent="0.25">
      <c r="A18" s="4">
        <v>502</v>
      </c>
      <c r="B18" s="2">
        <v>4</v>
      </c>
      <c r="C18" s="122" t="s">
        <v>382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ref="O18:O19" ca="1" si="6">B18*$L$2</f>
        <v>8</v>
      </c>
      <c r="P18" s="51">
        <f>VLOOKUP(C18,Bolts!A:B,2,FALSE)</f>
        <v>0</v>
      </c>
      <c r="Q18" s="52">
        <f t="shared" ref="Q18:Q19" si="7">B18*P18</f>
        <v>0</v>
      </c>
    </row>
    <row r="19" spans="1:17" s="2" customFormat="1" ht="12" customHeight="1" thickBot="1" x14ac:dyDescent="0.3">
      <c r="A19" s="4">
        <v>503</v>
      </c>
      <c r="B19" s="2">
        <v>4</v>
      </c>
      <c r="C19" s="122" t="s">
        <v>203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6"/>
        <v>8</v>
      </c>
      <c r="P19" s="51">
        <f>VLOOKUP(C19,Bolts!A:B,2,FALSE)</f>
        <v>0</v>
      </c>
      <c r="Q19" s="52">
        <f t="shared" si="7"/>
        <v>0</v>
      </c>
    </row>
    <row r="20" spans="1:17" s="2" customFormat="1" ht="12" customHeight="1" thickBot="1" x14ac:dyDescent="0.3">
      <c r="A20" s="34"/>
      <c r="B20" s="35"/>
      <c r="C20" s="35"/>
      <c r="D20" s="316"/>
      <c r="E20" s="317"/>
      <c r="F20" s="35"/>
      <c r="G20" s="35"/>
      <c r="H20" s="309"/>
      <c r="I20" s="310"/>
      <c r="J20" s="36"/>
      <c r="K20" s="36"/>
      <c r="L20" s="36"/>
      <c r="M20" s="37"/>
      <c r="N20" s="132"/>
      <c r="O20" s="38"/>
      <c r="P20" s="99" t="s">
        <v>43</v>
      </c>
      <c r="Q20" s="104">
        <f>SUM(Q5:Q19)</f>
        <v>1018.0600000000001</v>
      </c>
    </row>
  </sheetData>
  <sheetProtection selectLockedCells="1"/>
  <mergeCells count="32">
    <mergeCell ref="D1:E1"/>
    <mergeCell ref="D4:E4"/>
    <mergeCell ref="H4:I4"/>
    <mergeCell ref="D6:E6"/>
    <mergeCell ref="H6:I6"/>
    <mergeCell ref="D5:E5"/>
    <mergeCell ref="H5:I5"/>
    <mergeCell ref="D7:E7"/>
    <mergeCell ref="H7:I7"/>
    <mergeCell ref="D12:E12"/>
    <mergeCell ref="H12:I12"/>
    <mergeCell ref="D13:E13"/>
    <mergeCell ref="H13:I13"/>
    <mergeCell ref="D14:E14"/>
    <mergeCell ref="H14:I14"/>
    <mergeCell ref="D15:E15"/>
    <mergeCell ref="H15:I15"/>
    <mergeCell ref="D8:E8"/>
    <mergeCell ref="H8:I8"/>
    <mergeCell ref="D9:E9"/>
    <mergeCell ref="H9:I9"/>
    <mergeCell ref="D10:E10"/>
    <mergeCell ref="H10:I10"/>
    <mergeCell ref="D11:E11"/>
    <mergeCell ref="H11:I11"/>
    <mergeCell ref="D16:E16"/>
    <mergeCell ref="H16:I16"/>
    <mergeCell ref="D18:E18"/>
    <mergeCell ref="D19:E19"/>
    <mergeCell ref="D20:E20"/>
    <mergeCell ref="H20:I20"/>
    <mergeCell ref="D17:E17"/>
  </mergeCells>
  <conditionalFormatting sqref="M8 M16:M19">
    <cfRule type="cellIs" dxfId="1426" priority="15" stopIfTrue="1" operator="lessThanOrEqual">
      <formula>$L8</formula>
    </cfRule>
    <cfRule type="cellIs" dxfId="1425" priority="16" operator="greaterThan">
      <formula>L8</formula>
    </cfRule>
  </conditionalFormatting>
  <conditionalFormatting sqref="M9">
    <cfRule type="cellIs" dxfId="1424" priority="13" stopIfTrue="1" operator="lessThanOrEqual">
      <formula>$L9</formula>
    </cfRule>
    <cfRule type="cellIs" dxfId="1423" priority="14" operator="greaterThan">
      <formula>L9</formula>
    </cfRule>
  </conditionalFormatting>
  <conditionalFormatting sqref="M10">
    <cfRule type="cellIs" dxfId="1422" priority="11" stopIfTrue="1" operator="lessThanOrEqual">
      <formula>$L10</formula>
    </cfRule>
    <cfRule type="cellIs" dxfId="1421" priority="12" operator="greaterThan">
      <formula>L10</formula>
    </cfRule>
  </conditionalFormatting>
  <conditionalFormatting sqref="M11">
    <cfRule type="cellIs" dxfId="1420" priority="9" stopIfTrue="1" operator="lessThanOrEqual">
      <formula>$L11</formula>
    </cfRule>
    <cfRule type="cellIs" dxfId="1419" priority="10" operator="greaterThan">
      <formula>L11</formula>
    </cfRule>
  </conditionalFormatting>
  <conditionalFormatting sqref="M12">
    <cfRule type="cellIs" dxfId="1418" priority="7" stopIfTrue="1" operator="lessThanOrEqual">
      <formula>$L12</formula>
    </cfRule>
    <cfRule type="cellIs" dxfId="1417" priority="8" operator="greaterThan">
      <formula>L12</formula>
    </cfRule>
  </conditionalFormatting>
  <conditionalFormatting sqref="M13">
    <cfRule type="cellIs" dxfId="1416" priority="5" stopIfTrue="1" operator="lessThanOrEqual">
      <formula>$L13</formula>
    </cfRule>
    <cfRule type="cellIs" dxfId="1415" priority="6" operator="greaterThan">
      <formula>L13</formula>
    </cfRule>
  </conditionalFormatting>
  <conditionalFormatting sqref="M14">
    <cfRule type="cellIs" dxfId="1414" priority="3" stopIfTrue="1" operator="lessThanOrEqual">
      <formula>$L14</formula>
    </cfRule>
    <cfRule type="cellIs" dxfId="1413" priority="4" operator="greaterThan">
      <formula>L14</formula>
    </cfRule>
  </conditionalFormatting>
  <conditionalFormatting sqref="M15">
    <cfRule type="cellIs" dxfId="1412" priority="1" stopIfTrue="1" operator="lessThanOrEqual">
      <formula>$L15</formula>
    </cfRule>
    <cfRule type="cellIs" dxfId="1411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DEDFB0-6E24-4664-A81A-E393BD789E25}">
          <x14:formula1>
            <xm:f>Bolts!$A:$A</xm:f>
          </x14:formula1>
          <xm:sqref>C16:C19</xm:sqref>
        </x14:dataValidation>
        <x14:dataValidation type="list" allowBlank="1" showInputMessage="1" showErrorMessage="1" xr:uid="{682C612C-AA4D-40FC-8BD7-A7877C7437D7}">
          <x14:formula1>
            <xm:f>Machined!$C:$C</xm:f>
          </x14:formula1>
          <xm:sqref>C5:C7</xm:sqref>
        </x14:dataValidation>
        <x14:dataValidation type="list" allowBlank="1" showInputMessage="1" showErrorMessage="1" xr:uid="{AF239728-1F15-4DC2-916D-13AA71E62B1C}">
          <x14:formula1>
            <xm:f>Purchased!$A:$A</xm:f>
          </x14:formula1>
          <xm:sqref>C8:C15</xm:sqref>
        </x14:dataValidation>
      </x14:dataValidations>
    </ext>
  </extLst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1272B-D330-4BFC-9B58-C1E9E0FD89CB}">
  <sheetPr codeName="Sheet115">
    <tabColor theme="6" tint="0.59999389629810485"/>
  </sheetPr>
  <dimension ref="A1:Q26"/>
  <sheetViews>
    <sheetView zoomScale="115" zoomScaleNormal="115" workbookViewId="0">
      <selection activeCell="E31" sqref="E3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'4.4'!C6</f>
        <v>PG10.4.4.2.0.A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'4.4'!D6</f>
        <v>Main Frame 3 Geared Adjustment Handwheel Assy</v>
      </c>
      <c r="D3" s="85" t="s">
        <v>50</v>
      </c>
      <c r="E3" s="86" t="str">
        <f ca="1">MID(CELL("filename",A1),FIND("]",CELL("filename",A1))+1,256)</f>
        <v>4.4.2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642</v>
      </c>
      <c r="D5" s="314" t="str">
        <f>VLOOKUP(C5,Machined!C:X,2,0)</f>
        <v>Main Frame 3 Geared Handwheel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45503</v>
      </c>
      <c r="K5" s="44">
        <f>IF(VLOOKUP($C5,Machined!C:Z,19,0) = 0, " ", VLOOKUP($C5,Machined!C:Z,19,0))</f>
        <v>45509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55656</v>
      </c>
      <c r="O5" s="45">
        <f ca="1">B5*$L$2</f>
        <v>2</v>
      </c>
      <c r="P5" s="49">
        <f>VLOOKUP(C5,Machined!C:F,3,0)</f>
        <v>70</v>
      </c>
      <c r="Q5" s="50">
        <f>B5*P5</f>
        <v>140</v>
      </c>
    </row>
    <row r="6" spans="1:17" s="2" customFormat="1" ht="12.75" customHeight="1" x14ac:dyDescent="0.25">
      <c r="A6" s="77">
        <v>2</v>
      </c>
      <c r="B6" s="20">
        <v>1</v>
      </c>
      <c r="C6" s="121" t="s">
        <v>643</v>
      </c>
      <c r="D6" s="314" t="str">
        <f>VLOOKUP(C6,Machined!C:X,2,0)</f>
        <v>Main Frame 3 Adjustment Shaft -Short</v>
      </c>
      <c r="E6" s="329"/>
      <c r="F6" s="107" t="str">
        <f>VLOOKUP($C6,Machined!C:Z,13,0)</f>
        <v>303 TG&amp;P, Round Stock, -0.0005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303 TG&amp;P, Round Stock, -0.0005</v>
      </c>
      <c r="J6" s="44">
        <f>IF(VLOOKUP($C6,Machined!C:Z,18,0) = 0, " ", VLOOKUP($C6,Machined!C:Z,18,0))</f>
        <v>45503</v>
      </c>
      <c r="K6" s="44">
        <f>IF(VLOOKUP($C6,Machined!C:Z,19,0) = 0, " ", VLOOKUP($C6,Machined!C:Z,19,0))</f>
        <v>45509</v>
      </c>
      <c r="L6" s="44">
        <f>IF(VLOOKUP($C6,Machined!C:Z,20,0) = 0, " ", VLOOKUP($C6,Machined!C:Z,20,0))</f>
        <v>45540</v>
      </c>
      <c r="M6" s="44">
        <f>IF(VLOOKUP($C6,Machined!C:Z,21,0) = 0, " ", VLOOKUP($C6,Machined!C:Z,21,0))</f>
        <v>45540</v>
      </c>
      <c r="N6" s="129">
        <f>IF(VLOOKUP($C6,Machined!C:Z,22,0) = 0, " ", VLOOKUP($C6,Machined!C:Z,22,0))</f>
        <v>55656</v>
      </c>
      <c r="O6" s="45">
        <f t="shared" ref="O6:O7" ca="1" si="0">B6*$L$2</f>
        <v>1</v>
      </c>
      <c r="P6" s="49">
        <f>VLOOKUP(C6,Machined!C:F,3,0)</f>
        <v>37.5</v>
      </c>
      <c r="Q6" s="50">
        <f t="shared" ref="Q6:Q7" si="1">B6*P6</f>
        <v>37.5</v>
      </c>
    </row>
    <row r="7" spans="1:17" s="2" customFormat="1" ht="12.75" customHeight="1" x14ac:dyDescent="0.25">
      <c r="A7" s="77">
        <v>3</v>
      </c>
      <c r="B7" s="20">
        <v>1</v>
      </c>
      <c r="C7" s="121" t="s">
        <v>644</v>
      </c>
      <c r="D7" s="314" t="str">
        <f>VLOOKUP(C7,Machined!C:X,2,0)</f>
        <v>Main Frame 3 Adjustment Shaft -Long</v>
      </c>
      <c r="E7" s="329"/>
      <c r="F7" s="107" t="str">
        <f>VLOOKUP($C7,Machined!C:Z,13,0)</f>
        <v>303 TG&amp;P, Round Stock, -0.0005</v>
      </c>
      <c r="G7" s="44" t="str">
        <f>IF(VLOOKUP($C7,Machined!C:Z,16,0) = 0, " ", VLOOKUP($C7,Machined!C:Z,16,0))</f>
        <v>Nuline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303 TG&amp;P, Round Stock, -0.0005</v>
      </c>
      <c r="J7" s="44" t="str">
        <f>IF(VLOOKUP($C7,Machined!C:Z,18,0) = 0, " ", VLOOKUP($C7,Machined!C:Z,18,0))</f>
        <v>Material P.O. 55555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t="shared" ca="1" si="0"/>
        <v>1</v>
      </c>
      <c r="P7" s="49">
        <f>VLOOKUP(C7,Machined!C:F,3,0)</f>
        <v>0</v>
      </c>
      <c r="Q7" s="50">
        <f t="shared" si="1"/>
        <v>0</v>
      </c>
    </row>
    <row r="8" spans="1:17" s="2" customFormat="1" ht="12.75" customHeight="1" x14ac:dyDescent="0.25">
      <c r="A8" s="77">
        <v>4</v>
      </c>
      <c r="B8" s="20">
        <v>1</v>
      </c>
      <c r="C8" s="121" t="s">
        <v>645</v>
      </c>
      <c r="D8" s="314" t="str">
        <f>VLOOKUP(C8,Machined!C:X,2,0)</f>
        <v>Geared Handwheel Spacer Block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Craig Miller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45503</v>
      </c>
      <c r="K8" s="44">
        <f>IF(VLOOKUP($C8,Machined!C:Z,19,0) = 0, " ", VLOOKUP($C8,Machined!C:Z,19,0))</f>
        <v>45509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55656</v>
      </c>
      <c r="O8" s="45">
        <f ca="1">B8*$L$2</f>
        <v>1</v>
      </c>
      <c r="P8" s="49">
        <f>VLOOKUP(C8,Machined!C:F,3,0)</f>
        <v>62.5</v>
      </c>
      <c r="Q8" s="50">
        <f>B8*P8</f>
        <v>62.5</v>
      </c>
    </row>
    <row r="9" spans="1:17" s="2" customFormat="1" ht="12.75" customHeight="1" x14ac:dyDescent="0.25">
      <c r="A9" s="77">
        <v>5</v>
      </c>
      <c r="B9" s="20">
        <v>1</v>
      </c>
      <c r="C9" s="121" t="s">
        <v>646</v>
      </c>
      <c r="D9" s="314" t="str">
        <f>VLOOKUP(C9,Machined!C:X,2,0)</f>
        <v>Geared Handwheel Plate No Brake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Craig Miller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45503</v>
      </c>
      <c r="K9" s="44">
        <f>IF(VLOOKUP($C9,Machined!C:Z,19,0) = 0, " ", VLOOKUP($C9,Machined!C:Z,19,0))</f>
        <v>45509</v>
      </c>
      <c r="L9" s="44">
        <f>IF(VLOOKUP($C9,Machined!C:Z,20,0) = 0, " ", VLOOKUP($C9,Machined!C:Z,20,0))</f>
        <v>45540</v>
      </c>
      <c r="M9" s="44">
        <f>IF(VLOOKUP($C9,Machined!C:Z,21,0) = 0, " ", VLOOKUP($C9,Machined!C:Z,21,0))</f>
        <v>45540</v>
      </c>
      <c r="N9" s="129">
        <f>IF(VLOOKUP($C9,Machined!C:Z,22,0) = 0, " ", VLOOKUP($C9,Machined!C:Z,22,0))</f>
        <v>55656</v>
      </c>
      <c r="O9" s="45">
        <f t="shared" ref="O9" ca="1" si="2">B9*$L$2</f>
        <v>1</v>
      </c>
      <c r="P9" s="49">
        <f>VLOOKUP(C9,Machined!C:F,3,0)</f>
        <v>140</v>
      </c>
      <c r="Q9" s="50">
        <f t="shared" ref="Q9" si="3">B9*P9</f>
        <v>140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2</v>
      </c>
      <c r="C11" s="135" t="s">
        <v>647</v>
      </c>
      <c r="D11" s="325" t="str">
        <f>VLOOKUP(C11,Purchased!A:B,2,0)</f>
        <v>Misumi Bearing Spacer 20mm ID 23mm OD 82mm L</v>
      </c>
      <c r="E11" s="326"/>
      <c r="F11" s="108" t="str">
        <f>IF(VLOOKUP($C11,Purchased!A:Z,11,0) = 0, " ", VLOOKUP($C11,Purchased!A:Z,11,0))</f>
        <v>MISUMI</v>
      </c>
      <c r="G11" s="108" t="str">
        <f>IF(VLOOKUP($C11,Purchased!A:Z,12,0)=0, " ", VLOOKUP($C11,Purchased!A:Z,12,0))</f>
        <v>MISUMI</v>
      </c>
      <c r="H11" s="327" t="str">
        <f>IF(VLOOKUP($C11,Purchased!A:Z,13,0)=0, " ", VLOOKUP($C11,Purchased!A:Z,13,0))</f>
        <v>QB REC QTY is 0, BOM SAYS 2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45524</v>
      </c>
      <c r="M11" s="46">
        <f>IF(VLOOKUP(C11,Purchased!A:R,16,0)=0, " ",VLOOKUP(C11,Purchased!A:R,16,0))</f>
        <v>45540</v>
      </c>
      <c r="N11" s="130">
        <f>IF(VLOOKUP(C11,Purchased!A:R,17,0)=0, " ", VLOOKUP(C11,Purchased!A:R,17,0))</f>
        <v>45527</v>
      </c>
      <c r="O11" s="47">
        <f t="shared" ref="O11:O20" ca="1" si="4">B11*$L$2</f>
        <v>2</v>
      </c>
      <c r="P11" s="51">
        <f>VLOOKUP(C11,Purchased!A:D,3,FALSE)</f>
        <v>32.81</v>
      </c>
      <c r="Q11" s="52">
        <f t="shared" ref="Q11:Q20" si="5">B11*P11</f>
        <v>65.62</v>
      </c>
    </row>
    <row r="12" spans="1:17" s="2" customFormat="1" ht="12" customHeight="1" x14ac:dyDescent="0.25">
      <c r="A12" s="4">
        <v>302</v>
      </c>
      <c r="B12" s="2">
        <v>2</v>
      </c>
      <c r="C12" s="135" t="s">
        <v>641</v>
      </c>
      <c r="D12" s="325" t="str">
        <f>VLOOKUP(C12,Purchased!A:B,2,0)</f>
        <v>Custom Threaded Standoff 120mm L M6</v>
      </c>
      <c r="E12" s="326"/>
      <c r="F12" s="108" t="str">
        <f>IF(VLOOKUP($C12,Purchased!A:Z,11,0) = 0, " ", VLOOKUP($C12,Purchased!A:Z,11,0))</f>
        <v>MISUMI</v>
      </c>
      <c r="G12" s="108" t="str">
        <f>IF(VLOOKUP($C12,Purchased!A:Z,12,0)=0, " ", VLOOKUP($C12,Purchased!A:Z,12,0))</f>
        <v>MISUMI</v>
      </c>
      <c r="H12" s="327" t="str">
        <f>IF(VLOOKUP($C12,Purchased!A:Z,13,0)=0, " ", VLOOKUP($C12,Purchased!A:Z,13,0))</f>
        <v xml:space="preserve"> 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45524</v>
      </c>
      <c r="M12" s="46">
        <f>IF(VLOOKUP(C12,Purchased!A:R,16,0)=0, " ",VLOOKUP(C12,Purchased!A:R,16,0))</f>
        <v>45540</v>
      </c>
      <c r="N12" s="130">
        <f>IF(VLOOKUP(C12,Purchased!A:R,17,0)=0, " ", VLOOKUP(C12,Purchased!A:R,17,0))</f>
        <v>45527</v>
      </c>
      <c r="O12" s="47">
        <f t="shared" ca="1" si="4"/>
        <v>2</v>
      </c>
      <c r="P12" s="51">
        <f>VLOOKUP(C12,Purchased!A:D,3,FALSE)</f>
        <v>5.55</v>
      </c>
      <c r="Q12" s="52">
        <f t="shared" si="5"/>
        <v>11.1</v>
      </c>
    </row>
    <row r="13" spans="1:17" s="2" customFormat="1" ht="12" customHeight="1" x14ac:dyDescent="0.25">
      <c r="A13" s="4">
        <v>303</v>
      </c>
      <c r="B13" s="2">
        <v>2</v>
      </c>
      <c r="C13" s="135" t="s">
        <v>648</v>
      </c>
      <c r="D13" s="325" t="str">
        <f>VLOOKUP(C13,Purchased!A:B,2,0)</f>
        <v>SPUR GEAR, ELECTROLESS NICKEL PLATED STEEL</v>
      </c>
      <c r="E13" s="326"/>
      <c r="F13" s="108" t="str">
        <f>IF(VLOOKUP($C13,Purchased!A:Z,11,0) = 0, " ", VLOOKUP($C13,Purchased!A:Z,11,0))</f>
        <v>MISUMI</v>
      </c>
      <c r="G13" s="108" t="str">
        <f>IF(VLOOKUP($C13,Purchased!A:Z,12,0)=0, " ", VLOOKUP($C13,Purchased!A:Z,12,0))</f>
        <v>MISUMI</v>
      </c>
      <c r="H13" s="327" t="str">
        <f>IF(VLOOKUP($C13,Purchased!A:Z,13,0)=0, " ", VLOOKUP($C13,Purchased!A:Z,13,0))</f>
        <v>4 more on PO 55693</v>
      </c>
      <c r="I13" s="328"/>
      <c r="J13" s="46">
        <f>IF(VLOOKUP($C13,Purchased!A:Z,14,0)=0, " ", VLOOKUP($C13,Purchased!A:Z,14,0))</f>
        <v>45483</v>
      </c>
      <c r="K13" s="46">
        <f>IF(VLOOKUP(C13,Purchased!A:R,14,0)=0, " ", VLOOKUP(C13,Purchased!A:R,14,0))</f>
        <v>45483</v>
      </c>
      <c r="L13" s="46">
        <f>IF(VLOOKUP(C13,Purchased!A:R,15,0)=0, " ", VLOOKUP(C13,Purchased!A:R,15,0))</f>
        <v>45483</v>
      </c>
      <c r="M13" s="46">
        <f>IF(VLOOKUP(C13,Purchased!A:R,16,0)=0, " ",VLOOKUP(C13,Purchased!A:R,16,0))</f>
        <v>45512</v>
      </c>
      <c r="N13" s="130">
        <f>IF(VLOOKUP(C13,Purchased!A:R,17,0)=0, " ", VLOOKUP(C13,Purchased!A:R,17,0))</f>
        <v>45512</v>
      </c>
      <c r="O13" s="47">
        <f t="shared" ca="1" si="4"/>
        <v>2</v>
      </c>
      <c r="P13" s="51">
        <f>VLOOKUP(C13,Purchased!A:D,3,FALSE)</f>
        <v>48.07</v>
      </c>
      <c r="Q13" s="52">
        <f t="shared" si="5"/>
        <v>96.14</v>
      </c>
    </row>
    <row r="14" spans="1:17" s="2" customFormat="1" ht="12" customHeight="1" x14ac:dyDescent="0.25">
      <c r="A14" s="4">
        <v>304</v>
      </c>
      <c r="B14" s="2">
        <v>2</v>
      </c>
      <c r="C14" s="135" t="s">
        <v>614</v>
      </c>
      <c r="D14" s="325" t="str">
        <f>VLOOKUP(C14,Purchased!A:B,2,0)</f>
        <v>CAPTURED BEARING, 20MM ID</v>
      </c>
      <c r="E14" s="326"/>
      <c r="F14" s="108" t="str">
        <f>IF(VLOOKUP($C14,Purchased!A:Z,11,0) = 0, " ", VLOOKUP($C14,Purchased!A:Z,11,0))</f>
        <v>MISUMI</v>
      </c>
      <c r="G14" s="108" t="str">
        <f>IF(VLOOKUP($C14,Purchased!A:Z,12,0)=0, " ", VLOOKUP($C14,Purchased!A:Z,12,0))</f>
        <v>MISUMI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45483</v>
      </c>
      <c r="K14" s="46">
        <f>IF(VLOOKUP(C14,Purchased!A:R,14,0)=0, " ", VLOOKUP(C14,Purchased!A:R,14,0))</f>
        <v>45483</v>
      </c>
      <c r="L14" s="46">
        <f>IF(VLOOKUP(C14,Purchased!A:R,15,0)=0, " ", VLOOKUP(C14,Purchased!A:R,15,0))</f>
        <v>45483</v>
      </c>
      <c r="M14" s="46">
        <f>IF(VLOOKUP(C14,Purchased!A:R,16,0)=0, " ",VLOOKUP(C14,Purchased!A:R,16,0))</f>
        <v>45512</v>
      </c>
      <c r="N14" s="130">
        <f>IF(VLOOKUP(C14,Purchased!A:R,17,0)=0, " ", VLOOKUP(C14,Purchased!A:R,17,0))</f>
        <v>45512</v>
      </c>
      <c r="O14" s="47">
        <f t="shared" ca="1" si="4"/>
        <v>2</v>
      </c>
      <c r="P14" s="51">
        <f>VLOOKUP(C14,Purchased!A:D,3,FALSE)</f>
        <v>57.16</v>
      </c>
      <c r="Q14" s="52">
        <f t="shared" si="5"/>
        <v>114.32</v>
      </c>
    </row>
    <row r="15" spans="1:17" s="2" customFormat="1" ht="12" customHeight="1" x14ac:dyDescent="0.25">
      <c r="A15" s="4">
        <v>305</v>
      </c>
      <c r="B15" s="2">
        <v>1</v>
      </c>
      <c r="C15" s="135" t="s">
        <v>504</v>
      </c>
      <c r="D15" s="325" t="str">
        <f>VLOOKUP(C15,Purchased!A:B,2,0)</f>
        <v>20mm ID 32mm OD 7mm Thick Ball Bearing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>11 Additional Quantity Added to 55697</v>
      </c>
      <c r="I15" s="328"/>
      <c r="J15" s="46">
        <f>IF(VLOOKUP($C15,Purchased!A:Z,14,0)=0, " ", VLOOKUP($C15,Purchased!A:Z,14,0))</f>
        <v>45481</v>
      </c>
      <c r="K15" s="46">
        <f>IF(VLOOKUP(C15,Purchased!A:R,14,0)=0, " ", VLOOKUP(C15,Purchased!A:R,14,0))</f>
        <v>45481</v>
      </c>
      <c r="L15" s="46">
        <f>IF(VLOOKUP(C15,Purchased!A:R,15,0)=0, " ", VLOOKUP(C15,Purchased!A:R,15,0))</f>
        <v>45481</v>
      </c>
      <c r="M15" s="46">
        <f>IF(VLOOKUP(C15,Purchased!A:R,16,0)=0, " ",VLOOKUP(C15,Purchased!A:R,16,0))</f>
        <v>45482</v>
      </c>
      <c r="N15" s="130">
        <f>IF(VLOOKUP(C15,Purchased!A:R,17,0)=0, " ", VLOOKUP(C15,Purchased!A:R,17,0))</f>
        <v>45482</v>
      </c>
      <c r="O15" s="47">
        <f t="shared" ca="1" si="4"/>
        <v>1</v>
      </c>
      <c r="P15" s="51">
        <f>VLOOKUP(C15,Purchased!A:D,3,FALSE)</f>
        <v>16.88</v>
      </c>
      <c r="Q15" s="52">
        <f t="shared" si="5"/>
        <v>16.88</v>
      </c>
    </row>
    <row r="16" spans="1:17" s="2" customFormat="1" ht="12" customHeight="1" x14ac:dyDescent="0.25">
      <c r="A16" s="4">
        <v>306</v>
      </c>
      <c r="B16" s="2">
        <v>1</v>
      </c>
      <c r="C16" s="135" t="s">
        <v>649</v>
      </c>
      <c r="D16" s="325" t="str">
        <f>VLOOKUP(C16,Purchased!A:B,2,0)</f>
        <v>Two-Piece Shaft Coupling, 6061 Aluminum, for 20 mm x 20 mm Diameter Shaft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>2 Additional Quantity Added to 55697</v>
      </c>
      <c r="I16" s="328"/>
      <c r="J16" s="46">
        <f>IF(VLOOKUP($C16,Purchased!A:Z,14,0)=0, " ", VLOOKUP($C16,Purchased!A:Z,14,0))</f>
        <v>45481</v>
      </c>
      <c r="K16" s="46">
        <f>IF(VLOOKUP(C16,Purchased!A:R,14,0)=0, " ", VLOOKUP(C16,Purchased!A:R,14,0))</f>
        <v>45481</v>
      </c>
      <c r="L16" s="46">
        <f>IF(VLOOKUP(C16,Purchased!A:R,15,0)=0, " ", VLOOKUP(C16,Purchased!A:R,15,0))</f>
        <v>45481</v>
      </c>
      <c r="M16" s="46">
        <f>IF(VLOOKUP(C16,Purchased!A:R,16,0)=0, " ",VLOOKUP(C16,Purchased!A:R,16,0))</f>
        <v>45482</v>
      </c>
      <c r="N16" s="130">
        <f>IF(VLOOKUP(C16,Purchased!A:R,17,0)=0, " ", VLOOKUP(C16,Purchased!A:R,17,0))</f>
        <v>45482</v>
      </c>
      <c r="O16" s="47">
        <f t="shared" ca="1" si="4"/>
        <v>1</v>
      </c>
      <c r="P16" s="51">
        <f>VLOOKUP(C16,Purchased!A:D,3,FALSE)</f>
        <v>17.79</v>
      </c>
      <c r="Q16" s="52">
        <f t="shared" si="5"/>
        <v>17.79</v>
      </c>
    </row>
    <row r="17" spans="1:17" s="2" customFormat="1" ht="12" customHeight="1" x14ac:dyDescent="0.25">
      <c r="A17" s="4">
        <v>307</v>
      </c>
      <c r="B17" s="2">
        <v>1</v>
      </c>
      <c r="C17" s="135" t="s">
        <v>501</v>
      </c>
      <c r="D17" s="325" t="str">
        <f>VLOOKUP(C17,Purchased!A:B,2,0)</f>
        <v>Digital Position Indicator DD51-E-SST-IP65-C2</v>
      </c>
      <c r="E17" s="326"/>
      <c r="F17" s="108" t="str">
        <f>IF(VLOOKUP($C17,Purchased!A:Z,11,0) = 0, " ", VLOOKUP($C17,Purchased!A:Z,11,0))</f>
        <v>ELESA</v>
      </c>
      <c r="G17" s="108" t="str">
        <f>IF(VLOOKUP($C17,Purchased!A:Z,12,0)=0, " ", VLOOKUP($C17,Purchased!A:Z,12,0))</f>
        <v>ELESA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45506</v>
      </c>
      <c r="K17" s="46">
        <f>IF(VLOOKUP(C17,Purchased!A:R,14,0)=0, " ", VLOOKUP(C17,Purchased!A:R,14,0))</f>
        <v>45506</v>
      </c>
      <c r="L17" s="46">
        <f>IF(VLOOKUP(C17,Purchased!A:R,15,0)=0, " ", VLOOKUP(C17,Purchased!A:R,15,0))</f>
        <v>45526</v>
      </c>
      <c r="M17" s="46">
        <f>IF(VLOOKUP(C17,Purchased!A:R,16,0)=0, " ",VLOOKUP(C17,Purchased!A:R,16,0))</f>
        <v>45551</v>
      </c>
      <c r="N17" s="130">
        <f>IF(VLOOKUP(C17,Purchased!A:R,17,0)=0, " ", VLOOKUP(C17,Purchased!A:R,17,0))</f>
        <v>45551</v>
      </c>
      <c r="O17" s="47">
        <f t="shared" ca="1" si="4"/>
        <v>1</v>
      </c>
      <c r="P17" s="51">
        <f>VLOOKUP(C17,Purchased!A:D,3,FALSE)</f>
        <v>258</v>
      </c>
      <c r="Q17" s="52">
        <f t="shared" si="5"/>
        <v>258</v>
      </c>
    </row>
    <row r="18" spans="1:17" s="2" customFormat="1" ht="12" customHeight="1" x14ac:dyDescent="0.25">
      <c r="A18" s="4">
        <v>308</v>
      </c>
      <c r="B18" s="2">
        <v>1</v>
      </c>
      <c r="C18" s="135" t="s">
        <v>502</v>
      </c>
      <c r="D18" s="325" t="str">
        <f>VLOOKUP(C18,Purchased!A:B,2,0)</f>
        <v>Spindle Locking</v>
      </c>
      <c r="E18" s="326"/>
      <c r="F18" s="108" t="str">
        <f>IF(VLOOKUP($C18,Purchased!A:Z,11,0) = 0, " ", VLOOKUP($C18,Purchased!A:Z,11,0))</f>
        <v>ELESA</v>
      </c>
      <c r="G18" s="108" t="str">
        <f>IF(VLOOKUP($C18,Purchased!A:Z,12,0)=0, " ", VLOOKUP($C18,Purchased!A:Z,12,0))</f>
        <v>ELESA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45506</v>
      </c>
      <c r="K18" s="46">
        <f>IF(VLOOKUP(C18,Purchased!A:R,14,0)=0, " ", VLOOKUP(C18,Purchased!A:R,14,0))</f>
        <v>45506</v>
      </c>
      <c r="L18" s="46">
        <f>IF(VLOOKUP(C18,Purchased!A:R,15,0)=0, " ", VLOOKUP(C18,Purchased!A:R,15,0))</f>
        <v>45526</v>
      </c>
      <c r="M18" s="46">
        <f>IF(VLOOKUP(C18,Purchased!A:R,16,0)=0, " ",VLOOKUP(C18,Purchased!A:R,16,0))</f>
        <v>45551</v>
      </c>
      <c r="N18" s="130">
        <f>IF(VLOOKUP(C18,Purchased!A:R,17,0)=0, " ", VLOOKUP(C18,Purchased!A:R,17,0))</f>
        <v>45551</v>
      </c>
      <c r="O18" s="47">
        <f t="shared" ca="1" si="4"/>
        <v>1</v>
      </c>
      <c r="P18" s="51">
        <f>VLOOKUP(C18,Purchased!A:D,3,FALSE)</f>
        <v>45.32</v>
      </c>
      <c r="Q18" s="52">
        <f t="shared" si="5"/>
        <v>45.32</v>
      </c>
    </row>
    <row r="19" spans="1:17" s="2" customFormat="1" ht="12" customHeight="1" x14ac:dyDescent="0.25">
      <c r="A19" s="4">
        <v>309</v>
      </c>
      <c r="B19" s="2">
        <v>1</v>
      </c>
      <c r="C19" s="135" t="s">
        <v>500</v>
      </c>
      <c r="D19" s="325" t="str">
        <f>VLOOKUP(C19,Purchased!A:B,2,0)</f>
        <v>Aluminum Handwheel GN 322.3-160-B14-R</v>
      </c>
      <c r="E19" s="326"/>
      <c r="F19" s="108" t="str">
        <f>IF(VLOOKUP($C19,Purchased!A:Z,11,0) = 0, " ", VLOOKUP($C19,Purchased!A:Z,11,0))</f>
        <v>ELESA</v>
      </c>
      <c r="G19" s="108" t="str">
        <f>IF(VLOOKUP($C19,Purchased!A:Z,12,0)=0, " ", VLOOKUP($C19,Purchased!A:Z,12,0))</f>
        <v>ELESA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45506</v>
      </c>
      <c r="K19" s="46">
        <f>IF(VLOOKUP(C19,Purchased!A:R,14,0)=0, " ", VLOOKUP(C19,Purchased!A:R,14,0))</f>
        <v>45506</v>
      </c>
      <c r="L19" s="46">
        <f>IF(VLOOKUP(C19,Purchased!A:R,15,0)=0, " ", VLOOKUP(C19,Purchased!A:R,15,0))</f>
        <v>45526</v>
      </c>
      <c r="M19" s="46">
        <f>IF(VLOOKUP(C19,Purchased!A:R,16,0)=0, " ",VLOOKUP(C19,Purchased!A:R,16,0))</f>
        <v>45551</v>
      </c>
      <c r="N19" s="130">
        <f>IF(VLOOKUP(C19,Purchased!A:R,17,0)=0, " ", VLOOKUP(C19,Purchased!A:R,17,0))</f>
        <v>45551</v>
      </c>
      <c r="O19" s="47">
        <f t="shared" ca="1" si="4"/>
        <v>1</v>
      </c>
      <c r="P19" s="51">
        <f>VLOOKUP(C19,Purchased!A:D,3,FALSE)</f>
        <v>87.05</v>
      </c>
      <c r="Q19" s="52">
        <f t="shared" si="5"/>
        <v>87.05</v>
      </c>
    </row>
    <row r="20" spans="1:17" s="2" customFormat="1" ht="12" customHeight="1" x14ac:dyDescent="0.25">
      <c r="A20" s="4">
        <v>310</v>
      </c>
      <c r="B20" s="2">
        <v>10</v>
      </c>
      <c r="C20" s="135" t="s">
        <v>104</v>
      </c>
      <c r="D20" s="325" t="str">
        <f>VLOOKUP(C20,Purchased!A:B,2,0)</f>
        <v>BRX GOTO T-NUT 10 M8</v>
      </c>
      <c r="E20" s="326"/>
      <c r="F20" s="108" t="str">
        <f>IF(VLOOKUP($C20,Purchased!A:Z,11,0) = 0, " ", VLOOKUP($C20,Purchased!A:Z,11,0))</f>
        <v>BRX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>400 additional quantity added to 55710</v>
      </c>
      <c r="I20" s="328"/>
      <c r="J20" s="46">
        <f>IF(VLOOKUP($C20,Purchased!A:Z,14,0)=0, " ", VLOOKUP($C20,Purchased!A:Z,14,0))</f>
        <v>45463</v>
      </c>
      <c r="K20" s="46">
        <f>IF(VLOOKUP(C20,Purchased!A:R,14,0)=0, " ", VLOOKUP(C20,Purchased!A:R,14,0))</f>
        <v>45463</v>
      </c>
      <c r="L20" s="46">
        <f>IF(VLOOKUP(C20,Purchased!A:R,15,0)=0, " ", VLOOKUP(C20,Purchased!A:R,15,0))</f>
        <v>45463</v>
      </c>
      <c r="M20" s="46">
        <f>IF(VLOOKUP(C20,Purchased!A:R,16,0)=0, " ",VLOOKUP(C20,Purchased!A:R,16,0))</f>
        <v>45481</v>
      </c>
      <c r="N20" s="130">
        <f>IF(VLOOKUP(C20,Purchased!A:R,17,0)=0, " ", VLOOKUP(C20,Purchased!A:R,17,0))</f>
        <v>45481</v>
      </c>
      <c r="O20" s="47">
        <f t="shared" ca="1" si="4"/>
        <v>10</v>
      </c>
      <c r="P20" s="51">
        <f>VLOOKUP(C20,Purchased!A:D,3,FALSE)</f>
        <v>0.56000000000000005</v>
      </c>
      <c r="Q20" s="52">
        <f t="shared" si="5"/>
        <v>5.6000000000000005</v>
      </c>
    </row>
    <row r="21" spans="1:17" s="2" customFormat="1" ht="12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" customHeight="1" x14ac:dyDescent="0.25">
      <c r="A22" s="4">
        <v>501</v>
      </c>
      <c r="B22" s="2">
        <v>2</v>
      </c>
      <c r="C22" s="122" t="s">
        <v>275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ref="O22:O25" ca="1" si="6">B22*$L$2</f>
        <v>2</v>
      </c>
      <c r="P22" s="51">
        <f>VLOOKUP(C22,Bolts!A:B,2,FALSE)</f>
        <v>0</v>
      </c>
      <c r="Q22" s="52">
        <f t="shared" ref="Q22:Q25" si="7">B22*P22</f>
        <v>0</v>
      </c>
    </row>
    <row r="23" spans="1:17" s="2" customFormat="1" ht="12" customHeight="1" x14ac:dyDescent="0.25">
      <c r="A23" s="4">
        <v>502</v>
      </c>
      <c r="B23" s="2">
        <v>8</v>
      </c>
      <c r="C23" s="122" t="s">
        <v>95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6"/>
        <v>8</v>
      </c>
      <c r="P23" s="51">
        <f>VLOOKUP(C23,Bolts!A:B,2,FALSE)</f>
        <v>0</v>
      </c>
      <c r="Q23" s="52">
        <f t="shared" si="7"/>
        <v>0</v>
      </c>
    </row>
    <row r="24" spans="1:17" s="2" customFormat="1" ht="12" customHeight="1" x14ac:dyDescent="0.25">
      <c r="A24" s="4">
        <v>503</v>
      </c>
      <c r="B24" s="2">
        <v>4</v>
      </c>
      <c r="C24" s="122" t="s">
        <v>180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6"/>
        <v>4</v>
      </c>
      <c r="P24" s="51">
        <f>VLOOKUP(C24,Bolts!A:B,2,FALSE)</f>
        <v>0</v>
      </c>
      <c r="Q24" s="52">
        <f t="shared" si="7"/>
        <v>0</v>
      </c>
    </row>
    <row r="25" spans="1:17" s="2" customFormat="1" ht="12" customHeight="1" thickBot="1" x14ac:dyDescent="0.3">
      <c r="A25" s="4">
        <v>504</v>
      </c>
      <c r="B25" s="2">
        <v>10</v>
      </c>
      <c r="C25" s="122" t="s">
        <v>203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6"/>
        <v>10</v>
      </c>
      <c r="P25" s="51">
        <f>VLOOKUP(C25,Bolts!A:B,2,FALSE)</f>
        <v>0</v>
      </c>
      <c r="Q25" s="52">
        <f t="shared" si="7"/>
        <v>0</v>
      </c>
    </row>
    <row r="26" spans="1:17" s="2" customFormat="1" ht="12" customHeight="1" thickBot="1" x14ac:dyDescent="0.3">
      <c r="A26" s="34"/>
      <c r="B26" s="35"/>
      <c r="C26" s="35"/>
      <c r="D26" s="316"/>
      <c r="E26" s="317"/>
      <c r="F26" s="35"/>
      <c r="G26" s="35"/>
      <c r="H26" s="309"/>
      <c r="I26" s="310"/>
      <c r="J26" s="36"/>
      <c r="K26" s="36"/>
      <c r="L26" s="36"/>
      <c r="M26" s="37"/>
      <c r="N26" s="132"/>
      <c r="O26" s="38"/>
      <c r="P26" s="99" t="s">
        <v>43</v>
      </c>
      <c r="Q26" s="104">
        <f>SUM(Q5:Q25)</f>
        <v>1097.82</v>
      </c>
    </row>
  </sheetData>
  <sheetProtection selectLockedCells="1"/>
  <mergeCells count="43">
    <mergeCell ref="D1:E1"/>
    <mergeCell ref="D4:E4"/>
    <mergeCell ref="H4:I4"/>
    <mergeCell ref="D6:E6"/>
    <mergeCell ref="H6:I6"/>
    <mergeCell ref="D5:E5"/>
    <mergeCell ref="H5:I5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19:E19"/>
    <mergeCell ref="H19:I19"/>
    <mergeCell ref="D20:E20"/>
    <mergeCell ref="H20:I20"/>
    <mergeCell ref="D21:E21"/>
    <mergeCell ref="H21:I21"/>
    <mergeCell ref="H26:I26"/>
    <mergeCell ref="D22:E22"/>
    <mergeCell ref="D23:E23"/>
    <mergeCell ref="D24:E24"/>
    <mergeCell ref="D25:E25"/>
    <mergeCell ref="D26:E26"/>
  </mergeCells>
  <conditionalFormatting sqref="M10 M21:M25">
    <cfRule type="cellIs" dxfId="1410" priority="21" stopIfTrue="1" operator="lessThanOrEqual">
      <formula>$L10</formula>
    </cfRule>
    <cfRule type="cellIs" dxfId="1409" priority="22" operator="greaterThan">
      <formula>L10</formula>
    </cfRule>
  </conditionalFormatting>
  <conditionalFormatting sqref="M11">
    <cfRule type="cellIs" dxfId="1408" priority="19" stopIfTrue="1" operator="lessThanOrEqual">
      <formula>$L11</formula>
    </cfRule>
    <cfRule type="cellIs" dxfId="1407" priority="20" operator="greaterThan">
      <formula>L11</formula>
    </cfRule>
  </conditionalFormatting>
  <conditionalFormatting sqref="M12">
    <cfRule type="cellIs" dxfId="1406" priority="17" stopIfTrue="1" operator="lessThanOrEqual">
      <formula>$L12</formula>
    </cfRule>
    <cfRule type="cellIs" dxfId="1405" priority="18" operator="greaterThan">
      <formula>L12</formula>
    </cfRule>
  </conditionalFormatting>
  <conditionalFormatting sqref="M13">
    <cfRule type="cellIs" dxfId="1404" priority="15" stopIfTrue="1" operator="lessThanOrEqual">
      <formula>$L13</formula>
    </cfRule>
    <cfRule type="cellIs" dxfId="1403" priority="16" operator="greaterThan">
      <formula>L13</formula>
    </cfRule>
  </conditionalFormatting>
  <conditionalFormatting sqref="M14:M20">
    <cfRule type="cellIs" dxfId="1402" priority="1" stopIfTrue="1" operator="lessThanOrEqual">
      <formula>$L14</formula>
    </cfRule>
    <cfRule type="cellIs" dxfId="1401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4A7BB4-A680-41EC-BFE5-51DB404BA1E4}">
          <x14:formula1>
            <xm:f>Bolts!$A:$A</xm:f>
          </x14:formula1>
          <xm:sqref>C21:C25</xm:sqref>
        </x14:dataValidation>
        <x14:dataValidation type="list" allowBlank="1" showInputMessage="1" showErrorMessage="1" xr:uid="{FDBCE9B1-5A18-4128-A130-197B17022BD8}">
          <x14:formula1>
            <xm:f>Machined!$C:$C</xm:f>
          </x14:formula1>
          <xm:sqref>C5:C9</xm:sqref>
        </x14:dataValidation>
        <x14:dataValidation type="list" allowBlank="1" showInputMessage="1" showErrorMessage="1" xr:uid="{6112C4C1-C93B-4273-99B1-F4DC4D521415}">
          <x14:formula1>
            <xm:f>Purchased!$A:$A</xm:f>
          </x14:formula1>
          <xm:sqref>C10:C20</xm:sqref>
        </x14:dataValidation>
      </x14:dataValidations>
    </ext>
  </extLst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B3B8B-82D4-4F52-80EF-1EDEF0B4F253}">
  <sheetPr codeName="Sheet116">
    <tabColor theme="9" tint="0.59999389629810485"/>
  </sheetPr>
  <dimension ref="A1:Q27"/>
  <sheetViews>
    <sheetView zoomScale="115" zoomScaleNormal="115" workbookViewId="0">
      <selection activeCell="D31" sqref="D3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'4'!C10</f>
        <v>PG10.4.5.0.A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'4'!D10</f>
        <v>Presto Slider Insertion Assy</v>
      </c>
      <c r="D3" s="85" t="s">
        <v>50</v>
      </c>
      <c r="E3" s="86" t="str">
        <f ca="1">MID(CELL("filename",A1),FIND("]",CELL("filename",A1))+1,256)</f>
        <v>4.5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650</v>
      </c>
      <c r="D5" s="336" t="str">
        <f ca="1">VLOOKUP(C5,Assemblies!E:P,2,0)</f>
        <v>Slider Insertion Geared Handwheel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'4.5.1'!Q30</f>
        <v>1104.6099999999999</v>
      </c>
      <c r="Q5" s="118">
        <f>B5*P5</f>
        <v>1104.6099999999999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2</v>
      </c>
      <c r="C7" s="121" t="s">
        <v>651</v>
      </c>
      <c r="D7" s="314" t="str">
        <f>VLOOKUP(C7,Machined!C:X,2,0)</f>
        <v>Slider Insertion Mount Plate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Xometry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45527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45560</v>
      </c>
      <c r="M7" s="44">
        <f>IF(VLOOKUP($C7,Machined!C:Z,21,0) = 0, " ", VLOOKUP($C7,Machined!C:Z,21,0))</f>
        <v>45560</v>
      </c>
      <c r="N7" s="129">
        <f>IF(VLOOKUP($C7,Machined!C:Z,22,0) = 0, " ", VLOOKUP($C7,Machined!C:Z,22,0))</f>
        <v>55706</v>
      </c>
      <c r="O7" s="45">
        <f ca="1">B7*$L$2</f>
        <v>2</v>
      </c>
      <c r="P7" s="49">
        <f>VLOOKUP(C7,Machined!C:F,3,0)</f>
        <v>221.39</v>
      </c>
      <c r="Q7" s="50">
        <f>B7*P7</f>
        <v>442.78</v>
      </c>
    </row>
    <row r="8" spans="1:17" s="2" customFormat="1" ht="12.75" customHeight="1" x14ac:dyDescent="0.25">
      <c r="A8" s="77" t="s">
        <v>624</v>
      </c>
      <c r="B8" s="20">
        <v>1</v>
      </c>
      <c r="C8" s="121" t="s">
        <v>652</v>
      </c>
      <c r="D8" s="314" t="str">
        <f>VLOOKUP(C8,Machined!C:X,2,0)</f>
        <v>Slider Spur Gear Guard A Side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>Proto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304 STAINLESS STEEL</v>
      </c>
      <c r="J8" s="44">
        <f>IF(VLOOKUP($C8,Machined!C:Z,18,0) = 0, " ", VLOOKUP($C8,Machined!C:Z,18,0))</f>
        <v>45526</v>
      </c>
      <c r="K8" s="44">
        <f>IF(VLOOKUP($C8,Machined!C:Z,19,0) = 0, " ", VLOOKUP($C8,Machined!C:Z,19,0))</f>
        <v>45527</v>
      </c>
      <c r="L8" s="44">
        <f>IF(VLOOKUP($C8,Machined!C:Z,20,0) = 0, " ", VLOOKUP($C8,Machined!C:Z,20,0))</f>
        <v>45548</v>
      </c>
      <c r="M8" s="44">
        <f>IF(VLOOKUP($C8,Machined!C:Z,21,0) = 0, " ", VLOOKUP($C8,Machined!C:Z,21,0))</f>
        <v>45548</v>
      </c>
      <c r="N8" s="129">
        <f>IF(VLOOKUP($C8,Machined!C:Z,22,0) = 0, " ", VLOOKUP($C8,Machined!C:Z,22,0))</f>
        <v>55702</v>
      </c>
      <c r="O8" s="45">
        <f ca="1">B8*$L$2</f>
        <v>1</v>
      </c>
      <c r="P8" s="49">
        <f>VLOOKUP(C8,Machined!C:F,3,0)</f>
        <v>0</v>
      </c>
      <c r="Q8" s="50">
        <f>B8*P8</f>
        <v>0</v>
      </c>
    </row>
    <row r="9" spans="1:17" s="2" customFormat="1" ht="12.75" customHeight="1" x14ac:dyDescent="0.25">
      <c r="A9" s="77" t="s">
        <v>626</v>
      </c>
      <c r="B9" s="20">
        <v>1</v>
      </c>
      <c r="C9" s="121" t="s">
        <v>653</v>
      </c>
      <c r="D9" s="314" t="str">
        <f>VLOOKUP(C9,Machined!C:X,2,0)</f>
        <v>Slider Spur Gear Guard B Side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Proto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45526</v>
      </c>
      <c r="K9" s="44">
        <f>IF(VLOOKUP($C9,Machined!C:Z,19,0) = 0, " ", VLOOKUP($C9,Machined!C:Z,19,0))</f>
        <v>45527</v>
      </c>
      <c r="L9" s="44">
        <f>IF(VLOOKUP($C9,Machined!C:Z,20,0) = 0, " ", VLOOKUP($C9,Machined!C:Z,20,0))</f>
        <v>45548</v>
      </c>
      <c r="M9" s="44">
        <f>IF(VLOOKUP($C9,Machined!C:Z,21,0) = 0, " ", VLOOKUP($C9,Machined!C:Z,21,0))</f>
        <v>45548</v>
      </c>
      <c r="N9" s="129">
        <f>IF(VLOOKUP($C9,Machined!C:Z,22,0) = 0, " ", VLOOKUP($C9,Machined!C:Z,22,0))</f>
        <v>55702</v>
      </c>
      <c r="O9" s="45">
        <f ca="1">B9*$L$2</f>
        <v>1</v>
      </c>
      <c r="P9" s="49">
        <f>VLOOKUP(C9,Machined!C:F,3,0)</f>
        <v>0</v>
      </c>
      <c r="Q9" s="50">
        <f>B9*P9</f>
        <v>0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16</v>
      </c>
      <c r="C11" s="135" t="s">
        <v>628</v>
      </c>
      <c r="D11" s="325" t="str">
        <f>VLOOKUP(C11,Purchased!A:B,2,0)</f>
        <v>Custom Threaded Standoff 50mmL M6 to M8</v>
      </c>
      <c r="E11" s="326"/>
      <c r="F11" s="108" t="str">
        <f>IF(VLOOKUP($C11,Purchased!A:Z,11,0) = 0, " ", VLOOKUP($C11,Purchased!A:Z,11,0))</f>
        <v>MISUMI</v>
      </c>
      <c r="G11" s="108" t="str">
        <f>IF(VLOOKUP($C11,Purchased!A:Z,12,0)=0, " ", VLOOKUP($C11,Purchased!A:Z,12,0))</f>
        <v>MISUMI</v>
      </c>
      <c r="H11" s="327" t="str">
        <f>IF(VLOOKUP($C11,Purchased!A:Z,13,0)=0, " ", VLOOKUP($C11,Purchased!A:Z,13,0))</f>
        <v>QB REC QTY is 10, BOM SAYS 24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>
        <f>IF(VLOOKUP(C11,Purchased!A:R,15,0)=0, " ", VLOOKUP(C11,Purchased!A:R,15,0))</f>
        <v>45524</v>
      </c>
      <c r="M11" s="46">
        <f>IF(VLOOKUP(C11,Purchased!A:R,16,0)=0, " ",VLOOKUP(C11,Purchased!A:R,16,0))</f>
        <v>45540</v>
      </c>
      <c r="N11" s="130">
        <f>IF(VLOOKUP(C11,Purchased!A:R,17,0)=0, " ", VLOOKUP(C11,Purchased!A:R,17,0))</f>
        <v>45527</v>
      </c>
      <c r="O11" s="47">
        <f t="shared" ref="O11:O19" ca="1" si="0">B11*$L$2</f>
        <v>16</v>
      </c>
      <c r="P11" s="51">
        <f>VLOOKUP(C11,Purchased!A:D,3,FALSE)</f>
        <v>15.25</v>
      </c>
      <c r="Q11" s="52">
        <f t="shared" ref="Q11:Q19" si="1">B11*P11</f>
        <v>244</v>
      </c>
    </row>
    <row r="12" spans="1:17" s="2" customFormat="1" ht="12" customHeight="1" x14ac:dyDescent="0.25">
      <c r="A12" s="4">
        <v>302</v>
      </c>
      <c r="B12" s="2">
        <v>4</v>
      </c>
      <c r="C12" s="135" t="s">
        <v>629</v>
      </c>
      <c r="D12" s="325" t="str">
        <f>VLOOKUP(C12,Purchased!A:B,2,0)</f>
        <v>15mm C1 Preload Runner Block</v>
      </c>
      <c r="E12" s="326"/>
      <c r="F12" s="108" t="str">
        <f>IF(VLOOKUP($C12,Purchased!A:Z,11,0) = 0, " ", VLOOKUP($C12,Purchased!A:Z,11,0))</f>
        <v>BRL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Ordered 24 additional PO 55645</v>
      </c>
      <c r="I12" s="328"/>
      <c r="J12" s="46">
        <f>IF(VLOOKUP($C12,Purchased!A:Z,14,0)=0, " ", VLOOKUP($C12,Purchased!A:Z,14,0))</f>
        <v>45461</v>
      </c>
      <c r="K12" s="46">
        <f>IF(VLOOKUP(C12,Purchased!A:R,14,0)=0, " ", VLOOKUP(C12,Purchased!A:R,14,0))</f>
        <v>45461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45504</v>
      </c>
      <c r="N12" s="130">
        <f>IF(VLOOKUP(C12,Purchased!A:R,17,0)=0, " ", VLOOKUP(C12,Purchased!A:R,17,0))</f>
        <v>45504</v>
      </c>
      <c r="O12" s="47">
        <f t="shared" ca="1" si="0"/>
        <v>4</v>
      </c>
      <c r="P12" s="51">
        <f>VLOOKUP(C12,Purchased!A:D,3,FALSE)</f>
        <v>109.2133</v>
      </c>
      <c r="Q12" s="52">
        <f t="shared" si="1"/>
        <v>436.85320000000002</v>
      </c>
    </row>
    <row r="13" spans="1:17" s="2" customFormat="1" ht="12" customHeight="1" x14ac:dyDescent="0.25">
      <c r="A13" s="4">
        <v>303</v>
      </c>
      <c r="B13" s="2">
        <v>2</v>
      </c>
      <c r="C13" s="135" t="s">
        <v>654</v>
      </c>
      <c r="D13" s="325" t="str">
        <f>VLOOKUP(C13,Purchased!A:B,2,0)</f>
        <v>Pneumatic Brake</v>
      </c>
      <c r="E13" s="326"/>
      <c r="F13" s="108" t="str">
        <f>IF(VLOOKUP($C13,Purchased!A:Z,11,0) = 0, " ", VLOOKUP($C13,Purchased!A:Z,11,0))</f>
        <v>Zimmer</v>
      </c>
      <c r="G13" s="108" t="str">
        <f>IF(VLOOKUP($C13,Purchased!A:Z,12,0)=0, " ", VLOOKUP($C13,Purchased!A:Z,12,0))</f>
        <v>Zimmer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45482</v>
      </c>
      <c r="K13" s="46">
        <f>IF(VLOOKUP(C13,Purchased!A:R,14,0)=0, " ", VLOOKUP(C13,Purchased!A:R,14,0))</f>
        <v>45482</v>
      </c>
      <c r="L13" s="46">
        <f>IF(VLOOKUP(C13,Purchased!A:R,15,0)=0, " ", VLOOKUP(C13,Purchased!A:R,15,0))</f>
        <v>45482</v>
      </c>
      <c r="M13" s="46">
        <f>IF(VLOOKUP(C13,Purchased!A:R,16,0)=0, " ",VLOOKUP(C13,Purchased!A:R,16,0))</f>
        <v>45512</v>
      </c>
      <c r="N13" s="130">
        <f>IF(VLOOKUP(C13,Purchased!A:R,17,0)=0, " ", VLOOKUP(C13,Purchased!A:R,17,0))</f>
        <v>45512</v>
      </c>
      <c r="O13" s="47">
        <f t="shared" ca="1" si="0"/>
        <v>2</v>
      </c>
      <c r="P13" s="51">
        <f>VLOOKUP(C13,Purchased!A:D,3,FALSE)</f>
        <v>428.1</v>
      </c>
      <c r="Q13" s="52">
        <f t="shared" si="1"/>
        <v>856.2</v>
      </c>
    </row>
    <row r="14" spans="1:17" s="2" customFormat="1" ht="12" customHeight="1" x14ac:dyDescent="0.25">
      <c r="A14" s="4">
        <v>304</v>
      </c>
      <c r="B14" s="2">
        <v>3</v>
      </c>
      <c r="C14" s="135" t="s">
        <v>655</v>
      </c>
      <c r="D14" s="325" t="str">
        <f>VLOOKUP(C14,Purchased!A:B,2,0)</f>
        <v>SMC unifit , elbow, 4mm to 4mm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45491</v>
      </c>
      <c r="M14" s="46">
        <f>IF(VLOOKUP(C14,Purchased!A:R,16,0)=0, " ",VLOOKUP(C14,Purchased!A:R,16,0))</f>
        <v>45520</v>
      </c>
      <c r="N14" s="130">
        <f>IF(VLOOKUP(C14,Purchased!A:R,17,0)=0, " ", VLOOKUP(C14,Purchased!A:R,17,0))</f>
        <v>45511</v>
      </c>
      <c r="O14" s="47">
        <f t="shared" ca="1" si="0"/>
        <v>3</v>
      </c>
      <c r="P14" s="51">
        <f>VLOOKUP(C14,Purchased!A:D,3,FALSE)</f>
        <v>1.49</v>
      </c>
      <c r="Q14" s="52">
        <f t="shared" si="1"/>
        <v>4.47</v>
      </c>
    </row>
    <row r="15" spans="1:17" s="2" customFormat="1" ht="12" customHeight="1" x14ac:dyDescent="0.25">
      <c r="A15" s="4">
        <v>305</v>
      </c>
      <c r="B15" s="2">
        <v>1</v>
      </c>
      <c r="C15" s="135" t="s">
        <v>656</v>
      </c>
      <c r="D15" s="325" t="str">
        <f>VLOOKUP(C15,Purchased!A:B,2,0)</f>
        <v>Fitting T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check nuline qty first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45491</v>
      </c>
      <c r="M15" s="46">
        <f>IF(VLOOKUP(C15,Purchased!A:R,16,0)=0, " ",VLOOKUP(C15,Purchased!A:R,16,0))</f>
        <v>45520</v>
      </c>
      <c r="N15" s="130">
        <f>IF(VLOOKUP(C15,Purchased!A:R,17,0)=0, " ", VLOOKUP(C15,Purchased!A:R,17,0))</f>
        <v>45511</v>
      </c>
      <c r="O15" s="47">
        <f t="shared" ca="1" si="0"/>
        <v>1</v>
      </c>
      <c r="P15" s="51">
        <f>VLOOKUP(C15,Purchased!A:D,3,FALSE)</f>
        <v>1.69</v>
      </c>
      <c r="Q15" s="52">
        <f t="shared" si="1"/>
        <v>1.69</v>
      </c>
    </row>
    <row r="16" spans="1:17" s="2" customFormat="1" ht="12" customHeight="1" x14ac:dyDescent="0.25">
      <c r="A16" s="4">
        <v>306</v>
      </c>
      <c r="B16" s="2">
        <v>2</v>
      </c>
      <c r="C16" s="135" t="s">
        <v>657</v>
      </c>
      <c r="D16" s="325" t="str">
        <f>VLOOKUP(C16,Purchased!A:B,2,0)</f>
        <v>KQ2 unifit, elbow, 4mm dia tubing, M5 port</v>
      </c>
      <c r="E16" s="326"/>
      <c r="F16" s="108" t="str">
        <f>IF(VLOOKUP($C16,Purchased!A:Z,11,0) = 0, " ", VLOOKUP($C16,Purchased!A:Z,11,0))</f>
        <v>SMC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20 more PO 55692</v>
      </c>
      <c r="I16" s="328"/>
      <c r="J16" s="46">
        <f>IF(VLOOKUP($C16,Purchased!A:Z,14,0)=0, " ", VLOOKUP($C16,Purchased!A:Z,14,0))</f>
        <v>45489</v>
      </c>
      <c r="K16" s="46">
        <f>IF(VLOOKUP(C16,Purchased!A:R,14,0)=0, " ", VLOOKUP(C16,Purchased!A:R,14,0))</f>
        <v>45489</v>
      </c>
      <c r="L16" s="46">
        <f>IF(VLOOKUP(C16,Purchased!A:R,15,0)=0, " ", VLOOKUP(C16,Purchased!A:R,15,0))</f>
        <v>45491</v>
      </c>
      <c r="M16" s="46">
        <f>IF(VLOOKUP(C16,Purchased!A:R,16,0)=0, " ",VLOOKUP(C16,Purchased!A:R,16,0))</f>
        <v>45520</v>
      </c>
      <c r="N16" s="130">
        <f>IF(VLOOKUP(C16,Purchased!A:R,17,0)=0, " ", VLOOKUP(C16,Purchased!A:R,17,0))</f>
        <v>45511</v>
      </c>
      <c r="O16" s="47">
        <f t="shared" ca="1" si="0"/>
        <v>2</v>
      </c>
      <c r="P16" s="51">
        <f>VLOOKUP(C16,Purchased!A:D,3,FALSE)</f>
        <v>1.43</v>
      </c>
      <c r="Q16" s="52">
        <f t="shared" si="1"/>
        <v>2.86</v>
      </c>
    </row>
    <row r="17" spans="1:17" s="2" customFormat="1" ht="12" customHeight="1" x14ac:dyDescent="0.25">
      <c r="A17" s="4">
        <v>307</v>
      </c>
      <c r="B17" s="2">
        <v>1</v>
      </c>
      <c r="C17" s="135" t="s">
        <v>3879</v>
      </c>
      <c r="D17" s="325" t="str">
        <f>VLOOKUP(C17,Purchased!A:B,2,0)</f>
        <v xml:space="preserve">Presto Slider Bowls Carriage </v>
      </c>
      <c r="E17" s="326"/>
      <c r="F17" s="108" t="str">
        <f>IF(VLOOKUP($C17,Purchased!A:Z,11,0) = 0, " ", VLOOKUP($C17,Purchased!A:Z,11,0))</f>
        <v>Presto</v>
      </c>
      <c r="G17" s="108" t="str">
        <f>IF(VLOOKUP($C17,Purchased!A:Z,12,0)=0, " ", VLOOKUP($C17,Purchased!A:Z,12,0))</f>
        <v>Presto</v>
      </c>
      <c r="H17" s="327" t="str">
        <f>IF(VLOOKUP($C17,Purchased!A:Z,13,0)=0, " ", VLOOKUP($C17,Purchased!A:Z,13,0))</f>
        <v xml:space="preserve"> </v>
      </c>
      <c r="I17" s="328"/>
      <c r="J17" s="46" t="str">
        <f>IF(VLOOKUP($C17,Purchased!A:Z,14,0)=0, " ", VLOOKUP($C17,Purchased!A:Z,14,0))</f>
        <v>N/A</v>
      </c>
      <c r="K17" s="46" t="str">
        <f>IF(VLOOKUP(C17,Purchased!A:R,14,0)=0, " ", VLOOKUP(C17,Purchased!A:R,14,0))</f>
        <v>N/A</v>
      </c>
      <c r="L17" s="46">
        <f>IF(VLOOKUP(C17,Purchased!A:R,15,0)=0, " ", VLOOKUP(C17,Purchased!A:R,15,0))</f>
        <v>45307</v>
      </c>
      <c r="M17" s="46">
        <f>IF(VLOOKUP(C17,Purchased!A:R,16,0)=0, " ",VLOOKUP(C17,Purchased!A:R,16,0))</f>
        <v>45561</v>
      </c>
      <c r="N17" s="130">
        <f>IF(VLOOKUP(C17,Purchased!A:R,17,0)=0, " ", VLOOKUP(C17,Purchased!A:R,17,0))</f>
        <v>45561</v>
      </c>
      <c r="O17" s="47">
        <f t="shared" ca="1" si="0"/>
        <v>1</v>
      </c>
      <c r="P17" s="51">
        <f>VLOOKUP(C17,Purchased!A:D,3,FALSE)</f>
        <v>0</v>
      </c>
      <c r="Q17" s="52">
        <f t="shared" si="1"/>
        <v>0</v>
      </c>
    </row>
    <row r="18" spans="1:17" s="2" customFormat="1" ht="12" customHeight="1" x14ac:dyDescent="0.25">
      <c r="A18" s="4">
        <v>308</v>
      </c>
      <c r="B18" s="2">
        <v>1</v>
      </c>
      <c r="C18" s="135" t="s">
        <v>658</v>
      </c>
      <c r="D18" s="325" t="str">
        <f>VLOOKUP(C18,Purchased!A:B,2,0)</f>
        <v>Presto Slider Bowl and Inserter A Side</v>
      </c>
      <c r="E18" s="326"/>
      <c r="F18" s="108" t="str">
        <f>IF(VLOOKUP($C18,Purchased!A:Z,11,0) = 0, " ", VLOOKUP($C18,Purchased!A:Z,11,0))</f>
        <v>Presto</v>
      </c>
      <c r="G18" s="108" t="str">
        <f>IF(VLOOKUP($C18,Purchased!A:Z,12,0)=0, " ", VLOOKUP($C18,Purchased!A:Z,12,0))</f>
        <v>Presto</v>
      </c>
      <c r="H18" s="327" t="str">
        <f>IF(VLOOKUP($C18,Purchased!A:Z,13,0)=0, " ", VLOOKUP($C18,Purchased!A:Z,13,0))</f>
        <v xml:space="preserve"> 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>
        <f>IF(VLOOKUP(C18,Purchased!A:R,15,0)=0, " ", VLOOKUP(C18,Purchased!A:R,15,0))</f>
        <v>45307</v>
      </c>
      <c r="M18" s="46">
        <f>IF(VLOOKUP(C18,Purchased!A:R,16,0)=0, " ",VLOOKUP(C18,Purchased!A:R,16,0))</f>
        <v>45561</v>
      </c>
      <c r="N18" s="130">
        <f>IF(VLOOKUP(C18,Purchased!A:R,17,0)=0, " ", VLOOKUP(C18,Purchased!A:R,17,0))</f>
        <v>45561</v>
      </c>
      <c r="O18" s="47">
        <f t="shared" ca="1" si="0"/>
        <v>1</v>
      </c>
      <c r="P18" s="51">
        <f>VLOOKUP(C18,Purchased!A:D,3,FALSE)</f>
        <v>0</v>
      </c>
      <c r="Q18" s="52">
        <f t="shared" si="1"/>
        <v>0</v>
      </c>
    </row>
    <row r="19" spans="1:17" s="2" customFormat="1" ht="12" customHeight="1" x14ac:dyDescent="0.25">
      <c r="A19" s="4">
        <v>309</v>
      </c>
      <c r="B19" s="2">
        <v>1</v>
      </c>
      <c r="C19" s="135" t="s">
        <v>659</v>
      </c>
      <c r="D19" s="325" t="str">
        <f>VLOOKUP(C19,Purchased!A:B,2,0)</f>
        <v>Presto Slider Bowl and Inserter B Side</v>
      </c>
      <c r="E19" s="326"/>
      <c r="F19" s="108" t="str">
        <f>IF(VLOOKUP($C19,Purchased!A:Z,11,0) = 0, " ", VLOOKUP($C19,Purchased!A:Z,11,0))</f>
        <v>Presto</v>
      </c>
      <c r="G19" s="108" t="str">
        <f>IF(VLOOKUP($C19,Purchased!A:Z,12,0)=0, " ", VLOOKUP($C19,Purchased!A:Z,12,0))</f>
        <v>Presto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45307</v>
      </c>
      <c r="M19" s="46">
        <f>IF(VLOOKUP(C19,Purchased!A:R,16,0)=0, " ",VLOOKUP(C19,Purchased!A:R,16,0))</f>
        <v>45561</v>
      </c>
      <c r="N19" s="130">
        <f>IF(VLOOKUP(C19,Purchased!A:R,17,0)=0, " ", VLOOKUP(C19,Purchased!A:R,17,0))</f>
        <v>45561</v>
      </c>
      <c r="O19" s="47">
        <f t="shared" ca="1" si="0"/>
        <v>1</v>
      </c>
      <c r="P19" s="51">
        <f>VLOOKUP(C19,Purchased!A:D,3,FALSE)</f>
        <v>0</v>
      </c>
      <c r="Q19" s="52">
        <f t="shared" si="1"/>
        <v>0</v>
      </c>
    </row>
    <row r="20" spans="1:17" s="2" customFormat="1" ht="12" customHeight="1" x14ac:dyDescent="0.25">
      <c r="A20" s="25"/>
      <c r="B20" s="26"/>
      <c r="C20" s="26"/>
      <c r="D20" s="332"/>
      <c r="E20" s="333"/>
      <c r="F20" s="26"/>
      <c r="G20" s="26"/>
      <c r="H20" s="322"/>
      <c r="I20" s="323"/>
      <c r="J20" s="27"/>
      <c r="K20" s="27"/>
      <c r="L20" s="27"/>
      <c r="M20" s="28"/>
      <c r="N20" s="29"/>
      <c r="O20" s="29"/>
      <c r="P20" s="148"/>
      <c r="Q20" s="149"/>
    </row>
    <row r="21" spans="1:17" s="2" customFormat="1" ht="12" customHeight="1" x14ac:dyDescent="0.25">
      <c r="A21" s="4">
        <v>501</v>
      </c>
      <c r="B21" s="2">
        <v>4</v>
      </c>
      <c r="C21" s="122" t="s">
        <v>275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ref="O21:O26" ca="1" si="2">B21*$L$2</f>
        <v>4</v>
      </c>
      <c r="P21" s="51">
        <f>VLOOKUP(C21,Bolts!A:B,2,FALSE)</f>
        <v>0</v>
      </c>
      <c r="Q21" s="52">
        <f t="shared" ref="Q21:Q26" si="3">B21*P21</f>
        <v>0</v>
      </c>
    </row>
    <row r="22" spans="1:17" s="2" customFormat="1" ht="12" customHeight="1" x14ac:dyDescent="0.25">
      <c r="A22" s="4">
        <v>502</v>
      </c>
      <c r="B22" s="2">
        <v>8</v>
      </c>
      <c r="C22" s="122" t="s">
        <v>349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2"/>
        <v>8</v>
      </c>
      <c r="P22" s="51">
        <f>VLOOKUP(C22,Bolts!A:B,2,FALSE)</f>
        <v>0</v>
      </c>
      <c r="Q22" s="52">
        <f t="shared" si="3"/>
        <v>0</v>
      </c>
    </row>
    <row r="23" spans="1:17" s="2" customFormat="1" ht="12" customHeight="1" x14ac:dyDescent="0.25">
      <c r="A23" s="4">
        <v>503</v>
      </c>
      <c r="B23" s="2">
        <v>12</v>
      </c>
      <c r="C23" s="122" t="s">
        <v>506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2"/>
        <v>12</v>
      </c>
      <c r="P23" s="51">
        <f>VLOOKUP(C23,Bolts!A:B,2,FALSE)</f>
        <v>0</v>
      </c>
      <c r="Q23" s="52">
        <f t="shared" si="3"/>
        <v>0</v>
      </c>
    </row>
    <row r="24" spans="1:17" s="2" customFormat="1" ht="12" customHeight="1" x14ac:dyDescent="0.25">
      <c r="A24" s="4">
        <v>504</v>
      </c>
      <c r="B24" s="2">
        <v>16</v>
      </c>
      <c r="C24" s="122" t="s">
        <v>389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2"/>
        <v>16</v>
      </c>
      <c r="P24" s="51">
        <f>VLOOKUP(C24,Bolts!A:B,2,FALSE)</f>
        <v>0</v>
      </c>
      <c r="Q24" s="52">
        <f t="shared" si="3"/>
        <v>0</v>
      </c>
    </row>
    <row r="25" spans="1:17" s="2" customFormat="1" ht="12" customHeight="1" x14ac:dyDescent="0.25">
      <c r="A25" s="4">
        <v>505</v>
      </c>
      <c r="B25" s="2">
        <v>16</v>
      </c>
      <c r="C25" s="122" t="s">
        <v>660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2"/>
        <v>16</v>
      </c>
      <c r="P25" s="51">
        <f>VLOOKUP(C25,Bolts!A:B,2,FALSE)</f>
        <v>0</v>
      </c>
      <c r="Q25" s="52">
        <f t="shared" si="3"/>
        <v>0</v>
      </c>
    </row>
    <row r="26" spans="1:17" s="2" customFormat="1" ht="12" customHeight="1" thickBot="1" x14ac:dyDescent="0.3">
      <c r="A26" s="4">
        <v>506</v>
      </c>
      <c r="B26" s="2">
        <v>16</v>
      </c>
      <c r="C26" s="122" t="s">
        <v>203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2"/>
        <v>16</v>
      </c>
      <c r="P26" s="51">
        <f>VLOOKUP(C26,Bolts!A:B,2,FALSE)</f>
        <v>0</v>
      </c>
      <c r="Q26" s="52">
        <f t="shared" si="3"/>
        <v>0</v>
      </c>
    </row>
    <row r="27" spans="1:17" s="2" customFormat="1" ht="12" customHeight="1" thickBot="1" x14ac:dyDescent="0.3">
      <c r="A27" s="34"/>
      <c r="B27" s="35"/>
      <c r="C27" s="35"/>
      <c r="D27" s="316"/>
      <c r="E27" s="317"/>
      <c r="F27" s="35"/>
      <c r="G27" s="35"/>
      <c r="H27" s="309"/>
      <c r="I27" s="310"/>
      <c r="J27" s="36"/>
      <c r="K27" s="36"/>
      <c r="L27" s="36"/>
      <c r="M27" s="37"/>
      <c r="N27" s="132"/>
      <c r="O27" s="38"/>
      <c r="P27" s="99" t="s">
        <v>43</v>
      </c>
      <c r="Q27" s="104">
        <f>SUM(Q5:Q26)</f>
        <v>3093.4631999999997</v>
      </c>
    </row>
  </sheetData>
  <sheetProtection selectLockedCells="1"/>
  <mergeCells count="43">
    <mergeCell ref="D8:E8"/>
    <mergeCell ref="H8:I8"/>
    <mergeCell ref="D9:E9"/>
    <mergeCell ref="H9:I9"/>
    <mergeCell ref="D6:E6"/>
    <mergeCell ref="H6:I6"/>
    <mergeCell ref="D7:E7"/>
    <mergeCell ref="H7:I7"/>
    <mergeCell ref="D1:E1"/>
    <mergeCell ref="D4:E4"/>
    <mergeCell ref="H4:I4"/>
    <mergeCell ref="D5:E5"/>
    <mergeCell ref="H5:I5"/>
    <mergeCell ref="D11:E11"/>
    <mergeCell ref="H11:I11"/>
    <mergeCell ref="D10:E10"/>
    <mergeCell ref="H10:I10"/>
    <mergeCell ref="D12:E12"/>
    <mergeCell ref="H12:I12"/>
    <mergeCell ref="D19:E19"/>
    <mergeCell ref="H19:I19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27:E27"/>
    <mergeCell ref="H27:I27"/>
    <mergeCell ref="D20:E20"/>
    <mergeCell ref="H20:I20"/>
    <mergeCell ref="D21:E21"/>
    <mergeCell ref="D22:E22"/>
    <mergeCell ref="D23:E23"/>
    <mergeCell ref="D24:E24"/>
    <mergeCell ref="D25:E25"/>
    <mergeCell ref="D26:E26"/>
  </mergeCells>
  <conditionalFormatting sqref="M6 M10 M20:M26">
    <cfRule type="cellIs" dxfId="1400" priority="21" stopIfTrue="1" operator="lessThanOrEqual">
      <formula>$L6</formula>
    </cfRule>
    <cfRule type="cellIs" dxfId="1399" priority="22" operator="greaterThan">
      <formula>L6</formula>
    </cfRule>
  </conditionalFormatting>
  <conditionalFormatting sqref="M11">
    <cfRule type="cellIs" dxfId="1398" priority="17" stopIfTrue="1" operator="lessThanOrEqual">
      <formula>$L11</formula>
    </cfRule>
    <cfRule type="cellIs" dxfId="1397" priority="18" operator="greaterThan">
      <formula>L11</formula>
    </cfRule>
  </conditionalFormatting>
  <conditionalFormatting sqref="M12">
    <cfRule type="cellIs" dxfId="1396" priority="15" stopIfTrue="1" operator="lessThanOrEqual">
      <formula>$L12</formula>
    </cfRule>
    <cfRule type="cellIs" dxfId="1395" priority="16" operator="greaterThan">
      <formula>L12</formula>
    </cfRule>
  </conditionalFormatting>
  <conditionalFormatting sqref="M13:M19">
    <cfRule type="cellIs" dxfId="1394" priority="1" stopIfTrue="1" operator="lessThanOrEqual">
      <formula>$L13</formula>
    </cfRule>
    <cfRule type="cellIs" dxfId="1393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4612C1-304F-4B1D-9F9D-DDFB291441C4}">
          <x14:formula1>
            <xm:f>Bolts!$A:$A</xm:f>
          </x14:formula1>
          <xm:sqref>C20:C26</xm:sqref>
        </x14:dataValidation>
        <x14:dataValidation type="list" allowBlank="1" showInputMessage="1" showErrorMessage="1" xr:uid="{418F0953-FC97-4B26-9FE2-D0097B06FAD2}">
          <x14:formula1>
            <xm:f>Assemblies!$E:$E</xm:f>
          </x14:formula1>
          <xm:sqref>C5</xm:sqref>
        </x14:dataValidation>
        <x14:dataValidation type="list" allowBlank="1" showInputMessage="1" showErrorMessage="1" xr:uid="{30F0448F-035D-4DE7-91AB-3405CA2D07B0}">
          <x14:formula1>
            <xm:f>Machined!$C:$C</xm:f>
          </x14:formula1>
          <xm:sqref>C6:C9</xm:sqref>
        </x14:dataValidation>
        <x14:dataValidation type="list" allowBlank="1" showInputMessage="1" showErrorMessage="1" xr:uid="{B444BDC6-FCC9-4B63-AF93-00ECBAEFF849}">
          <x14:formula1>
            <xm:f>Purchased!$A:$A</xm:f>
          </x14:formula1>
          <xm:sqref>C10:C19</xm:sqref>
        </x14:dataValidation>
      </x14:dataValidations>
    </ext>
  </extLst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5F47D-2DFB-4C0B-80FA-47CFAA74DF31}">
  <sheetPr codeName="Sheet117">
    <tabColor theme="6" tint="0.59999389629810485"/>
  </sheetPr>
  <dimension ref="A1:Q30"/>
  <sheetViews>
    <sheetView zoomScale="115" zoomScaleNormal="115" workbookViewId="0">
      <selection activeCell="E34" sqref="E3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'4.5'!C5</f>
        <v>PG10.4.5.1.0.A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'4.5'!D5</f>
        <v>Slider Insertion Geared Handwheel Assy</v>
      </c>
      <c r="D3" s="85" t="s">
        <v>50</v>
      </c>
      <c r="E3" s="86" t="str">
        <f ca="1">MID(CELL("filename",A1),FIND("]",CELL("filename",A1))+1,256)</f>
        <v>4.5.1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661</v>
      </c>
      <c r="D5" s="314" t="str">
        <f>VLOOKUP(C5,Machined!C:X,2,0)</f>
        <v>Slider Insertion Bearing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45503</v>
      </c>
      <c r="K5" s="44">
        <f>IF(VLOOKUP($C5,Machined!C:Z,19,0) = 0, " ", VLOOKUP($C5,Machined!C:Z,19,0))</f>
        <v>45509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55656</v>
      </c>
      <c r="O5" s="45">
        <f ca="1">B5*$L$2</f>
        <v>2</v>
      </c>
      <c r="P5" s="49">
        <f>VLOOKUP(C5,Machined!C:F,3,0)</f>
        <v>84</v>
      </c>
      <c r="Q5" s="50">
        <f>B5*P5</f>
        <v>168</v>
      </c>
    </row>
    <row r="6" spans="1:17" s="2" customFormat="1" ht="12.75" customHeight="1" x14ac:dyDescent="0.25">
      <c r="A6" s="77">
        <v>2</v>
      </c>
      <c r="B6" s="20">
        <v>1</v>
      </c>
      <c r="C6" s="121" t="s">
        <v>662</v>
      </c>
      <c r="D6" s="314" t="str">
        <f>VLOOKUP(C6,Machined!C:X,2,0)</f>
        <v>Slider Inserter Adjustment Shaft</v>
      </c>
      <c r="E6" s="329"/>
      <c r="F6" s="107" t="str">
        <f>VLOOKUP($C6,Machined!C:Z,13,0)</f>
        <v>303 TG&amp;P, Round Stock, -0.0005</v>
      </c>
      <c r="G6" s="44" t="str">
        <f>IF(VLOOKUP($C6,Machined!C:Z,16,0) = 0, " ", VLOOKUP($C6,Machined!C:Z,16,0))</f>
        <v xml:space="preserve">Nuline </v>
      </c>
      <c r="H6" s="320" t="str">
        <f>IF(VLOOKUP($C6,Machined!C:Z,17,0) = 0, " ", VLOOKUP($C6,Machined!C:Z,17,0))</f>
        <v>Material P.O. 55555</v>
      </c>
      <c r="I6" s="321" t="str">
        <f>IF(VLOOKUP($C6,Machined!$C:$Y,13,0) = 0, " ", VLOOKUP($C6,Machined!$C:$Y,13,0))</f>
        <v>303 TG&amp;P, Round Stock, -0.0005</v>
      </c>
      <c r="J6" s="44">
        <f>IF(VLOOKUP($C6,Machined!C:Z,18,0) = 0, " ", VLOOKUP($C6,Machined!C:Z,18,0))</f>
        <v>45504</v>
      </c>
      <c r="K6" s="44" t="str">
        <f>IF(VLOOKUP($C6,Machined!C:Z,19,0) = 0, " ", VLOOKUP($C6,Machined!C:Z,19,0))</f>
        <v xml:space="preserve"> </v>
      </c>
      <c r="L6" s="44" t="str">
        <f>IF(VLOOKUP($C6,Machined!C:Z,20,0) = 0, " ", VLOOKUP($C6,Machined!C:Z,20,0))</f>
        <v xml:space="preserve"> </v>
      </c>
      <c r="M6" s="44" t="str">
        <f>IF(VLOOKUP($C6,Machined!C:Z,21,0) = 0, " ", VLOOKUP($C6,Machined!C:Z,21,0))</f>
        <v xml:space="preserve"> </v>
      </c>
      <c r="N6" s="129" t="str">
        <f>IF(VLOOKUP($C6,Machined!C:Z,22,0) = 0, " ", VLOOKUP($C6,Machined!C:Z,22,0))</f>
        <v xml:space="preserve"> </v>
      </c>
      <c r="O6" s="45">
        <f t="shared" ref="O6:O7" ca="1" si="0">B6*$L$2</f>
        <v>1</v>
      </c>
      <c r="P6" s="49">
        <f>VLOOKUP(C6,Machined!C:F,3,0)</f>
        <v>0</v>
      </c>
      <c r="Q6" s="50">
        <f t="shared" ref="Q6:Q7" si="1">B6*P6</f>
        <v>0</v>
      </c>
    </row>
    <row r="7" spans="1:17" s="2" customFormat="1" ht="12.75" customHeight="1" x14ac:dyDescent="0.25">
      <c r="A7" s="77">
        <v>3</v>
      </c>
      <c r="B7" s="20">
        <v>1</v>
      </c>
      <c r="C7" s="121" t="s">
        <v>643</v>
      </c>
      <c r="D7" s="314" t="str">
        <f>VLOOKUP(C7,Machined!C:X,2,0)</f>
        <v>Main Frame 3 Adjustment Shaft -Short</v>
      </c>
      <c r="E7" s="329"/>
      <c r="F7" s="107" t="str">
        <f>VLOOKUP($C7,Machined!C:Z,13,0)</f>
        <v>303 TG&amp;P, Round Stock, -0.0005</v>
      </c>
      <c r="G7" s="44" t="str">
        <f>IF(VLOOKUP($C7,Machined!C:Z,16,0) = 0, " ", VLOOKUP($C7,Machined!C:Z,16,0))</f>
        <v>Craig Miller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303 TG&amp;P, Round Stock, -0.0005</v>
      </c>
      <c r="J7" s="44">
        <f>IF(VLOOKUP($C7,Machined!C:Z,18,0) = 0, " ", VLOOKUP($C7,Machined!C:Z,18,0))</f>
        <v>45503</v>
      </c>
      <c r="K7" s="44">
        <f>IF(VLOOKUP($C7,Machined!C:Z,19,0) = 0, " ", VLOOKUP($C7,Machined!C:Z,19,0))</f>
        <v>45509</v>
      </c>
      <c r="L7" s="44">
        <f>IF(VLOOKUP($C7,Machined!C:Z,20,0) = 0, " ", VLOOKUP($C7,Machined!C:Z,20,0))</f>
        <v>45540</v>
      </c>
      <c r="M7" s="44">
        <f>IF(VLOOKUP($C7,Machined!C:Z,21,0) = 0, " ", VLOOKUP($C7,Machined!C:Z,21,0))</f>
        <v>45540</v>
      </c>
      <c r="N7" s="129">
        <f>IF(VLOOKUP($C7,Machined!C:Z,22,0) = 0, " ", VLOOKUP($C7,Machined!C:Z,22,0))</f>
        <v>55656</v>
      </c>
      <c r="O7" s="45">
        <f t="shared" ca="1" si="0"/>
        <v>1</v>
      </c>
      <c r="P7" s="49">
        <f>VLOOKUP(C7,Machined!C:F,3,0)</f>
        <v>37.5</v>
      </c>
      <c r="Q7" s="50">
        <f t="shared" si="1"/>
        <v>37.5</v>
      </c>
    </row>
    <row r="8" spans="1:17" s="2" customFormat="1" ht="12.75" customHeight="1" x14ac:dyDescent="0.25">
      <c r="A8" s="77">
        <v>4</v>
      </c>
      <c r="B8" s="20">
        <v>1</v>
      </c>
      <c r="C8" s="121" t="s">
        <v>663</v>
      </c>
      <c r="D8" s="314" t="str">
        <f>VLOOKUP(C8,Machined!C:X,2,0)</f>
        <v>Geared Handwheel Plate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Frontier Mach, Xometry</v>
      </c>
      <c r="H8" s="320" t="str">
        <f>IF(VLOOKUP($C8,Machined!C:Z,17,0) = 0, " ", VLOOKUP($C8,Machined!C:Z,17,0))</f>
        <v>1 more on PO 55762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45489</v>
      </c>
      <c r="K8" s="44">
        <f>IF(VLOOKUP($C8,Machined!C:Z,19,0) = 0, " ", VLOOKUP($C8,Machined!C:Z,19,0))</f>
        <v>45490</v>
      </c>
      <c r="L8" s="44">
        <f>IF(VLOOKUP($C8,Machined!C:Z,20,0) = 0, " ", VLOOKUP($C8,Machined!C:Z,20,0))</f>
        <v>45512</v>
      </c>
      <c r="M8" s="44">
        <f>IF(VLOOKUP($C8,Machined!C:Z,21,0) = 0, " ", VLOOKUP($C8,Machined!C:Z,21,0))</f>
        <v>45512</v>
      </c>
      <c r="N8" s="129">
        <f>IF(VLOOKUP($C8,Machined!C:Z,22,0) = 0, " ", VLOOKUP($C8,Machined!C:Z,22,0))</f>
        <v>55607</v>
      </c>
      <c r="O8" s="45">
        <f ca="1">B8*$L$2</f>
        <v>1</v>
      </c>
      <c r="P8" s="49">
        <f>VLOOKUP(C8,Machined!C:F,3,0)</f>
        <v>107.1</v>
      </c>
      <c r="Q8" s="50">
        <f>B8*P8</f>
        <v>107.1</v>
      </c>
    </row>
    <row r="9" spans="1:17" s="2" customFormat="1" ht="12.75" customHeight="1" x14ac:dyDescent="0.25">
      <c r="A9" s="77">
        <v>5</v>
      </c>
      <c r="B9" s="20">
        <v>1</v>
      </c>
      <c r="C9" s="121" t="s">
        <v>664</v>
      </c>
      <c r="D9" s="314" t="str">
        <f>VLOOKUP(C9,Machined!C:X,2,0)</f>
        <v>MODIFIED MCM 7758K31 Pushbutton Enclosure</v>
      </c>
      <c r="E9" s="329"/>
      <c r="F9" s="107" t="str">
        <f>VLOOKUP($C9,Machined!C:Z,13,0)</f>
        <v>PURCHASED PART</v>
      </c>
      <c r="G9" s="44" t="str">
        <f>IF(VLOOKUP($C9,Machined!C:Z,16,0) = 0, " ", VLOOKUP($C9,Machined!C:Z,16,0))</f>
        <v xml:space="preserve">Nuline 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PURCHASED PART</v>
      </c>
      <c r="J9" s="44">
        <f>IF(VLOOKUP($C9,Machined!C:Z,18,0) = 0, " ", VLOOKUP($C9,Machined!C:Z,18,0))</f>
        <v>45497</v>
      </c>
      <c r="K9" s="44">
        <f>IF(VLOOKUP($C9,Machined!C:Z,19,0) = 0, " ", VLOOKUP($C9,Machined!C:Z,19,0))</f>
        <v>45497</v>
      </c>
      <c r="L9" s="44">
        <f>IF(VLOOKUP($C9,Machined!C:Z,20,0) = 0, " ", VLOOKUP($C9,Machined!C:Z,20,0))</f>
        <v>45499</v>
      </c>
      <c r="M9" s="44">
        <f>IF(VLOOKUP($C9,Machined!C:Z,21,0) = 0, " ", VLOOKUP($C9,Machined!C:Z,21,0))</f>
        <v>45499</v>
      </c>
      <c r="N9" s="129">
        <f>IF(VLOOKUP($C9,Machined!C:Z,22,0) = 0, " ", VLOOKUP($C9,Machined!C:Z,22,0))</f>
        <v>55640</v>
      </c>
      <c r="O9" s="45">
        <f t="shared" ref="O9" ca="1" si="2">B9*$L$2</f>
        <v>1</v>
      </c>
      <c r="P9" s="49">
        <f>VLOOKUP(C9,Machined!C:F,3,0)</f>
        <v>36.28</v>
      </c>
      <c r="Q9" s="50">
        <f t="shared" ref="Q9" si="3">B9*P9</f>
        <v>36.28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1</v>
      </c>
      <c r="C11" s="135" t="s">
        <v>649</v>
      </c>
      <c r="D11" s="325" t="str">
        <f>VLOOKUP(C11,Purchased!A:B,2,0)</f>
        <v>Two-Piece Shaft Coupling, 6061 Aluminum, for 20 mm x 20 mm Diameter Shaft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>2 Additional Quantity Added to 55697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ref="O11:O24" ca="1" si="4">B11*$L$2</f>
        <v>1</v>
      </c>
      <c r="P11" s="51">
        <f>VLOOKUP(C11,Purchased!A:D,3,FALSE)</f>
        <v>17.79</v>
      </c>
      <c r="Q11" s="52">
        <f t="shared" ref="Q11:Q24" si="5">B11*P11</f>
        <v>17.79</v>
      </c>
    </row>
    <row r="12" spans="1:17" s="2" customFormat="1" ht="12" customHeight="1" x14ac:dyDescent="0.25">
      <c r="A12" s="4">
        <v>302</v>
      </c>
      <c r="B12" s="2">
        <v>2</v>
      </c>
      <c r="C12" s="135" t="s">
        <v>610</v>
      </c>
      <c r="D12" s="325" t="str">
        <f>VLOOKUP(C12,Purchased!A:B,2,0)</f>
        <v>Passivated Carbon Steel Set Screw Shaft Collar</v>
      </c>
      <c r="E12" s="326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>2 Additional Quantity Added to 55697</v>
      </c>
      <c r="I12" s="328"/>
      <c r="J12" s="46">
        <f>IF(VLOOKUP($C12,Purchased!A:Z,14,0)=0, " ", VLOOKUP($C12,Purchased!A:Z,14,0))</f>
        <v>45481</v>
      </c>
      <c r="K12" s="46">
        <f>IF(VLOOKUP(C12,Purchased!A:R,14,0)=0, " ", VLOOKUP(C12,Purchased!A:R,14,0))</f>
        <v>45481</v>
      </c>
      <c r="L12" s="46">
        <f>IF(VLOOKUP(C12,Purchased!A:R,15,0)=0, " ", VLOOKUP(C12,Purchased!A:R,15,0))</f>
        <v>45481</v>
      </c>
      <c r="M12" s="46">
        <f>IF(VLOOKUP(C12,Purchased!A:R,16,0)=0, " ",VLOOKUP(C12,Purchased!A:R,16,0))</f>
        <v>45482</v>
      </c>
      <c r="N12" s="130">
        <f>IF(VLOOKUP(C12,Purchased!A:R,17,0)=0, " ", VLOOKUP(C12,Purchased!A:R,17,0))</f>
        <v>45482</v>
      </c>
      <c r="O12" s="47">
        <f t="shared" ca="1" si="4"/>
        <v>2</v>
      </c>
      <c r="P12" s="51">
        <f>VLOOKUP(C12,Purchased!A:D,3,FALSE)</f>
        <v>4.97</v>
      </c>
      <c r="Q12" s="52">
        <f t="shared" si="5"/>
        <v>9.94</v>
      </c>
    </row>
    <row r="13" spans="1:17" s="2" customFormat="1" ht="12" customHeight="1" x14ac:dyDescent="0.25">
      <c r="A13" s="4">
        <v>303</v>
      </c>
      <c r="B13" s="2">
        <v>1</v>
      </c>
      <c r="C13" s="135" t="s">
        <v>504</v>
      </c>
      <c r="D13" s="325" t="str">
        <f>VLOOKUP(C13,Purchased!A:B,2,0)</f>
        <v>20mm ID 32mm OD 7mm Thick Ball Bearing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>11 Additional Quantity Added to 55697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4"/>
        <v>1</v>
      </c>
      <c r="P13" s="51">
        <f>VLOOKUP(C13,Purchased!A:D,3,FALSE)</f>
        <v>16.88</v>
      </c>
      <c r="Q13" s="52">
        <f t="shared" si="5"/>
        <v>16.88</v>
      </c>
    </row>
    <row r="14" spans="1:17" s="2" customFormat="1" ht="12" customHeight="1" x14ac:dyDescent="0.25">
      <c r="A14" s="4">
        <v>304</v>
      </c>
      <c r="B14" s="2">
        <v>2</v>
      </c>
      <c r="C14" s="135" t="s">
        <v>665</v>
      </c>
      <c r="D14" s="325" t="str">
        <f>VLOOKUP(C14,Purchased!A:B,2,0)</f>
        <v>Misumi Bearing Spacer 20mm ID 23mm OD 5mm L</v>
      </c>
      <c r="E14" s="326"/>
      <c r="F14" s="108" t="str">
        <f>IF(VLOOKUP($C14,Purchased!A:Z,11,0) = 0, " ", VLOOKUP($C14,Purchased!A:Z,11,0))</f>
        <v>MISUMI</v>
      </c>
      <c r="G14" s="108" t="str">
        <f>IF(VLOOKUP($C14,Purchased!A:Z,12,0)=0, " ", VLOOKUP($C14,Purchased!A:Z,12,0))</f>
        <v>MISUMI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45524</v>
      </c>
      <c r="M14" s="46">
        <f>IF(VLOOKUP(C14,Purchased!A:R,16,0)=0, " ",VLOOKUP(C14,Purchased!A:R,16,0))</f>
        <v>45540</v>
      </c>
      <c r="N14" s="130">
        <f>IF(VLOOKUP(C14,Purchased!A:R,17,0)=0, " ", VLOOKUP(C14,Purchased!A:R,17,0))</f>
        <v>45527</v>
      </c>
      <c r="O14" s="47">
        <f t="shared" ca="1" si="4"/>
        <v>2</v>
      </c>
      <c r="P14" s="51">
        <f>VLOOKUP(C14,Purchased!A:D,3,FALSE)</f>
        <v>23.02</v>
      </c>
      <c r="Q14" s="52">
        <f t="shared" si="5"/>
        <v>46.04</v>
      </c>
    </row>
    <row r="15" spans="1:17" s="2" customFormat="1" ht="12" customHeight="1" x14ac:dyDescent="0.25">
      <c r="A15" s="4">
        <v>305</v>
      </c>
      <c r="B15" s="2">
        <v>2</v>
      </c>
      <c r="C15" s="135" t="s">
        <v>648</v>
      </c>
      <c r="D15" s="325" t="str">
        <f>VLOOKUP(C15,Purchased!A:B,2,0)</f>
        <v>SPUR GEAR, ELECTROLESS NICKEL PLATED STEEL</v>
      </c>
      <c r="E15" s="326"/>
      <c r="F15" s="108" t="str">
        <f>IF(VLOOKUP($C15,Purchased!A:Z,11,0) = 0, " ", VLOOKUP($C15,Purchased!A:Z,11,0))</f>
        <v>MISUMI</v>
      </c>
      <c r="G15" s="108" t="str">
        <f>IF(VLOOKUP($C15,Purchased!A:Z,12,0)=0, " ", VLOOKUP($C15,Purchased!A:Z,12,0))</f>
        <v>MISUMI</v>
      </c>
      <c r="H15" s="327" t="str">
        <f>IF(VLOOKUP($C15,Purchased!A:Z,13,0)=0, " ", VLOOKUP($C15,Purchased!A:Z,13,0))</f>
        <v>4 more on PO 55693</v>
      </c>
      <c r="I15" s="328"/>
      <c r="J15" s="46">
        <f>IF(VLOOKUP($C15,Purchased!A:Z,14,0)=0, " ", VLOOKUP($C15,Purchased!A:Z,14,0))</f>
        <v>45483</v>
      </c>
      <c r="K15" s="46">
        <f>IF(VLOOKUP(C15,Purchased!A:R,14,0)=0, " ", VLOOKUP(C15,Purchased!A:R,14,0))</f>
        <v>45483</v>
      </c>
      <c r="L15" s="46">
        <f>IF(VLOOKUP(C15,Purchased!A:R,15,0)=0, " ", VLOOKUP(C15,Purchased!A:R,15,0))</f>
        <v>45483</v>
      </c>
      <c r="M15" s="46">
        <f>IF(VLOOKUP(C15,Purchased!A:R,16,0)=0, " ",VLOOKUP(C15,Purchased!A:R,16,0))</f>
        <v>45512</v>
      </c>
      <c r="N15" s="130">
        <f>IF(VLOOKUP(C15,Purchased!A:R,17,0)=0, " ", VLOOKUP(C15,Purchased!A:R,17,0))</f>
        <v>45512</v>
      </c>
      <c r="O15" s="47">
        <f t="shared" ca="1" si="4"/>
        <v>2</v>
      </c>
      <c r="P15" s="51">
        <f>VLOOKUP(C15,Purchased!A:D,3,FALSE)</f>
        <v>48.07</v>
      </c>
      <c r="Q15" s="52">
        <f t="shared" si="5"/>
        <v>96.14</v>
      </c>
    </row>
    <row r="16" spans="1:17" s="2" customFormat="1" ht="12" customHeight="1" x14ac:dyDescent="0.25">
      <c r="A16" s="4">
        <v>306</v>
      </c>
      <c r="B16" s="2">
        <v>2</v>
      </c>
      <c r="C16" s="135" t="s">
        <v>666</v>
      </c>
      <c r="D16" s="325" t="str">
        <f>VLOOKUP(C16,Purchased!A:B,2,0)</f>
        <v>Misumi Spacer 182mm L M6 to M6</v>
      </c>
      <c r="E16" s="326"/>
      <c r="F16" s="108" t="str">
        <f>IF(VLOOKUP($C16,Purchased!A:Z,11,0) = 0, " ", VLOOKUP($C16,Purchased!A:Z,11,0))</f>
        <v>MISUMI</v>
      </c>
      <c r="G16" s="108" t="str">
        <f>IF(VLOOKUP($C16,Purchased!A:Z,12,0)=0, " ", VLOOKUP($C16,Purchased!A:Z,12,0))</f>
        <v>MISUMI</v>
      </c>
      <c r="H16" s="327" t="str">
        <f>IF(VLOOKUP($C16,Purchased!A:Z,13,0)=0, " ", VLOOKUP($C16,Purchased!A:Z,13,0))</f>
        <v xml:space="preserve"> 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>
        <f>IF(VLOOKUP(C16,Purchased!A:R,15,0)=0, " ", VLOOKUP(C16,Purchased!A:R,15,0))</f>
        <v>45524</v>
      </c>
      <c r="M16" s="46">
        <f>IF(VLOOKUP(C16,Purchased!A:R,16,0)=0, " ",VLOOKUP(C16,Purchased!A:R,16,0))</f>
        <v>45540</v>
      </c>
      <c r="N16" s="130">
        <f>IF(VLOOKUP(C16,Purchased!A:R,17,0)=0, " ", VLOOKUP(C16,Purchased!A:R,17,0))</f>
        <v>45527</v>
      </c>
      <c r="O16" s="47">
        <f t="shared" ca="1" si="4"/>
        <v>2</v>
      </c>
      <c r="P16" s="51">
        <f>VLOOKUP(C16,Purchased!A:D,3,FALSE)</f>
        <v>39.4</v>
      </c>
      <c r="Q16" s="52">
        <f t="shared" si="5"/>
        <v>78.8</v>
      </c>
    </row>
    <row r="17" spans="1:17" s="2" customFormat="1" ht="12" customHeight="1" x14ac:dyDescent="0.25">
      <c r="A17" s="4">
        <v>307</v>
      </c>
      <c r="B17" s="2">
        <v>2</v>
      </c>
      <c r="C17" s="135" t="s">
        <v>614</v>
      </c>
      <c r="D17" s="325" t="str">
        <f>VLOOKUP(C17,Purchased!A:B,2,0)</f>
        <v>CAPTURED BEARING, 20MM ID</v>
      </c>
      <c r="E17" s="326"/>
      <c r="F17" s="108" t="str">
        <f>IF(VLOOKUP($C17,Purchased!A:Z,11,0) = 0, " ", VLOOKUP($C17,Purchased!A:Z,11,0))</f>
        <v>MISUMI</v>
      </c>
      <c r="G17" s="108" t="str">
        <f>IF(VLOOKUP($C17,Purchased!A:Z,12,0)=0, " ", VLOOKUP($C17,Purchased!A:Z,12,0))</f>
        <v>MISUMI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45483</v>
      </c>
      <c r="K17" s="46">
        <f>IF(VLOOKUP(C17,Purchased!A:R,14,0)=0, " ", VLOOKUP(C17,Purchased!A:R,14,0))</f>
        <v>45483</v>
      </c>
      <c r="L17" s="46">
        <f>IF(VLOOKUP(C17,Purchased!A:R,15,0)=0, " ", VLOOKUP(C17,Purchased!A:R,15,0))</f>
        <v>45483</v>
      </c>
      <c r="M17" s="46">
        <f>IF(VLOOKUP(C17,Purchased!A:R,16,0)=0, " ",VLOOKUP(C17,Purchased!A:R,16,0))</f>
        <v>45512</v>
      </c>
      <c r="N17" s="130">
        <f>IF(VLOOKUP(C17,Purchased!A:R,17,0)=0, " ", VLOOKUP(C17,Purchased!A:R,17,0))</f>
        <v>45512</v>
      </c>
      <c r="O17" s="47">
        <f t="shared" ca="1" si="4"/>
        <v>2</v>
      </c>
      <c r="P17" s="51">
        <f>VLOOKUP(C17,Purchased!A:D,3,FALSE)</f>
        <v>57.16</v>
      </c>
      <c r="Q17" s="52">
        <f t="shared" si="5"/>
        <v>114.32</v>
      </c>
    </row>
    <row r="18" spans="1:17" s="2" customFormat="1" ht="12" customHeight="1" x14ac:dyDescent="0.25">
      <c r="A18" s="4">
        <v>308</v>
      </c>
      <c r="B18" s="2">
        <v>1</v>
      </c>
      <c r="C18" s="135" t="s">
        <v>501</v>
      </c>
      <c r="D18" s="325" t="str">
        <f>VLOOKUP(C18,Purchased!A:B,2,0)</f>
        <v>Digital Position Indicator DD51-E-SST-IP65-C2</v>
      </c>
      <c r="E18" s="326"/>
      <c r="F18" s="108" t="str">
        <f>IF(VLOOKUP($C18,Purchased!A:Z,11,0) = 0, " ", VLOOKUP($C18,Purchased!A:Z,11,0))</f>
        <v>ELESA</v>
      </c>
      <c r="G18" s="108" t="str">
        <f>IF(VLOOKUP($C18,Purchased!A:Z,12,0)=0, " ", VLOOKUP($C18,Purchased!A:Z,12,0))</f>
        <v>ELESA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45506</v>
      </c>
      <c r="K18" s="46">
        <f>IF(VLOOKUP(C18,Purchased!A:R,14,0)=0, " ", VLOOKUP(C18,Purchased!A:R,14,0))</f>
        <v>45506</v>
      </c>
      <c r="L18" s="46">
        <f>IF(VLOOKUP(C18,Purchased!A:R,15,0)=0, " ", VLOOKUP(C18,Purchased!A:R,15,0))</f>
        <v>45526</v>
      </c>
      <c r="M18" s="46">
        <f>IF(VLOOKUP(C18,Purchased!A:R,16,0)=0, " ",VLOOKUP(C18,Purchased!A:R,16,0))</f>
        <v>45551</v>
      </c>
      <c r="N18" s="130">
        <f>IF(VLOOKUP(C18,Purchased!A:R,17,0)=0, " ", VLOOKUP(C18,Purchased!A:R,17,0))</f>
        <v>45551</v>
      </c>
      <c r="O18" s="47">
        <f t="shared" ca="1" si="4"/>
        <v>1</v>
      </c>
      <c r="P18" s="51">
        <f>VLOOKUP(C18,Purchased!A:D,3,FALSE)</f>
        <v>258</v>
      </c>
      <c r="Q18" s="52">
        <f t="shared" si="5"/>
        <v>258</v>
      </c>
    </row>
    <row r="19" spans="1:17" s="2" customFormat="1" ht="12" customHeight="1" x14ac:dyDescent="0.25">
      <c r="A19" s="4">
        <v>309</v>
      </c>
      <c r="B19" s="2">
        <v>1</v>
      </c>
      <c r="C19" s="135" t="s">
        <v>500</v>
      </c>
      <c r="D19" s="325" t="str">
        <f>VLOOKUP(C19,Purchased!A:B,2,0)</f>
        <v>Aluminum Handwheel GN 322.3-160-B14-R</v>
      </c>
      <c r="E19" s="326"/>
      <c r="F19" s="108" t="str">
        <f>IF(VLOOKUP($C19,Purchased!A:Z,11,0) = 0, " ", VLOOKUP($C19,Purchased!A:Z,11,0))</f>
        <v>ELESA</v>
      </c>
      <c r="G19" s="108" t="str">
        <f>IF(VLOOKUP($C19,Purchased!A:Z,12,0)=0, " ", VLOOKUP($C19,Purchased!A:Z,12,0))</f>
        <v>ELESA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45506</v>
      </c>
      <c r="K19" s="46">
        <f>IF(VLOOKUP(C19,Purchased!A:R,14,0)=0, " ", VLOOKUP(C19,Purchased!A:R,14,0))</f>
        <v>45506</v>
      </c>
      <c r="L19" s="46">
        <f>IF(VLOOKUP(C19,Purchased!A:R,15,0)=0, " ", VLOOKUP(C19,Purchased!A:R,15,0))</f>
        <v>45526</v>
      </c>
      <c r="M19" s="46">
        <f>IF(VLOOKUP(C19,Purchased!A:R,16,0)=0, " ",VLOOKUP(C19,Purchased!A:R,16,0))</f>
        <v>45551</v>
      </c>
      <c r="N19" s="130">
        <f>IF(VLOOKUP(C19,Purchased!A:R,17,0)=0, " ", VLOOKUP(C19,Purchased!A:R,17,0))</f>
        <v>45551</v>
      </c>
      <c r="O19" s="47">
        <f t="shared" ca="1" si="4"/>
        <v>1</v>
      </c>
      <c r="P19" s="51">
        <f>VLOOKUP(C19,Purchased!A:D,3,FALSE)</f>
        <v>87.05</v>
      </c>
      <c r="Q19" s="52">
        <f t="shared" si="5"/>
        <v>87.05</v>
      </c>
    </row>
    <row r="20" spans="1:17" s="2" customFormat="1" ht="12" customHeight="1" x14ac:dyDescent="0.25">
      <c r="A20" s="4">
        <v>310</v>
      </c>
      <c r="B20" s="2">
        <v>1</v>
      </c>
      <c r="C20" s="135" t="s">
        <v>667</v>
      </c>
      <c r="D20" s="325" t="str">
        <f>VLOOKUP(C20,Purchased!A:B,2,0)</f>
        <v>Pushbutton, Green</v>
      </c>
      <c r="E20" s="326"/>
      <c r="F20" s="108" t="str">
        <f>IF(VLOOKUP($C20,Purchased!A:Z,11,0) = 0, " ", VLOOKUP($C20,Purchased!A:Z,11,0))</f>
        <v>NITRA</v>
      </c>
      <c r="G20" s="108" t="str">
        <f>IF(VLOOKUP($C20,Purchased!A:Z,12,0)=0, " ", VLOOKUP($C20,Purchased!A:Z,12,0))</f>
        <v>AUTO DIRECT</v>
      </c>
      <c r="H20" s="327" t="str">
        <f>IF(VLOOKUP($C20,Purchased!A:Z,13,0)=0, " ", VLOOKUP($C20,Purchased!A:Z,13,0))</f>
        <v xml:space="preserve"> </v>
      </c>
      <c r="I20" s="328"/>
      <c r="J20" s="46" t="str">
        <f>IF(VLOOKUP($C20,Purchased!A:Z,14,0)=0, " ", VLOOKUP($C20,Purchased!A:Z,14,0))</f>
        <v>N/A</v>
      </c>
      <c r="K20" s="46" t="str">
        <f>IF(VLOOKUP(C20,Purchased!A:R,14,0)=0, " ", VLOOKUP(C20,Purchased!A:R,14,0))</f>
        <v>N/A</v>
      </c>
      <c r="L20" s="46" t="str">
        <f>IF(VLOOKUP(C20,Purchased!A:R,15,0)=0, " ", VLOOKUP(C20,Purchased!A:R,15,0))</f>
        <v xml:space="preserve"> </v>
      </c>
      <c r="M20" s="46" t="str">
        <f>IF(VLOOKUP(C20,Purchased!A:R,16,0)=0, " ",VLOOKUP(C20,Purchased!A:R,16,0))</f>
        <v xml:space="preserve"> </v>
      </c>
      <c r="N20" s="130" t="str">
        <f>IF(VLOOKUP(C20,Purchased!A:R,17,0)=0, " ", VLOOKUP(C20,Purchased!A:R,17,0))</f>
        <v xml:space="preserve"> </v>
      </c>
      <c r="O20" s="47">
        <f t="shared" ca="1" si="4"/>
        <v>1</v>
      </c>
      <c r="P20" s="51">
        <f>VLOOKUP(C20,Purchased!A:D,3,FALSE)</f>
        <v>2.75</v>
      </c>
      <c r="Q20" s="52">
        <f t="shared" si="5"/>
        <v>2.75</v>
      </c>
    </row>
    <row r="21" spans="1:17" s="2" customFormat="1" ht="12" customHeight="1" x14ac:dyDescent="0.25">
      <c r="A21" s="4">
        <v>311</v>
      </c>
      <c r="B21" s="2">
        <v>1</v>
      </c>
      <c r="C21" s="135" t="s">
        <v>668</v>
      </c>
      <c r="D21" s="325" t="str">
        <f>VLOOKUP(C21,Purchased!A:B,2,0)</f>
        <v>Pneumatic Switch for pushbutton</v>
      </c>
      <c r="E21" s="326"/>
      <c r="F21" s="108" t="str">
        <f>IF(VLOOKUP($C21,Purchased!A:Z,11,0) = 0, " ", VLOOKUP($C21,Purchased!A:Z,11,0))</f>
        <v>NITRA</v>
      </c>
      <c r="G21" s="108" t="str">
        <f>IF(VLOOKUP($C21,Purchased!A:Z,12,0)=0, " ", VLOOKUP($C21,Purchased!A:Z,12,0))</f>
        <v>AUTO DIRECT</v>
      </c>
      <c r="H21" s="327" t="str">
        <f>IF(VLOOKUP($C21,Purchased!A:Z,13,0)=0, " ", VLOOKUP($C21,Purchased!A:Z,13,0))</f>
        <v xml:space="preserve"> </v>
      </c>
      <c r="I21" s="328"/>
      <c r="J21" s="46" t="str">
        <f>IF(VLOOKUP($C21,Purchased!A:Z,14,0)=0, " ", VLOOKUP($C21,Purchased!A:Z,14,0))</f>
        <v>N/A</v>
      </c>
      <c r="K21" s="46" t="str">
        <f>IF(VLOOKUP(C21,Purchased!A:R,14,0)=0, " ", VLOOKUP(C21,Purchased!A:R,14,0))</f>
        <v>N/A</v>
      </c>
      <c r="L21" s="46" t="str">
        <f>IF(VLOOKUP(C21,Purchased!A:R,15,0)=0, " ", VLOOKUP(C21,Purchased!A:R,15,0))</f>
        <v xml:space="preserve"> </v>
      </c>
      <c r="M21" s="46" t="str">
        <f>IF(VLOOKUP(C21,Purchased!A:R,16,0)=0, " ",VLOOKUP(C21,Purchased!A:R,16,0))</f>
        <v xml:space="preserve"> </v>
      </c>
      <c r="N21" s="130" t="str">
        <f>IF(VLOOKUP(C21,Purchased!A:R,17,0)=0, " ", VLOOKUP(C21,Purchased!A:R,17,0))</f>
        <v xml:space="preserve"> </v>
      </c>
      <c r="O21" s="47">
        <f t="shared" ca="1" si="4"/>
        <v>1</v>
      </c>
      <c r="P21" s="51">
        <f>VLOOKUP(C21,Purchased!A:D,3,FALSE)</f>
        <v>19</v>
      </c>
      <c r="Q21" s="52">
        <f t="shared" si="5"/>
        <v>19</v>
      </c>
    </row>
    <row r="22" spans="1:17" s="2" customFormat="1" ht="12" customHeight="1" x14ac:dyDescent="0.25">
      <c r="A22" s="4">
        <v>312</v>
      </c>
      <c r="B22" s="2">
        <v>3</v>
      </c>
      <c r="C22" s="135" t="s">
        <v>655</v>
      </c>
      <c r="D22" s="325" t="str">
        <f>VLOOKUP(C22,Purchased!A:B,2,0)</f>
        <v>SMC unifit , elbow, 4mm to 4mm</v>
      </c>
      <c r="E22" s="326"/>
      <c r="F22" s="108" t="str">
        <f>IF(VLOOKUP($C22,Purchased!A:Z,11,0) = 0, " ", VLOOKUP($C22,Purchased!A:Z,11,0))</f>
        <v>SMC</v>
      </c>
      <c r="G22" s="108" t="str">
        <f>IF(VLOOKUP($C22,Purchased!A:Z,12,0)=0, " ", VLOOKUP($C22,Purchased!A:Z,12,0))</f>
        <v>AAP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45489</v>
      </c>
      <c r="K22" s="46">
        <f>IF(VLOOKUP(C22,Purchased!A:R,14,0)=0, " ", VLOOKUP(C22,Purchased!A:R,14,0))</f>
        <v>45489</v>
      </c>
      <c r="L22" s="46">
        <f>IF(VLOOKUP(C22,Purchased!A:R,15,0)=0, " ", VLOOKUP(C22,Purchased!A:R,15,0))</f>
        <v>45491</v>
      </c>
      <c r="M22" s="46">
        <f>IF(VLOOKUP(C22,Purchased!A:R,16,0)=0, " ",VLOOKUP(C22,Purchased!A:R,16,0))</f>
        <v>45520</v>
      </c>
      <c r="N22" s="130">
        <f>IF(VLOOKUP(C22,Purchased!A:R,17,0)=0, " ", VLOOKUP(C22,Purchased!A:R,17,0))</f>
        <v>45511</v>
      </c>
      <c r="O22" s="47">
        <f t="shared" ca="1" si="4"/>
        <v>3</v>
      </c>
      <c r="P22" s="51">
        <f>VLOOKUP(C22,Purchased!A:D,3,FALSE)</f>
        <v>1.49</v>
      </c>
      <c r="Q22" s="52">
        <f t="shared" si="5"/>
        <v>4.47</v>
      </c>
    </row>
    <row r="23" spans="1:17" s="2" customFormat="1" ht="12" customHeight="1" x14ac:dyDescent="0.25">
      <c r="A23" s="4">
        <v>313</v>
      </c>
      <c r="B23" s="2">
        <v>2</v>
      </c>
      <c r="C23" s="135" t="s">
        <v>657</v>
      </c>
      <c r="D23" s="325" t="str">
        <f>VLOOKUP(C23,Purchased!A:B,2,0)</f>
        <v>KQ2 unifit, elbow, 4mm dia tubing, M5 port</v>
      </c>
      <c r="E23" s="326"/>
      <c r="F23" s="108" t="str">
        <f>IF(VLOOKUP($C23,Purchased!A:Z,11,0) = 0, " ", VLOOKUP($C23,Purchased!A:Z,11,0))</f>
        <v>SMC</v>
      </c>
      <c r="G23" s="108" t="str">
        <f>IF(VLOOKUP($C23,Purchased!A:Z,12,0)=0, " ", VLOOKUP($C23,Purchased!A:Z,12,0))</f>
        <v>AAP</v>
      </c>
      <c r="H23" s="327" t="str">
        <f>IF(VLOOKUP($C23,Purchased!A:Z,13,0)=0, " ", VLOOKUP($C23,Purchased!A:Z,13,0))</f>
        <v>20 more PO 55692</v>
      </c>
      <c r="I23" s="328"/>
      <c r="J23" s="46">
        <f>IF(VLOOKUP($C23,Purchased!A:Z,14,0)=0, " ", VLOOKUP($C23,Purchased!A:Z,14,0))</f>
        <v>45489</v>
      </c>
      <c r="K23" s="46">
        <f>IF(VLOOKUP(C23,Purchased!A:R,14,0)=0, " ", VLOOKUP(C23,Purchased!A:R,14,0))</f>
        <v>45489</v>
      </c>
      <c r="L23" s="46">
        <f>IF(VLOOKUP(C23,Purchased!A:R,15,0)=0, " ", VLOOKUP(C23,Purchased!A:R,15,0))</f>
        <v>45491</v>
      </c>
      <c r="M23" s="46">
        <f>IF(VLOOKUP(C23,Purchased!A:R,16,0)=0, " ",VLOOKUP(C23,Purchased!A:R,16,0))</f>
        <v>45520</v>
      </c>
      <c r="N23" s="130">
        <f>IF(VLOOKUP(C23,Purchased!A:R,17,0)=0, " ", VLOOKUP(C23,Purchased!A:R,17,0))</f>
        <v>45511</v>
      </c>
      <c r="O23" s="47">
        <f t="shared" ca="1" si="4"/>
        <v>2</v>
      </c>
      <c r="P23" s="51">
        <f>VLOOKUP(C23,Purchased!A:D,3,FALSE)</f>
        <v>1.43</v>
      </c>
      <c r="Q23" s="52">
        <f t="shared" si="5"/>
        <v>2.86</v>
      </c>
    </row>
    <row r="24" spans="1:17" s="2" customFormat="1" ht="12" customHeight="1" x14ac:dyDescent="0.25">
      <c r="A24" s="4">
        <v>314</v>
      </c>
      <c r="B24" s="2">
        <v>1</v>
      </c>
      <c r="C24" s="135" t="s">
        <v>656</v>
      </c>
      <c r="D24" s="325" t="str">
        <f>VLOOKUP(C24,Purchased!A:B,2,0)</f>
        <v>Fitting T</v>
      </c>
      <c r="E24" s="326"/>
      <c r="F24" s="108" t="str">
        <f>IF(VLOOKUP($C24,Purchased!A:Z,11,0) = 0, " ", VLOOKUP($C24,Purchased!A:Z,11,0))</f>
        <v>SMC</v>
      </c>
      <c r="G24" s="108" t="str">
        <f>IF(VLOOKUP($C24,Purchased!A:Z,12,0)=0, " ", VLOOKUP($C24,Purchased!A:Z,12,0))</f>
        <v>AAP</v>
      </c>
      <c r="H24" s="327" t="str">
        <f>IF(VLOOKUP($C24,Purchased!A:Z,13,0)=0, " ", VLOOKUP($C24,Purchased!A:Z,13,0))</f>
        <v>check nuline qty first</v>
      </c>
      <c r="I24" s="328"/>
      <c r="J24" s="46">
        <f>IF(VLOOKUP($C24,Purchased!A:Z,14,0)=0, " ", VLOOKUP($C24,Purchased!A:Z,14,0))</f>
        <v>45489</v>
      </c>
      <c r="K24" s="46">
        <f>IF(VLOOKUP(C24,Purchased!A:R,14,0)=0, " ", VLOOKUP(C24,Purchased!A:R,14,0))</f>
        <v>45489</v>
      </c>
      <c r="L24" s="46">
        <f>IF(VLOOKUP(C24,Purchased!A:R,15,0)=0, " ", VLOOKUP(C24,Purchased!A:R,15,0))</f>
        <v>45491</v>
      </c>
      <c r="M24" s="46">
        <f>IF(VLOOKUP(C24,Purchased!A:R,16,0)=0, " ",VLOOKUP(C24,Purchased!A:R,16,0))</f>
        <v>45520</v>
      </c>
      <c r="N24" s="130">
        <f>IF(VLOOKUP(C24,Purchased!A:R,17,0)=0, " ", VLOOKUP(C24,Purchased!A:R,17,0))</f>
        <v>45511</v>
      </c>
      <c r="O24" s="47">
        <f t="shared" ca="1" si="4"/>
        <v>1</v>
      </c>
      <c r="P24" s="51">
        <f>VLOOKUP(C24,Purchased!A:D,3,FALSE)</f>
        <v>1.69</v>
      </c>
      <c r="Q24" s="52">
        <f t="shared" si="5"/>
        <v>1.69</v>
      </c>
    </row>
    <row r="25" spans="1:17" s="2" customFormat="1" ht="12" customHeight="1" x14ac:dyDescent="0.25">
      <c r="A25" s="25"/>
      <c r="B25" s="26"/>
      <c r="C25" s="26"/>
      <c r="D25" s="332"/>
      <c r="E25" s="333"/>
      <c r="F25" s="26"/>
      <c r="G25" s="26"/>
      <c r="H25" s="322"/>
      <c r="I25" s="323"/>
      <c r="J25" s="27"/>
      <c r="K25" s="27"/>
      <c r="L25" s="27"/>
      <c r="M25" s="28"/>
      <c r="N25" s="29"/>
      <c r="O25" s="29"/>
      <c r="P25" s="148"/>
      <c r="Q25" s="149"/>
    </row>
    <row r="26" spans="1:17" s="2" customFormat="1" ht="12" customHeight="1" x14ac:dyDescent="0.25">
      <c r="A26" s="4">
        <v>501</v>
      </c>
      <c r="B26" s="2">
        <v>4</v>
      </c>
      <c r="C26" s="122" t="s">
        <v>198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ref="O26:O29" ca="1" si="6">B26*$L$2</f>
        <v>4</v>
      </c>
      <c r="P26" s="51">
        <f>VLOOKUP(C26,Bolts!A:B,2,FALSE)</f>
        <v>0</v>
      </c>
      <c r="Q26" s="52">
        <f t="shared" ref="Q26:Q29" si="7">B26*P26</f>
        <v>0</v>
      </c>
    </row>
    <row r="27" spans="1:17" s="2" customFormat="1" ht="12" customHeight="1" x14ac:dyDescent="0.25">
      <c r="A27" s="4">
        <v>502</v>
      </c>
      <c r="B27" s="2">
        <v>8</v>
      </c>
      <c r="C27" s="122" t="s">
        <v>333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6"/>
        <v>8</v>
      </c>
      <c r="P27" s="51">
        <f>VLOOKUP(C27,Bolts!A:B,2,FALSE)</f>
        <v>0</v>
      </c>
      <c r="Q27" s="52">
        <f t="shared" si="7"/>
        <v>0</v>
      </c>
    </row>
    <row r="28" spans="1:17" s="2" customFormat="1" ht="12" customHeight="1" x14ac:dyDescent="0.25">
      <c r="A28" s="4">
        <v>503</v>
      </c>
      <c r="B28" s="2">
        <v>2</v>
      </c>
      <c r="C28" s="122" t="s">
        <v>180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6"/>
        <v>2</v>
      </c>
      <c r="P28" s="51">
        <f>VLOOKUP(C28,Bolts!A:B,2,FALSE)</f>
        <v>0</v>
      </c>
      <c r="Q28" s="52">
        <f t="shared" si="7"/>
        <v>0</v>
      </c>
    </row>
    <row r="29" spans="1:17" s="2" customFormat="1" ht="12" customHeight="1" thickBot="1" x14ac:dyDescent="0.3">
      <c r="A29" s="4">
        <v>504</v>
      </c>
      <c r="B29" s="2">
        <v>2</v>
      </c>
      <c r="C29" s="122" t="s">
        <v>310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6"/>
        <v>2</v>
      </c>
      <c r="P29" s="51">
        <f>VLOOKUP(C29,Bolts!A:B,2,FALSE)</f>
        <v>0</v>
      </c>
      <c r="Q29" s="52">
        <f t="shared" si="7"/>
        <v>0</v>
      </c>
    </row>
    <row r="30" spans="1:17" s="2" customFormat="1" ht="12" customHeight="1" thickBot="1" x14ac:dyDescent="0.3">
      <c r="A30" s="34"/>
      <c r="B30" s="35"/>
      <c r="C30" s="35"/>
      <c r="D30" s="316"/>
      <c r="E30" s="317"/>
      <c r="F30" s="35"/>
      <c r="G30" s="35"/>
      <c r="H30" s="309"/>
      <c r="I30" s="310"/>
      <c r="J30" s="36"/>
      <c r="K30" s="36"/>
      <c r="L30" s="36"/>
      <c r="M30" s="37"/>
      <c r="N30" s="132"/>
      <c r="O30" s="38"/>
      <c r="P30" s="99" t="s">
        <v>43</v>
      </c>
      <c r="Q30" s="104">
        <f>SUM(Q5:Q29)</f>
        <v>1104.6099999999999</v>
      </c>
    </row>
  </sheetData>
  <sheetProtection selectLockedCells="1"/>
  <mergeCells count="51">
    <mergeCell ref="D6:E6"/>
    <mergeCell ref="H6:I6"/>
    <mergeCell ref="D5:E5"/>
    <mergeCell ref="H5:I5"/>
    <mergeCell ref="D1:E1"/>
    <mergeCell ref="D4:E4"/>
    <mergeCell ref="H4:I4"/>
    <mergeCell ref="D10:E10"/>
    <mergeCell ref="H10:I10"/>
    <mergeCell ref="D11:E11"/>
    <mergeCell ref="H11:I11"/>
    <mergeCell ref="D7:E7"/>
    <mergeCell ref="H7:I7"/>
    <mergeCell ref="D8:E8"/>
    <mergeCell ref="H8:I8"/>
    <mergeCell ref="D9:E9"/>
    <mergeCell ref="H9:I9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21:E21"/>
    <mergeCell ref="H21:I21"/>
    <mergeCell ref="D18:E18"/>
    <mergeCell ref="H18:I18"/>
    <mergeCell ref="D19:E19"/>
    <mergeCell ref="H19:I19"/>
    <mergeCell ref="D20:E20"/>
    <mergeCell ref="H20:I20"/>
    <mergeCell ref="D30:E30"/>
    <mergeCell ref="H30:I30"/>
    <mergeCell ref="D25:E25"/>
    <mergeCell ref="H25:I25"/>
    <mergeCell ref="D26:E26"/>
    <mergeCell ref="D27:E27"/>
    <mergeCell ref="D28:E28"/>
    <mergeCell ref="D29:E29"/>
    <mergeCell ref="D22:E22"/>
    <mergeCell ref="H22:I22"/>
    <mergeCell ref="D23:E23"/>
    <mergeCell ref="H23:I23"/>
    <mergeCell ref="D24:E24"/>
    <mergeCell ref="H24:I24"/>
  </mergeCells>
  <conditionalFormatting sqref="M10 M25:M29">
    <cfRule type="cellIs" dxfId="1392" priority="29" stopIfTrue="1" operator="lessThanOrEqual">
      <formula>$L10</formula>
    </cfRule>
    <cfRule type="cellIs" dxfId="1391" priority="30" operator="greaterThan">
      <formula>L10</formula>
    </cfRule>
  </conditionalFormatting>
  <conditionalFormatting sqref="M11">
    <cfRule type="cellIs" dxfId="1390" priority="27" stopIfTrue="1" operator="lessThanOrEqual">
      <formula>$L11</formula>
    </cfRule>
    <cfRule type="cellIs" dxfId="1389" priority="28" operator="greaterThan">
      <formula>L11</formula>
    </cfRule>
  </conditionalFormatting>
  <conditionalFormatting sqref="M12">
    <cfRule type="cellIs" dxfId="1388" priority="25" stopIfTrue="1" operator="lessThanOrEqual">
      <formula>$L12</formula>
    </cfRule>
    <cfRule type="cellIs" dxfId="1387" priority="26" operator="greaterThan">
      <formula>L12</formula>
    </cfRule>
  </conditionalFormatting>
  <conditionalFormatting sqref="M13">
    <cfRule type="cellIs" dxfId="1386" priority="23" stopIfTrue="1" operator="lessThanOrEqual">
      <formula>$L13</formula>
    </cfRule>
    <cfRule type="cellIs" dxfId="1385" priority="24" operator="greaterThan">
      <formula>L13</formula>
    </cfRule>
  </conditionalFormatting>
  <conditionalFormatting sqref="M14">
    <cfRule type="cellIs" dxfId="1384" priority="21" stopIfTrue="1" operator="lessThanOrEqual">
      <formula>$L14</formula>
    </cfRule>
    <cfRule type="cellIs" dxfId="1383" priority="22" operator="greaterThan">
      <formula>L14</formula>
    </cfRule>
  </conditionalFormatting>
  <conditionalFormatting sqref="M20:M24 M15:M19">
    <cfRule type="cellIs" dxfId="1382" priority="1" stopIfTrue="1" operator="lessThanOrEqual">
      <formula>$L15</formula>
    </cfRule>
    <cfRule type="cellIs" dxfId="1381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290E61D-E5E2-48A7-8365-85D4D4EFCAC9}">
          <x14:formula1>
            <xm:f>Bolts!$A:$A</xm:f>
          </x14:formula1>
          <xm:sqref>C25:C29</xm:sqref>
        </x14:dataValidation>
        <x14:dataValidation type="list" allowBlank="1" showInputMessage="1" showErrorMessage="1" xr:uid="{E9C2683B-4CF6-4171-8500-B443978C8CC4}">
          <x14:formula1>
            <xm:f>Machined!$C:$C</xm:f>
          </x14:formula1>
          <xm:sqref>C5:C9</xm:sqref>
        </x14:dataValidation>
        <x14:dataValidation type="list" allowBlank="1" showInputMessage="1" showErrorMessage="1" xr:uid="{EA3DED73-6E51-47A0-9C11-BF30E478E6C5}">
          <x14:formula1>
            <xm:f>Purchased!$A:$A</xm:f>
          </x14:formula1>
          <xm:sqref>C10:C24</xm:sqref>
        </x14:dataValidation>
      </x14:dataValidations>
    </ext>
  </extLst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B9A9A-0A74-4EB7-93B5-0068A3D9CAC0}">
  <sheetPr codeName="Sheet118">
    <tabColor theme="9" tint="0.59999389629810485"/>
  </sheetPr>
  <dimension ref="A1:Q18"/>
  <sheetViews>
    <sheetView zoomScale="115" zoomScaleNormal="115" workbookViewId="0">
      <selection activeCell="F14" activeCellId="3" sqref="F11:Q11 F12:Q12 F13:Q13 F14:Q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'4'!C11</f>
        <v>PG10.4.6.0.A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'4'!D11</f>
        <v>Knife Manifold</v>
      </c>
      <c r="D3" s="85" t="s">
        <v>50</v>
      </c>
      <c r="E3" s="86" t="str">
        <f ca="1">MID(CELL("filename",A1),FIND("]",CELL("filename",A1))+1,256)</f>
        <v>4.6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669</v>
      </c>
      <c r="D5" s="314" t="str">
        <f>VLOOKUP(C5,Machined!C:X,2,0)</f>
        <v>KNIFE MANIFOLD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45470</v>
      </c>
      <c r="K5" s="44">
        <f>IF(VLOOKUP($C5,Machined!C:Z,19,0) = 0, " ", VLOOKUP($C5,Machined!C:Z,19,0))</f>
        <v>45474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55580</v>
      </c>
      <c r="O5" s="45">
        <f ca="1">B5*$L$2</f>
        <v>1</v>
      </c>
      <c r="P5" s="49">
        <f>VLOOKUP(C5,Machined!C:F,3,0)</f>
        <v>72</v>
      </c>
      <c r="Q5" s="50">
        <f>B5*P5</f>
        <v>72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4</v>
      </c>
      <c r="C7" s="135" t="s">
        <v>172</v>
      </c>
      <c r="D7" s="325" t="str">
        <f>VLOOKUP(C7,Purchased!A:B,2,0)</f>
        <v>BRX GOTO T-NUT 10 M6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14" ca="1" si="0">B7*$L$2</f>
        <v>4</v>
      </c>
      <c r="P7" s="51">
        <f>VLOOKUP(C7,Purchased!A:D,3,FALSE)</f>
        <v>0.56000000000000005</v>
      </c>
      <c r="Q7" s="52">
        <f t="shared" ref="Q7:Q14" si="1">B7*P7</f>
        <v>2.2400000000000002</v>
      </c>
    </row>
    <row r="8" spans="1:17" s="2" customFormat="1" ht="12" customHeight="1" x14ac:dyDescent="0.25">
      <c r="A8" s="4">
        <v>302</v>
      </c>
      <c r="B8" s="2">
        <v>1</v>
      </c>
      <c r="C8" s="135" t="s">
        <v>670</v>
      </c>
      <c r="D8" s="325" t="str">
        <f>VLOOKUP(C8,Purchased!A:B,2,0)</f>
        <v>SS5Y5 Nuline PG10 MANIFOLD 2 REV B</v>
      </c>
      <c r="E8" s="326"/>
      <c r="F8" s="108" t="str">
        <f>IF(VLOOKUP($C8,Purchased!A:Z,11,0) = 0, " ", VLOOKUP($C8,Purchased!A:Z,11,0))</f>
        <v>SMC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45495</v>
      </c>
      <c r="K8" s="46">
        <f>IF(VLOOKUP(C8,Purchased!A:R,14,0)=0, " ", VLOOKUP(C8,Purchased!A:R,14,0))</f>
        <v>45495</v>
      </c>
      <c r="L8" s="46">
        <f>IF(VLOOKUP(C8,Purchased!A:R,15,0)=0, " ", VLOOKUP(C8,Purchased!A:R,15,0))</f>
        <v>45497</v>
      </c>
      <c r="M8" s="46">
        <f>IF(VLOOKUP(C8,Purchased!A:R,16,0)=0, " ",VLOOKUP(C8,Purchased!A:R,16,0))</f>
        <v>45526</v>
      </c>
      <c r="N8" s="130">
        <f>IF(VLOOKUP(C8,Purchased!A:R,17,0)=0, " ", VLOOKUP(C8,Purchased!A:R,17,0))</f>
        <v>45526</v>
      </c>
      <c r="O8" s="47">
        <f t="shared" ca="1" si="0"/>
        <v>1</v>
      </c>
      <c r="P8" s="51">
        <f>VLOOKUP(C8,Purchased!A:D,3,FALSE)</f>
        <v>692.90629999999999</v>
      </c>
      <c r="Q8" s="52">
        <f t="shared" si="1"/>
        <v>692.90629999999999</v>
      </c>
    </row>
    <row r="9" spans="1:17" s="2" customFormat="1" ht="12" customHeight="1" x14ac:dyDescent="0.25">
      <c r="A9" s="4">
        <v>311</v>
      </c>
      <c r="B9" s="2">
        <v>4</v>
      </c>
      <c r="C9" s="135" t="s">
        <v>671</v>
      </c>
      <c r="D9" s="325" t="str">
        <f>VLOOKUP(C9,Purchased!A:B,2,0)</f>
        <v>8mm fitting to 4mm tube</v>
      </c>
      <c r="E9" s="326"/>
      <c r="F9" s="108" t="str">
        <f>IF(VLOOKUP($C9,Purchased!A:Z,11,0) = 0, " ", VLOOKUP($C9,Purchased!A:Z,11,0))</f>
        <v>SMC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45489</v>
      </c>
      <c r="K9" s="46">
        <f>IF(VLOOKUP(C9,Purchased!A:R,14,0)=0, " ", VLOOKUP(C9,Purchased!A:R,14,0))</f>
        <v>45489</v>
      </c>
      <c r="L9" s="46">
        <f>IF(VLOOKUP(C9,Purchased!A:R,15,0)=0, " ", VLOOKUP(C9,Purchased!A:R,15,0))</f>
        <v>45491</v>
      </c>
      <c r="M9" s="46">
        <f>IF(VLOOKUP(C9,Purchased!A:R,16,0)=0, " ",VLOOKUP(C9,Purchased!A:R,16,0))</f>
        <v>45520</v>
      </c>
      <c r="N9" s="130">
        <f>IF(VLOOKUP(C9,Purchased!A:R,17,0)=0, " ", VLOOKUP(C9,Purchased!A:R,17,0))</f>
        <v>45511</v>
      </c>
      <c r="O9" s="47">
        <f t="shared" ca="1" si="0"/>
        <v>4</v>
      </c>
      <c r="P9" s="51">
        <f>VLOOKUP(C9,Purchased!A:D,3,FALSE)</f>
        <v>1.03</v>
      </c>
      <c r="Q9" s="52">
        <f t="shared" si="1"/>
        <v>4.12</v>
      </c>
    </row>
    <row r="10" spans="1:17" s="2" customFormat="1" ht="12" customHeight="1" x14ac:dyDescent="0.25">
      <c r="A10" s="4">
        <v>312</v>
      </c>
      <c r="B10" s="2">
        <v>2</v>
      </c>
      <c r="C10" s="135" t="s">
        <v>227</v>
      </c>
      <c r="D10" s="325" t="str">
        <f>VLOOKUP(C10,Purchased!A:B,2,0)</f>
        <v>KQ2 one touch fitting, 8mm D elbow</v>
      </c>
      <c r="E10" s="326"/>
      <c r="F10" s="108" t="str">
        <f>IF(VLOOKUP($C10,Purchased!A:Z,11,0) = 0, " ", VLOOKUP($C10,Purchased!A:Z,11,0))</f>
        <v>SMC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45489</v>
      </c>
      <c r="K10" s="46">
        <f>IF(VLOOKUP(C10,Purchased!A:R,14,0)=0, " ", VLOOKUP(C10,Purchased!A:R,14,0))</f>
        <v>45489</v>
      </c>
      <c r="L10" s="46">
        <f>IF(VLOOKUP(C10,Purchased!A:R,15,0)=0, " ", VLOOKUP(C10,Purchased!A:R,15,0))</f>
        <v>45491</v>
      </c>
      <c r="M10" s="46">
        <f>IF(VLOOKUP(C10,Purchased!A:R,16,0)=0, " ",VLOOKUP(C10,Purchased!A:R,16,0))</f>
        <v>45520</v>
      </c>
      <c r="N10" s="130">
        <f>IF(VLOOKUP(C10,Purchased!A:R,17,0)=0, " ", VLOOKUP(C10,Purchased!A:R,17,0))</f>
        <v>45511</v>
      </c>
      <c r="O10" s="47">
        <f t="shared" ca="1" si="0"/>
        <v>2</v>
      </c>
      <c r="P10" s="51">
        <f>VLOOKUP(C10,Purchased!A:D,3,FALSE)</f>
        <v>1.86</v>
      </c>
      <c r="Q10" s="52">
        <f t="shared" si="1"/>
        <v>3.72</v>
      </c>
    </row>
    <row r="11" spans="1:17" s="2" customFormat="1" ht="12" customHeight="1" x14ac:dyDescent="0.25">
      <c r="A11" s="4">
        <v>313</v>
      </c>
      <c r="B11" s="2">
        <v>2</v>
      </c>
      <c r="C11" s="135" t="s">
        <v>228</v>
      </c>
      <c r="D11" s="325" t="str">
        <f>VLOOKUP(C11,Purchased!A:B,2,0)</f>
        <v>KQ2 one touch fitting, 6mm to 8mm D T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0"/>
        <v>2</v>
      </c>
      <c r="P11" s="51">
        <f>VLOOKUP(C11,Purchased!A:D,3,FALSE)</f>
        <v>2.4</v>
      </c>
      <c r="Q11" s="52">
        <f t="shared" si="1"/>
        <v>4.8</v>
      </c>
    </row>
    <row r="12" spans="1:17" s="2" customFormat="1" ht="12" customHeight="1" x14ac:dyDescent="0.25">
      <c r="A12" s="4">
        <v>314</v>
      </c>
      <c r="B12" s="2">
        <v>4</v>
      </c>
      <c r="C12" s="135" t="s">
        <v>672</v>
      </c>
      <c r="D12" s="325" t="str">
        <f>VLOOKUP(C12,Purchased!A:B,2,0)</f>
        <v>8MM Speed controller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45491</v>
      </c>
      <c r="M12" s="46">
        <f>IF(VLOOKUP(C12,Purchased!A:R,16,0)=0, " ",VLOOKUP(C12,Purchased!A:R,16,0))</f>
        <v>45520</v>
      </c>
      <c r="N12" s="130">
        <f>IF(VLOOKUP(C12,Purchased!A:R,17,0)=0, " ", VLOOKUP(C12,Purchased!A:R,17,0))</f>
        <v>45511</v>
      </c>
      <c r="O12" s="47">
        <f t="shared" ca="1" si="0"/>
        <v>4</v>
      </c>
      <c r="P12" s="51">
        <f>VLOOKUP(C12,Purchased!A:D,3,FALSE)</f>
        <v>22.46</v>
      </c>
      <c r="Q12" s="52">
        <f t="shared" si="1"/>
        <v>89.84</v>
      </c>
    </row>
    <row r="13" spans="1:17" s="2" customFormat="1" ht="12" customHeight="1" x14ac:dyDescent="0.25">
      <c r="A13" s="4">
        <v>315</v>
      </c>
      <c r="B13" s="2">
        <v>2</v>
      </c>
      <c r="C13" s="135" t="s">
        <v>102</v>
      </c>
      <c r="D13" s="325" t="str">
        <f>VLOOKUP(C13,Purchased!A:B,2,0)</f>
        <v>KQ2 straight fitting 1/4in port size to 8mm dia tubing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0"/>
        <v>2</v>
      </c>
      <c r="P13" s="51">
        <f>VLOOKUP(C13,Purchased!A:D,3,FALSE)</f>
        <v>1.63</v>
      </c>
      <c r="Q13" s="52">
        <f t="shared" si="1"/>
        <v>3.26</v>
      </c>
    </row>
    <row r="14" spans="1:17" s="2" customFormat="1" ht="12" customHeight="1" x14ac:dyDescent="0.25">
      <c r="A14" s="4">
        <v>316</v>
      </c>
      <c r="B14" s="2">
        <v>1</v>
      </c>
      <c r="C14" s="135" t="s">
        <v>331</v>
      </c>
      <c r="D14" s="325" t="str">
        <f>VLOOKUP(C14,Purchased!A:B,2,0)</f>
        <v>Regulator with 1/4in port size, w/o backflow function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45491</v>
      </c>
      <c r="M14" s="46">
        <f>IF(VLOOKUP(C14,Purchased!A:R,16,0)=0, " ",VLOOKUP(C14,Purchased!A:R,16,0))</f>
        <v>45520</v>
      </c>
      <c r="N14" s="130">
        <f>IF(VLOOKUP(C14,Purchased!A:R,17,0)=0, " ", VLOOKUP(C14,Purchased!A:R,17,0))</f>
        <v>45511</v>
      </c>
      <c r="O14" s="47">
        <f t="shared" ca="1" si="0"/>
        <v>1</v>
      </c>
      <c r="P14" s="51">
        <f>VLOOKUP(C14,Purchased!A:D,3,FALSE)</f>
        <v>21.65</v>
      </c>
      <c r="Q14" s="52">
        <f t="shared" si="1"/>
        <v>21.65</v>
      </c>
    </row>
    <row r="15" spans="1:17" s="2" customFormat="1" ht="12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" customHeight="1" x14ac:dyDescent="0.25">
      <c r="A16" s="4">
        <v>501</v>
      </c>
      <c r="B16" s="2">
        <v>4</v>
      </c>
      <c r="C16" s="122" t="s">
        <v>277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ref="O16:O17" ca="1" si="2">B16*$L$2</f>
        <v>4</v>
      </c>
      <c r="P16" s="51">
        <f>VLOOKUP(C16,Bolts!A:B,2,FALSE)</f>
        <v>0</v>
      </c>
      <c r="Q16" s="52">
        <f t="shared" ref="Q16:Q17" si="3">B16*P16</f>
        <v>0</v>
      </c>
    </row>
    <row r="17" spans="1:17" s="2" customFormat="1" ht="12" customHeight="1" thickBot="1" x14ac:dyDescent="0.3">
      <c r="A17" s="4">
        <v>502</v>
      </c>
      <c r="B17" s="2">
        <v>4</v>
      </c>
      <c r="C17" s="122" t="s">
        <v>349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2"/>
        <v>4</v>
      </c>
      <c r="P17" s="51">
        <f>VLOOKUP(C17,Bolts!A:B,2,FALSE)</f>
        <v>0</v>
      </c>
      <c r="Q17" s="52">
        <f t="shared" si="3"/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SUM(Q5:Q17)</f>
        <v>894.53629999999998</v>
      </c>
    </row>
  </sheetData>
  <sheetProtection selectLockedCells="1"/>
  <mergeCells count="29">
    <mergeCell ref="D9:E9"/>
    <mergeCell ref="H9:I9"/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16:E16"/>
    <mergeCell ref="D17:E17"/>
    <mergeCell ref="D18:E18"/>
    <mergeCell ref="H18:I18"/>
    <mergeCell ref="D10:E10"/>
    <mergeCell ref="H10:I10"/>
    <mergeCell ref="D11:E11"/>
    <mergeCell ref="H11:I11"/>
    <mergeCell ref="D15:E15"/>
    <mergeCell ref="H15:I15"/>
    <mergeCell ref="D12:E12"/>
    <mergeCell ref="H12:I12"/>
    <mergeCell ref="D13:E13"/>
    <mergeCell ref="H13:I13"/>
    <mergeCell ref="D14:E14"/>
    <mergeCell ref="H14:I14"/>
  </mergeCells>
  <conditionalFormatting sqref="M6 M15:M17">
    <cfRule type="cellIs" dxfId="1380" priority="17" stopIfTrue="1" operator="lessThanOrEqual">
      <formula>$L6</formula>
    </cfRule>
    <cfRule type="cellIs" dxfId="1379" priority="18" operator="greaterThan">
      <formula>L6</formula>
    </cfRule>
  </conditionalFormatting>
  <conditionalFormatting sqref="M7">
    <cfRule type="cellIs" dxfId="1378" priority="15" stopIfTrue="1" operator="lessThanOrEqual">
      <formula>$L7</formula>
    </cfRule>
    <cfRule type="cellIs" dxfId="1377" priority="16" operator="greaterThan">
      <formula>L7</formula>
    </cfRule>
  </conditionalFormatting>
  <conditionalFormatting sqref="M8">
    <cfRule type="cellIs" dxfId="1376" priority="13" stopIfTrue="1" operator="lessThanOrEqual">
      <formula>$L8</formula>
    </cfRule>
    <cfRule type="cellIs" dxfId="1375" priority="14" operator="greaterThan">
      <formula>L8</formula>
    </cfRule>
  </conditionalFormatting>
  <conditionalFormatting sqref="M9">
    <cfRule type="cellIs" dxfId="1374" priority="11" stopIfTrue="1" operator="lessThanOrEqual">
      <formula>$L9</formula>
    </cfRule>
    <cfRule type="cellIs" dxfId="1373" priority="12" operator="greaterThan">
      <formula>L9</formula>
    </cfRule>
  </conditionalFormatting>
  <conditionalFormatting sqref="M10">
    <cfRule type="cellIs" dxfId="1372" priority="9" stopIfTrue="1" operator="lessThanOrEqual">
      <formula>$L10</formula>
    </cfRule>
    <cfRule type="cellIs" dxfId="1371" priority="10" operator="greaterThan">
      <formula>L10</formula>
    </cfRule>
  </conditionalFormatting>
  <conditionalFormatting sqref="M11:M14">
    <cfRule type="cellIs" dxfId="1370" priority="1" stopIfTrue="1" operator="lessThanOrEqual">
      <formula>$L11</formula>
    </cfRule>
    <cfRule type="cellIs" dxfId="1369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FD072D3-2757-4F66-AB21-8C81613545B3}">
          <x14:formula1>
            <xm:f>Bolts!$A:$A</xm:f>
          </x14:formula1>
          <xm:sqref>C15:C17</xm:sqref>
        </x14:dataValidation>
        <x14:dataValidation type="list" allowBlank="1" showInputMessage="1" showErrorMessage="1" xr:uid="{BC89D1B9-CD99-411F-B8A6-57D53A46370F}">
          <x14:formula1>
            <xm:f>Machined!$C:$C</xm:f>
          </x14:formula1>
          <xm:sqref>C5</xm:sqref>
        </x14:dataValidation>
        <x14:dataValidation type="list" allowBlank="1" showInputMessage="1" showErrorMessage="1" xr:uid="{F8B2FF7E-CAE8-45C8-8EAF-E10F75215233}">
          <x14:formula1>
            <xm:f>Purchased!$A:$A</xm:f>
          </x14:formula1>
          <xm:sqref>C6:C14</xm:sqref>
        </x14:dataValidation>
      </x14:dataValidations>
    </ext>
  </extLst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93CCE-944A-4692-ADAF-A5513F655486}">
  <sheetPr codeName="Sheet263">
    <tabColor theme="9" tint="0.59999389629810485"/>
  </sheetPr>
  <dimension ref="A1:Q23"/>
  <sheetViews>
    <sheetView zoomScale="115" zoomScaleNormal="115" workbookViewId="0">
      <selection activeCell="D28" sqref="D2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'4'!C12</f>
        <v>PG10.4.7.0.A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'4'!D12</f>
        <v>Printer Assy</v>
      </c>
      <c r="D3" s="85" t="s">
        <v>50</v>
      </c>
      <c r="E3" s="86" t="str">
        <f ca="1">MID(CELL("filename",A1),FIND("]",CELL("filename",A1))+1,256)</f>
        <v>4.7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3669</v>
      </c>
      <c r="D5" s="336" t="str">
        <f ca="1">VLOOKUP(C5,Assemblies!E:P,2,0)</f>
        <v>Printer Head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2</v>
      </c>
      <c r="P5" s="117">
        <f>'4.7.1'!Q11</f>
        <v>30.58</v>
      </c>
      <c r="Q5" s="118">
        <f>B5*P5</f>
        <v>30.58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2</v>
      </c>
      <c r="C7" s="121" t="s">
        <v>3674</v>
      </c>
      <c r="D7" s="314" t="str">
        <f>VLOOKUP(C7,Machined!C:X,2,0)</f>
        <v>Printer Support Side Mount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Xometry</v>
      </c>
      <c r="H7" s="320" t="str">
        <f>IF(VLOOKUP($C7,Machined!C:Z,17,0) = 0, " ", VLOOKUP($C7,Machined!C:Z,17,0))</f>
        <v xml:space="preserve"> </v>
      </c>
      <c r="I7" s="321"/>
      <c r="J7" s="44" t="str">
        <f>IF(VLOOKUP($C7,Machined!C:Z,18,0) = 0, " ", VLOOKUP($C7,Machined!C:Z,18,0))</f>
        <v>N/A</v>
      </c>
      <c r="K7" s="44">
        <f>IF(VLOOKUP($C7,Machined!C:Z,19,0) = 0, " ", VLOOKUP($C7,Machined!C:Z,19,0))</f>
        <v>45560</v>
      </c>
      <c r="L7" s="44">
        <f>IF(VLOOKUP($C7,Machined!C:Z,20,0) = 0, " ", VLOOKUP($C7,Machined!C:Z,20,0))</f>
        <v>45576</v>
      </c>
      <c r="M7" s="44">
        <f>IF(VLOOKUP($C7,Machined!C:Z,21,0) = 0, " ", VLOOKUP($C7,Machined!C:Z,21,0))</f>
        <v>45576</v>
      </c>
      <c r="N7" s="129">
        <f>IF(VLOOKUP($C7,Machined!C:Z,22,0) = 0, " ", VLOOKUP($C7,Machined!C:Z,22,0))</f>
        <v>55761</v>
      </c>
      <c r="O7" s="45">
        <f ca="1">B7*$L$2</f>
        <v>4</v>
      </c>
      <c r="P7" s="49">
        <f>VLOOKUP(C7,Machined!C:F,3,0)</f>
        <v>0</v>
      </c>
      <c r="Q7" s="50">
        <f>B7*P7</f>
        <v>0</v>
      </c>
    </row>
    <row r="8" spans="1:17" s="2" customFormat="1" ht="12.75" customHeight="1" x14ac:dyDescent="0.25">
      <c r="A8" s="77">
        <v>2</v>
      </c>
      <c r="B8" s="20">
        <v>1</v>
      </c>
      <c r="C8" s="121" t="s">
        <v>3675</v>
      </c>
      <c r="D8" s="314" t="str">
        <f>VLOOKUP(C8,Machined!C:X,2,0)</f>
        <v>Printer HMI Base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Xometry</v>
      </c>
      <c r="H8" s="320" t="str">
        <f>IF(VLOOKUP($C8,Machined!C:Z,17,0) = 0, " ", VLOOKUP($C8,Machined!C:Z,17,0))</f>
        <v xml:space="preserve"> </v>
      </c>
      <c r="I8" s="321"/>
      <c r="J8" s="44" t="str">
        <f>IF(VLOOKUP($C8,Machined!C:Z,18,0) = 0, " ", VLOOKUP($C8,Machined!C:Z,18,0))</f>
        <v>N/A</v>
      </c>
      <c r="K8" s="44">
        <f>IF(VLOOKUP($C8,Machined!C:Z,19,0) = 0, " ", VLOOKUP($C8,Machined!C:Z,19,0))</f>
        <v>45560</v>
      </c>
      <c r="L8" s="44">
        <f>IF(VLOOKUP($C8,Machined!C:Z,20,0) = 0, " ", VLOOKUP($C8,Machined!C:Z,20,0))</f>
        <v>45576</v>
      </c>
      <c r="M8" s="44">
        <f>IF(VLOOKUP($C8,Machined!C:Z,21,0) = 0, " ", VLOOKUP($C8,Machined!C:Z,21,0))</f>
        <v>45576</v>
      </c>
      <c r="N8" s="129">
        <f>IF(VLOOKUP($C8,Machined!C:Z,22,0) = 0, " ", VLOOKUP($C8,Machined!C:Z,22,0))</f>
        <v>55763</v>
      </c>
      <c r="O8" s="45">
        <f ca="1">B8*$L$2</f>
        <v>2</v>
      </c>
      <c r="P8" s="49">
        <f>VLOOKUP(C8,Machined!C:F,3,0)</f>
        <v>0</v>
      </c>
      <c r="Q8" s="50">
        <f>B8*P8</f>
        <v>0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1</v>
      </c>
      <c r="C10" s="135" t="s">
        <v>3876</v>
      </c>
      <c r="D10" s="325" t="str">
        <f>VLOOKUP(C10,Purchased!A:B,2,0)</f>
        <v>Leibinger Jet 3SE Printer cabinet and head, for PG10</v>
      </c>
      <c r="E10" s="326"/>
      <c r="F10" s="108" t="str">
        <f>IF(VLOOKUP($C10,Purchased!A:Z,11,0) = 0, " ", VLOOKUP($C10,Purchased!A:Z,11,0))</f>
        <v>Leibinger</v>
      </c>
      <c r="G10" s="108" t="str">
        <f>IF(VLOOKUP($C10,Purchased!A:Z,12,0)=0, " ", VLOOKUP($C10,Purchased!A:Z,12,0))</f>
        <v>PLASCON</v>
      </c>
      <c r="H10" s="327" t="str">
        <f>IF(VLOOKUP($C10,Purchased!A:Z,13,0)=0, " ", VLOOKUP($C10,Purchased!A:Z,13,0))</f>
        <v xml:space="preserve">Plascon to Supply </v>
      </c>
      <c r="I10" s="328"/>
      <c r="J10" s="46" t="str">
        <f>IF(VLOOKUP($C10,Purchased!A:Z,14,0)=0, " ", VLOOKUP($C10,Purchased!A:Z,14,0))</f>
        <v>N/A</v>
      </c>
      <c r="K10" s="46" t="str">
        <f>IF(VLOOKUP(C10,Purchased!A:R,14,0)=0, " ", VLOOKUP(C10,Purchased!A:R,14,0))</f>
        <v>N/A</v>
      </c>
      <c r="L10" s="46" t="str">
        <f>IF(VLOOKUP(C10,Purchased!A:R,15,0)=0, " ", VLOOKUP(C10,Purchased!A:R,15,0))</f>
        <v>N/A</v>
      </c>
      <c r="M10" s="46" t="str">
        <f>IF(VLOOKUP(C10,Purchased!A:R,16,0)=0, " ",VLOOKUP(C10,Purchased!A:R,16,0))</f>
        <v>N/A</v>
      </c>
      <c r="N10" s="130" t="str">
        <f>IF(VLOOKUP(C10,Purchased!A:R,17,0)=0, " ", VLOOKUP(C10,Purchased!A:R,17,0))</f>
        <v>N/A</v>
      </c>
      <c r="O10" s="47">
        <f ca="1">B10*$L$2</f>
        <v>2</v>
      </c>
      <c r="P10" s="51">
        <f>VLOOKUP(C10,Purchased!A:D,3,FALSE)</f>
        <v>0</v>
      </c>
      <c r="Q10" s="52">
        <f>B10*P10</f>
        <v>0</v>
      </c>
    </row>
    <row r="11" spans="1:17" s="2" customFormat="1" ht="12" customHeight="1" x14ac:dyDescent="0.25">
      <c r="A11" s="4">
        <v>302</v>
      </c>
      <c r="B11" s="2">
        <v>6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ca="1">B11*$L$2</f>
        <v>12</v>
      </c>
      <c r="P11" s="51">
        <f>VLOOKUP(C11,Purchased!A:D,3,FALSE)</f>
        <v>0.56000000000000005</v>
      </c>
      <c r="Q11" s="52">
        <f>B11*P11</f>
        <v>3.3600000000000003</v>
      </c>
    </row>
    <row r="12" spans="1:17" s="2" customFormat="1" ht="12" customHeight="1" x14ac:dyDescent="0.25">
      <c r="A12" s="4">
        <v>303</v>
      </c>
      <c r="B12" s="2">
        <v>7</v>
      </c>
      <c r="C12" s="135">
        <v>3842530283</v>
      </c>
      <c r="D12" s="325" t="str">
        <f>VLOOKUP(C12,Purchased!A:B,2,0)</f>
        <v>BRX GOTO T-NUT 10 M5</v>
      </c>
      <c r="E12" s="326"/>
      <c r="F12" s="108" t="str">
        <f>IF(VLOOKUP($C12,Purchased!A:Z,11,0) = 0, " ", VLOOKUP($C12,Purchased!A:Z,11,0))</f>
        <v>BRX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100 additional quantity added to 55710</v>
      </c>
      <c r="I12" s="328"/>
      <c r="J12" s="46">
        <f>IF(VLOOKUP($C12,Purchased!A:Z,14,0)=0, " ", VLOOKUP($C12,Purchased!A:Z,14,0))</f>
        <v>45463</v>
      </c>
      <c r="K12" s="46">
        <f>IF(VLOOKUP(C12,Purchased!A:R,14,0)=0, " ", VLOOKUP(C12,Purchased!A:R,14,0))</f>
        <v>45463</v>
      </c>
      <c r="L12" s="46">
        <f>IF(VLOOKUP(C12,Purchased!A:R,15,0)=0, " ", VLOOKUP(C12,Purchased!A:R,15,0))</f>
        <v>45463</v>
      </c>
      <c r="M12" s="46">
        <f>IF(VLOOKUP(C12,Purchased!A:R,16,0)=0, " ",VLOOKUP(C12,Purchased!A:R,16,0))</f>
        <v>45481</v>
      </c>
      <c r="N12" s="130">
        <f>IF(VLOOKUP(C12,Purchased!A:R,17,0)=0, " ", VLOOKUP(C12,Purchased!A:R,17,0))</f>
        <v>45481</v>
      </c>
      <c r="O12" s="47">
        <f ca="1">B12*$L$2</f>
        <v>14</v>
      </c>
      <c r="P12" s="51">
        <f>VLOOKUP(C12,Purchased!A:D,3,FALSE)</f>
        <v>0.56000000000000005</v>
      </c>
      <c r="Q12" s="52">
        <f>B12*P12</f>
        <v>3.9200000000000004</v>
      </c>
    </row>
    <row r="13" spans="1:17" s="2" customFormat="1" ht="12" customHeight="1" x14ac:dyDescent="0.25">
      <c r="A13" s="4">
        <v>304</v>
      </c>
      <c r="B13" s="2">
        <v>2</v>
      </c>
      <c r="C13" s="135">
        <v>3842535466</v>
      </c>
      <c r="D13" s="325" t="str">
        <f>VLOOKUP(C13,Purchased!A:B,2,0)</f>
        <v>BRX GOTO QUICK CONNECTOR N10 90°</v>
      </c>
      <c r="E13" s="326"/>
      <c r="F13" s="108" t="str">
        <f>IF(VLOOKUP($C13,Purchased!A:Z,11,0) = 0, " ", VLOOKUP($C13,Purchased!A:Z,11,0))</f>
        <v>T-SLOTS</v>
      </c>
      <c r="G13" s="108" t="str">
        <f>IF(VLOOKUP($C13,Purchased!A:Z,12,0)=0, " ", VLOOKUP($C13,Purchased!A:Z,12,0))</f>
        <v>Process Tech</v>
      </c>
      <c r="H13" s="327" t="str">
        <f>IF(VLOOKUP($C13,Purchased!A:Z,13,0)=0, " ", VLOOKUP($C13,Purchased!A:Z,13,0))</f>
        <v>Ordered 300 8/29/24 JP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45533</v>
      </c>
      <c r="M13" s="46">
        <f>IF(VLOOKUP(C13,Purchased!A:R,16,0)=0, " ",VLOOKUP(C13,Purchased!A:R,16,0))</f>
        <v>45540</v>
      </c>
      <c r="N13" s="130" t="str">
        <f>IF(VLOOKUP(C13,Purchased!A:R,17,0)=0, " ", VLOOKUP(C13,Purchased!A:R,17,0))</f>
        <v xml:space="preserve"> </v>
      </c>
      <c r="O13" s="47">
        <f ca="1">B13*$L$2</f>
        <v>4</v>
      </c>
      <c r="P13" s="51">
        <f>VLOOKUP(C13,Purchased!A:D,3,FALSE)</f>
        <v>4.17</v>
      </c>
      <c r="Q13" s="52">
        <f>B13*P13</f>
        <v>8.34</v>
      </c>
    </row>
    <row r="14" spans="1:17" s="2" customFormat="1" ht="12" customHeight="1" x14ac:dyDescent="0.25">
      <c r="A14" s="4">
        <v>305</v>
      </c>
      <c r="B14" s="2">
        <v>2</v>
      </c>
      <c r="C14" s="135" t="s">
        <v>150</v>
      </c>
      <c r="D14" s="325" t="str">
        <f>VLOOKUP(C14,Purchased!A:B,2,0)</f>
        <v>BRX 45X45 GREY END CAP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45524</v>
      </c>
      <c r="M14" s="46">
        <f>IF(VLOOKUP(C14,Purchased!A:R,16,0)=0, " ",VLOOKUP(C14,Purchased!A:R,16,0))</f>
        <v>45547</v>
      </c>
      <c r="N14" s="130" t="str">
        <f>IF(VLOOKUP(C14,Purchased!A:R,17,0)=0, " ", VLOOKUP(C14,Purchased!A:R,17,0))</f>
        <v xml:space="preserve"> </v>
      </c>
      <c r="O14" s="47">
        <f ca="1">B14*$L$2</f>
        <v>4</v>
      </c>
      <c r="P14" s="51">
        <f>VLOOKUP(C14,Purchased!A:D,3,FALSE)</f>
        <v>0.9</v>
      </c>
      <c r="Q14" s="52">
        <f>B14*P14</f>
        <v>1.8</v>
      </c>
    </row>
    <row r="15" spans="1:17" s="2" customFormat="1" ht="12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" customHeight="1" x14ac:dyDescent="0.25">
      <c r="A16" s="4">
        <v>501</v>
      </c>
      <c r="B16" s="2">
        <v>4</v>
      </c>
      <c r="C16" s="122" t="s">
        <v>973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8</v>
      </c>
      <c r="P16" s="51">
        <f>VLOOKUP(C16,Bolts!A:B,2,FALSE)</f>
        <v>0</v>
      </c>
      <c r="Q16" s="52">
        <f>B16*P16</f>
        <v>0</v>
      </c>
    </row>
    <row r="17" spans="1:17" s="2" customFormat="1" ht="12" customHeight="1" x14ac:dyDescent="0.25">
      <c r="A17" s="4">
        <v>502</v>
      </c>
      <c r="B17" s="2">
        <v>7</v>
      </c>
      <c r="C17" s="122" t="s">
        <v>95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14</v>
      </c>
      <c r="P17" s="51">
        <f>VLOOKUP(C17,Bolts!A:B,2,FALSE)</f>
        <v>0</v>
      </c>
      <c r="Q17" s="52">
        <f>B17*P17</f>
        <v>0</v>
      </c>
    </row>
    <row r="18" spans="1:17" s="2" customFormat="1" ht="12" customHeight="1" x14ac:dyDescent="0.25">
      <c r="A18" s="4">
        <v>503</v>
      </c>
      <c r="B18" s="2">
        <v>8</v>
      </c>
      <c r="C18" s="122" t="s">
        <v>203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16</v>
      </c>
      <c r="P18" s="51">
        <f>VLOOKUP(C18,Bolts!A:B,2,FALSE)</f>
        <v>0</v>
      </c>
      <c r="Q18" s="52">
        <f>B18*P18</f>
        <v>0</v>
      </c>
    </row>
    <row r="19" spans="1:17" s="2" customFormat="1" ht="12" customHeight="1" x14ac:dyDescent="0.25">
      <c r="A19" s="4">
        <v>504</v>
      </c>
      <c r="B19" s="2">
        <v>2</v>
      </c>
      <c r="C19" s="122" t="s">
        <v>633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ca="1">B19*$L$2</f>
        <v>4</v>
      </c>
      <c r="P19" s="51">
        <f>VLOOKUP(C19,Bolts!A:B,2,FALSE)</f>
        <v>0</v>
      </c>
      <c r="Q19" s="52">
        <f>B19*P19</f>
        <v>0</v>
      </c>
    </row>
    <row r="20" spans="1:17" s="2" customFormat="1" ht="12" customHeight="1" x14ac:dyDescent="0.25">
      <c r="A20" s="25"/>
      <c r="B20" s="26"/>
      <c r="C20" s="26"/>
      <c r="D20" s="332"/>
      <c r="E20" s="333"/>
      <c r="F20" s="26"/>
      <c r="G20" s="26"/>
      <c r="H20" s="322"/>
      <c r="I20" s="323"/>
      <c r="J20" s="27"/>
      <c r="K20" s="27"/>
      <c r="L20" s="27"/>
      <c r="M20" s="28"/>
      <c r="N20" s="29"/>
      <c r="O20" s="29"/>
      <c r="P20" s="148"/>
      <c r="Q20" s="149"/>
    </row>
    <row r="21" spans="1:17" s="2" customFormat="1" ht="12" customHeight="1" x14ac:dyDescent="0.25">
      <c r="A21" s="4">
        <v>701</v>
      </c>
      <c r="B21" s="2">
        <v>2</v>
      </c>
      <c r="C21" s="123" t="s">
        <v>3888</v>
      </c>
      <c r="D21" s="325" t="str">
        <f>VLOOKUP(C21,Extrusion!B:C,2,0)</f>
        <v>APPROVED EL 9/25</v>
      </c>
      <c r="E21" s="326"/>
      <c r="F21" s="108" t="str">
        <f ca="1">VLOOKUP(C21,Extrusion!B:N,5,0)</f>
        <v>YES</v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4</v>
      </c>
      <c r="P21" s="51">
        <f>VLOOKUP(C21,Extrusion!B:G,4,0)</f>
        <v>0</v>
      </c>
      <c r="Q21" s="52">
        <f>B21*P21</f>
        <v>0</v>
      </c>
    </row>
    <row r="22" spans="1:17" s="2" customFormat="1" ht="12" customHeight="1" thickBot="1" x14ac:dyDescent="0.3">
      <c r="A22" s="4">
        <v>702</v>
      </c>
      <c r="B22" s="2">
        <v>1</v>
      </c>
      <c r="C22" s="123" t="s">
        <v>3890</v>
      </c>
      <c r="D22" s="325" t="str">
        <f>VLOOKUP(C22,Extrusion!B:C,2,0)</f>
        <v>HOLD (EL 9/3)</v>
      </c>
      <c r="E22" s="326"/>
      <c r="F22" s="108" t="str">
        <f ca="1">VLOOKUP(C22,Extrusion!B:N,5,0)</f>
        <v>YES</v>
      </c>
      <c r="G22" s="108">
        <f>VLOOKUP(C22,Extrusion!B:N,6,0)</f>
        <v>1</v>
      </c>
      <c r="H22" s="108">
        <f>VLOOKUP(C22,Extrusion!B:N,7,0)</f>
        <v>0</v>
      </c>
      <c r="I22" s="109"/>
      <c r="J22" s="46" t="str">
        <f>VLOOKUP(C22,Extrusion!B:N,8,0)</f>
        <v>T-Slots</v>
      </c>
      <c r="K22" s="46">
        <f>VLOOKUP(C22,Extrusion!B:N,9,0)</f>
        <v>0</v>
      </c>
      <c r="L22" s="46">
        <f>VLOOKUP(C22,Extrusion!B:N,10,0)</f>
        <v>0</v>
      </c>
      <c r="M22" s="46">
        <f>VLOOKUP(C22,Extrusion!B:N,11,0)</f>
        <v>0</v>
      </c>
      <c r="N22" s="47">
        <f>VLOOKUP(C22,Extrusion!B:O,12,0)</f>
        <v>0</v>
      </c>
      <c r="O22" s="47">
        <f ca="1">B22*$L$2</f>
        <v>2</v>
      </c>
      <c r="P22" s="51">
        <f>VLOOKUP(C22,Extrusion!B:G,4,0)</f>
        <v>0</v>
      </c>
      <c r="Q22" s="52">
        <f>B22*P22</f>
        <v>0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SUM(Q5:Q22)</f>
        <v>48</v>
      </c>
    </row>
  </sheetData>
  <mergeCells count="35"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17:E17"/>
    <mergeCell ref="D9:E9"/>
    <mergeCell ref="H9:I9"/>
    <mergeCell ref="D10:E10"/>
    <mergeCell ref="H10:I10"/>
    <mergeCell ref="D11:E11"/>
    <mergeCell ref="H11:I11"/>
    <mergeCell ref="D12:E12"/>
    <mergeCell ref="H12:I12"/>
    <mergeCell ref="D16:E16"/>
    <mergeCell ref="D13:E13"/>
    <mergeCell ref="H13:I13"/>
    <mergeCell ref="D14:E14"/>
    <mergeCell ref="H14:I14"/>
    <mergeCell ref="D15:E15"/>
    <mergeCell ref="H15:I15"/>
    <mergeCell ref="D23:E23"/>
    <mergeCell ref="H23:I23"/>
    <mergeCell ref="D18:E18"/>
    <mergeCell ref="D19:E19"/>
    <mergeCell ref="D20:E20"/>
    <mergeCell ref="H20:I20"/>
    <mergeCell ref="D21:E21"/>
    <mergeCell ref="D22:E22"/>
  </mergeCells>
  <conditionalFormatting sqref="M6 M9 M15:M22">
    <cfRule type="cellIs" dxfId="1368" priority="5" stopIfTrue="1" operator="lessThanOrEqual">
      <formula>$L6</formula>
    </cfRule>
    <cfRule type="cellIs" dxfId="1367" priority="6" operator="greaterThan">
      <formula>L6</formula>
    </cfRule>
  </conditionalFormatting>
  <conditionalFormatting sqref="M10:M11">
    <cfRule type="cellIs" dxfId="1366" priority="3" stopIfTrue="1" operator="lessThanOrEqual">
      <formula>$L10</formula>
    </cfRule>
    <cfRule type="cellIs" dxfId="1365" priority="4" operator="greaterThan">
      <formula>L10</formula>
    </cfRule>
  </conditionalFormatting>
  <conditionalFormatting sqref="M12:M14">
    <cfRule type="cellIs" dxfId="1364" priority="1" stopIfTrue="1" operator="lessThanOrEqual">
      <formula>$L12</formula>
    </cfRule>
    <cfRule type="cellIs" dxfId="1363" priority="2" operator="greaterThan">
      <formula>L12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84DA763-93A2-49CE-A95B-CBFB2E837566}">
          <x14:formula1>
            <xm:f>Extrusion!$B:$B</xm:f>
          </x14:formula1>
          <xm:sqref>C21:C22</xm:sqref>
        </x14:dataValidation>
        <x14:dataValidation type="list" allowBlank="1" showInputMessage="1" showErrorMessage="1" xr:uid="{0FCC00BD-31A7-4188-9AAF-D8EB390D781A}">
          <x14:formula1>
            <xm:f>Bolts!$A:$A</xm:f>
          </x14:formula1>
          <xm:sqref>C15:C19</xm:sqref>
        </x14:dataValidation>
        <x14:dataValidation type="list" allowBlank="1" showInputMessage="1" showErrorMessage="1" xr:uid="{27DC7532-6A88-4C6E-B154-3356299DB223}">
          <x14:formula1>
            <xm:f>Assemblies!$E:$E</xm:f>
          </x14:formula1>
          <xm:sqref>C5</xm:sqref>
        </x14:dataValidation>
        <x14:dataValidation type="list" allowBlank="1" showInputMessage="1" showErrorMessage="1" xr:uid="{DD893896-5754-40E7-92D0-61CD39B6109C}">
          <x14:formula1>
            <xm:f>Machined!$C:$C</xm:f>
          </x14:formula1>
          <xm:sqref>C6:C8</xm:sqref>
        </x14:dataValidation>
        <x14:dataValidation type="list" allowBlank="1" showInputMessage="1" showErrorMessage="1" xr:uid="{943ED046-5FFB-405A-B75E-F2EC0478FF0E}">
          <x14:formula1>
            <xm:f>Purchased!$A:$A</xm:f>
          </x14:formula1>
          <xm:sqref>C9:C14</xm:sqref>
        </x14:dataValidation>
      </x14:dataValidations>
    </ext>
  </extLst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4A1D3-09E7-4BDE-ADE7-62C52CFE437E}">
  <sheetPr codeName="Sheet264">
    <tabColor theme="6" tint="0.39997558519241921"/>
  </sheetPr>
  <dimension ref="A1:Q11"/>
  <sheetViews>
    <sheetView zoomScale="115" zoomScaleNormal="115" workbookViewId="0">
      <selection activeCell="D7" sqref="D7:Q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'4.7'!C5</f>
        <v>PG10.4.7.1.0.A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'4.7'!D5</f>
        <v>Printer Head Assy</v>
      </c>
      <c r="D3" s="85" t="s">
        <v>50</v>
      </c>
      <c r="E3" s="86" t="str">
        <f ca="1">MID(CELL("filename",A1),FIND("]",CELL("filename",A1))+1,256)</f>
        <v>4.7.1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3678</v>
      </c>
      <c r="D5" s="314" t="str">
        <f>VLOOKUP(C5,Machined!C:X,2,0)</f>
        <v>Print Head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Xometry</v>
      </c>
      <c r="H5" s="320" t="str">
        <f>IF(VLOOKUP($C5,Machined!C:Z,17,0) = 0, " ", VLOOKUP($C5,Machined!C:Z,17,0))</f>
        <v xml:space="preserve"> </v>
      </c>
      <c r="I5" s="321"/>
      <c r="J5" s="44" t="str">
        <f>IF(VLOOKUP($C5,Machined!C:Z,18,0) = 0, " ", VLOOKUP($C5,Machined!C:Z,18,0))</f>
        <v>N/A</v>
      </c>
      <c r="K5" s="44">
        <f>IF(VLOOKUP($C5,Machined!C:Z,19,0) = 0, " ", VLOOKUP($C5,Machined!C:Z,19,0))</f>
        <v>45560</v>
      </c>
      <c r="L5" s="44">
        <f>IF(VLOOKUP($C5,Machined!C:Z,20,0) = 0, " ", VLOOKUP($C5,Machined!C:Z,20,0))</f>
        <v>45576</v>
      </c>
      <c r="M5" s="44">
        <f>IF(VLOOKUP($C5,Machined!C:Z,21,0) = 0, " ", VLOOKUP($C5,Machined!C:Z,21,0))</f>
        <v>45576</v>
      </c>
      <c r="N5" s="129">
        <f>IF(VLOOKUP($C5,Machined!C:Z,22,0) = 0, " ", VLOOKUP($C5,Machined!C:Z,22,0))</f>
        <v>55761</v>
      </c>
      <c r="O5" s="45">
        <f ca="1">B5*$L$2</f>
        <v>2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 t="s">
        <v>3891</v>
      </c>
      <c r="D7" s="325" t="str">
        <f>VLOOKUP(C7,Purchased!A:B,2,0)</f>
        <v>Leibinger Print Head Collar Mount</v>
      </c>
      <c r="E7" s="326"/>
      <c r="F7" s="108" t="str">
        <f>IF(VLOOKUP($C7,Purchased!A:Z,11,0) = 0, " ", VLOOKUP($C7,Purchased!A:Z,11,0))</f>
        <v>Leibinger</v>
      </c>
      <c r="G7" s="108" t="str">
        <f>IF(VLOOKUP($C7,Purchased!A:Z,12,0)=0, " ", VLOOKUP($C7,Purchased!A:Z,12,0))</f>
        <v>PLASCON</v>
      </c>
      <c r="H7" s="327" t="str">
        <f>IF(VLOOKUP($C7,Purchased!A:Z,13,0)=0, " ", VLOOKUP($C7,Purchased!A:Z,13,0))</f>
        <v xml:space="preserve">Plascon to Supply </v>
      </c>
      <c r="I7" s="328"/>
      <c r="J7" s="46" t="str">
        <f>IF(VLOOKUP($C7,Purchased!A:Z,14,0)=0, " ", VLOOKUP($C7,Purchased!A:Z,14,0))</f>
        <v>N/A</v>
      </c>
      <c r="K7" s="46" t="str">
        <f>IF(VLOOKUP(C7,Purchased!A:R,14,0)=0, " ", VLOOKUP(C7,Purchased!A:R,14,0))</f>
        <v>N/A</v>
      </c>
      <c r="L7" s="46" t="str">
        <f>IF(VLOOKUP(C7,Purchased!A:R,15,0)=0, " ", VLOOKUP(C7,Purchased!A:R,15,0))</f>
        <v>N/A</v>
      </c>
      <c r="M7" s="46" t="str">
        <f>IF(VLOOKUP(C7,Purchased!A:R,16,0)=0, " ",VLOOKUP(C7,Purchased!A:R,16,0))</f>
        <v>N/A</v>
      </c>
      <c r="N7" s="130" t="str">
        <f>IF(VLOOKUP(C7,Purchased!A:R,17,0)=0, " ", VLOOKUP(C7,Purchased!A:R,17,0))</f>
        <v>N/A</v>
      </c>
      <c r="O7" s="47">
        <f ca="1">B7*$L$2</f>
        <v>2</v>
      </c>
      <c r="P7" s="51">
        <f>VLOOKUP(C7,Purchased!A:D,3,FALSE)</f>
        <v>0</v>
      </c>
      <c r="Q7" s="52">
        <f>B7*P7</f>
        <v>0</v>
      </c>
    </row>
    <row r="8" spans="1:17" s="2" customFormat="1" ht="12" customHeight="1" x14ac:dyDescent="0.25">
      <c r="A8" s="4">
        <v>302</v>
      </c>
      <c r="B8" s="2">
        <v>2</v>
      </c>
      <c r="C8" s="135" t="s">
        <v>178</v>
      </c>
      <c r="D8" s="325" t="str">
        <f>VLOOKUP(C8,Purchased!A:B,2,0)</f>
        <v>10mm Dia 20mm L Steel Dowel Pin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>3 Additional Quantity Added to 55697</v>
      </c>
      <c r="I8" s="328"/>
      <c r="J8" s="46">
        <f>IF(VLOOKUP($C8,Purchased!A:Z,14,0)=0, " ", VLOOKUP($C8,Purchased!A:Z,14,0))</f>
        <v>45481</v>
      </c>
      <c r="K8" s="46">
        <f>IF(VLOOKUP(C8,Purchased!A:R,14,0)=0, " ", VLOOKUP(C8,Purchased!A:R,14,0))</f>
        <v>45481</v>
      </c>
      <c r="L8" s="46">
        <f>IF(VLOOKUP(C8,Purchased!A:R,15,0)=0, " ", VLOOKUP(C8,Purchased!A:R,15,0))</f>
        <v>45481</v>
      </c>
      <c r="M8" s="46">
        <f>IF(VLOOKUP(C8,Purchased!A:R,16,0)=0, " ",VLOOKUP(C8,Purchased!A:R,16,0))</f>
        <v>45482</v>
      </c>
      <c r="N8" s="130">
        <f>IF(VLOOKUP(C8,Purchased!A:R,17,0)=0, " ", VLOOKUP(C8,Purchased!A:R,17,0))</f>
        <v>45482</v>
      </c>
      <c r="O8" s="47">
        <f ca="1">B8*$L$2</f>
        <v>4</v>
      </c>
      <c r="P8" s="51">
        <f>VLOOKUP(C8,Purchased!A:D,3,FALSE)</f>
        <v>10.57</v>
      </c>
      <c r="Q8" s="52">
        <f>B8*P8</f>
        <v>21.14</v>
      </c>
    </row>
    <row r="9" spans="1:17" s="2" customFormat="1" ht="12" customHeight="1" x14ac:dyDescent="0.25">
      <c r="A9" s="4">
        <v>303</v>
      </c>
      <c r="B9" s="2">
        <v>1</v>
      </c>
      <c r="C9" s="135" t="s">
        <v>193</v>
      </c>
      <c r="D9" s="325" t="str">
        <f>VLOOKUP(C9,Purchased!A:B,2,0)</f>
        <v>GN 300.1-45-M6-16-SW M6 adjustable handle w threaded bolt</v>
      </c>
      <c r="E9" s="326"/>
      <c r="F9" s="108" t="str">
        <f>IF(VLOOKUP($C9,Purchased!A:Z,11,0) = 0, " ", VLOOKUP($C9,Purchased!A:Z,11,0))</f>
        <v>ELESA</v>
      </c>
      <c r="G9" s="108" t="str">
        <f>IF(VLOOKUP($C9,Purchased!A:Z,12,0)=0, " ", VLOOKUP($C9,Purchased!A:Z,12,0))</f>
        <v>ELESA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45506</v>
      </c>
      <c r="K9" s="46">
        <f>IF(VLOOKUP(C9,Purchased!A:R,14,0)=0, " ", VLOOKUP(C9,Purchased!A:R,14,0))</f>
        <v>45506</v>
      </c>
      <c r="L9" s="46">
        <f>IF(VLOOKUP(C9,Purchased!A:R,15,0)=0, " ", VLOOKUP(C9,Purchased!A:R,15,0))</f>
        <v>45526</v>
      </c>
      <c r="M9" s="46">
        <f>IF(VLOOKUP(C9,Purchased!A:R,16,0)=0, " ",VLOOKUP(C9,Purchased!A:R,16,0))</f>
        <v>45551</v>
      </c>
      <c r="N9" s="130">
        <f>IF(VLOOKUP(C9,Purchased!A:R,17,0)=0, " ", VLOOKUP(C9,Purchased!A:R,17,0))</f>
        <v>45551</v>
      </c>
      <c r="O9" s="47">
        <f ca="1">B9*$L$2</f>
        <v>2</v>
      </c>
      <c r="P9" s="51">
        <f>VLOOKUP(C9,Purchased!A:D,3,FALSE)</f>
        <v>8.58</v>
      </c>
      <c r="Q9" s="52">
        <f>B9*P9</f>
        <v>8.58</v>
      </c>
    </row>
    <row r="10" spans="1:17" s="2" customFormat="1" ht="12" customHeight="1" thickBot="1" x14ac:dyDescent="0.3">
      <c r="A10" s="4">
        <v>304</v>
      </c>
      <c r="B10" s="2">
        <v>1</v>
      </c>
      <c r="C10" s="135">
        <v>3842529323</v>
      </c>
      <c r="D10" s="325" t="str">
        <f>VLOOKUP(C10,Purchased!A:B,2,0)</f>
        <v>BRX 3842529323 - M6 SLIDING BLOCK</v>
      </c>
      <c r="E10" s="326"/>
      <c r="F10" s="108" t="str">
        <f>IF(VLOOKUP($C10,Purchased!A:Z,11,0) = 0, " ", VLOOKUP($C10,Purchased!A:Z,11,0))</f>
        <v>BRX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 t="str">
        <f>IF(VLOOKUP($C10,Purchased!A:Z,14,0)=0, " ", VLOOKUP($C10,Purchased!A:Z,14,0))</f>
        <v xml:space="preserve"> </v>
      </c>
      <c r="K10" s="46" t="str">
        <f>IF(VLOOKUP(C10,Purchased!A:R,14,0)=0, " ", VLOOKUP(C10,Purchased!A:R,14,0))</f>
        <v xml:space="preserve"> </v>
      </c>
      <c r="L10" s="46">
        <f>IF(VLOOKUP(C10,Purchased!A:R,15,0)=0, " ", VLOOKUP(C10,Purchased!A:R,15,0))</f>
        <v>45532</v>
      </c>
      <c r="M10" s="46">
        <f>IF(VLOOKUP(C10,Purchased!A:R,16,0)=0, " ",VLOOKUP(C10,Purchased!A:R,16,0))</f>
        <v>45561</v>
      </c>
      <c r="N10" s="130" t="str">
        <f>IF(VLOOKUP(C10,Purchased!A:R,17,0)=0, " ", VLOOKUP(C10,Purchased!A:R,17,0))</f>
        <v xml:space="preserve"> </v>
      </c>
      <c r="O10" s="47">
        <f ca="1">B10*$L$2</f>
        <v>2</v>
      </c>
      <c r="P10" s="51">
        <f>VLOOKUP(C10,Purchased!A:D,3,FALSE)</f>
        <v>0.86</v>
      </c>
      <c r="Q10" s="52">
        <f>B10*P10</f>
        <v>0.86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30.58</v>
      </c>
    </row>
  </sheetData>
  <mergeCells count="17">
    <mergeCell ref="D5:E5"/>
    <mergeCell ref="H5:I5"/>
    <mergeCell ref="D1:E1"/>
    <mergeCell ref="D4:E4"/>
    <mergeCell ref="H4:I4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</mergeCells>
  <conditionalFormatting sqref="M6">
    <cfRule type="cellIs" dxfId="1362" priority="5" stopIfTrue="1" operator="lessThanOrEqual">
      <formula>$L6</formula>
    </cfRule>
    <cfRule type="cellIs" dxfId="1361" priority="6" operator="greaterThan">
      <formula>L6</formula>
    </cfRule>
  </conditionalFormatting>
  <conditionalFormatting sqref="M7:M8">
    <cfRule type="cellIs" dxfId="1360" priority="3" stopIfTrue="1" operator="lessThanOrEqual">
      <formula>$L7</formula>
    </cfRule>
    <cfRule type="cellIs" dxfId="1359" priority="4" operator="greaterThan">
      <formula>L7</formula>
    </cfRule>
  </conditionalFormatting>
  <conditionalFormatting sqref="M9:M10">
    <cfRule type="cellIs" dxfId="1358" priority="1" stopIfTrue="1" operator="lessThanOrEqual">
      <formula>$L9</formula>
    </cfRule>
    <cfRule type="cellIs" dxfId="1357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67C83C-88BD-4909-A900-57691CDF0609}">
          <x14:formula1>
            <xm:f>Machined!$C:$C</xm:f>
          </x14:formula1>
          <xm:sqref>C5</xm:sqref>
        </x14:dataValidation>
        <x14:dataValidation type="list" allowBlank="1" showInputMessage="1" showErrorMessage="1" xr:uid="{5B7D80BC-526E-4191-A8C2-FDFCB963E751}">
          <x14:formula1>
            <xm:f>Purchased!$A:$A</xm:f>
          </x14:formula1>
          <xm:sqref>C6:C10</xm:sqref>
        </x14:dataValidation>
      </x14:dataValidations>
    </ext>
  </extLst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37A-C101-4F51-A509-A4FE030E562F}">
  <sheetPr codeName="Sheet119">
    <tabColor theme="5" tint="0.59999389629810485"/>
  </sheetPr>
  <dimension ref="A1:Q23"/>
  <sheetViews>
    <sheetView zoomScale="115" zoomScaleNormal="115" workbookViewId="0">
      <selection activeCell="F18" sqref="F18:Q1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'0'!C9</f>
        <v>PG10.5.0.A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'0'!D9</f>
        <v>Cuff Insert Assy</v>
      </c>
      <c r="D3" s="85" t="s">
        <v>50</v>
      </c>
      <c r="E3" s="86" t="str">
        <f ca="1">MID(CELL("filename",A1),FIND("]",CELL("filename",A1))+1,256)</f>
        <v>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673</v>
      </c>
      <c r="D5" s="336" t="str">
        <f ca="1">VLOOKUP(C5,Assemblies!E:P,2,0)</f>
        <v>Cuff IO Enclosure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0" ca="1" si="0">B5*$L$2</f>
        <v>1</v>
      </c>
      <c r="P5" s="147">
        <f>'0.4'!Q22</f>
        <v>6969.52</v>
      </c>
      <c r="Q5" s="118">
        <f t="shared" ref="Q5:Q10" si="1">B5*P5</f>
        <v>6969.52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674</v>
      </c>
      <c r="D6" s="314" t="str">
        <f ca="1">VLOOKUP(C6,Assemblies!E:P,2,0)</f>
        <v>Cuff Drive Enclosure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'0.5'!Q15</f>
        <v>416.15000000000003</v>
      </c>
      <c r="Q6" s="103">
        <f t="shared" si="1"/>
        <v>416.15000000000003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675</v>
      </c>
      <c r="D7" s="314" t="str">
        <f ca="1">VLOOKUP(C7,Assemblies!E:P,2,0)</f>
        <v>Cuff Bowl Frame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'5.1'!Q26</f>
        <v>3094.0165999999999</v>
      </c>
      <c r="Q7" s="103">
        <f t="shared" si="1"/>
        <v>3094.0165999999999</v>
      </c>
    </row>
    <row r="8" spans="1:17" s="2" customFormat="1" ht="12.75" customHeight="1" x14ac:dyDescent="0.2">
      <c r="A8" s="150" t="s">
        <v>60</v>
      </c>
      <c r="B8" s="1">
        <v>1</v>
      </c>
      <c r="C8" s="145" t="s">
        <v>676</v>
      </c>
      <c r="D8" s="314" t="str">
        <f ca="1">VLOOKUP(C8,Assemblies!E:P,2,0)</f>
        <v>Cuff Bowl Feeder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'5.2'!Q23</f>
        <v>37449.61</v>
      </c>
      <c r="Q8" s="103">
        <f t="shared" si="1"/>
        <v>37449.61</v>
      </c>
    </row>
    <row r="9" spans="1:17" s="2" customFormat="1" ht="12.75" customHeight="1" x14ac:dyDescent="0.2">
      <c r="A9" s="150" t="s">
        <v>62</v>
      </c>
      <c r="B9" s="1">
        <v>1</v>
      </c>
      <c r="C9" s="145" t="s">
        <v>677</v>
      </c>
      <c r="D9" s="314" t="str">
        <f ca="1">VLOOKUP(C9,Assemblies!E:P,2,0)</f>
        <v>Cuff Insert Frame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1</v>
      </c>
      <c r="P9" s="147">
        <f>'5.3'!Q93</f>
        <v>13380.195199999996</v>
      </c>
      <c r="Q9" s="103">
        <f t="shared" si="1"/>
        <v>13380.195199999996</v>
      </c>
    </row>
    <row r="10" spans="1:17" s="2" customFormat="1" ht="12.75" customHeight="1" x14ac:dyDescent="0.2">
      <c r="A10" s="150" t="s">
        <v>64</v>
      </c>
      <c r="B10" s="1">
        <v>1</v>
      </c>
      <c r="C10" s="145" t="s">
        <v>678</v>
      </c>
      <c r="D10" s="314" t="str">
        <f ca="1">VLOOKUP(C10,Assemblies!E:P,2,0)</f>
        <v>Cuff Conveyors Assy</v>
      </c>
      <c r="E10" s="315"/>
      <c r="F10" s="32"/>
      <c r="G10" s="32"/>
      <c r="H10" s="32"/>
      <c r="I10" s="32"/>
      <c r="J10" s="28"/>
      <c r="K10" s="28"/>
      <c r="L10" s="28"/>
      <c r="M10" s="28"/>
      <c r="N10" s="33"/>
      <c r="O10" s="146">
        <f t="shared" ca="1" si="0"/>
        <v>1</v>
      </c>
      <c r="P10" s="147">
        <f>'5.4'!Q22</f>
        <v>10582.041999999999</v>
      </c>
      <c r="Q10" s="103">
        <f t="shared" si="1"/>
        <v>10582.041999999999</v>
      </c>
    </row>
    <row r="11" spans="1:17" s="2" customFormat="1" ht="12.75" customHeight="1" x14ac:dyDescent="0.2">
      <c r="A11" s="150" t="s">
        <v>66</v>
      </c>
      <c r="B11" s="1">
        <v>1</v>
      </c>
      <c r="C11" s="145" t="s">
        <v>679</v>
      </c>
      <c r="D11" s="314" t="str">
        <f ca="1">VLOOKUP(C11,Assemblies!E:P,2,0)</f>
        <v>Cuff Lift Assy A Side</v>
      </c>
      <c r="E11" s="315"/>
      <c r="F11" s="32"/>
      <c r="G11" s="32"/>
      <c r="H11" s="32"/>
      <c r="I11" s="32"/>
      <c r="J11" s="28"/>
      <c r="K11" s="28"/>
      <c r="L11" s="28"/>
      <c r="M11" s="28"/>
      <c r="N11" s="33"/>
      <c r="O11" s="146">
        <f t="shared" ref="O11:O13" ca="1" si="2">B11*$L$2</f>
        <v>1</v>
      </c>
      <c r="P11" s="147">
        <f>'5.5'!Q50</f>
        <v>8418.4116000000013</v>
      </c>
      <c r="Q11" s="103">
        <f t="shared" ref="Q11:Q13" si="3">B11*P11</f>
        <v>8418.4116000000013</v>
      </c>
    </row>
    <row r="12" spans="1:17" s="2" customFormat="1" ht="12.75" customHeight="1" x14ac:dyDescent="0.2">
      <c r="A12" s="150" t="s">
        <v>68</v>
      </c>
      <c r="B12" s="1">
        <v>1</v>
      </c>
      <c r="C12" s="145" t="s">
        <v>680</v>
      </c>
      <c r="D12" s="314" t="str">
        <f ca="1">VLOOKUP(C12,Assemblies!E:P,2,0)</f>
        <v>Cuft Lift Assy B Side</v>
      </c>
      <c r="E12" s="315"/>
      <c r="F12" s="32"/>
      <c r="G12" s="32"/>
      <c r="H12" s="32"/>
      <c r="I12" s="32"/>
      <c r="J12" s="28"/>
      <c r="K12" s="28"/>
      <c r="L12" s="28"/>
      <c r="M12" s="28"/>
      <c r="N12" s="33"/>
      <c r="O12" s="146">
        <f t="shared" ca="1" si="2"/>
        <v>1</v>
      </c>
      <c r="P12" s="147">
        <f>'5.6'!Q50</f>
        <v>8404.1316000000006</v>
      </c>
      <c r="Q12" s="103">
        <f t="shared" si="3"/>
        <v>8404.1316000000006</v>
      </c>
    </row>
    <row r="13" spans="1:17" s="2" customFormat="1" ht="12.75" customHeight="1" x14ac:dyDescent="0.2">
      <c r="A13" s="150" t="s">
        <v>70</v>
      </c>
      <c r="B13" s="1">
        <v>2</v>
      </c>
      <c r="C13" s="145" t="s">
        <v>681</v>
      </c>
      <c r="D13" s="314" t="str">
        <f ca="1">VLOOKUP(C13,Assemblies!E:P,2,0)</f>
        <v>Cuff Seal Assy</v>
      </c>
      <c r="E13" s="315"/>
      <c r="F13" s="32"/>
      <c r="G13" s="32"/>
      <c r="H13" s="32"/>
      <c r="I13" s="32"/>
      <c r="J13" s="28"/>
      <c r="K13" s="28"/>
      <c r="L13" s="28"/>
      <c r="M13" s="28"/>
      <c r="N13" s="33"/>
      <c r="O13" s="146">
        <f t="shared" ca="1" si="2"/>
        <v>2</v>
      </c>
      <c r="P13" s="147">
        <f>'5.7'!Q34</f>
        <v>7124.7565999999988</v>
      </c>
      <c r="Q13" s="103">
        <f t="shared" si="3"/>
        <v>14249.513199999998</v>
      </c>
    </row>
    <row r="14" spans="1:17" s="2" customFormat="1" ht="12.75" customHeight="1" x14ac:dyDescent="0.2">
      <c r="A14" s="150" t="s">
        <v>72</v>
      </c>
      <c r="B14" s="1">
        <v>1</v>
      </c>
      <c r="C14" s="145" t="s">
        <v>682</v>
      </c>
      <c r="D14" s="314" t="str">
        <f ca="1">VLOOKUP(C14,Assemblies!E:P,2,0)</f>
        <v>Cuff IO Secondary Enclosure</v>
      </c>
      <c r="E14" s="315"/>
      <c r="F14" s="32"/>
      <c r="G14" s="32"/>
      <c r="H14" s="32"/>
      <c r="I14" s="32"/>
      <c r="J14" s="28"/>
      <c r="K14" s="28"/>
      <c r="L14" s="28"/>
      <c r="M14" s="28"/>
      <c r="N14" s="33"/>
      <c r="O14" s="146">
        <f ca="1">B14*$L$2</f>
        <v>1</v>
      </c>
      <c r="P14" s="147">
        <f>'0.12'!Q13</f>
        <v>0</v>
      </c>
      <c r="Q14" s="103">
        <f>B14*P14</f>
        <v>0</v>
      </c>
    </row>
    <row r="15" spans="1:17" s="2" customFormat="1" ht="12.75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.75" customHeight="1" x14ac:dyDescent="0.25">
      <c r="A16" s="77">
        <v>1</v>
      </c>
      <c r="B16" s="20"/>
      <c r="C16" s="121"/>
      <c r="D16" s="314" t="e">
        <f>VLOOKUP(C16,Machined!C:X,2,0)</f>
        <v>#N/A</v>
      </c>
      <c r="E16" s="329"/>
      <c r="F16" s="107" t="e">
        <f>VLOOKUP($C16,Machined!$C:$X,6,0)</f>
        <v>#N/A</v>
      </c>
      <c r="G16" s="107" t="e">
        <f>VLOOKUP($C16,Machined!$C:$X,7,0)</f>
        <v>#N/A</v>
      </c>
      <c r="H16" s="320" t="e">
        <f>VLOOKUP($C16,Machined!C:Z,13)</f>
        <v>#N/A</v>
      </c>
      <c r="I16" s="321"/>
      <c r="J16" s="44" t="e">
        <f>VLOOKUP($C16,Machined!$C:$X,9)</f>
        <v>#N/A</v>
      </c>
      <c r="K16" s="44" t="e">
        <f>VLOOKUP($C16,Machined!$C:$X,10)</f>
        <v>#N/A</v>
      </c>
      <c r="L16" s="44" t="e">
        <f>VLOOKUP($C16,Machined!$C:$X,11)</f>
        <v>#N/A</v>
      </c>
      <c r="M16" s="44" t="e">
        <f>VLOOKUP($C16,Machined!$C:$X,12)</f>
        <v>#N/A</v>
      </c>
      <c r="N16" s="129" t="e">
        <f>VLOOKUP($C16,Machined!$C:$X,13)</f>
        <v>#N/A</v>
      </c>
      <c r="O16" s="45">
        <f ca="1">B16*$L$2</f>
        <v>0</v>
      </c>
      <c r="P16" s="49" t="e">
        <f>VLOOKUP(C16,Machined!C:F,3,0)</f>
        <v>#N/A</v>
      </c>
      <c r="Q16" s="50" t="e">
        <f>B16*P16</f>
        <v>#N/A</v>
      </c>
    </row>
    <row r="17" spans="1:17" s="2" customFormat="1" ht="12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" customHeight="1" x14ac:dyDescent="0.25">
      <c r="A18" s="4">
        <v>301</v>
      </c>
      <c r="C18" s="135"/>
      <c r="D18" s="325" t="e">
        <f>VLOOKUP(C18,Purchased!A:B,2,0)</f>
        <v>#N/A</v>
      </c>
      <c r="E18" s="326"/>
      <c r="F18" s="108" t="e">
        <f>IF(VLOOKUP($C18,Purchased!A:Z,11,0) = 0, " ", VLOOKUP($C18,Purchased!A:Z,11,0))</f>
        <v>#N/A</v>
      </c>
      <c r="G18" s="108" t="e">
        <f>IF(VLOOKUP($C18,Purchased!A:Z,12,0)=0, " ", VLOOKUP($C18,Purchased!A:Z,12,0))</f>
        <v>#N/A</v>
      </c>
      <c r="H18" s="327" t="e">
        <f>IF(VLOOKUP($C18,Purchased!A:Z,13,0)=0, " ", VLOOKUP($C18,Purchased!A:Z,13,0))</f>
        <v>#N/A</v>
      </c>
      <c r="I18" s="328"/>
      <c r="J18" s="46" t="e">
        <f>IF(VLOOKUP($C18,Purchased!A:Z,14,0)=0, " ", VLOOKUP($C18,Purchased!A:Z,14,0))</f>
        <v>#N/A</v>
      </c>
      <c r="K18" s="46" t="e">
        <f>IF(VLOOKUP(C18,Purchased!A:R,14,0)=0, " ", VLOOKUP(C18,Purchased!A:R,14,0))</f>
        <v>#N/A</v>
      </c>
      <c r="L18" s="46" t="e">
        <f>IF(VLOOKUP(C18,Purchased!A:R,15,0)=0, " ", VLOOKUP(C18,Purchased!A:R,15,0))</f>
        <v>#N/A</v>
      </c>
      <c r="M18" s="46" t="e">
        <f>IF(VLOOKUP(C18,Purchased!A:R,16,0)=0, " ",VLOOKUP(C18,Purchased!A:R,16,0))</f>
        <v>#N/A</v>
      </c>
      <c r="N18" s="130" t="e">
        <f>IF(VLOOKUP(C18,Purchased!A:R,17,0)=0, " ", VLOOKUP(C18,Purchased!A:R,17,0))</f>
        <v>#N/A</v>
      </c>
      <c r="O18" s="47">
        <f t="shared" ref="O18" ca="1" si="4">B18*$L$2</f>
        <v>0</v>
      </c>
      <c r="P18" s="51" t="e">
        <f>VLOOKUP(C18,Purchased!A:D,3,FALSE)</f>
        <v>#N/A</v>
      </c>
      <c r="Q18" s="52" t="e">
        <f t="shared" ref="Q18" si="5">B18*P18</f>
        <v>#N/A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501</v>
      </c>
      <c r="C20" s="122"/>
      <c r="D20" s="325"/>
      <c r="E20" s="326"/>
      <c r="F20" s="108" t="e">
        <f>VLOOKUP(C20,Bolts!A:L,5,0)</f>
        <v>#N/A</v>
      </c>
      <c r="G20" s="108" t="e">
        <f>VLOOKUP(C20,Bolts!A:L,6,0)</f>
        <v>#N/A</v>
      </c>
      <c r="H20" s="108" t="e">
        <f>VLOOKUP(C20,Bolts!A:L,7,0)</f>
        <v>#N/A</v>
      </c>
      <c r="I20" s="109"/>
      <c r="J20" s="46" t="e">
        <f>VLOOKUP(C20,Bolts!A:L,8,0)</f>
        <v>#N/A</v>
      </c>
      <c r="K20" s="46" t="e">
        <f>VLOOKUP(C20,Bolts!A:L,9,0)</f>
        <v>#N/A</v>
      </c>
      <c r="L20" s="46" t="e">
        <f>VLOOKUP(C20,Bolts!A:L,10,0)</f>
        <v>#N/A</v>
      </c>
      <c r="M20" s="46" t="e">
        <f>VLOOKUP(C20,Bolts!A:L,11,0)</f>
        <v>#N/A</v>
      </c>
      <c r="N20" s="130" t="e">
        <f>VLOOKUP(C20,Bolts!A:L,12,0)</f>
        <v>#N/A</v>
      </c>
      <c r="O20" s="47">
        <f t="shared" ref="O20" ca="1" si="6">B20*$L$2</f>
        <v>0</v>
      </c>
      <c r="P20" s="51" t="e">
        <f>VLOOKUP(C20,Bolts!A:B,2,FALSE)</f>
        <v>#N/A</v>
      </c>
      <c r="Q20" s="52" t="e">
        <f t="shared" ref="Q20" si="7">B20*P20</f>
        <v>#N/A</v>
      </c>
    </row>
    <row r="21" spans="1:17" s="2" customFormat="1" ht="12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" customHeight="1" thickBot="1" x14ac:dyDescent="0.3">
      <c r="A22" s="4">
        <v>701</v>
      </c>
      <c r="C22" s="123"/>
      <c r="D22" s="325" t="e">
        <f>VLOOKUP(C22,Extrusion!B:C,2,0)</f>
        <v>#N/A</v>
      </c>
      <c r="E22" s="326"/>
      <c r="F22" s="108" t="e">
        <f>VLOOKUP(C22,Extrusion!B:N,5,0)</f>
        <v>#N/A</v>
      </c>
      <c r="G22" s="108" t="e">
        <f>VLOOKUP(C22,Extrusion!B:N,6,0)</f>
        <v>#N/A</v>
      </c>
      <c r="H22" s="108" t="e">
        <f>VLOOKUP(C22,Extrusion!B:N,7,0)</f>
        <v>#N/A</v>
      </c>
      <c r="I22" s="109"/>
      <c r="J22" s="46" t="e">
        <f>VLOOKUP(C22,Extrusion!B:N,8,0)</f>
        <v>#N/A</v>
      </c>
      <c r="K22" s="46" t="e">
        <f>VLOOKUP(C22,Extrusion!B:N,9,0)</f>
        <v>#N/A</v>
      </c>
      <c r="L22" s="46" t="e">
        <f>VLOOKUP(C22,Extrusion!B:N,10,0)</f>
        <v>#N/A</v>
      </c>
      <c r="M22" s="46" t="e">
        <f>VLOOKUP(C22,Extrusion!B:N,11,0)</f>
        <v>#N/A</v>
      </c>
      <c r="N22" s="47" t="e">
        <f>VLOOKUP(C22,Extrusion!B:O,12,0)</f>
        <v>#N/A</v>
      </c>
      <c r="O22" s="47">
        <f t="shared" ref="O22" ca="1" si="8">B22*$L$2</f>
        <v>0</v>
      </c>
      <c r="P22" s="51" t="e">
        <f>VLOOKUP(C22,Extrusion!B:G,4,0)</f>
        <v>#N/A</v>
      </c>
      <c r="Q22" s="52" t="e">
        <f t="shared" ref="Q22" si="9">B22*P22</f>
        <v>#N/A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SUM(Q5:Q14)</f>
        <v>102963.59019999999</v>
      </c>
    </row>
  </sheetData>
  <sheetProtection selectLockedCells="1"/>
  <mergeCells count="34">
    <mergeCell ref="D20:E20"/>
    <mergeCell ref="D23:E23"/>
    <mergeCell ref="H23:I23"/>
    <mergeCell ref="D11:E11"/>
    <mergeCell ref="D12:E12"/>
    <mergeCell ref="D13:E13"/>
    <mergeCell ref="D21:E21"/>
    <mergeCell ref="H21:I21"/>
    <mergeCell ref="D22:E22"/>
    <mergeCell ref="D17:E17"/>
    <mergeCell ref="H17:I17"/>
    <mergeCell ref="D18:E18"/>
    <mergeCell ref="H18:I18"/>
    <mergeCell ref="D19:E19"/>
    <mergeCell ref="H19:I19"/>
    <mergeCell ref="D16:E16"/>
    <mergeCell ref="H16:I16"/>
    <mergeCell ref="D7:E7"/>
    <mergeCell ref="H7:I7"/>
    <mergeCell ref="D8:E8"/>
    <mergeCell ref="H8:I8"/>
    <mergeCell ref="D9:E9"/>
    <mergeCell ref="H9:I9"/>
    <mergeCell ref="D6:E6"/>
    <mergeCell ref="H6:I6"/>
    <mergeCell ref="D10:E10"/>
    <mergeCell ref="D15:E15"/>
    <mergeCell ref="H15:I15"/>
    <mergeCell ref="D14:E14"/>
    <mergeCell ref="D1:E1"/>
    <mergeCell ref="D4:E4"/>
    <mergeCell ref="H4:I4"/>
    <mergeCell ref="D5:E5"/>
    <mergeCell ref="H5:I5"/>
  </mergeCells>
  <conditionalFormatting sqref="M15 M17 M19:M22">
    <cfRule type="cellIs" dxfId="1356" priority="5" stopIfTrue="1" operator="lessThanOrEqual">
      <formula>$L15</formula>
    </cfRule>
    <cfRule type="cellIs" dxfId="1355" priority="6" operator="greaterThan">
      <formula>L15</formula>
    </cfRule>
  </conditionalFormatting>
  <conditionalFormatting sqref="M18">
    <cfRule type="cellIs" dxfId="1354" priority="1" stopIfTrue="1" operator="lessThanOrEqual">
      <formula>$L18</formula>
    </cfRule>
    <cfRule type="cellIs" dxfId="1353" priority="2" operator="greaterThan">
      <formula>L18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18327CD-EFA0-4712-9F49-7C38A9617C5C}">
          <x14:formula1>
            <xm:f>Extrusion!$B:$B</xm:f>
          </x14:formula1>
          <xm:sqref>C22</xm:sqref>
        </x14:dataValidation>
        <x14:dataValidation type="list" allowBlank="1" showInputMessage="1" showErrorMessage="1" xr:uid="{DEB4D257-D6B0-4D0B-B3CE-BBF4F8F60F9F}">
          <x14:formula1>
            <xm:f>Bolts!$A:$A</xm:f>
          </x14:formula1>
          <xm:sqref>C19:C20</xm:sqref>
        </x14:dataValidation>
        <x14:dataValidation type="list" allowBlank="1" showInputMessage="1" showErrorMessage="1" xr:uid="{E056B64E-70B3-465A-80F1-F5B49DF14326}">
          <x14:formula1>
            <xm:f>Assemblies!$E:$E</xm:f>
          </x14:formula1>
          <xm:sqref>C5:C14</xm:sqref>
        </x14:dataValidation>
        <x14:dataValidation type="list" allowBlank="1" showInputMessage="1" showErrorMessage="1" xr:uid="{A471B547-8D47-4385-8A03-53C48A8EA99A}">
          <x14:formula1>
            <xm:f>Machined!$C:$C</xm:f>
          </x14:formula1>
          <xm:sqref>C15:C16</xm:sqref>
        </x14:dataValidation>
        <x14:dataValidation type="list" allowBlank="1" showInputMessage="1" showErrorMessage="1" xr:uid="{CFDFD21F-EFB8-4100-AB47-321D26E44156}">
          <x14:formula1>
            <xm:f>Purchased!$A:$A</xm:f>
          </x14:formula1>
          <xm:sqref>C17:C18</xm:sqref>
        </x14:dataValidation>
      </x14:dataValidations>
    </ext>
  </extLst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D3903-36CB-4D2E-9289-BD08C7999DF8}">
  <sheetPr codeName="Sheet120">
    <tabColor theme="9" tint="0.59999389629810485"/>
  </sheetPr>
  <dimension ref="A1:Q26"/>
  <sheetViews>
    <sheetView zoomScale="115" zoomScaleNormal="115" workbookViewId="0">
      <selection activeCell="C31" sqref="C3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'5'!C7</f>
        <v>PG10.5.1.0.A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'5'!D7</f>
        <v>Cuff Bowl Frame</v>
      </c>
      <c r="D3" s="85" t="s">
        <v>50</v>
      </c>
      <c r="E3" s="86" t="str">
        <f ca="1">MID(CELL("filename",A1),FIND("]",CELL("filename",A1))+1,256)</f>
        <v>5.1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8</v>
      </c>
      <c r="C5" s="112" t="s">
        <v>683</v>
      </c>
      <c r="D5" s="336" t="str">
        <f ca="1">VLOOKUP(C5,Assemblies!E:P,2,0)</f>
        <v>M12 Leveling Foot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8</v>
      </c>
      <c r="P5" s="117">
        <f>'5.1.1'!Q11</f>
        <v>65.58</v>
      </c>
      <c r="Q5" s="118">
        <f>B5*P5</f>
        <v>524.64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2</v>
      </c>
      <c r="C7" s="121" t="s">
        <v>684</v>
      </c>
      <c r="D7" s="314" t="str">
        <f>VLOOKUP(C7,Machined!C:X,2,0)</f>
        <v>Cuff Bowl Rail Plate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45489</v>
      </c>
      <c r="K7" s="44">
        <f>IF(VLOOKUP($C7,Machined!C:Z,19,0) = 0, " ", VLOOKUP($C7,Machined!C:Z,19,0))</f>
        <v>45513</v>
      </c>
      <c r="L7" s="44">
        <f>IF(VLOOKUP($C7,Machined!C:Z,20,0) = 0, " ", VLOOKUP($C7,Machined!C:Z,20,0))</f>
        <v>45551</v>
      </c>
      <c r="M7" s="44">
        <f>IF(VLOOKUP($C7,Machined!C:Z,21,0) = 0, " ", VLOOKUP($C7,Machined!C:Z,21,0))</f>
        <v>45566</v>
      </c>
      <c r="N7" s="129">
        <f>IF(VLOOKUP($C7,Machined!C:Z,22,0) = 0, " ", VLOOKUP($C7,Machined!C:Z,22,0))</f>
        <v>55676</v>
      </c>
      <c r="O7" s="45">
        <f ca="1">B7*$L$2</f>
        <v>2</v>
      </c>
      <c r="P7" s="49">
        <f>VLOOKUP(C7,Machined!C:F,3,0)</f>
        <v>371.7</v>
      </c>
      <c r="Q7" s="50">
        <f>B7*P7</f>
        <v>743.4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2</v>
      </c>
      <c r="C9" s="135" t="s">
        <v>685</v>
      </c>
      <c r="D9" s="325" t="str">
        <f>VLOOKUP(C9,Purchased!A:B,2,0)</f>
        <v>25MM BALL RAIL, 1740MM LENGTH, T-30MM</v>
      </c>
      <c r="E9" s="326"/>
      <c r="F9" s="108" t="str">
        <f>IF(VLOOKUP($C9,Purchased!A:Z,11,0) = 0, " ", VLOOKUP($C9,Purchased!A:Z,11,0))</f>
        <v>BRL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45502</v>
      </c>
      <c r="K9" s="46">
        <f>IF(VLOOKUP(C9,Purchased!A:R,14,0)=0, " ", VLOOKUP(C9,Purchased!A:R,14,0))</f>
        <v>45502</v>
      </c>
      <c r="L9" s="46">
        <f>IF(VLOOKUP(C9,Purchased!A:R,15,0)=0, " ", VLOOKUP(C9,Purchased!A:R,15,0))</f>
        <v>45506</v>
      </c>
      <c r="M9" s="46">
        <f>IF(VLOOKUP(C9,Purchased!A:R,16,0)=0, " ",VLOOKUP(C9,Purchased!A:R,16,0))</f>
        <v>45547</v>
      </c>
      <c r="N9" s="130">
        <f>IF(VLOOKUP(C9,Purchased!A:R,17,0)=0, " ", VLOOKUP(C9,Purchased!A:R,17,0))</f>
        <v>45552</v>
      </c>
      <c r="O9" s="47">
        <f t="shared" ref="O9:O16" ca="1" si="0">B9*$L$2</f>
        <v>2</v>
      </c>
      <c r="P9" s="51">
        <f>VLOOKUP(C9,Purchased!A:D,3,FALSE)</f>
        <v>513.07830000000001</v>
      </c>
      <c r="Q9" s="52">
        <f t="shared" ref="Q9:Q16" si="1">B9*P9</f>
        <v>1026.1566</v>
      </c>
    </row>
    <row r="10" spans="1:17" s="2" customFormat="1" ht="12" customHeight="1" x14ac:dyDescent="0.25">
      <c r="A10" s="4">
        <v>302</v>
      </c>
      <c r="B10" s="2">
        <v>4</v>
      </c>
      <c r="C10" s="135" t="s">
        <v>104</v>
      </c>
      <c r="D10" s="325" t="str">
        <f>VLOOKUP(C10,Purchased!A:B,2,0)</f>
        <v>BRX GOTO T-NUT 10 M8</v>
      </c>
      <c r="E10" s="326"/>
      <c r="F10" s="108" t="str">
        <f>IF(VLOOKUP($C10,Purchased!A:Z,11,0) = 0, " ", VLOOKUP($C10,Purchased!A:Z,11,0))</f>
        <v>BRX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>400 additional quantity added to 55710</v>
      </c>
      <c r="I10" s="328"/>
      <c r="J10" s="46">
        <f>IF(VLOOKUP($C10,Purchased!A:Z,14,0)=0, " ", VLOOKUP($C10,Purchased!A:Z,14,0))</f>
        <v>45463</v>
      </c>
      <c r="K10" s="46">
        <f>IF(VLOOKUP(C10,Purchased!A:R,14,0)=0, " ", VLOOKUP(C10,Purchased!A:R,14,0))</f>
        <v>45463</v>
      </c>
      <c r="L10" s="46">
        <f>IF(VLOOKUP(C10,Purchased!A:R,15,0)=0, " ", VLOOKUP(C10,Purchased!A:R,15,0))</f>
        <v>45463</v>
      </c>
      <c r="M10" s="46">
        <f>IF(VLOOKUP(C10,Purchased!A:R,16,0)=0, " ",VLOOKUP(C10,Purchased!A:R,16,0))</f>
        <v>45481</v>
      </c>
      <c r="N10" s="130">
        <f>IF(VLOOKUP(C10,Purchased!A:R,17,0)=0, " ", VLOOKUP(C10,Purchased!A:R,17,0))</f>
        <v>45481</v>
      </c>
      <c r="O10" s="47">
        <f t="shared" ca="1" si="0"/>
        <v>4</v>
      </c>
      <c r="P10" s="51">
        <f>VLOOKUP(C10,Purchased!A:D,3,FALSE)</f>
        <v>0.56000000000000005</v>
      </c>
      <c r="Q10" s="52">
        <f t="shared" si="1"/>
        <v>2.2400000000000002</v>
      </c>
    </row>
    <row r="11" spans="1:17" s="2" customFormat="1" ht="12" customHeight="1" x14ac:dyDescent="0.25">
      <c r="A11" s="4">
        <v>303</v>
      </c>
      <c r="B11" s="2">
        <v>32</v>
      </c>
      <c r="C11" s="135" t="s">
        <v>172</v>
      </c>
      <c r="D11" s="325" t="str">
        <f>VLOOKUP(C11,Purchased!A:B,2,0)</f>
        <v>BRX GOTO T-NUT 10 M6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ca="1" si="0"/>
        <v>32</v>
      </c>
      <c r="P11" s="51">
        <f>VLOOKUP(C11,Purchased!A:D,3,FALSE)</f>
        <v>0.56000000000000005</v>
      </c>
      <c r="Q11" s="52">
        <f t="shared" si="1"/>
        <v>17.920000000000002</v>
      </c>
    </row>
    <row r="12" spans="1:17" s="2" customFormat="1" ht="12" customHeight="1" x14ac:dyDescent="0.25">
      <c r="A12" s="4">
        <v>304</v>
      </c>
      <c r="C12" s="135" t="s">
        <v>2918</v>
      </c>
      <c r="D12" s="325" t="str">
        <f>VLOOKUP(C12,Purchased!A:B,2,0)</f>
        <v>Description</v>
      </c>
      <c r="E12" s="326"/>
      <c r="F12" s="108" t="str">
        <f>IF(VLOOKUP($C12,Purchased!A:Z,11,0) = 0, " ", VLOOKUP($C12,Purchased!A:Z,11,0))</f>
        <v>Mfg/Matl</v>
      </c>
      <c r="G12" s="108" t="str">
        <f>IF(VLOOKUP($C12,Purchased!A:Z,12,0)=0, " ", VLOOKUP($C12,Purchased!A:Z,12,0))</f>
        <v>Vendor</v>
      </c>
      <c r="H12" s="327" t="str">
        <f>IF(VLOOKUP($C12,Purchased!A:Z,13,0)=0, " ", VLOOKUP($C12,Purchased!A:Z,13,0))</f>
        <v>Notes</v>
      </c>
      <c r="I12" s="328"/>
      <c r="J12" s="46" t="str">
        <f>IF(VLOOKUP($C12,Purchased!A:Z,14,0)=0, " ", VLOOKUP($C12,Purchased!A:Z,14,0))</f>
        <v>Out to Quote</v>
      </c>
      <c r="K12" s="46" t="str">
        <f>IF(VLOOKUP(C12,Purchased!A:R,14,0)=0, " ", VLOOKUP(C12,Purchased!A:R,14,0))</f>
        <v>Out to Quote</v>
      </c>
      <c r="L12" s="46" t="str">
        <f>IF(VLOOKUP(C12,Purchased!A:R,15,0)=0, " ", VLOOKUP(C12,Purchased!A:R,15,0))</f>
        <v>Order Date</v>
      </c>
      <c r="M12" s="46" t="str">
        <f>IF(VLOOKUP(C12,Purchased!A:R,16,0)=0, " ",VLOOKUP(C12,Purchased!A:R,16,0))</f>
        <v>Req Date</v>
      </c>
      <c r="N12" s="130" t="str">
        <f>IF(VLOOKUP(C12,Purchased!A:R,17,0)=0, " ", VLOOKUP(C12,Purchased!A:R,17,0))</f>
        <v>Conf Date</v>
      </c>
      <c r="O12" s="47">
        <f ca="1">B12*$L$2</f>
        <v>0</v>
      </c>
      <c r="P12" s="51" t="str">
        <f>VLOOKUP(C12,Purchased!A:D,3,FALSE)</f>
        <v>Cost</v>
      </c>
      <c r="Q12" s="52" t="e">
        <f>B12*P12</f>
        <v>#VALUE!</v>
      </c>
    </row>
    <row r="13" spans="1:17" s="2" customFormat="1" ht="12" customHeight="1" x14ac:dyDescent="0.25">
      <c r="A13" s="4">
        <v>305</v>
      </c>
      <c r="B13" s="2">
        <v>6</v>
      </c>
      <c r="C13" s="135">
        <v>3842548758</v>
      </c>
      <c r="D13" s="325" t="str">
        <f>VLOOKUP(C13,Purchased!A:B,2,0)</f>
        <v>BRX 3842548758 Cover Cap 90x90 Grey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45524</v>
      </c>
      <c r="M13" s="46">
        <f>IF(VLOOKUP(C13,Purchased!A:R,16,0)=0, " ",VLOOKUP(C13,Purchased!A:R,16,0))</f>
        <v>45547</v>
      </c>
      <c r="N13" s="130" t="str">
        <f>IF(VLOOKUP(C13,Purchased!A:R,17,0)=0, " ", VLOOKUP(C13,Purchased!A:R,17,0))</f>
        <v xml:space="preserve"> </v>
      </c>
      <c r="O13" s="47">
        <f t="shared" ca="1" si="0"/>
        <v>6</v>
      </c>
      <c r="P13" s="51">
        <f>VLOOKUP(C13,Purchased!A:D,3,FALSE)</f>
        <v>2.83</v>
      </c>
      <c r="Q13" s="52">
        <f t="shared" si="1"/>
        <v>16.98</v>
      </c>
    </row>
    <row r="14" spans="1:17" s="2" customFormat="1" ht="12" customHeight="1" x14ac:dyDescent="0.25">
      <c r="A14" s="4">
        <v>306</v>
      </c>
      <c r="B14" s="2">
        <v>4</v>
      </c>
      <c r="C14" s="135" t="s">
        <v>686</v>
      </c>
      <c r="D14" s="325" t="str">
        <f>VLOOKUP(C14,Purchased!A:B,2,0)</f>
        <v>Extreme-Temperature Vibration-Damping Sandwich Mount with Stud and Insert, Black, M8 x 1.25 mm Thread, 60 lbs. Capacity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45526</v>
      </c>
      <c r="K14" s="46">
        <f>IF(VLOOKUP(C14,Purchased!A:R,14,0)=0, " ", VLOOKUP(C14,Purchased!A:R,14,0))</f>
        <v>45526</v>
      </c>
      <c r="L14" s="46">
        <f>IF(VLOOKUP(C14,Purchased!A:R,15,0)=0, " ", VLOOKUP(C14,Purchased!A:R,15,0))</f>
        <v>45526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0"/>
        <v>4</v>
      </c>
      <c r="P14" s="51">
        <f>VLOOKUP(C14,Purchased!A:D,3,FALSE)</f>
        <v>14</v>
      </c>
      <c r="Q14" s="52">
        <f t="shared" si="1"/>
        <v>56</v>
      </c>
    </row>
    <row r="15" spans="1:17" s="2" customFormat="1" ht="12" customHeight="1" x14ac:dyDescent="0.25">
      <c r="A15" s="4">
        <v>307</v>
      </c>
      <c r="B15" s="2">
        <v>4</v>
      </c>
      <c r="C15" s="135" t="s">
        <v>178</v>
      </c>
      <c r="D15" s="325" t="str">
        <f>VLOOKUP(C15,Purchased!A:B,2,0)</f>
        <v>10mm Dia 20mm L Steel Dowel Pin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>3 Additional Quantity Added to 55697</v>
      </c>
      <c r="I15" s="328"/>
      <c r="J15" s="46">
        <f>IF(VLOOKUP($C15,Purchased!A:Z,14,0)=0, " ", VLOOKUP($C15,Purchased!A:Z,14,0))</f>
        <v>45481</v>
      </c>
      <c r="K15" s="46">
        <f>IF(VLOOKUP(C15,Purchased!A:R,14,0)=0, " ", VLOOKUP(C15,Purchased!A:R,14,0))</f>
        <v>45481</v>
      </c>
      <c r="L15" s="46">
        <f>IF(VLOOKUP(C15,Purchased!A:R,15,0)=0, " ", VLOOKUP(C15,Purchased!A:R,15,0))</f>
        <v>45481</v>
      </c>
      <c r="M15" s="46">
        <f>IF(VLOOKUP(C15,Purchased!A:R,16,0)=0, " ",VLOOKUP(C15,Purchased!A:R,16,0))</f>
        <v>45482</v>
      </c>
      <c r="N15" s="130">
        <f>IF(VLOOKUP(C15,Purchased!A:R,17,0)=0, " ", VLOOKUP(C15,Purchased!A:R,17,0))</f>
        <v>45482</v>
      </c>
      <c r="O15" s="47">
        <f t="shared" ca="1" si="0"/>
        <v>4</v>
      </c>
      <c r="P15" s="51">
        <f>VLOOKUP(C15,Purchased!A:D,3,FALSE)</f>
        <v>10.57</v>
      </c>
      <c r="Q15" s="52">
        <f t="shared" si="1"/>
        <v>42.28</v>
      </c>
    </row>
    <row r="16" spans="1:17" s="2" customFormat="1" ht="12" customHeight="1" x14ac:dyDescent="0.25">
      <c r="A16" s="4">
        <v>308</v>
      </c>
      <c r="B16" s="2">
        <v>120</v>
      </c>
      <c r="C16" s="135" t="s">
        <v>149</v>
      </c>
      <c r="D16" s="325" t="str">
        <f>VLOOKUP(C16,Purchased!A:B,2,0)</f>
        <v>BRX GOTO QUICK CONNECTOR N10 0°</v>
      </c>
      <c r="E16" s="326"/>
      <c r="F16" s="108" t="str">
        <f>IF(VLOOKUP($C16,Purchased!A:Z,11,0) = 0, " ", VLOOKUP($C16,Purchased!A:Z,11,0))</f>
        <v>T-SLOTS</v>
      </c>
      <c r="G16" s="108" t="str">
        <f>IF(VLOOKUP($C16,Purchased!A:Z,12,0)=0, " ", VLOOKUP($C16,Purchased!A:Z,12,0))</f>
        <v>Process Tech</v>
      </c>
      <c r="H16" s="327" t="str">
        <f>IF(VLOOKUP($C16,Purchased!A:Z,13,0)=0, " ", VLOOKUP($C16,Purchased!A:Z,13,0))</f>
        <v>500 More on P.O. #55639 Part# 659730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>
        <f>IF(VLOOKUP(C16,Purchased!A:R,15,0)=0, " ", VLOOKUP(C16,Purchased!A:R,15,0))</f>
        <v>45362</v>
      </c>
      <c r="M16" s="46">
        <f>IF(VLOOKUP(C16,Purchased!A:R,16,0)=0, " ",VLOOKUP(C16,Purchased!A:R,16,0))</f>
        <v>45378</v>
      </c>
      <c r="N16" s="130">
        <f>IF(VLOOKUP(C16,Purchased!A:R,17,0)=0, " ", VLOOKUP(C16,Purchased!A:R,17,0))</f>
        <v>45378</v>
      </c>
      <c r="O16" s="47">
        <f t="shared" ca="1" si="0"/>
        <v>120</v>
      </c>
      <c r="P16" s="51">
        <f>VLOOKUP(C16,Purchased!A:D,3,FALSE)</f>
        <v>4.17</v>
      </c>
      <c r="Q16" s="52">
        <f t="shared" si="1"/>
        <v>500.4</v>
      </c>
    </row>
    <row r="17" spans="1:17" s="2" customFormat="1" ht="12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" customHeight="1" x14ac:dyDescent="0.25">
      <c r="A18" s="4">
        <v>501</v>
      </c>
      <c r="B18" s="2">
        <v>32</v>
      </c>
      <c r="C18" s="122" t="s">
        <v>174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32</v>
      </c>
      <c r="P18" s="51">
        <f>VLOOKUP(C18,Bolts!A:B,2,FALSE)</f>
        <v>0</v>
      </c>
      <c r="Q18" s="52">
        <f>B18*P18</f>
        <v>0</v>
      </c>
    </row>
    <row r="19" spans="1:17" s="2" customFormat="1" ht="12" customHeight="1" x14ac:dyDescent="0.25">
      <c r="A19" s="4">
        <v>502</v>
      </c>
      <c r="B19" s="2">
        <v>30</v>
      </c>
      <c r="C19" s="122" t="s">
        <v>382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ca="1">B19*$L$2</f>
        <v>30</v>
      </c>
      <c r="P19" s="51">
        <f>VLOOKUP(C19,Bolts!A:B,2,FALSE)</f>
        <v>0</v>
      </c>
      <c r="Q19" s="52">
        <f>B19*P19</f>
        <v>0</v>
      </c>
    </row>
    <row r="20" spans="1:17" s="2" customFormat="1" ht="12" customHeight="1" x14ac:dyDescent="0.25">
      <c r="A20" s="25"/>
      <c r="B20" s="26"/>
      <c r="C20" s="26"/>
      <c r="D20" s="332"/>
      <c r="E20" s="333"/>
      <c r="F20" s="26"/>
      <c r="G20" s="26"/>
      <c r="H20" s="322"/>
      <c r="I20" s="323"/>
      <c r="J20" s="27"/>
      <c r="K20" s="27"/>
      <c r="L20" s="27"/>
      <c r="M20" s="28"/>
      <c r="N20" s="29"/>
      <c r="O20" s="29"/>
      <c r="P20" s="148"/>
      <c r="Q20" s="149"/>
    </row>
    <row r="21" spans="1:17" s="2" customFormat="1" ht="12" customHeight="1" x14ac:dyDescent="0.25">
      <c r="A21" s="4">
        <v>701</v>
      </c>
      <c r="B21" s="2">
        <v>2</v>
      </c>
      <c r="C21" s="123" t="s">
        <v>687</v>
      </c>
      <c r="D21" s="325" t="str">
        <f>VLOOKUP(C21,Extrusion!B:C,2,0)</f>
        <v>APPROVED EL 8/1</v>
      </c>
      <c r="E21" s="326"/>
      <c r="F21" s="108" t="str">
        <f ca="1">VLOOKUP(C21,Extrusion!B:N,5,0)</f>
        <v/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2</v>
      </c>
      <c r="P21" s="51">
        <f>VLOOKUP(C21,Extrusion!B:G,4,0)</f>
        <v>2</v>
      </c>
      <c r="Q21" s="52">
        <f>B21*P21</f>
        <v>4</v>
      </c>
    </row>
    <row r="22" spans="1:17" s="2" customFormat="1" ht="12" customHeight="1" x14ac:dyDescent="0.25">
      <c r="A22" s="4">
        <v>702</v>
      </c>
      <c r="B22" s="2">
        <v>6</v>
      </c>
      <c r="C22" s="123" t="s">
        <v>688</v>
      </c>
      <c r="D22" s="325" t="str">
        <f>VLOOKUP(C22,Extrusion!B:C,2,0)</f>
        <v>APPROVED EL 8/1</v>
      </c>
      <c r="E22" s="326"/>
      <c r="F22" s="108" t="str">
        <f ca="1">VLOOKUP(C22,Extrusion!B:N,5,0)</f>
        <v/>
      </c>
      <c r="G22" s="108">
        <f>VLOOKUP(C22,Extrusion!B:N,6,0)</f>
        <v>1</v>
      </c>
      <c r="H22" s="108">
        <f>VLOOKUP(C22,Extrusion!B:N,7,0)</f>
        <v>0</v>
      </c>
      <c r="I22" s="109"/>
      <c r="J22" s="46" t="str">
        <f>VLOOKUP(C22,Extrusion!B:N,8,0)</f>
        <v>T-Slots</v>
      </c>
      <c r="K22" s="46">
        <f>VLOOKUP(C22,Extrusion!B:N,9,0)</f>
        <v>0</v>
      </c>
      <c r="L22" s="46">
        <f>VLOOKUP(C22,Extrusion!B:N,10,0)</f>
        <v>0</v>
      </c>
      <c r="M22" s="46">
        <f>VLOOKUP(C22,Extrusion!B:N,11,0)</f>
        <v>0</v>
      </c>
      <c r="N22" s="47">
        <f>VLOOKUP(C22,Extrusion!B:O,12,0)</f>
        <v>0</v>
      </c>
      <c r="O22" s="47">
        <f ca="1">B22*$L$2</f>
        <v>6</v>
      </c>
      <c r="P22" s="51">
        <f>VLOOKUP(C22,Extrusion!B:G,4,0)</f>
        <v>6</v>
      </c>
      <c r="Q22" s="52">
        <f>B22*P22</f>
        <v>36</v>
      </c>
    </row>
    <row r="23" spans="1:17" s="2" customFormat="1" ht="12" customHeight="1" x14ac:dyDescent="0.25">
      <c r="A23" s="4">
        <v>703</v>
      </c>
      <c r="B23" s="2">
        <v>4</v>
      </c>
      <c r="C23" s="123" t="s">
        <v>157</v>
      </c>
      <c r="D23" s="325" t="str">
        <f>VLOOKUP(C23,Extrusion!B:C,2,0)</f>
        <v>APPROVED EL 8/1</v>
      </c>
      <c r="E23" s="326"/>
      <c r="F23" s="108" t="str">
        <f ca="1">VLOOKUP(C23,Extrusion!B:N,5,0)</f>
        <v/>
      </c>
      <c r="G23" s="108">
        <f>VLOOKUP(C23,Extrusion!B:N,6,0)</f>
        <v>1</v>
      </c>
      <c r="H23" s="108">
        <f>VLOOKUP(C23,Extrusion!B:N,7,0)</f>
        <v>0</v>
      </c>
      <c r="I23" s="109"/>
      <c r="J23" s="46" t="str">
        <f>VLOOKUP(C23,Extrusion!B:N,8,0)</f>
        <v>T-Slots</v>
      </c>
      <c r="K23" s="46">
        <f>VLOOKUP(C23,Extrusion!B:N,9,0)</f>
        <v>0</v>
      </c>
      <c r="L23" s="46">
        <f>VLOOKUP(C23,Extrusion!B:N,10,0)</f>
        <v>0</v>
      </c>
      <c r="M23" s="46">
        <f>VLOOKUP(C23,Extrusion!B:N,11,0)</f>
        <v>0</v>
      </c>
      <c r="N23" s="47">
        <f>VLOOKUP(C23,Extrusion!B:O,12,0)</f>
        <v>0</v>
      </c>
      <c r="O23" s="47">
        <f ca="1">B23*$L$2</f>
        <v>4</v>
      </c>
      <c r="P23" s="51">
        <f>VLOOKUP(C23,Extrusion!B:G,4,0)</f>
        <v>14</v>
      </c>
      <c r="Q23" s="52">
        <f>B23*P23</f>
        <v>56</v>
      </c>
    </row>
    <row r="24" spans="1:17" s="2" customFormat="1" ht="12" customHeight="1" x14ac:dyDescent="0.25">
      <c r="A24" s="4">
        <v>704</v>
      </c>
      <c r="B24" s="2">
        <v>8</v>
      </c>
      <c r="C24" s="123" t="s">
        <v>689</v>
      </c>
      <c r="D24" s="325" t="str">
        <f>VLOOKUP(C24,Extrusion!B:C,2,0)</f>
        <v>APPROVED EL 8/1</v>
      </c>
      <c r="E24" s="326"/>
      <c r="F24" s="108" t="str">
        <f ca="1">VLOOKUP(C24,Extrusion!B:N,5,0)</f>
        <v/>
      </c>
      <c r="G24" s="108">
        <f>VLOOKUP(C24,Extrusion!B:N,6,0)</f>
        <v>1</v>
      </c>
      <c r="H24" s="108">
        <f>VLOOKUP(C24,Extrusion!B:N,7,0)</f>
        <v>0</v>
      </c>
      <c r="I24" s="109"/>
      <c r="J24" s="46" t="str">
        <f>VLOOKUP(C24,Extrusion!B:N,8,0)</f>
        <v>T-Slots</v>
      </c>
      <c r="K24" s="46">
        <f>VLOOKUP(C24,Extrusion!B:N,9,0)</f>
        <v>0</v>
      </c>
      <c r="L24" s="46">
        <f>VLOOKUP(C24,Extrusion!B:N,10,0)</f>
        <v>0</v>
      </c>
      <c r="M24" s="46">
        <f>VLOOKUP(C24,Extrusion!B:N,11,0)</f>
        <v>0</v>
      </c>
      <c r="N24" s="47">
        <f>VLOOKUP(C24,Extrusion!B:O,12,0)</f>
        <v>0</v>
      </c>
      <c r="O24" s="47">
        <f ca="1">B24*$L$2</f>
        <v>8</v>
      </c>
      <c r="P24" s="51">
        <f>VLOOKUP(C24,Extrusion!B:G,4,0)</f>
        <v>8</v>
      </c>
      <c r="Q24" s="52">
        <f>B24*P24</f>
        <v>64</v>
      </c>
    </row>
    <row r="25" spans="1:17" s="2" customFormat="1" ht="12" customHeight="1" thickBot="1" x14ac:dyDescent="0.3">
      <c r="A25" s="4">
        <v>705</v>
      </c>
      <c r="B25" s="2">
        <v>2</v>
      </c>
      <c r="C25" s="123" t="s">
        <v>690</v>
      </c>
      <c r="D25" s="325" t="str">
        <f>VLOOKUP(C25,Extrusion!B:C,2,0)</f>
        <v>APPROVED EL 8/1</v>
      </c>
      <c r="E25" s="326"/>
      <c r="F25" s="108" t="str">
        <f ca="1">VLOOKUP(C25,Extrusion!B:N,5,0)</f>
        <v/>
      </c>
      <c r="G25" s="108">
        <f>VLOOKUP(C25,Extrusion!B:N,6,0)</f>
        <v>1</v>
      </c>
      <c r="H25" s="108">
        <f>VLOOKUP(C25,Extrusion!B:N,7,0)</f>
        <v>0</v>
      </c>
      <c r="I25" s="109"/>
      <c r="J25" s="46" t="str">
        <f>VLOOKUP(C25,Extrusion!B:N,8,0)</f>
        <v>T-Slots</v>
      </c>
      <c r="K25" s="46">
        <f>VLOOKUP(C25,Extrusion!B:N,9,0)</f>
        <v>0</v>
      </c>
      <c r="L25" s="46">
        <f>VLOOKUP(C25,Extrusion!B:N,10,0)</f>
        <v>0</v>
      </c>
      <c r="M25" s="46">
        <f>VLOOKUP(C25,Extrusion!B:N,11,0)</f>
        <v>0</v>
      </c>
      <c r="N25" s="47">
        <f>VLOOKUP(C25,Extrusion!B:O,12,0)</f>
        <v>0</v>
      </c>
      <c r="O25" s="47">
        <f ca="1">B25*$L$2</f>
        <v>2</v>
      </c>
      <c r="P25" s="51">
        <f>VLOOKUP(C25,Extrusion!B:G,4,0)</f>
        <v>2</v>
      </c>
      <c r="Q25" s="52">
        <f>B25*P25</f>
        <v>4</v>
      </c>
    </row>
    <row r="26" spans="1:17" s="2" customFormat="1" ht="12" customHeight="1" thickBot="1" x14ac:dyDescent="0.3">
      <c r="A26" s="34"/>
      <c r="B26" s="35"/>
      <c r="C26" s="35"/>
      <c r="D26" s="316"/>
      <c r="E26" s="317"/>
      <c r="F26" s="35"/>
      <c r="G26" s="35"/>
      <c r="H26" s="309"/>
      <c r="I26" s="310"/>
      <c r="J26" s="36"/>
      <c r="K26" s="36"/>
      <c r="L26" s="36"/>
      <c r="M26" s="37"/>
      <c r="N26" s="132"/>
      <c r="O26" s="38"/>
      <c r="P26" s="99" t="s">
        <v>43</v>
      </c>
      <c r="Q26" s="104">
        <f>SUM(Q13:Q25)+SUM(Q5:Q11)</f>
        <v>3094.0165999999999</v>
      </c>
    </row>
  </sheetData>
  <mergeCells count="40">
    <mergeCell ref="D18:E18"/>
    <mergeCell ref="D19:E19"/>
    <mergeCell ref="D16:E16"/>
    <mergeCell ref="H16:I16"/>
    <mergeCell ref="D26:E26"/>
    <mergeCell ref="H26:I26"/>
    <mergeCell ref="D24:E24"/>
    <mergeCell ref="D25:E25"/>
    <mergeCell ref="D20:E20"/>
    <mergeCell ref="H20:I20"/>
    <mergeCell ref="D21:E21"/>
    <mergeCell ref="D22:E22"/>
    <mergeCell ref="D23:E23"/>
    <mergeCell ref="D14:E14"/>
    <mergeCell ref="H14:I14"/>
    <mergeCell ref="D15:E15"/>
    <mergeCell ref="H15:I15"/>
    <mergeCell ref="D17:E17"/>
    <mergeCell ref="H17:I17"/>
    <mergeCell ref="D10:E10"/>
    <mergeCell ref="H10:I10"/>
    <mergeCell ref="D11:E11"/>
    <mergeCell ref="H11:I11"/>
    <mergeCell ref="D13:E13"/>
    <mergeCell ref="H13:I13"/>
    <mergeCell ref="D12:E12"/>
    <mergeCell ref="H12:I12"/>
    <mergeCell ref="D8:E8"/>
    <mergeCell ref="H8:I8"/>
    <mergeCell ref="D9:E9"/>
    <mergeCell ref="H9:I9"/>
    <mergeCell ref="D6:E6"/>
    <mergeCell ref="H6:I6"/>
    <mergeCell ref="D7:E7"/>
    <mergeCell ref="H7:I7"/>
    <mergeCell ref="D1:E1"/>
    <mergeCell ref="D4:E4"/>
    <mergeCell ref="H4:I4"/>
    <mergeCell ref="D5:E5"/>
    <mergeCell ref="H5:I5"/>
  </mergeCells>
  <conditionalFormatting sqref="M6 M8 M17:M25">
    <cfRule type="cellIs" dxfId="1352" priority="19" stopIfTrue="1" operator="lessThanOrEqual">
      <formula>$L6</formula>
    </cfRule>
    <cfRule type="cellIs" dxfId="1351" priority="20" operator="greaterThan">
      <formula>L6</formula>
    </cfRule>
  </conditionalFormatting>
  <conditionalFormatting sqref="M9:M16">
    <cfRule type="cellIs" dxfId="1350" priority="1" stopIfTrue="1" operator="lessThanOrEqual">
      <formula>$L9</formula>
    </cfRule>
    <cfRule type="cellIs" dxfId="1349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FBCBB14-0820-4959-8515-CC15CEAF9994}">
          <x14:formula1>
            <xm:f>Extrusion!$B:$B</xm:f>
          </x14:formula1>
          <xm:sqref>C21:C25</xm:sqref>
        </x14:dataValidation>
        <x14:dataValidation type="list" allowBlank="1" showInputMessage="1" showErrorMessage="1" xr:uid="{70B76719-4D81-4CFA-8D5D-55C8FB17FAA7}">
          <x14:formula1>
            <xm:f>Bolts!$A:$A</xm:f>
          </x14:formula1>
          <xm:sqref>C17:C19</xm:sqref>
        </x14:dataValidation>
        <x14:dataValidation type="list" allowBlank="1" showInputMessage="1" showErrorMessage="1" xr:uid="{8A546654-EEDC-4E3C-98C7-6EC497CDAF08}">
          <x14:formula1>
            <xm:f>Assemblies!$E:$E</xm:f>
          </x14:formula1>
          <xm:sqref>C5</xm:sqref>
        </x14:dataValidation>
        <x14:dataValidation type="list" allowBlank="1" showInputMessage="1" showErrorMessage="1" xr:uid="{6E304865-511F-4758-BD9E-7719E2001D0C}">
          <x14:formula1>
            <xm:f>Machined!$C:$C</xm:f>
          </x14:formula1>
          <xm:sqref>C6:C7</xm:sqref>
        </x14:dataValidation>
        <x14:dataValidation type="list" allowBlank="1" showInputMessage="1" showErrorMessage="1" xr:uid="{C178B2CF-4B81-4952-B91A-78AD92D450CB}">
          <x14:formula1>
            <xm:f>Purchased!$A:$A</xm:f>
          </x14:formula1>
          <xm:sqref>C8:C16</xm:sqref>
        </x14:dataValidation>
      </x14:dataValidations>
    </ext>
  </extLst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14EAE-C406-4ED5-AAB4-5EB9998AAA6D}">
  <sheetPr codeName="Sheet121">
    <tabColor theme="6" tint="0.59999389629810485"/>
  </sheetPr>
  <dimension ref="A1:Q11"/>
  <sheetViews>
    <sheetView zoomScale="115" zoomScaleNormal="115" workbookViewId="0">
      <selection activeCell="C5" sqref="C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4" width="20.7109375" style="22" customWidth="1"/>
    <col min="5" max="5" width="20.2851562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'5.1'!C5</f>
        <v>PG10.5.1.1.0.A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'5.1'!D5</f>
        <v>M12 Leveling Foot Assy</v>
      </c>
      <c r="D3" s="85" t="s">
        <v>50</v>
      </c>
      <c r="E3" s="86" t="str">
        <f ca="1">MID(CELL("filename",A1),FIND("]",CELL("filename",A1))+1,256)</f>
        <v>5.1.1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691</v>
      </c>
      <c r="D5" s="314" t="str">
        <f>VLOOKUP(C5,Machined!C:X,2,0)</f>
        <v>M12 Foot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45435</v>
      </c>
      <c r="K5" s="44">
        <f>IF(VLOOKUP($C5,Machined!C:Z,19,0) = 0, " ", VLOOKUP($C5,Machined!C:Z,19,0))</f>
        <v>45453</v>
      </c>
      <c r="L5" s="44">
        <f>IF(VLOOKUP($C5,Machined!C:Z,20,0) = 0, " ", VLOOKUP($C5,Machined!C:Z,20,0))</f>
        <v>45490</v>
      </c>
      <c r="M5" s="44">
        <f>IF(VLOOKUP($C5,Machined!C:Z,21,0) = 0, " ", VLOOKUP($C5,Machined!C:Z,21,0))</f>
        <v>45490</v>
      </c>
      <c r="N5" s="129">
        <f>IF(VLOOKUP($C5,Machined!C:Z,22,0) = 0, " ", VLOOKUP($C5,Machined!C:Z,22,0))</f>
        <v>55545</v>
      </c>
      <c r="O5" s="45">
        <f t="shared" ref="O5" ca="1" si="0">B5*$L$2</f>
        <v>24</v>
      </c>
      <c r="P5" s="49">
        <f>VLOOKUP(C5,Machined!C:F,3,0)</f>
        <v>36.65</v>
      </c>
      <c r="Q5" s="50">
        <f t="shared" ref="Q5" si="1">B5*P5</f>
        <v>36.65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>
        <v>1004039</v>
      </c>
      <c r="D7" s="325" t="str">
        <f>VLOOKUP(C7,Purchased!A:B,2,0)</f>
        <v>M16 Leveling foot - HX081, Black NBR-HX16150_139_139(2.00), SW2+0, AISI 304_Shell</v>
      </c>
      <c r="E7" s="326"/>
      <c r="F7" s="108" t="str">
        <f>IF(VLOOKUP($C7,Purchased!A:Z,11,0) = 0, " ", VLOOKUP($C7,Purchased!A:Z,11,0))</f>
        <v>NGI</v>
      </c>
      <c r="G7" s="108" t="str">
        <f>IF(VLOOKUP($C7,Purchased!A:Z,12,0)=0, " ", VLOOKUP($C7,Purchased!A:Z,12,0))</f>
        <v>NGI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45413</v>
      </c>
      <c r="K7" s="46">
        <f>IF(VLOOKUP(C7,Purchased!A:R,14,0)=0, " ", VLOOKUP(C7,Purchased!A:R,14,0))</f>
        <v>45413</v>
      </c>
      <c r="L7" s="46">
        <f>IF(VLOOKUP(C7,Purchased!A:R,15,0)=0, " ", VLOOKUP(C7,Purchased!A:R,15,0))</f>
        <v>45453</v>
      </c>
      <c r="M7" s="46">
        <f>IF(VLOOKUP(C7,Purchased!A:R,16,0)=0, " ",VLOOKUP(C7,Purchased!A:R,16,0))</f>
        <v>45467</v>
      </c>
      <c r="N7" s="130">
        <f>IF(VLOOKUP(C7,Purchased!A:R,17,0)=0, " ", VLOOKUP(C7,Purchased!A:R,17,0))</f>
        <v>45467</v>
      </c>
      <c r="O7" s="47">
        <f t="shared" ref="O7" ca="1" si="2">B7*$L$2</f>
        <v>24</v>
      </c>
      <c r="P7" s="51">
        <f>VLOOKUP(C7,Purchased!A:D,3,FALSE)</f>
        <v>18.63</v>
      </c>
      <c r="Q7" s="52">
        <f t="shared" ref="Q7" si="3">B7*P7</f>
        <v>18.63</v>
      </c>
    </row>
    <row r="8" spans="1:17" s="2" customFormat="1" ht="12" customHeight="1" x14ac:dyDescent="0.25">
      <c r="A8" s="4">
        <v>302</v>
      </c>
      <c r="B8" s="2">
        <v>1</v>
      </c>
      <c r="C8" s="135" t="s">
        <v>166</v>
      </c>
      <c r="D8" s="325" t="str">
        <f>VLOOKUP(C8,Purchased!A:B,2,0)</f>
        <v>Zinc-Plated Steel Hex Nut Medium-Strength, Class 8, M16 x 2 mm Thread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45503</v>
      </c>
      <c r="K8" s="46">
        <f>IF(VLOOKUP(C8,Purchased!A:R,14,0)=0, " ", VLOOKUP(C8,Purchased!A:R,14,0))</f>
        <v>45503</v>
      </c>
      <c r="L8" s="46">
        <f>IF(VLOOKUP(C8,Purchased!A:R,15,0)=0, " ", VLOOKUP(C8,Purchased!A:R,15,0))</f>
        <v>45503</v>
      </c>
      <c r="M8" s="46">
        <f>IF(VLOOKUP(C8,Purchased!A:R,16,0)=0, " ",VLOOKUP(C8,Purchased!A:R,16,0))</f>
        <v>45504</v>
      </c>
      <c r="N8" s="130">
        <f>IF(VLOOKUP(C8,Purchased!A:R,17,0)=0, " ", VLOOKUP(C8,Purchased!A:R,17,0))</f>
        <v>45504</v>
      </c>
      <c r="O8" s="47">
        <f ca="1">B8*$L$2</f>
        <v>24</v>
      </c>
      <c r="P8" s="51">
        <f>VLOOKUP(C8,Purchased!A:D,3,FALSE)</f>
        <v>10.3</v>
      </c>
      <c r="Q8" s="52">
        <f>B8*P8</f>
        <v>10.3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4</v>
      </c>
      <c r="C10" s="122" t="s">
        <v>692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t="shared" ref="O10" ca="1" si="4">B10*$L$2</f>
        <v>96</v>
      </c>
      <c r="P10" s="51">
        <f>VLOOKUP(C10,Bolts!A:B,2,FALSE)</f>
        <v>0</v>
      </c>
      <c r="Q10" s="52">
        <f t="shared" ref="Q10" si="5"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65.58</v>
      </c>
    </row>
  </sheetData>
  <mergeCells count="16">
    <mergeCell ref="D7:E7"/>
    <mergeCell ref="H7:I7"/>
    <mergeCell ref="D5:E5"/>
    <mergeCell ref="H5:I5"/>
    <mergeCell ref="D11:E11"/>
    <mergeCell ref="H11:I11"/>
    <mergeCell ref="D9:E9"/>
    <mergeCell ref="H9:I9"/>
    <mergeCell ref="D10:E10"/>
    <mergeCell ref="D8:E8"/>
    <mergeCell ref="H8:I8"/>
    <mergeCell ref="D1:E1"/>
    <mergeCell ref="D4:E4"/>
    <mergeCell ref="H4:I4"/>
    <mergeCell ref="D6:E6"/>
    <mergeCell ref="H6:I6"/>
  </mergeCells>
  <conditionalFormatting sqref="M6 M9:M10">
    <cfRule type="cellIs" dxfId="1348" priority="3" stopIfTrue="1" operator="lessThanOrEqual">
      <formula>$L6</formula>
    </cfRule>
    <cfRule type="cellIs" dxfId="1347" priority="4" operator="greaterThan">
      <formula>L6</formula>
    </cfRule>
  </conditionalFormatting>
  <conditionalFormatting sqref="M7:M8">
    <cfRule type="cellIs" dxfId="1346" priority="1" stopIfTrue="1" operator="lessThanOrEqual">
      <formula>$L7</formula>
    </cfRule>
    <cfRule type="cellIs" dxfId="1345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F6BDE1-AE74-4497-A133-7D78C8FC2A01}">
          <x14:formula1>
            <xm:f>Bolts!$A:$A</xm:f>
          </x14:formula1>
          <xm:sqref>C9:C10</xm:sqref>
        </x14:dataValidation>
        <x14:dataValidation type="list" allowBlank="1" showInputMessage="1" showErrorMessage="1" xr:uid="{778A45A1-93D8-436E-9AC8-1BCEA1E05A1E}">
          <x14:formula1>
            <xm:f>Machined!$C:$C</xm:f>
          </x14:formula1>
          <xm:sqref>C5</xm:sqref>
        </x14:dataValidation>
        <x14:dataValidation type="list" allowBlank="1" showInputMessage="1" showErrorMessage="1" xr:uid="{2C035D9B-9DF0-4CA3-814E-3A3D085F81CF}">
          <x14:formula1>
            <xm:f>Purchased!$A:$A</xm:f>
          </x14:formula1>
          <xm:sqref>C6:C8</xm:sqref>
        </x14:dataValidation>
      </x14:dataValidations>
    </ext>
  </extLst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FB431-3A9B-4A8F-AC94-465217197965}">
  <sheetPr codeName="Sheet122">
    <tabColor theme="9" tint="0.59999389629810485"/>
  </sheetPr>
  <dimension ref="A1:Q23"/>
  <sheetViews>
    <sheetView zoomScale="115" zoomScaleNormal="115" workbookViewId="0">
      <selection activeCell="C30" sqref="C3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'5'!C8</f>
        <v>PG10.5.2.0.A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'5'!D8</f>
        <v>Cuff Bowl Feeder Assy</v>
      </c>
      <c r="D3" s="85" t="s">
        <v>50</v>
      </c>
      <c r="E3" s="86" t="str">
        <f ca="1">MID(CELL("filename",A1),FIND("]",CELL("filename",A1))+1,256)</f>
        <v>5.2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4">
        <v>301</v>
      </c>
      <c r="B5" s="2">
        <v>1</v>
      </c>
      <c r="C5" s="135" t="s">
        <v>693</v>
      </c>
      <c r="D5" s="325" t="str">
        <f>VLOOKUP(C5,Purchased!A:B,2,0)</f>
        <v>PG10 Cuff Bowl Feeder Assy</v>
      </c>
      <c r="E5" s="326"/>
      <c r="F5" s="108" t="str">
        <f>IF(VLOOKUP($C5,Purchased!A:Z,11,0) = 0, " ", VLOOKUP($C5,Purchased!A:Z,11,0))</f>
        <v>AFS</v>
      </c>
      <c r="G5" s="108" t="str">
        <f>IF(VLOOKUP($C5,Purchased!A:Z,12,0)=0, " ", VLOOKUP($C5,Purchased!A:Z,12,0))</f>
        <v>AFS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45378</v>
      </c>
      <c r="K5" s="46">
        <f>IF(VLOOKUP(C5,Purchased!A:R,14,0)=0, " ", VLOOKUP(C5,Purchased!A:R,14,0))</f>
        <v>45378</v>
      </c>
      <c r="L5" s="46">
        <f>IF(VLOOKUP(C5,Purchased!A:R,15,0)=0, " ", VLOOKUP(C5,Purchased!A:R,15,0))</f>
        <v>45378</v>
      </c>
      <c r="M5" s="46">
        <f>IF(VLOOKUP(C5,Purchased!A:R,16,0)=0, " ",VLOOKUP(C5,Purchased!A:R,16,0))</f>
        <v>45504</v>
      </c>
      <c r="N5" s="130">
        <f>IF(VLOOKUP(C5,Purchased!A:R,17,0)=0, " ", VLOOKUP(C5,Purchased!A:R,17,0))</f>
        <v>45504</v>
      </c>
      <c r="O5" s="47">
        <f t="shared" ref="O5:O13" ca="1" si="0">B5*$L$2</f>
        <v>1</v>
      </c>
      <c r="P5" s="51">
        <f>VLOOKUP(C5,Purchased!A:D,3,FALSE)</f>
        <v>34950</v>
      </c>
      <c r="Q5" s="52">
        <f t="shared" ref="Q5:Q13" si="1">B5*P5</f>
        <v>34950</v>
      </c>
    </row>
    <row r="6" spans="1:17" s="2" customFormat="1" ht="12" customHeight="1" x14ac:dyDescent="0.25">
      <c r="A6" s="4">
        <v>302</v>
      </c>
      <c r="B6" s="2">
        <v>4</v>
      </c>
      <c r="C6" s="135" t="s">
        <v>256</v>
      </c>
      <c r="D6" s="325" t="str">
        <f>VLOOKUP(C6,Purchased!A:B,2,0)</f>
        <v>BRL Linear Guide Runner Block Sz 25, Standard Flange</v>
      </c>
      <c r="E6" s="326"/>
      <c r="F6" s="108" t="str">
        <f>IF(VLOOKUP($C6,Purchased!A:Z,11,0) = 0, " ", VLOOKUP($C6,Purchased!A:Z,11,0))</f>
        <v>BRL</v>
      </c>
      <c r="G6" s="108" t="str">
        <f>IF(VLOOKUP($C6,Purchased!A:Z,12,0)=0, " ", VLOOKUP($C6,Purchased!A:Z,12,0))</f>
        <v>AAP</v>
      </c>
      <c r="H6" s="327" t="str">
        <f>IF(VLOOKUP($C6,Purchased!A:Z,13,0)=0, " ", VLOOKUP($C6,Purchased!A:Z,13,0))</f>
        <v>Ordered 16 additional PO 55645</v>
      </c>
      <c r="I6" s="328"/>
      <c r="J6" s="46">
        <f>IF(VLOOKUP($C6,Purchased!A:Z,14,0)=0, " ", VLOOKUP($C6,Purchased!A:Z,14,0))</f>
        <v>45456</v>
      </c>
      <c r="K6" s="46">
        <f>IF(VLOOKUP(C6,Purchased!A:R,14,0)=0, " ", VLOOKUP(C6,Purchased!A:R,14,0))</f>
        <v>45456</v>
      </c>
      <c r="L6" s="46">
        <f>IF(VLOOKUP(C6,Purchased!A:R,15,0)=0, " ", VLOOKUP(C6,Purchased!A:R,15,0))</f>
        <v>45456</v>
      </c>
      <c r="M6" s="46">
        <f>IF(VLOOKUP(C6,Purchased!A:R,16,0)=0, " ",VLOOKUP(C6,Purchased!A:R,16,0))</f>
        <v>45502</v>
      </c>
      <c r="N6" s="130">
        <f>IF(VLOOKUP(C6,Purchased!A:R,17,0)=0, " ", VLOOKUP(C6,Purchased!A:R,17,0))</f>
        <v>45505</v>
      </c>
      <c r="O6" s="47">
        <f t="shared" ca="1" si="0"/>
        <v>4</v>
      </c>
      <c r="P6" s="51">
        <f>VLOOKUP(C6,Purchased!A:D,3,FALSE)</f>
        <v>138.68</v>
      </c>
      <c r="Q6" s="52">
        <f t="shared" si="1"/>
        <v>554.72</v>
      </c>
    </row>
    <row r="7" spans="1:17" s="2" customFormat="1" ht="12" customHeight="1" x14ac:dyDescent="0.25">
      <c r="A7" s="4">
        <v>303</v>
      </c>
      <c r="B7" s="2">
        <v>2</v>
      </c>
      <c r="C7" s="135" t="s">
        <v>528</v>
      </c>
      <c r="D7" s="325" t="str">
        <f>VLOOKUP(C7,Purchased!A:B,2,0)</f>
        <v>BRX 45X90 GREY END CAP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 t="str">
        <f>IF(VLOOKUP($C7,Purchased!A:Z,14,0)=0, " ", VLOOKUP($C7,Purchased!A:Z,14,0))</f>
        <v>N/A</v>
      </c>
      <c r="K7" s="46" t="str">
        <f>IF(VLOOKUP(C7,Purchased!A:R,14,0)=0, " ", VLOOKUP(C7,Purchased!A:R,14,0))</f>
        <v>N/A</v>
      </c>
      <c r="L7" s="46">
        <f>IF(VLOOKUP(C7,Purchased!A:R,15,0)=0, " ", VLOOKUP(C7,Purchased!A:R,15,0))</f>
        <v>45524</v>
      </c>
      <c r="M7" s="46">
        <f>IF(VLOOKUP(C7,Purchased!A:R,16,0)=0, " ",VLOOKUP(C7,Purchased!A:R,16,0))</f>
        <v>45547</v>
      </c>
      <c r="N7" s="130" t="str">
        <f>IF(VLOOKUP(C7,Purchased!A:R,17,0)=0, " ", VLOOKUP(C7,Purchased!A:R,17,0))</f>
        <v xml:space="preserve"> </v>
      </c>
      <c r="O7" s="47">
        <f t="shared" ca="1" si="0"/>
        <v>2</v>
      </c>
      <c r="P7" s="51">
        <f>VLOOKUP(C7,Purchased!A:D,3,FALSE)</f>
        <v>2.14</v>
      </c>
      <c r="Q7" s="52">
        <f t="shared" si="1"/>
        <v>4.28</v>
      </c>
    </row>
    <row r="8" spans="1:17" s="2" customFormat="1" ht="12" customHeight="1" x14ac:dyDescent="0.25">
      <c r="A8" s="4">
        <v>304</v>
      </c>
      <c r="B8" s="2">
        <v>8</v>
      </c>
      <c r="C8" s="135">
        <v>3842535466</v>
      </c>
      <c r="D8" s="325" t="str">
        <f>VLOOKUP(C8,Purchased!A:B,2,0)</f>
        <v>BRX GOTO QUICK CONNECTOR N10 90°</v>
      </c>
      <c r="E8" s="326"/>
      <c r="F8" s="108" t="str">
        <f>IF(VLOOKUP($C8,Purchased!A:Z,11,0) = 0, " ", VLOOKUP($C8,Purchased!A:Z,11,0))</f>
        <v>T-SLOTS</v>
      </c>
      <c r="G8" s="108" t="str">
        <f>IF(VLOOKUP($C8,Purchased!A:Z,12,0)=0, " ", VLOOKUP($C8,Purchased!A:Z,12,0))</f>
        <v>Process Tech</v>
      </c>
      <c r="H8" s="327" t="str">
        <f>IF(VLOOKUP($C8,Purchased!A:Z,13,0)=0, " ", VLOOKUP($C8,Purchased!A:Z,13,0))</f>
        <v>Ordered 300 8/29/24 JP</v>
      </c>
      <c r="I8" s="328"/>
      <c r="J8" s="46" t="str">
        <f>IF(VLOOKUP($C8,Purchased!A:Z,14,0)=0, " ", VLOOKUP($C8,Purchased!A:Z,14,0))</f>
        <v>N/A</v>
      </c>
      <c r="K8" s="46" t="str">
        <f>IF(VLOOKUP(C8,Purchased!A:R,14,0)=0, " ", VLOOKUP(C8,Purchased!A:R,14,0))</f>
        <v>N/A</v>
      </c>
      <c r="L8" s="46">
        <f>IF(VLOOKUP(C8,Purchased!A:R,15,0)=0, " ", VLOOKUP(C8,Purchased!A:R,15,0))</f>
        <v>45533</v>
      </c>
      <c r="M8" s="46">
        <f>IF(VLOOKUP(C8,Purchased!A:R,16,0)=0, " ",VLOOKUP(C8,Purchased!A:R,16,0))</f>
        <v>45540</v>
      </c>
      <c r="N8" s="130" t="str">
        <f>IF(VLOOKUP(C8,Purchased!A:R,17,0)=0, " ", VLOOKUP(C8,Purchased!A:R,17,0))</f>
        <v xml:space="preserve"> </v>
      </c>
      <c r="O8" s="47">
        <f t="shared" ca="1" si="0"/>
        <v>8</v>
      </c>
      <c r="P8" s="51">
        <f>VLOOKUP(C8,Purchased!A:D,3,FALSE)</f>
        <v>4.17</v>
      </c>
      <c r="Q8" s="52">
        <f t="shared" si="1"/>
        <v>33.36</v>
      </c>
    </row>
    <row r="9" spans="1:17" s="2" customFormat="1" ht="12" customHeight="1" x14ac:dyDescent="0.25">
      <c r="A9" s="4">
        <v>305</v>
      </c>
      <c r="B9" s="2">
        <v>8</v>
      </c>
      <c r="C9" s="135" t="s">
        <v>149</v>
      </c>
      <c r="D9" s="325" t="str">
        <f>VLOOKUP(C9,Purchased!A:B,2,0)</f>
        <v>BRX GOTO QUICK CONNECTOR N10 0°</v>
      </c>
      <c r="E9" s="326"/>
      <c r="F9" s="108" t="str">
        <f>IF(VLOOKUP($C9,Purchased!A:Z,11,0) = 0, " ", VLOOKUP($C9,Purchased!A:Z,11,0))</f>
        <v>T-SLOTS</v>
      </c>
      <c r="G9" s="108" t="str">
        <f>IF(VLOOKUP($C9,Purchased!A:Z,12,0)=0, " ", VLOOKUP($C9,Purchased!A:Z,12,0))</f>
        <v>Process Tech</v>
      </c>
      <c r="H9" s="327" t="str">
        <f>IF(VLOOKUP($C9,Purchased!A:Z,13,0)=0, " ", VLOOKUP($C9,Purchased!A:Z,13,0))</f>
        <v>500 More on P.O. #55639 Part# 659730</v>
      </c>
      <c r="I9" s="328"/>
      <c r="J9" s="46" t="str">
        <f>IF(VLOOKUP($C9,Purchased!A:Z,14,0)=0, " ", VLOOKUP($C9,Purchased!A:Z,14,0))</f>
        <v>N/A</v>
      </c>
      <c r="K9" s="46" t="str">
        <f>IF(VLOOKUP(C9,Purchased!A:R,14,0)=0, " ", VLOOKUP(C9,Purchased!A:R,14,0))</f>
        <v>N/A</v>
      </c>
      <c r="L9" s="46">
        <f>IF(VLOOKUP(C9,Purchased!A:R,15,0)=0, " ", VLOOKUP(C9,Purchased!A:R,15,0))</f>
        <v>45362</v>
      </c>
      <c r="M9" s="46">
        <f>IF(VLOOKUP(C9,Purchased!A:R,16,0)=0, " ",VLOOKUP(C9,Purchased!A:R,16,0))</f>
        <v>45378</v>
      </c>
      <c r="N9" s="130">
        <f>IF(VLOOKUP(C9,Purchased!A:R,17,0)=0, " ", VLOOKUP(C9,Purchased!A:R,17,0))</f>
        <v>45378</v>
      </c>
      <c r="O9" s="47">
        <f t="shared" ca="1" si="0"/>
        <v>8</v>
      </c>
      <c r="P9" s="51">
        <f>VLOOKUP(C9,Purchased!A:D,3,FALSE)</f>
        <v>4.17</v>
      </c>
      <c r="Q9" s="52">
        <f t="shared" si="1"/>
        <v>33.36</v>
      </c>
    </row>
    <row r="10" spans="1:17" s="2" customFormat="1" ht="12" customHeight="1" x14ac:dyDescent="0.25">
      <c r="A10" s="4">
        <v>306</v>
      </c>
      <c r="B10" s="2">
        <v>4</v>
      </c>
      <c r="C10" s="135" t="s">
        <v>694</v>
      </c>
      <c r="D10" s="325" t="str">
        <f>VLOOKUP(C10,Purchased!A:B,2,0)</f>
        <v>Metric M5 to 4mm hose quick connect</v>
      </c>
      <c r="E10" s="326"/>
      <c r="F10" s="108" t="str">
        <f>IF(VLOOKUP($C10,Purchased!A:Z,11,0) = 0, " ", VLOOKUP($C10,Purchased!A:Z,11,0))</f>
        <v>SMC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45489</v>
      </c>
      <c r="K10" s="46">
        <f>IF(VLOOKUP(C10,Purchased!A:R,14,0)=0, " ", VLOOKUP(C10,Purchased!A:R,14,0))</f>
        <v>45489</v>
      </c>
      <c r="L10" s="46">
        <f>IF(VLOOKUP(C10,Purchased!A:R,15,0)=0, " ", VLOOKUP(C10,Purchased!A:R,15,0))</f>
        <v>45491</v>
      </c>
      <c r="M10" s="46">
        <f>IF(VLOOKUP(C10,Purchased!A:R,16,0)=0, " ",VLOOKUP(C10,Purchased!A:R,16,0))</f>
        <v>45520</v>
      </c>
      <c r="N10" s="130">
        <f>IF(VLOOKUP(C10,Purchased!A:R,17,0)=0, " ", VLOOKUP(C10,Purchased!A:R,17,0))</f>
        <v>45511</v>
      </c>
      <c r="O10" s="47">
        <f t="shared" ca="1" si="0"/>
        <v>4</v>
      </c>
      <c r="P10" s="51">
        <f>VLOOKUP(C10,Purchased!A:D,3,FALSE)</f>
        <v>0.85</v>
      </c>
      <c r="Q10" s="52">
        <f t="shared" si="1"/>
        <v>3.4</v>
      </c>
    </row>
    <row r="11" spans="1:17" s="2" customFormat="1" ht="12" customHeight="1" x14ac:dyDescent="0.25">
      <c r="A11" s="4">
        <v>307</v>
      </c>
      <c r="B11" s="2">
        <v>1</v>
      </c>
      <c r="C11" s="135" t="s">
        <v>695</v>
      </c>
      <c r="D11" s="325" t="str">
        <f>VLOOKUP(C11,Purchased!A:B,2,0)</f>
        <v>SMC Unifit 4way splitter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0"/>
        <v>1</v>
      </c>
      <c r="P11" s="51">
        <f>VLOOKUP(C11,Purchased!A:D,3,FALSE)</f>
        <v>4.17</v>
      </c>
      <c r="Q11" s="52">
        <f t="shared" si="1"/>
        <v>4.17</v>
      </c>
    </row>
    <row r="12" spans="1:17" s="2" customFormat="1" ht="12" customHeight="1" x14ac:dyDescent="0.25">
      <c r="A12" s="4">
        <v>308</v>
      </c>
      <c r="B12" s="2">
        <v>4</v>
      </c>
      <c r="C12" s="135" t="s">
        <v>696</v>
      </c>
      <c r="D12" s="325" t="str">
        <f>VLOOKUP(C12,Purchased!A:B,2,0)</f>
        <v>NORMALLY CLOSED PNEUMATIC BRAKE, 25MM RAIL SIZE</v>
      </c>
      <c r="E12" s="326"/>
      <c r="F12" s="108" t="str">
        <f>IF(VLOOKUP($C12,Purchased!A:Z,11,0) = 0, " ", VLOOKUP($C12,Purchased!A:Z,11,0))</f>
        <v>Zimmer</v>
      </c>
      <c r="G12" s="108" t="str">
        <f>IF(VLOOKUP($C12,Purchased!A:Z,12,0)=0, " ", VLOOKUP($C12,Purchased!A:Z,12,0))</f>
        <v>Zimmer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45482</v>
      </c>
      <c r="K12" s="46">
        <f>IF(VLOOKUP(C12,Purchased!A:R,14,0)=0, " ", VLOOKUP(C12,Purchased!A:R,14,0))</f>
        <v>45482</v>
      </c>
      <c r="L12" s="46">
        <f>IF(VLOOKUP(C12,Purchased!A:R,15,0)=0, " ", VLOOKUP(C12,Purchased!A:R,15,0))</f>
        <v>45482</v>
      </c>
      <c r="M12" s="46">
        <f>IF(VLOOKUP(C12,Purchased!A:R,16,0)=0, " ",VLOOKUP(C12,Purchased!A:R,16,0))</f>
        <v>45512</v>
      </c>
      <c r="N12" s="130">
        <f>IF(VLOOKUP(C12,Purchased!A:R,17,0)=0, " ", VLOOKUP(C12,Purchased!A:R,17,0))</f>
        <v>45512</v>
      </c>
      <c r="O12" s="47">
        <f t="shared" ca="1" si="0"/>
        <v>4</v>
      </c>
      <c r="P12" s="51">
        <f>VLOOKUP(C12,Purchased!A:D,3,FALSE)</f>
        <v>455</v>
      </c>
      <c r="Q12" s="52">
        <f t="shared" si="1"/>
        <v>1820</v>
      </c>
    </row>
    <row r="13" spans="1:17" s="2" customFormat="1" ht="12" customHeight="1" x14ac:dyDescent="0.25">
      <c r="A13" s="4">
        <v>309</v>
      </c>
      <c r="B13" s="2">
        <v>4</v>
      </c>
      <c r="C13" s="135" t="s">
        <v>697</v>
      </c>
      <c r="D13" s="325" t="str">
        <f>VLOOKUP(C13,Purchased!A:B,2,0)</f>
        <v>Zinc-Plated Steel Washer for M12 Screw Size, 13 mm ID, 24 mm OD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45526</v>
      </c>
      <c r="K13" s="46">
        <f>IF(VLOOKUP(C13,Purchased!A:R,14,0)=0, " ", VLOOKUP(C13,Purchased!A:R,14,0))</f>
        <v>45526</v>
      </c>
      <c r="L13" s="46">
        <f>IF(VLOOKUP(C13,Purchased!A:R,15,0)=0, " ", VLOOKUP(C13,Purchased!A:R,15,0))</f>
        <v>45526</v>
      </c>
      <c r="M13" s="46" t="str">
        <f>IF(VLOOKUP(C13,Purchased!A:R,16,0)=0, " ",VLOOKUP(C13,Purchased!A:R,16,0))</f>
        <v xml:space="preserve"> </v>
      </c>
      <c r="N13" s="130" t="str">
        <f>IF(VLOOKUP(C13,Purchased!A:R,17,0)=0, " ", VLOOKUP(C13,Purchased!A:R,17,0))</f>
        <v xml:space="preserve"> </v>
      </c>
      <c r="O13" s="47">
        <f t="shared" ca="1" si="0"/>
        <v>4</v>
      </c>
      <c r="P13" s="51">
        <f>VLOOKUP(C13,Purchased!A:D,3,FALSE)</f>
        <v>8.58</v>
      </c>
      <c r="Q13" s="52">
        <f t="shared" si="1"/>
        <v>34.32</v>
      </c>
    </row>
    <row r="14" spans="1:17" s="2" customFormat="1" ht="12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" customHeight="1" x14ac:dyDescent="0.25">
      <c r="A15" s="4">
        <v>501</v>
      </c>
      <c r="B15" s="2">
        <v>16</v>
      </c>
      <c r="C15" s="122" t="s">
        <v>617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ref="O15:O18" ca="1" si="2">B15*$L$2</f>
        <v>16</v>
      </c>
      <c r="P15" s="51">
        <f>VLOOKUP(C15,Bolts!A:B,2,FALSE)</f>
        <v>0</v>
      </c>
      <c r="Q15" s="52">
        <f t="shared" ref="Q15:Q18" si="3">B15*P15</f>
        <v>0</v>
      </c>
    </row>
    <row r="16" spans="1:17" s="2" customFormat="1" ht="12" customHeight="1" x14ac:dyDescent="0.25">
      <c r="A16" s="4">
        <v>502</v>
      </c>
      <c r="B16" s="2">
        <v>16</v>
      </c>
      <c r="C16" s="122" t="s">
        <v>264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ca="1" si="2"/>
        <v>16</v>
      </c>
      <c r="P16" s="51">
        <f>VLOOKUP(C16,Bolts!A:B,2,FALSE)</f>
        <v>0</v>
      </c>
      <c r="Q16" s="52">
        <f t="shared" si="3"/>
        <v>0</v>
      </c>
    </row>
    <row r="17" spans="1:17" s="2" customFormat="1" ht="12" customHeight="1" x14ac:dyDescent="0.25">
      <c r="A17" s="4">
        <v>503</v>
      </c>
      <c r="B17" s="2">
        <v>4</v>
      </c>
      <c r="C17" s="122" t="s">
        <v>692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2"/>
        <v>4</v>
      </c>
      <c r="P17" s="51">
        <f>VLOOKUP(C17,Bolts!A:B,2,FALSE)</f>
        <v>0</v>
      </c>
      <c r="Q17" s="52">
        <f t="shared" si="3"/>
        <v>0</v>
      </c>
    </row>
    <row r="18" spans="1:17" s="2" customFormat="1" ht="12" customHeight="1" x14ac:dyDescent="0.25">
      <c r="A18" s="4">
        <v>504</v>
      </c>
      <c r="B18" s="2">
        <v>4</v>
      </c>
      <c r="C18" s="122" t="s">
        <v>698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ca="1" si="2"/>
        <v>4</v>
      </c>
      <c r="P18" s="51">
        <f>VLOOKUP(C18,Bolts!A:B,2,FALSE)</f>
        <v>0</v>
      </c>
      <c r="Q18" s="52">
        <f t="shared" si="3"/>
        <v>0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701</v>
      </c>
      <c r="B20" s="2">
        <v>2</v>
      </c>
      <c r="C20" s="123" t="s">
        <v>699</v>
      </c>
      <c r="D20" s="325" t="str">
        <f>VLOOKUP(C20,Extrusion!B:C,2,0)</f>
        <v>APPROVED EL 8/1</v>
      </c>
      <c r="E20" s="326"/>
      <c r="F20" s="108" t="str">
        <f ca="1">VLOOKUP(C20,Extrusion!B:N,5,0)</f>
        <v/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0</v>
      </c>
      <c r="M20" s="46">
        <f>VLOOKUP(C20,Extrusion!B:N,11,0)</f>
        <v>0</v>
      </c>
      <c r="N20" s="47">
        <f>VLOOKUP(C20,Extrusion!B:O,12,0)</f>
        <v>0</v>
      </c>
      <c r="O20" s="47">
        <f t="shared" ref="O20:O22" ca="1" si="4">B20*$L$2</f>
        <v>2</v>
      </c>
      <c r="P20" s="51">
        <f>VLOOKUP(C20,Extrusion!B:G,4,0)</f>
        <v>2</v>
      </c>
      <c r="Q20" s="52">
        <f t="shared" ref="Q20:Q22" si="5">B20*P20</f>
        <v>4</v>
      </c>
    </row>
    <row r="21" spans="1:17" s="2" customFormat="1" ht="12" customHeight="1" x14ac:dyDescent="0.25">
      <c r="A21" s="4">
        <v>702</v>
      </c>
      <c r="B21" s="2">
        <v>2</v>
      </c>
      <c r="C21" s="123" t="s">
        <v>700</v>
      </c>
      <c r="D21" s="325" t="str">
        <f>VLOOKUP(C21,Extrusion!B:C,2,0)</f>
        <v>APPROVED EL 8/1</v>
      </c>
      <c r="E21" s="326"/>
      <c r="F21" s="108" t="str">
        <f ca="1">VLOOKUP(C21,Extrusion!B:N,5,0)</f>
        <v/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t="shared" ca="1" si="4"/>
        <v>2</v>
      </c>
      <c r="P21" s="51">
        <f>VLOOKUP(C21,Extrusion!B:G,4,0)</f>
        <v>2</v>
      </c>
      <c r="Q21" s="52">
        <f t="shared" si="5"/>
        <v>4</v>
      </c>
    </row>
    <row r="22" spans="1:17" s="2" customFormat="1" ht="12" customHeight="1" thickBot="1" x14ac:dyDescent="0.3">
      <c r="A22" s="4">
        <v>703</v>
      </c>
      <c r="B22" s="2">
        <v>2</v>
      </c>
      <c r="C22" s="123" t="s">
        <v>701</v>
      </c>
      <c r="D22" s="325" t="str">
        <f>VLOOKUP(C22,Extrusion!B:C,2,0)</f>
        <v>APPROVED EL 8/1</v>
      </c>
      <c r="E22" s="326"/>
      <c r="F22" s="108" t="str">
        <f ca="1">VLOOKUP(C22,Extrusion!B:N,5,0)</f>
        <v/>
      </c>
      <c r="G22" s="108">
        <f>VLOOKUP(C22,Extrusion!B:N,6,0)</f>
        <v>1</v>
      </c>
      <c r="H22" s="108">
        <f>VLOOKUP(C22,Extrusion!B:N,7,0)</f>
        <v>0</v>
      </c>
      <c r="I22" s="109"/>
      <c r="J22" s="46" t="str">
        <f>VLOOKUP(C22,Extrusion!B:N,8,0)</f>
        <v>T-Slots</v>
      </c>
      <c r="K22" s="46">
        <f>VLOOKUP(C22,Extrusion!B:N,9,0)</f>
        <v>0</v>
      </c>
      <c r="L22" s="46">
        <f>VLOOKUP(C22,Extrusion!B:N,10,0)</f>
        <v>0</v>
      </c>
      <c r="M22" s="46">
        <f>VLOOKUP(C22,Extrusion!B:N,11,0)</f>
        <v>0</v>
      </c>
      <c r="N22" s="47">
        <f>VLOOKUP(C22,Extrusion!B:O,12,0)</f>
        <v>0</v>
      </c>
      <c r="O22" s="47">
        <f t="shared" ca="1" si="4"/>
        <v>2</v>
      </c>
      <c r="P22" s="51">
        <f>VLOOKUP(C22,Extrusion!B:G,4,0)</f>
        <v>2</v>
      </c>
      <c r="Q22" s="52">
        <f t="shared" si="5"/>
        <v>4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SUM(Q5:Q22)</f>
        <v>37449.61</v>
      </c>
    </row>
  </sheetData>
  <sheetProtection selectLockedCells="1"/>
  <mergeCells count="34">
    <mergeCell ref="D23:E23"/>
    <mergeCell ref="H23:I23"/>
    <mergeCell ref="D19:E19"/>
    <mergeCell ref="H19:I19"/>
    <mergeCell ref="D20:E20"/>
    <mergeCell ref="D21:E21"/>
    <mergeCell ref="D22:E22"/>
    <mergeCell ref="D18:E18"/>
    <mergeCell ref="D12:E12"/>
    <mergeCell ref="H12:I12"/>
    <mergeCell ref="D13:E13"/>
    <mergeCell ref="H13:I13"/>
    <mergeCell ref="D14:E14"/>
    <mergeCell ref="H14:I14"/>
    <mergeCell ref="D15:E15"/>
    <mergeCell ref="D16:E16"/>
    <mergeCell ref="D17:E17"/>
    <mergeCell ref="D9:E9"/>
    <mergeCell ref="H9:I9"/>
    <mergeCell ref="D10:E10"/>
    <mergeCell ref="H10:I10"/>
    <mergeCell ref="D11:E11"/>
    <mergeCell ref="H11:I11"/>
    <mergeCell ref="D6:E6"/>
    <mergeCell ref="H6:I6"/>
    <mergeCell ref="D7:E7"/>
    <mergeCell ref="H7:I7"/>
    <mergeCell ref="D8:E8"/>
    <mergeCell ref="H8:I8"/>
    <mergeCell ref="D5:E5"/>
    <mergeCell ref="H5:I5"/>
    <mergeCell ref="D1:E1"/>
    <mergeCell ref="D4:E4"/>
    <mergeCell ref="H4:I4"/>
  </mergeCells>
  <conditionalFormatting sqref="M14:M22">
    <cfRule type="cellIs" dxfId="1344" priority="21" stopIfTrue="1" operator="lessThanOrEqual">
      <formula>$L14</formula>
    </cfRule>
    <cfRule type="cellIs" dxfId="1343" priority="22" operator="greaterThan">
      <formula>L14</formula>
    </cfRule>
  </conditionalFormatting>
  <conditionalFormatting sqref="M5">
    <cfRule type="cellIs" dxfId="1342" priority="17" stopIfTrue="1" operator="lessThanOrEqual">
      <formula>$L5</formula>
    </cfRule>
    <cfRule type="cellIs" dxfId="1341" priority="18" operator="greaterThan">
      <formula>L5</formula>
    </cfRule>
  </conditionalFormatting>
  <conditionalFormatting sqref="M6">
    <cfRule type="cellIs" dxfId="1340" priority="15" stopIfTrue="1" operator="lessThanOrEqual">
      <formula>$L6</formula>
    </cfRule>
    <cfRule type="cellIs" dxfId="1339" priority="16" operator="greaterThan">
      <formula>L6</formula>
    </cfRule>
  </conditionalFormatting>
  <conditionalFormatting sqref="M7">
    <cfRule type="cellIs" dxfId="1338" priority="13" stopIfTrue="1" operator="lessThanOrEqual">
      <formula>$L7</formula>
    </cfRule>
    <cfRule type="cellIs" dxfId="1337" priority="14" operator="greaterThan">
      <formula>L7</formula>
    </cfRule>
  </conditionalFormatting>
  <conditionalFormatting sqref="M8">
    <cfRule type="cellIs" dxfId="1336" priority="11" stopIfTrue="1" operator="lessThanOrEqual">
      <formula>$L8</formula>
    </cfRule>
    <cfRule type="cellIs" dxfId="1335" priority="12" operator="greaterThan">
      <formula>L8</formula>
    </cfRule>
  </conditionalFormatting>
  <conditionalFormatting sqref="M9:M13">
    <cfRule type="cellIs" dxfId="1334" priority="1" stopIfTrue="1" operator="lessThanOrEqual">
      <formula>$L9</formula>
    </cfRule>
    <cfRule type="cellIs" dxfId="1333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744F91-5D8E-4B59-BF90-EF68B6319038}">
          <x14:formula1>
            <xm:f>Extrusion!$B:$B</xm:f>
          </x14:formula1>
          <xm:sqref>C20:C22</xm:sqref>
        </x14:dataValidation>
        <x14:dataValidation type="list" allowBlank="1" showInputMessage="1" showErrorMessage="1" xr:uid="{872251C1-883A-4E25-80F8-8BDF4BECDF15}">
          <x14:formula1>
            <xm:f>Bolts!$A:$A</xm:f>
          </x14:formula1>
          <xm:sqref>C14:C18</xm:sqref>
        </x14:dataValidation>
        <x14:dataValidation type="list" allowBlank="1" showInputMessage="1" showErrorMessage="1" xr:uid="{64B72666-7A4A-4BEE-B4FC-3EB5908CAC1A}">
          <x14:formula1>
            <xm:f>Purchased!$A:$A</xm:f>
          </x14:formula1>
          <xm:sqref>C5:C13</xm:sqref>
        </x14:dataValidation>
      </x14:dataValidations>
    </ext>
  </extLst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9BE9F-F827-4082-9984-22B999B4E79F}">
  <sheetPr codeName="Sheet123">
    <tabColor theme="9" tint="0.59999389629810485"/>
  </sheetPr>
  <dimension ref="A1:Q93"/>
  <sheetViews>
    <sheetView zoomScale="112" zoomScaleNormal="115" workbookViewId="0">
      <selection activeCell="C80" sqref="C8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'5'!C9</f>
        <v>PG10.5.3.0.A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'5'!D9</f>
        <v>Cuff Insert Frame</v>
      </c>
      <c r="D3" s="85" t="s">
        <v>50</v>
      </c>
      <c r="E3" s="86" t="str">
        <f ca="1">MID(CELL("filename",A1),FIND("]",CELL("filename",A1))+1,256)</f>
        <v>5.3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4</v>
      </c>
      <c r="C5" s="112" t="s">
        <v>702</v>
      </c>
      <c r="D5" s="336" t="str">
        <f ca="1">VLOOKUP(C5,Assemblies!E:P,2,0)</f>
        <v>Belt Tensioner 1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4</v>
      </c>
      <c r="P5" s="147">
        <f>'6.1.1'!Q13</f>
        <v>109.24</v>
      </c>
      <c r="Q5" s="118">
        <f t="shared" ref="Q5" si="1">B5*P5</f>
        <v>436.96</v>
      </c>
    </row>
    <row r="6" spans="1:17" s="1" customFormat="1" ht="12.75" customHeight="1" x14ac:dyDescent="0.2">
      <c r="A6" s="76" t="s">
        <v>56</v>
      </c>
      <c r="B6" s="1">
        <v>1</v>
      </c>
      <c r="C6" s="145" t="s">
        <v>622</v>
      </c>
      <c r="D6" s="314" t="str">
        <f ca="1">VLOOKUP(C6,Assemblies!E:P,2,0)</f>
        <v>TOE ROLLER ASSEMBLY</v>
      </c>
      <c r="E6" s="314"/>
      <c r="F6" s="154"/>
      <c r="G6" s="32"/>
      <c r="H6" s="303"/>
      <c r="I6" s="303"/>
      <c r="J6" s="28"/>
      <c r="K6" s="28"/>
      <c r="L6" s="28"/>
      <c r="M6" s="28"/>
      <c r="N6" s="33"/>
      <c r="O6" s="146">
        <f ca="1">B6*$L$2</f>
        <v>1</v>
      </c>
      <c r="P6" s="147">
        <f>'8.4'!Q23</f>
        <v>624.98</v>
      </c>
      <c r="Q6" s="153">
        <f>B6*P6</f>
        <v>624.98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77">
        <v>1</v>
      </c>
      <c r="B8" s="20">
        <v>2</v>
      </c>
      <c r="C8" s="121" t="s">
        <v>3862</v>
      </c>
      <c r="D8" s="314" t="str">
        <f>VLOOKUP(C8,Machined!C:X,2,0)</f>
        <v>Cuff Side Plate</v>
      </c>
      <c r="E8" s="329"/>
      <c r="F8" s="107" t="str">
        <f>VLOOKUP($C8,Machined!C:Z,13,0)</f>
        <v>MIC-6 CAST ALUMINUM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MIC-6 CAST ALUMINUM</v>
      </c>
      <c r="J8" s="44">
        <f>IF(VLOOKUP($C8,Machined!C:Z,18,0) = 0, " ", VLOOKUP($C8,Machined!C:Z,18,0))</f>
        <v>45489</v>
      </c>
      <c r="K8" s="44">
        <f>IF(VLOOKUP($C8,Machined!C:Z,19,0) = 0, " ", VLOOKUP($C8,Machined!C:Z,19,0))</f>
        <v>45513</v>
      </c>
      <c r="L8" s="44">
        <f>IF(VLOOKUP($C8,Machined!C:Z,20,0) = 0, " ", VLOOKUP($C8,Machined!C:Z,20,0))</f>
        <v>45551</v>
      </c>
      <c r="M8" s="44">
        <f>IF(VLOOKUP($C8,Machined!C:Z,21,0) = 0, " ", VLOOKUP($C8,Machined!C:Z,21,0))</f>
        <v>45566</v>
      </c>
      <c r="N8" s="129">
        <f>IF(VLOOKUP($C8,Machined!C:Z,22,0) = 0, " ", VLOOKUP($C8,Machined!C:Z,22,0))</f>
        <v>55676</v>
      </c>
      <c r="O8" s="45">
        <f ca="1">B8*$L$2</f>
        <v>2</v>
      </c>
      <c r="P8" s="49">
        <f>VLOOKUP(C8,Machined!C:F,3,0)</f>
        <v>867.95</v>
      </c>
      <c r="Q8" s="50">
        <f>B8*P8</f>
        <v>1735.9</v>
      </c>
    </row>
    <row r="9" spans="1:17" s="2" customFormat="1" ht="12.75" customHeight="1" x14ac:dyDescent="0.25">
      <c r="A9" s="77">
        <v>2</v>
      </c>
      <c r="B9" s="20">
        <v>2</v>
      </c>
      <c r="C9" s="121" t="s">
        <v>703</v>
      </c>
      <c r="D9" s="314" t="str">
        <f>VLOOKUP(C9,Machined!C:X,2,0)</f>
        <v>Lead Screw Plate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45489</v>
      </c>
      <c r="K9" s="44">
        <f>IF(VLOOKUP($C9,Machined!C:Z,19,0) = 0, " ", VLOOKUP($C9,Machined!C:Z,19,0))</f>
        <v>45490</v>
      </c>
      <c r="L9" s="44">
        <f>IF(VLOOKUP($C9,Machined!C:Z,20,0) = 0, " ", VLOOKUP($C9,Machined!C:Z,20,0))</f>
        <v>45512</v>
      </c>
      <c r="M9" s="44">
        <f>IF(VLOOKUP($C9,Machined!C:Z,21,0) = 0, " ", VLOOKUP($C9,Machined!C:Z,21,0))</f>
        <v>45512</v>
      </c>
      <c r="N9" s="129">
        <f>IF(VLOOKUP($C9,Machined!C:Z,22,0) = 0, " ", VLOOKUP($C9,Machined!C:Z,22,0))</f>
        <v>55607</v>
      </c>
      <c r="O9" s="45">
        <f t="shared" ref="O9:O10" ca="1" si="2">B9*$L$2</f>
        <v>2</v>
      </c>
      <c r="P9" s="49">
        <f>VLOOKUP(C9,Machined!C:F,3,0)</f>
        <v>103.55</v>
      </c>
      <c r="Q9" s="50">
        <f t="shared" ref="Q9:Q10" si="3">B9*P9</f>
        <v>207.1</v>
      </c>
    </row>
    <row r="10" spans="1:17" s="2" customFormat="1" ht="12.75" customHeight="1" x14ac:dyDescent="0.25">
      <c r="A10" s="77">
        <v>3</v>
      </c>
      <c r="B10" s="20">
        <v>1</v>
      </c>
      <c r="C10" s="121" t="s">
        <v>704</v>
      </c>
      <c r="D10" s="314" t="str">
        <f>VLOOKUP(C10,Machined!C:X,2,0)</f>
        <v>CONVEYOR SUPPORT BASE</v>
      </c>
      <c r="E10" s="329"/>
      <c r="F10" s="107" t="str">
        <f>VLOOKUP($C10,Machined!C:Z,13,0)</f>
        <v>6061-T6 ALUMINUM</v>
      </c>
      <c r="G10" s="44" t="str">
        <f>IF(VLOOKUP($C10,Machined!C:Z,16,0) = 0, " ", VLOOKUP($C10,Machined!C:Z,16,0))</f>
        <v>Craig Miller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6061-T6 ALUMINUM</v>
      </c>
      <c r="J10" s="44">
        <f>IF(VLOOKUP($C10,Machined!C:Z,18,0) = 0, " ", VLOOKUP($C10,Machined!C:Z,18,0))</f>
        <v>45489</v>
      </c>
      <c r="K10" s="44">
        <f>IF(VLOOKUP($C10,Machined!C:Z,19,0) = 0, " ", VLOOKUP($C10,Machined!C:Z,19,0))</f>
        <v>45490</v>
      </c>
      <c r="L10" s="44">
        <f>IF(VLOOKUP($C10,Machined!C:Z,20,0) = 0, " ", VLOOKUP($C10,Machined!C:Z,20,0))</f>
        <v>45522</v>
      </c>
      <c r="M10" s="44">
        <f>IF(VLOOKUP($C10,Machined!C:Z,21,0) = 0, " ", VLOOKUP($C10,Machined!C:Z,21,0))</f>
        <v>45522</v>
      </c>
      <c r="N10" s="129">
        <f>IF(VLOOKUP($C10,Machined!C:Z,22,0) = 0, " ", VLOOKUP($C10,Machined!C:Z,22,0))</f>
        <v>55609</v>
      </c>
      <c r="O10" s="45">
        <f t="shared" ca="1" si="2"/>
        <v>1</v>
      </c>
      <c r="P10" s="49">
        <f>VLOOKUP(C10,Machined!C:F,3,0)</f>
        <v>116.35</v>
      </c>
      <c r="Q10" s="50">
        <f t="shared" si="3"/>
        <v>116.35</v>
      </c>
    </row>
    <row r="11" spans="1:17" s="2" customFormat="1" ht="12.75" customHeight="1" x14ac:dyDescent="0.25">
      <c r="A11" s="77">
        <v>4</v>
      </c>
      <c r="B11" s="20">
        <v>1</v>
      </c>
      <c r="C11" s="121" t="s">
        <v>705</v>
      </c>
      <c r="D11" s="314" t="str">
        <f>VLOOKUP(C11,Machined!C:X,2,0)</f>
        <v>CONVEYOR SUPPORT LEG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Frontier Mach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45489</v>
      </c>
      <c r="K11" s="44">
        <f>IF(VLOOKUP($C11,Machined!C:Z,19,0) = 0, " ", VLOOKUP($C11,Machined!C:Z,19,0))</f>
        <v>45490</v>
      </c>
      <c r="L11" s="44">
        <f>IF(VLOOKUP($C11,Machined!C:Z,20,0) = 0, " ", VLOOKUP($C11,Machined!C:Z,20,0))</f>
        <v>45512</v>
      </c>
      <c r="M11" s="44">
        <f>IF(VLOOKUP($C11,Machined!C:Z,21,0) = 0, " ", VLOOKUP($C11,Machined!C:Z,21,0))</f>
        <v>45512</v>
      </c>
      <c r="N11" s="129">
        <f>IF(VLOOKUP($C11,Machined!C:Z,22,0) = 0, " ", VLOOKUP($C11,Machined!C:Z,22,0))</f>
        <v>55607</v>
      </c>
      <c r="O11" s="45">
        <f ca="1">B11*$L$2</f>
        <v>1</v>
      </c>
      <c r="P11" s="49">
        <f>VLOOKUP(C11,Machined!C:F,3,0)</f>
        <v>222.65</v>
      </c>
      <c r="Q11" s="50">
        <f>B11*P11</f>
        <v>222.65</v>
      </c>
    </row>
    <row r="12" spans="1:17" s="2" customFormat="1" ht="12.75" customHeight="1" x14ac:dyDescent="0.25">
      <c r="A12" s="77">
        <v>5</v>
      </c>
      <c r="B12" s="20">
        <v>1</v>
      </c>
      <c r="C12" s="121" t="s">
        <v>706</v>
      </c>
      <c r="D12" s="314" t="str">
        <f>VLOOKUP(C12,Machined!C:X,2,0)</f>
        <v>MODIFIED BRX 45X90 D17|D17 430.7MM</v>
      </c>
      <c r="E12" s="329"/>
      <c r="F12" s="107" t="str">
        <f>VLOOKUP($C12,Machined!C:Z,13,0)</f>
        <v>EXTRUSION</v>
      </c>
      <c r="G12" s="44" t="str">
        <f>IF(VLOOKUP($C12,Machined!C:Z,16,0) = 0, " ", VLOOKUP($C12,Machined!C:Z,16,0))</f>
        <v>NULINE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EXTRUSION</v>
      </c>
      <c r="J12" s="44" t="str">
        <f>IF(VLOOKUP($C12,Machined!C:Z,18,0) = 0, " ", VLOOKUP($C12,Machined!C:Z,18,0))</f>
        <v>N/A</v>
      </c>
      <c r="K12" s="44" t="str">
        <f>IF(VLOOKUP($C12,Machined!C:Z,19,0) = 0, " ", VLOOKUP($C12,Machined!C:Z,19,0))</f>
        <v>N/A</v>
      </c>
      <c r="L12" s="44" t="str">
        <f>IF(VLOOKUP($C12,Machined!C:Z,20,0) = 0, " ", VLOOKUP($C12,Machined!C:Z,20,0))</f>
        <v>N/A</v>
      </c>
      <c r="M12" s="44" t="str">
        <f>IF(VLOOKUP($C12,Machined!C:Z,21,0) = 0, " ", VLOOKUP($C12,Machined!C:Z,21,0))</f>
        <v>N/A</v>
      </c>
      <c r="N12" s="129" t="str">
        <f>IF(VLOOKUP($C12,Machined!C:Z,22,0) = 0, " ", VLOOKUP($C12,Machined!C:Z,22,0))</f>
        <v>N/A</v>
      </c>
      <c r="O12" s="45">
        <f ca="1">B12*$L$2</f>
        <v>1</v>
      </c>
      <c r="P12" s="49">
        <f>VLOOKUP(C12,Machined!C:F,3,0)</f>
        <v>0</v>
      </c>
      <c r="Q12" s="50">
        <f>B12*P12</f>
        <v>0</v>
      </c>
    </row>
    <row r="13" spans="1:17" s="2" customFormat="1" ht="12.75" customHeight="1" x14ac:dyDescent="0.25">
      <c r="A13" s="77">
        <v>6</v>
      </c>
      <c r="B13" s="20">
        <v>4</v>
      </c>
      <c r="C13" s="121" t="s">
        <v>707</v>
      </c>
      <c r="D13" s="314" t="str">
        <f>VLOOKUP(C13,Machined!C:X,2,0)</f>
        <v>CROSSWEB RAIL PLATE</v>
      </c>
      <c r="E13" s="329"/>
      <c r="F13" s="107" t="str">
        <f>VLOOKUP($C13,Machined!C:Z,13,0)</f>
        <v>MIC-6 CAST ALUMINUM</v>
      </c>
      <c r="G13" s="44" t="str">
        <f>IF(VLOOKUP($C13,Machined!C:Z,16,0) = 0, " ", VLOOKUP($C13,Machined!C:Z,16,0))</f>
        <v>Bemox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MIC-6 CAST ALUMINUM</v>
      </c>
      <c r="J13" s="44">
        <f>IF(VLOOKUP($C13,Machined!C:Z,18,0) = 0, " ", VLOOKUP($C13,Machined!C:Z,18,0))</f>
        <v>45489</v>
      </c>
      <c r="K13" s="44">
        <f>IF(VLOOKUP($C13,Machined!C:Z,19,0) = 0, " ", VLOOKUP($C13,Machined!C:Z,19,0))</f>
        <v>45513</v>
      </c>
      <c r="L13" s="44">
        <f>IF(VLOOKUP($C13,Machined!C:Z,20,0) = 0, " ", VLOOKUP($C13,Machined!C:Z,20,0))</f>
        <v>45551</v>
      </c>
      <c r="M13" s="44">
        <f>IF(VLOOKUP($C13,Machined!C:Z,21,0) = 0, " ", VLOOKUP($C13,Machined!C:Z,21,0))</f>
        <v>45566</v>
      </c>
      <c r="N13" s="129">
        <f>IF(VLOOKUP($C13,Machined!C:Z,22,0) = 0, " ", VLOOKUP($C13,Machined!C:Z,22,0))</f>
        <v>55676</v>
      </c>
      <c r="O13" s="45">
        <f t="shared" ref="O13:O14" ca="1" si="4">B13*$L$2</f>
        <v>4</v>
      </c>
      <c r="P13" s="49">
        <f>VLOOKUP(C13,Machined!C:F,3,0)</f>
        <v>201.85</v>
      </c>
      <c r="Q13" s="50">
        <f t="shared" ref="Q13:Q14" si="5">B13*P13</f>
        <v>807.4</v>
      </c>
    </row>
    <row r="14" spans="1:17" s="2" customFormat="1" ht="12.75" customHeight="1" x14ac:dyDescent="0.25">
      <c r="A14" s="77">
        <v>7</v>
      </c>
      <c r="B14" s="20">
        <v>1</v>
      </c>
      <c r="C14" s="121" t="s">
        <v>663</v>
      </c>
      <c r="D14" s="314" t="str">
        <f>VLOOKUP(C14,Machined!C:X,2,0)</f>
        <v>Geared Handwheel Plate</v>
      </c>
      <c r="E14" s="329"/>
      <c r="F14" s="107" t="str">
        <f>VLOOKUP($C14,Machined!C:Z,13,0)</f>
        <v>6061-T6 ALUMINUM</v>
      </c>
      <c r="G14" s="44" t="str">
        <f>IF(VLOOKUP($C14,Machined!C:Z,16,0) = 0, " ", VLOOKUP($C14,Machined!C:Z,16,0))</f>
        <v>Frontier Mach, Xometry</v>
      </c>
      <c r="H14" s="320" t="str">
        <f>IF(VLOOKUP($C14,Machined!C:Z,17,0) = 0, " ", VLOOKUP($C14,Machined!C:Z,17,0))</f>
        <v>1 more on PO 55762</v>
      </c>
      <c r="I14" s="321" t="str">
        <f>IF(VLOOKUP($C14,Machined!$C:$Y,13,0) = 0, " ", VLOOKUP($C14,Machined!$C:$Y,13,0))</f>
        <v>6061-T6 ALUMINUM</v>
      </c>
      <c r="J14" s="44">
        <f>IF(VLOOKUP($C14,Machined!C:Z,18,0) = 0, " ", VLOOKUP($C14,Machined!C:Z,18,0))</f>
        <v>45489</v>
      </c>
      <c r="K14" s="44">
        <f>IF(VLOOKUP($C14,Machined!C:Z,19,0) = 0, " ", VLOOKUP($C14,Machined!C:Z,19,0))</f>
        <v>45490</v>
      </c>
      <c r="L14" s="44">
        <f>IF(VLOOKUP($C14,Machined!C:Z,20,0) = 0, " ", VLOOKUP($C14,Machined!C:Z,20,0))</f>
        <v>45512</v>
      </c>
      <c r="M14" s="44">
        <f>IF(VLOOKUP($C14,Machined!C:Z,21,0) = 0, " ", VLOOKUP($C14,Machined!C:Z,21,0))</f>
        <v>45512</v>
      </c>
      <c r="N14" s="129">
        <f>IF(VLOOKUP($C14,Machined!C:Z,22,0) = 0, " ", VLOOKUP($C14,Machined!C:Z,22,0))</f>
        <v>55607</v>
      </c>
      <c r="O14" s="45">
        <f t="shared" ca="1" si="4"/>
        <v>1</v>
      </c>
      <c r="P14" s="49">
        <f>VLOOKUP(C14,Machined!C:F,3,0)</f>
        <v>107.1</v>
      </c>
      <c r="Q14" s="50">
        <f t="shared" si="5"/>
        <v>107.1</v>
      </c>
    </row>
    <row r="15" spans="1:17" s="2" customFormat="1" ht="12.75" customHeight="1" x14ac:dyDescent="0.25">
      <c r="A15" s="77">
        <v>8</v>
      </c>
      <c r="B15" s="20">
        <v>8</v>
      </c>
      <c r="C15" s="121" t="s">
        <v>708</v>
      </c>
      <c r="D15" s="314" t="str">
        <f>VLOOKUP(C15,Machined!C:X,2,0)</f>
        <v>Bearing Axel</v>
      </c>
      <c r="E15" s="329"/>
      <c r="F15" s="107" t="str">
        <f>VLOOKUP($C15,Machined!C:Z,13,0)</f>
        <v>1018 COLD ROLLED STEEL</v>
      </c>
      <c r="G15" s="44" t="str">
        <f>IF(VLOOKUP($C15,Machined!C:Z,16,0) = 0, " ", VLOOKUP($C15,Machined!C:Z,16,0))</f>
        <v>Dodd Mfg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1018 COLD ROLLED STEEL</v>
      </c>
      <c r="J15" s="44">
        <f>IF(VLOOKUP($C15,Machined!C:Z,18,0) = 0, " ", VLOOKUP($C15,Machined!C:Z,18,0))</f>
        <v>45468</v>
      </c>
      <c r="K15" s="44">
        <f>IF(VLOOKUP($C15,Machined!C:Z,19,0) = 0, " ", VLOOKUP($C15,Machined!C:Z,19,0))</f>
        <v>45483</v>
      </c>
      <c r="L15" s="44">
        <f>IF(VLOOKUP($C15,Machined!C:Z,20,0) = 0, " ", VLOOKUP($C15,Machined!C:Z,20,0))</f>
        <v>45502</v>
      </c>
      <c r="M15" s="44">
        <f>IF(VLOOKUP($C15,Machined!C:Z,21,0) = 0, " ", VLOOKUP($C15,Machined!C:Z,21,0))</f>
        <v>45502</v>
      </c>
      <c r="N15" s="129">
        <f>IF(VLOOKUP($C15,Machined!C:Z,22,0) = 0, " ", VLOOKUP($C15,Machined!C:Z,22,0))</f>
        <v>55595</v>
      </c>
      <c r="O15" s="45">
        <f ca="1">B15*$L$2</f>
        <v>8</v>
      </c>
      <c r="P15" s="49">
        <f>VLOOKUP(C15,Machined!C:F,3,0)</f>
        <v>27.5</v>
      </c>
      <c r="Q15" s="50">
        <f>B15*P15</f>
        <v>220</v>
      </c>
    </row>
    <row r="16" spans="1:17" s="2" customFormat="1" ht="12.75" customHeight="1" x14ac:dyDescent="0.25">
      <c r="A16" s="77">
        <v>9</v>
      </c>
      <c r="B16" s="20">
        <v>1</v>
      </c>
      <c r="C16" s="121" t="s">
        <v>709</v>
      </c>
      <c r="D16" s="314" t="str">
        <f>VLOOKUP(C16,Machined!C:X,2,0)</f>
        <v>DUAL HANDWHEEL PLATE</v>
      </c>
      <c r="E16" s="329"/>
      <c r="F16" s="107" t="str">
        <f>VLOOKUP($C16,Machined!C:Z,13,0)</f>
        <v>6061-T6 ALUMINUM</v>
      </c>
      <c r="G16" s="44" t="str">
        <f>IF(VLOOKUP($C16,Machined!C:Z,16,0) = 0, " ", VLOOKUP($C16,Machined!C:Z,16,0))</f>
        <v>Frontier Mach</v>
      </c>
      <c r="H16" s="320" t="str">
        <f>IF(VLOOKUP($C16,Machined!C:Z,17,0) = 0, " ", VLOOKUP($C16,Machined!C:Z,17,0))</f>
        <v xml:space="preserve"> </v>
      </c>
      <c r="I16" s="321" t="str">
        <f>IF(VLOOKUP($C16,Machined!$C:$Y,13,0) = 0, " ", VLOOKUP($C16,Machined!$C:$Y,13,0))</f>
        <v>6061-T6 ALUMINUM</v>
      </c>
      <c r="J16" s="44">
        <f>IF(VLOOKUP($C16,Machined!C:Z,18,0) = 0, " ", VLOOKUP($C16,Machined!C:Z,18,0))</f>
        <v>45489</v>
      </c>
      <c r="K16" s="44">
        <f>IF(VLOOKUP($C16,Machined!C:Z,19,0) = 0, " ", VLOOKUP($C16,Machined!C:Z,19,0))</f>
        <v>45490</v>
      </c>
      <c r="L16" s="44">
        <f>IF(VLOOKUP($C16,Machined!C:Z,20,0) = 0, " ", VLOOKUP($C16,Machined!C:Z,20,0))</f>
        <v>45512</v>
      </c>
      <c r="M16" s="44">
        <f>IF(VLOOKUP($C16,Machined!C:Z,21,0) = 0, " ", VLOOKUP($C16,Machined!C:Z,21,0))</f>
        <v>45512</v>
      </c>
      <c r="N16" s="129">
        <f>IF(VLOOKUP($C16,Machined!C:Z,22,0) = 0, " ", VLOOKUP($C16,Machined!C:Z,22,0))</f>
        <v>55607</v>
      </c>
      <c r="O16" s="45">
        <f t="shared" ref="O16:O17" ca="1" si="6">B16*$L$2</f>
        <v>1</v>
      </c>
      <c r="P16" s="49">
        <f>VLOOKUP(C16,Machined!C:F,3,0)</f>
        <v>119.15</v>
      </c>
      <c r="Q16" s="50">
        <f t="shared" ref="Q16:Q17" si="7">B16*P16</f>
        <v>119.15</v>
      </c>
    </row>
    <row r="17" spans="1:17" s="2" customFormat="1" ht="12.75" customHeight="1" x14ac:dyDescent="0.25">
      <c r="A17" s="77">
        <v>10</v>
      </c>
      <c r="B17" s="20">
        <v>2</v>
      </c>
      <c r="C17" s="121" t="s">
        <v>710</v>
      </c>
      <c r="D17" s="314" t="str">
        <f>VLOOKUP(C17,Machined!C:X,2,0)</f>
        <v>Brake Mounting Plate</v>
      </c>
      <c r="E17" s="329"/>
      <c r="F17" s="107" t="str">
        <f>VLOOKUP($C17,Machined!C:Z,13,0)</f>
        <v>6061-T6 ALUMINUM</v>
      </c>
      <c r="G17" s="44" t="str">
        <f>IF(VLOOKUP($C17,Machined!C:Z,16,0) = 0, " ", VLOOKUP($C17,Machined!C:Z,16,0))</f>
        <v>Dodd Mfg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6061-T6 ALUMINUM</v>
      </c>
      <c r="J17" s="44">
        <f>IF(VLOOKUP($C17,Machined!C:Z,18,0) = 0, " ", VLOOKUP($C17,Machined!C:Z,18,0))</f>
        <v>45468</v>
      </c>
      <c r="K17" s="44">
        <f>IF(VLOOKUP($C17,Machined!C:Z,19,0) = 0, " ", VLOOKUP($C17,Machined!C:Z,19,0))</f>
        <v>45483</v>
      </c>
      <c r="L17" s="44">
        <f>IF(VLOOKUP($C17,Machined!C:Z,20,0) = 0, " ", VLOOKUP($C17,Machined!C:Z,20,0))</f>
        <v>45502</v>
      </c>
      <c r="M17" s="44">
        <f>IF(VLOOKUP($C17,Machined!C:Z,21,0) = 0, " ", VLOOKUP($C17,Machined!C:Z,21,0))</f>
        <v>45502</v>
      </c>
      <c r="N17" s="129">
        <f>IF(VLOOKUP($C17,Machined!C:Z,22,0) = 0, " ", VLOOKUP($C17,Machined!C:Z,22,0))</f>
        <v>55595</v>
      </c>
      <c r="O17" s="45">
        <f t="shared" ca="1" si="6"/>
        <v>2</v>
      </c>
      <c r="P17" s="49">
        <f>VLOOKUP(C17,Machined!C:F,3,0)</f>
        <v>45</v>
      </c>
      <c r="Q17" s="50">
        <f t="shared" si="7"/>
        <v>90</v>
      </c>
    </row>
    <row r="18" spans="1:17" s="2" customFormat="1" ht="12.75" customHeight="1" x14ac:dyDescent="0.25">
      <c r="A18" s="77">
        <v>11</v>
      </c>
      <c r="B18" s="20">
        <v>2</v>
      </c>
      <c r="C18" s="121" t="s">
        <v>711</v>
      </c>
      <c r="D18" s="314" t="str">
        <f>VLOOKUP(C18,Machined!C:X,2,0)</f>
        <v>BRAKE SPACER</v>
      </c>
      <c r="E18" s="329"/>
      <c r="F18" s="107" t="str">
        <f>VLOOKUP($C18,Machined!C:Z,13,0)</f>
        <v>6061-T6 ALUMINUM</v>
      </c>
      <c r="G18" s="44" t="str">
        <f>IF(VLOOKUP($C18,Machined!C:Z,16,0) = 0, " ", VLOOKUP($C18,Machined!C:Z,16,0))</f>
        <v>Xometry</v>
      </c>
      <c r="H18" s="320" t="str">
        <f>IF(VLOOKUP($C18,Machined!C:Z,17,0) = 0, " ", VLOOKUP($C18,Machined!C:Z,17,0))</f>
        <v xml:space="preserve"> </v>
      </c>
      <c r="I18" s="321" t="str">
        <f>IF(VLOOKUP($C18,Machined!$C:$Y,13,0) = 0, " ", VLOOKUP($C18,Machined!$C:$Y,13,0))</f>
        <v>6061-T6 ALUMINUM</v>
      </c>
      <c r="J18" s="44">
        <f>IF(VLOOKUP($C18,Machined!C:Z,18,0) = 0, " ", VLOOKUP($C18,Machined!C:Z,18,0))</f>
        <v>45527</v>
      </c>
      <c r="K18" s="44">
        <f>IF(VLOOKUP($C18,Machined!C:Z,19,0) = 0, " ", VLOOKUP($C18,Machined!C:Z,19,0))</f>
        <v>45530</v>
      </c>
      <c r="L18" s="44">
        <f>IF(VLOOKUP($C18,Machined!C:Z,20,0) = 0, " ", VLOOKUP($C18,Machined!C:Z,20,0))</f>
        <v>45560</v>
      </c>
      <c r="M18" s="44">
        <f>IF(VLOOKUP($C18,Machined!C:Z,21,0) = 0, " ", VLOOKUP($C18,Machined!C:Z,21,0))</f>
        <v>45560</v>
      </c>
      <c r="N18" s="129">
        <f>IF(VLOOKUP($C18,Machined!C:Z,22,0) = 0, " ", VLOOKUP($C18,Machined!C:Z,22,0))</f>
        <v>55706</v>
      </c>
      <c r="O18" s="45">
        <f ca="1">B18*$L$2</f>
        <v>2</v>
      </c>
      <c r="P18" s="49">
        <f>VLOOKUP(C18,Machined!C:F,3,0)</f>
        <v>60.17</v>
      </c>
      <c r="Q18" s="50">
        <f>B18*P18</f>
        <v>120.34</v>
      </c>
    </row>
    <row r="19" spans="1:17" s="2" customFormat="1" ht="12" customHeight="1" x14ac:dyDescent="0.25">
      <c r="A19" s="77">
        <v>12</v>
      </c>
      <c r="B19" s="20">
        <v>1</v>
      </c>
      <c r="C19" s="121" t="s">
        <v>712</v>
      </c>
      <c r="D19" s="314" t="str">
        <f>VLOOKUP(C19,Machined!C:X,2,0)</f>
        <v>Adjustment Shaft-Long</v>
      </c>
      <c r="E19" s="329"/>
      <c r="F19" s="107" t="str">
        <f>VLOOKUP($C19,Machined!C:Z,13,0)</f>
        <v>303 TG&amp;P, Round Stock, -0.0005</v>
      </c>
      <c r="G19" s="44" t="str">
        <f>IF(VLOOKUP($C19,Machined!C:Z,16,0) = 0, " ", VLOOKUP($C19,Machined!C:Z,16,0))</f>
        <v>Nuline</v>
      </c>
      <c r="H19" s="320" t="str">
        <f>IF(VLOOKUP($C19,Machined!C:Z,17,0) = 0, " ", VLOOKUP($C19,Machined!C:Z,17,0))</f>
        <v xml:space="preserve"> </v>
      </c>
      <c r="I19" s="321" t="str">
        <f>IF(VLOOKUP($C19,Machined!$C:$Y,13,0) = 0, " ", VLOOKUP($C19,Machined!$C:$Y,13,0))</f>
        <v>303 TG&amp;P, Round Stock, -0.0005</v>
      </c>
      <c r="J19" s="44" t="str">
        <f>IF(VLOOKUP($C19,Machined!C:Z,18,0) = 0, " ", VLOOKUP($C19,Machined!C:Z,18,0))</f>
        <v xml:space="preserve"> </v>
      </c>
      <c r="K19" s="44" t="str">
        <f>IF(VLOOKUP($C19,Machined!C:Z,19,0) = 0, " ", VLOOKUP($C19,Machined!C:Z,19,0))</f>
        <v xml:space="preserve"> </v>
      </c>
      <c r="L19" s="44" t="str">
        <f>IF(VLOOKUP($C19,Machined!C:Z,20,0) = 0, " ", VLOOKUP($C19,Machined!C:Z,20,0))</f>
        <v xml:space="preserve"> </v>
      </c>
      <c r="M19" s="44" t="str">
        <f>IF(VLOOKUP($C19,Machined!C:Z,21,0) = 0, " ", VLOOKUP($C19,Machined!C:Z,21,0))</f>
        <v xml:space="preserve"> </v>
      </c>
      <c r="N19" s="129" t="str">
        <f>IF(VLOOKUP($C19,Machined!C:Z,22,0) = 0, " ", VLOOKUP($C19,Machined!C:Z,22,0))</f>
        <v xml:space="preserve"> </v>
      </c>
      <c r="O19" s="45">
        <f t="shared" ref="O19:O20" ca="1" si="8">B19*$L$2</f>
        <v>1</v>
      </c>
      <c r="P19" s="49">
        <f>VLOOKUP(C19,Machined!C:F,3,0)</f>
        <v>0</v>
      </c>
      <c r="Q19" s="50">
        <f t="shared" ref="Q19:Q20" si="9">B19*P19</f>
        <v>0</v>
      </c>
    </row>
    <row r="20" spans="1:17" s="2" customFormat="1" ht="12" customHeight="1" x14ac:dyDescent="0.25">
      <c r="A20" s="77">
        <v>13</v>
      </c>
      <c r="B20" s="20">
        <v>1</v>
      </c>
      <c r="C20" s="121" t="s">
        <v>713</v>
      </c>
      <c r="D20" s="314" t="str">
        <f>VLOOKUP(C20,Machined!C:X,2,0)</f>
        <v>Adjustment Shaft-Short</v>
      </c>
      <c r="E20" s="329"/>
      <c r="F20" s="107" t="str">
        <f>VLOOKUP($C20,Machined!C:Z,13,0)</f>
        <v>303 TG&amp;P, Round Stock, -0.0005</v>
      </c>
      <c r="G20" s="44" t="str">
        <f>IF(VLOOKUP($C20,Machined!C:Z,16,0) = 0, " ", VLOOKUP($C20,Machined!C:Z,16,0))</f>
        <v>Frontier Mach</v>
      </c>
      <c r="H20" s="320" t="str">
        <f>IF(VLOOKUP($C20,Machined!C:Z,17,0) = 0, " ", VLOOKUP($C20,Machined!C:Z,17,0))</f>
        <v>Material by Nuline</v>
      </c>
      <c r="I20" s="321" t="str">
        <f>IF(VLOOKUP($C20,Machined!$C:$Y,13,0) = 0, " ", VLOOKUP($C20,Machined!$C:$Y,13,0))</f>
        <v>303 TG&amp;P, Round Stock, -0.0005</v>
      </c>
      <c r="J20" s="44">
        <f>IF(VLOOKUP($C20,Machined!C:Z,18,0) = 0, " ", VLOOKUP($C20,Machined!C:Z,18,0))</f>
        <v>45524</v>
      </c>
      <c r="K20" s="44">
        <f>IF(VLOOKUP($C20,Machined!C:Z,19,0) = 0, " ", VLOOKUP($C20,Machined!C:Z,19,0))</f>
        <v>45527</v>
      </c>
      <c r="L20" s="44">
        <f>IF(VLOOKUP($C20,Machined!C:Z,20,0) = 0, " ", VLOOKUP($C20,Machined!C:Z,20,0))</f>
        <v>45555</v>
      </c>
      <c r="M20" s="44">
        <f>IF(VLOOKUP($C20,Machined!C:Z,21,0) = 0, " ", VLOOKUP($C20,Machined!C:Z,21,0))</f>
        <v>45527</v>
      </c>
      <c r="N20" s="129">
        <f>IF(VLOOKUP($C20,Machined!C:Z,22,0) = 0, " ", VLOOKUP($C20,Machined!C:Z,22,0))</f>
        <v>55699</v>
      </c>
      <c r="O20" s="45">
        <f t="shared" ca="1" si="8"/>
        <v>1</v>
      </c>
      <c r="P20" s="49">
        <f>VLOOKUP(C20,Machined!C:F,3,0)</f>
        <v>60.9</v>
      </c>
      <c r="Q20" s="50">
        <f t="shared" si="9"/>
        <v>60.9</v>
      </c>
    </row>
    <row r="21" spans="1:17" s="2" customFormat="1" ht="12" customHeight="1" x14ac:dyDescent="0.25">
      <c r="A21" s="77">
        <v>14</v>
      </c>
      <c r="B21" s="20">
        <v>2</v>
      </c>
      <c r="C21" s="121" t="s">
        <v>714</v>
      </c>
      <c r="D21" s="314" t="str">
        <f>VLOOKUP(C21,Machined!C:X,2,0)</f>
        <v>CROSSWEB ADJUST SHAFT</v>
      </c>
      <c r="E21" s="329"/>
      <c r="F21" s="107" t="str">
        <f>VLOOKUP($C21,Machined!C:Z,13,0)</f>
        <v>303 TG&amp;P, Round Stock, -0.0005</v>
      </c>
      <c r="G21" s="44" t="str">
        <f>IF(VLOOKUP($C21,Machined!C:Z,16,0) = 0, " ", VLOOKUP($C21,Machined!C:Z,16,0))</f>
        <v>Frontier Mach</v>
      </c>
      <c r="H21" s="320" t="str">
        <f>IF(VLOOKUP($C21,Machined!C:Z,17,0) = 0, " ", VLOOKUP($C21,Machined!C:Z,17,0))</f>
        <v>Material by Nuline</v>
      </c>
      <c r="I21" s="321" t="str">
        <f>IF(VLOOKUP($C21,Machined!$C:$Y,13,0) = 0, " ", VLOOKUP($C21,Machined!$C:$Y,13,0))</f>
        <v>303 TG&amp;P, Round Stock, -0.0005</v>
      </c>
      <c r="J21" s="44">
        <f>IF(VLOOKUP($C21,Machined!C:Z,18,0) = 0, " ", VLOOKUP($C21,Machined!C:Z,18,0))</f>
        <v>45524</v>
      </c>
      <c r="K21" s="44">
        <f>IF(VLOOKUP($C21,Machined!C:Z,19,0) = 0, " ", VLOOKUP($C21,Machined!C:Z,19,0))</f>
        <v>45527</v>
      </c>
      <c r="L21" s="44">
        <f>IF(VLOOKUP($C21,Machined!C:Z,20,0) = 0, " ", VLOOKUP($C21,Machined!C:Z,20,0))</f>
        <v>45555</v>
      </c>
      <c r="M21" s="44">
        <f>IF(VLOOKUP($C21,Machined!C:Z,21,0) = 0, " ", VLOOKUP($C21,Machined!C:Z,21,0))</f>
        <v>45527</v>
      </c>
      <c r="N21" s="129">
        <f>IF(VLOOKUP($C21,Machined!C:Z,22,0) = 0, " ", VLOOKUP($C21,Machined!C:Z,22,0))</f>
        <v>55699</v>
      </c>
      <c r="O21" s="45">
        <f t="shared" ref="O21:O22" ca="1" si="10">B21*$L$2</f>
        <v>2</v>
      </c>
      <c r="P21" s="49">
        <f>VLOOKUP(C21,Machined!C:F,3,0)</f>
        <v>85.55</v>
      </c>
      <c r="Q21" s="50">
        <f t="shared" ref="Q21:Q22" si="11">B21*P21</f>
        <v>171.1</v>
      </c>
    </row>
    <row r="22" spans="1:17" s="2" customFormat="1" ht="12" customHeight="1" x14ac:dyDescent="0.25">
      <c r="A22" s="77">
        <v>15</v>
      </c>
      <c r="B22" s="20">
        <v>1</v>
      </c>
      <c r="C22" s="121" t="s">
        <v>664</v>
      </c>
      <c r="D22" s="314" t="str">
        <f>VLOOKUP(C22,Machined!C:X,2,0)</f>
        <v>MODIFIED MCM 7758K31 Pushbutton Enclosure</v>
      </c>
      <c r="E22" s="329"/>
      <c r="F22" s="107" t="str">
        <f>VLOOKUP($C22,Machined!C:Z,13,0)</f>
        <v>PURCHASED PART</v>
      </c>
      <c r="G22" s="44" t="str">
        <f>IF(VLOOKUP($C22,Machined!C:Z,16,0) = 0, " ", VLOOKUP($C22,Machined!C:Z,16,0))</f>
        <v xml:space="preserve">Nuline </v>
      </c>
      <c r="H22" s="320" t="str">
        <f>IF(VLOOKUP($C22,Machined!C:Z,17,0) = 0, " ", VLOOKUP($C22,Machined!C:Z,17,0))</f>
        <v xml:space="preserve"> </v>
      </c>
      <c r="I22" s="321" t="str">
        <f>IF(VLOOKUP($C22,Machined!$C:$Y,13,0) = 0, " ", VLOOKUP($C22,Machined!$C:$Y,13,0))</f>
        <v>PURCHASED PART</v>
      </c>
      <c r="J22" s="44">
        <f>IF(VLOOKUP($C22,Machined!C:Z,18,0) = 0, " ", VLOOKUP($C22,Machined!C:Z,18,0))</f>
        <v>45497</v>
      </c>
      <c r="K22" s="44">
        <f>IF(VLOOKUP($C22,Machined!C:Z,19,0) = 0, " ", VLOOKUP($C22,Machined!C:Z,19,0))</f>
        <v>45497</v>
      </c>
      <c r="L22" s="44">
        <f>IF(VLOOKUP($C22,Machined!C:Z,20,0) = 0, " ", VLOOKUP($C22,Machined!C:Z,20,0))</f>
        <v>45499</v>
      </c>
      <c r="M22" s="44">
        <f>IF(VLOOKUP($C22,Machined!C:Z,21,0) = 0, " ", VLOOKUP($C22,Machined!C:Z,21,0))</f>
        <v>45499</v>
      </c>
      <c r="N22" s="129">
        <f>IF(VLOOKUP($C22,Machined!C:Z,22,0) = 0, " ", VLOOKUP($C22,Machined!C:Z,22,0))</f>
        <v>55640</v>
      </c>
      <c r="O22" s="45">
        <f t="shared" ca="1" si="10"/>
        <v>1</v>
      </c>
      <c r="P22" s="49">
        <f>VLOOKUP(C22,Machined!C:F,3,0)</f>
        <v>36.28</v>
      </c>
      <c r="Q22" s="50">
        <f t="shared" si="11"/>
        <v>36.28</v>
      </c>
    </row>
    <row r="23" spans="1:17" s="2" customFormat="1" ht="12" customHeight="1" x14ac:dyDescent="0.25">
      <c r="A23" s="77">
        <v>16</v>
      </c>
      <c r="B23" s="20">
        <v>1</v>
      </c>
      <c r="C23" s="121" t="s">
        <v>715</v>
      </c>
      <c r="D23" s="314" t="str">
        <f>VLOOKUP(C23,Machined!C:X,2,0)</f>
        <v>ONBOARD CUFF GUARD L</v>
      </c>
      <c r="E23" s="329"/>
      <c r="F23" s="107" t="str">
        <f>VLOOKUP($C23,Machined!C:Z,13,0)</f>
        <v>POLYCARBONITE-CLEAR</v>
      </c>
      <c r="G23" s="44" t="str">
        <f>IF(VLOOKUP($C23,Machined!C:Z,16,0) = 0, " ", VLOOKUP($C23,Machined!C:Z,16,0))</f>
        <v>Port Plastics</v>
      </c>
      <c r="H23" s="320" t="str">
        <f>IF(VLOOKUP($C23,Machined!C:Z,17,0) = 0, " ", VLOOKUP($C23,Machined!C:Z,17,0))</f>
        <v xml:space="preserve"> </v>
      </c>
      <c r="I23" s="321" t="str">
        <f>IF(VLOOKUP($C23,Machined!$C:$Y,13,0) = 0, " ", VLOOKUP($C23,Machined!$C:$Y,13,0))</f>
        <v>POLYCARBONITE-CLEAR</v>
      </c>
      <c r="J23" s="44" t="str">
        <f>IF(VLOOKUP($C23,Machined!C:Z,18,0) = 0, " ", VLOOKUP($C23,Machined!C:Z,18,0))</f>
        <v>(TJ) 8/8/2024</v>
      </c>
      <c r="K23" s="44">
        <f>IF(VLOOKUP($C23,Machined!C:Z,19,0) = 0, " ", VLOOKUP($C23,Machined!C:Z,19,0))</f>
        <v>45530</v>
      </c>
      <c r="L23" s="44">
        <f>IF(VLOOKUP($C23,Machined!C:Z,20,0) = 0, " ", VLOOKUP($C23,Machined!C:Z,20,0))</f>
        <v>45561</v>
      </c>
      <c r="M23" s="44" t="str">
        <f>IF(VLOOKUP($C23,Machined!C:Z,21,0) = 0, " ", VLOOKUP($C23,Machined!C:Z,21,0))</f>
        <v xml:space="preserve"> </v>
      </c>
      <c r="N23" s="129">
        <f>IF(VLOOKUP($C23,Machined!C:Z,22,0) = 0, " ", VLOOKUP($C23,Machined!C:Z,22,0))</f>
        <v>55708</v>
      </c>
      <c r="O23" s="45">
        <f ca="1">B23*$L$2</f>
        <v>1</v>
      </c>
      <c r="P23" s="49">
        <f>VLOOKUP(C23,Machined!C:F,3,0)</f>
        <v>70</v>
      </c>
      <c r="Q23" s="50">
        <f>B23*P23</f>
        <v>70</v>
      </c>
    </row>
    <row r="24" spans="1:17" s="2" customFormat="1" ht="12" customHeight="1" x14ac:dyDescent="0.25">
      <c r="A24" s="77">
        <v>17</v>
      </c>
      <c r="B24" s="20">
        <v>1</v>
      </c>
      <c r="C24" s="121" t="s">
        <v>716</v>
      </c>
      <c r="D24" s="314" t="str">
        <f>VLOOKUP(C24,Machined!C:X,2,0)</f>
        <v>ONBOARD CUFF GUARD R</v>
      </c>
      <c r="E24" s="329"/>
      <c r="F24" s="107" t="str">
        <f>VLOOKUP($C24,Machined!C:Z,13,0)</f>
        <v>POLYCARBONITE-CLEAR</v>
      </c>
      <c r="G24" s="44" t="str">
        <f>IF(VLOOKUP($C24,Machined!C:Z,16,0) = 0, " ", VLOOKUP($C24,Machined!C:Z,16,0))</f>
        <v>Port Plastics</v>
      </c>
      <c r="H24" s="320" t="str">
        <f>IF(VLOOKUP($C24,Machined!C:Z,17,0) = 0, " ", VLOOKUP($C24,Machined!C:Z,17,0))</f>
        <v xml:space="preserve"> </v>
      </c>
      <c r="I24" s="321" t="str">
        <f>IF(VLOOKUP($C24,Machined!$C:$Y,13,0) = 0, " ", VLOOKUP($C24,Machined!$C:$Y,13,0))</f>
        <v>POLYCARBONITE-CLEAR</v>
      </c>
      <c r="J24" s="44" t="str">
        <f>IF(VLOOKUP($C24,Machined!C:Z,18,0) = 0, " ", VLOOKUP($C24,Machined!C:Z,18,0))</f>
        <v>(TJ) 8/8/2024</v>
      </c>
      <c r="K24" s="44">
        <f>IF(VLOOKUP($C24,Machined!C:Z,19,0) = 0, " ", VLOOKUP($C24,Machined!C:Z,19,0))</f>
        <v>45530</v>
      </c>
      <c r="L24" s="44">
        <f>IF(VLOOKUP($C24,Machined!C:Z,20,0) = 0, " ", VLOOKUP($C24,Machined!C:Z,20,0))</f>
        <v>45561</v>
      </c>
      <c r="M24" s="44" t="str">
        <f>IF(VLOOKUP($C24,Machined!C:Z,21,0) = 0, " ", VLOOKUP($C24,Machined!C:Z,21,0))</f>
        <v xml:space="preserve"> </v>
      </c>
      <c r="N24" s="129">
        <f>IF(VLOOKUP($C24,Machined!C:Z,22,0) = 0, " ", VLOOKUP($C24,Machined!C:Z,22,0))</f>
        <v>55708</v>
      </c>
      <c r="O24" s="45">
        <f ca="1">B24*$L$2</f>
        <v>1</v>
      </c>
      <c r="P24" s="49">
        <f>VLOOKUP(C24,Machined!C:F,3,0)</f>
        <v>72</v>
      </c>
      <c r="Q24" s="50">
        <f>B24*P24</f>
        <v>72</v>
      </c>
    </row>
    <row r="25" spans="1:17" s="2" customFormat="1" ht="12" customHeight="1" x14ac:dyDescent="0.25">
      <c r="A25" s="77">
        <v>18</v>
      </c>
      <c r="B25" s="20">
        <v>2</v>
      </c>
      <c r="C25" s="121" t="s">
        <v>717</v>
      </c>
      <c r="D25" s="314" t="str">
        <f>VLOOKUP(C25,Machined!C:X,2,0)</f>
        <v>SPUR GEAR GUARD</v>
      </c>
      <c r="E25" s="329"/>
      <c r="F25" s="107" t="str">
        <f>VLOOKUP($C25,Machined!C:Z,13,0)</f>
        <v>304 STAINLESS STEEL</v>
      </c>
      <c r="G25" s="44" t="str">
        <f>IF(VLOOKUP($C25,Machined!C:Z,16,0) = 0, " ", VLOOKUP($C25,Machined!C:Z,16,0))</f>
        <v>Proto</v>
      </c>
      <c r="H25" s="320" t="str">
        <f>IF(VLOOKUP($C25,Machined!C:Z,17,0) = 0, " ", VLOOKUP($C25,Machined!C:Z,17,0))</f>
        <v xml:space="preserve"> </v>
      </c>
      <c r="I25" s="321" t="str">
        <f>IF(VLOOKUP($C25,Machined!$C:$Y,13,0) = 0, " ", VLOOKUP($C25,Machined!$C:$Y,13,0))</f>
        <v>304 STAINLESS STEEL</v>
      </c>
      <c r="J25" s="44">
        <f>IF(VLOOKUP($C25,Machined!C:Z,18,0) = 0, " ", VLOOKUP($C25,Machined!C:Z,18,0))</f>
        <v>45526</v>
      </c>
      <c r="K25" s="44">
        <f>IF(VLOOKUP($C25,Machined!C:Z,19,0) = 0, " ", VLOOKUP($C25,Machined!C:Z,19,0))</f>
        <v>45527</v>
      </c>
      <c r="L25" s="44">
        <f>IF(VLOOKUP($C25,Machined!C:Z,20,0) = 0, " ", VLOOKUP($C25,Machined!C:Z,20,0))</f>
        <v>45548</v>
      </c>
      <c r="M25" s="44">
        <f>IF(VLOOKUP($C25,Machined!C:Z,21,0) = 0, " ", VLOOKUP($C25,Machined!C:Z,21,0))</f>
        <v>45548</v>
      </c>
      <c r="N25" s="129">
        <f>IF(VLOOKUP($C25,Machined!C:Z,22,0) = 0, " ", VLOOKUP($C25,Machined!C:Z,22,0))</f>
        <v>55702</v>
      </c>
      <c r="O25" s="45">
        <f ca="1">B25*$L$2</f>
        <v>2</v>
      </c>
      <c r="P25" s="49">
        <f>VLOOKUP(C25,Machined!C:F,3,0)</f>
        <v>0</v>
      </c>
      <c r="Q25" s="50">
        <f>B25*P25</f>
        <v>0</v>
      </c>
    </row>
    <row r="26" spans="1:17" s="2" customFormat="1" ht="12" customHeight="1" x14ac:dyDescent="0.25">
      <c r="A26" s="25"/>
      <c r="B26" s="26"/>
      <c r="C26" s="26"/>
      <c r="D26" s="332"/>
      <c r="E26" s="333"/>
      <c r="F26" s="26"/>
      <c r="G26" s="26"/>
      <c r="H26" s="322"/>
      <c r="I26" s="323"/>
      <c r="J26" s="27"/>
      <c r="K26" s="27"/>
      <c r="L26" s="27"/>
      <c r="M26" s="28"/>
      <c r="N26" s="29"/>
      <c r="O26" s="29"/>
      <c r="P26" s="148"/>
      <c r="Q26" s="149"/>
    </row>
    <row r="27" spans="1:17" s="2" customFormat="1" ht="12" customHeight="1" x14ac:dyDescent="0.25">
      <c r="A27" s="4">
        <v>301</v>
      </c>
      <c r="B27" s="2">
        <v>32</v>
      </c>
      <c r="C27" s="135" t="s">
        <v>104</v>
      </c>
      <c r="D27" s="325" t="str">
        <f>VLOOKUP(C27,Purchased!A:B,2,0)</f>
        <v>BRX GOTO T-NUT 10 M8</v>
      </c>
      <c r="E27" s="326"/>
      <c r="F27" s="108" t="str">
        <f>IF(VLOOKUP($C27,Purchased!A:Z,11,0) = 0, " ", VLOOKUP($C27,Purchased!A:Z,11,0))</f>
        <v>BRX</v>
      </c>
      <c r="G27" s="108" t="str">
        <f>IF(VLOOKUP($C27,Purchased!A:Z,12,0)=0, " ", VLOOKUP($C27,Purchased!A:Z,12,0))</f>
        <v>AAP</v>
      </c>
      <c r="H27" s="327" t="str">
        <f>IF(VLOOKUP($C27,Purchased!A:Z,13,0)=0, " ", VLOOKUP($C27,Purchased!A:Z,13,0))</f>
        <v>400 additional quantity added to 55710</v>
      </c>
      <c r="I27" s="328"/>
      <c r="J27" s="46">
        <f>IF(VLOOKUP($C27,Purchased!A:Z,14,0)=0, " ", VLOOKUP($C27,Purchased!A:Z,14,0))</f>
        <v>45463</v>
      </c>
      <c r="K27" s="46">
        <f>IF(VLOOKUP(C27,Purchased!A:R,14,0)=0, " ", VLOOKUP(C27,Purchased!A:R,14,0))</f>
        <v>45463</v>
      </c>
      <c r="L27" s="46">
        <f>IF(VLOOKUP(C27,Purchased!A:R,15,0)=0, " ", VLOOKUP(C27,Purchased!A:R,15,0))</f>
        <v>45463</v>
      </c>
      <c r="M27" s="46">
        <f>IF(VLOOKUP(C27,Purchased!A:R,16,0)=0, " ",VLOOKUP(C27,Purchased!A:R,16,0))</f>
        <v>45481</v>
      </c>
      <c r="N27" s="130">
        <f>IF(VLOOKUP(C27,Purchased!A:R,17,0)=0, " ", VLOOKUP(C27,Purchased!A:R,17,0))</f>
        <v>45481</v>
      </c>
      <c r="O27" s="47">
        <f t="shared" ref="O27:O63" ca="1" si="12">B27*$L$2</f>
        <v>32</v>
      </c>
      <c r="P27" s="51">
        <f>VLOOKUP(C27,Purchased!A:D,3,FALSE)</f>
        <v>0.56000000000000005</v>
      </c>
      <c r="Q27" s="52">
        <f t="shared" ref="Q27:Q63" si="13">B27*P27</f>
        <v>17.920000000000002</v>
      </c>
    </row>
    <row r="28" spans="1:17" s="2" customFormat="1" ht="12" customHeight="1" x14ac:dyDescent="0.25">
      <c r="A28" s="4">
        <v>302</v>
      </c>
      <c r="B28" s="2">
        <v>3</v>
      </c>
      <c r="C28" s="135">
        <v>3842523578</v>
      </c>
      <c r="D28" s="325" t="str">
        <f>VLOOKUP(C28,Purchased!A:B,2,0)</f>
        <v>Bracket Gusset 90x90 Set</v>
      </c>
      <c r="E28" s="326"/>
      <c r="F28" s="108" t="str">
        <f>IF(VLOOKUP($C28,Purchased!A:Z,11,0) = 0, " ", VLOOKUP($C28,Purchased!A:Z,11,0))</f>
        <v>BRX</v>
      </c>
      <c r="G28" s="108" t="str">
        <f>IF(VLOOKUP($C28,Purchased!A:Z,12,0)=0, " ", VLOOKUP($C28,Purchased!A:Z,12,0))</f>
        <v>AAP</v>
      </c>
      <c r="H28" s="327" t="str">
        <f>IF(VLOOKUP($C28,Purchased!A:Z,13,0)=0, " ", VLOOKUP($C28,Purchased!A:Z,13,0))</f>
        <v xml:space="preserve"> </v>
      </c>
      <c r="I28" s="328"/>
      <c r="J28" s="46" t="str">
        <f>IF(VLOOKUP($C28,Purchased!A:Z,14,0)=0, " ", VLOOKUP($C28,Purchased!A:Z,14,0))</f>
        <v>N/A</v>
      </c>
      <c r="K28" s="46" t="str">
        <f>IF(VLOOKUP(C28,Purchased!A:R,14,0)=0, " ", VLOOKUP(C28,Purchased!A:R,14,0))</f>
        <v>N/A</v>
      </c>
      <c r="L28" s="46">
        <f>IF(VLOOKUP(C28,Purchased!A:R,15,0)=0, " ", VLOOKUP(C28,Purchased!A:R,15,0))</f>
        <v>45524</v>
      </c>
      <c r="M28" s="46">
        <f>IF(VLOOKUP(C28,Purchased!A:R,16,0)=0, " ",VLOOKUP(C28,Purchased!A:R,16,0))</f>
        <v>45547</v>
      </c>
      <c r="N28" s="130" t="str">
        <f>IF(VLOOKUP(C28,Purchased!A:R,17,0)=0, " ", VLOOKUP(C28,Purchased!A:R,17,0))</f>
        <v xml:space="preserve"> </v>
      </c>
      <c r="O28" s="47">
        <f t="shared" ca="1" si="12"/>
        <v>3</v>
      </c>
      <c r="P28" s="51">
        <f>VLOOKUP(C28,Purchased!A:D,3,FALSE)</f>
        <v>16.600000000000001</v>
      </c>
      <c r="Q28" s="52">
        <f t="shared" si="13"/>
        <v>49.800000000000004</v>
      </c>
    </row>
    <row r="29" spans="1:17" s="2" customFormat="1" ht="12" customHeight="1" x14ac:dyDescent="0.25">
      <c r="A29" s="4">
        <v>303</v>
      </c>
      <c r="B29" s="2">
        <v>6</v>
      </c>
      <c r="C29" s="135">
        <v>3842548758</v>
      </c>
      <c r="D29" s="325" t="str">
        <f>VLOOKUP(C29,Purchased!A:B,2,0)</f>
        <v>BRX 3842548758 Cover Cap 90x90 Grey</v>
      </c>
      <c r="E29" s="326"/>
      <c r="F29" s="108" t="str">
        <f>IF(VLOOKUP($C29,Purchased!A:Z,11,0) = 0, " ", VLOOKUP($C29,Purchased!A:Z,11,0))</f>
        <v>BRX</v>
      </c>
      <c r="G29" s="108" t="str">
        <f>IF(VLOOKUP($C29,Purchased!A:Z,12,0)=0, " ", VLOOKUP($C29,Purchased!A:Z,12,0))</f>
        <v>AAP</v>
      </c>
      <c r="H29" s="327" t="str">
        <f>IF(VLOOKUP($C29,Purchased!A:Z,13,0)=0, " ", VLOOKUP($C29,Purchased!A:Z,13,0))</f>
        <v xml:space="preserve"> </v>
      </c>
      <c r="I29" s="328"/>
      <c r="J29" s="46" t="str">
        <f>IF(VLOOKUP($C29,Purchased!A:Z,14,0)=0, " ", VLOOKUP($C29,Purchased!A:Z,14,0))</f>
        <v>N/A</v>
      </c>
      <c r="K29" s="46" t="str">
        <f>IF(VLOOKUP(C29,Purchased!A:R,14,0)=0, " ", VLOOKUP(C29,Purchased!A:R,14,0))</f>
        <v>N/A</v>
      </c>
      <c r="L29" s="46">
        <f>IF(VLOOKUP(C29,Purchased!A:R,15,0)=0, " ", VLOOKUP(C29,Purchased!A:R,15,0))</f>
        <v>45524</v>
      </c>
      <c r="M29" s="46">
        <f>IF(VLOOKUP(C29,Purchased!A:R,16,0)=0, " ",VLOOKUP(C29,Purchased!A:R,16,0))</f>
        <v>45547</v>
      </c>
      <c r="N29" s="130" t="str">
        <f>IF(VLOOKUP(C29,Purchased!A:R,17,0)=0, " ", VLOOKUP(C29,Purchased!A:R,17,0))</f>
        <v xml:space="preserve"> </v>
      </c>
      <c r="O29" s="47">
        <f t="shared" ca="1" si="12"/>
        <v>6</v>
      </c>
      <c r="P29" s="51">
        <f>VLOOKUP(C29,Purchased!A:D,3,FALSE)</f>
        <v>2.83</v>
      </c>
      <c r="Q29" s="52">
        <f t="shared" si="13"/>
        <v>16.98</v>
      </c>
    </row>
    <row r="30" spans="1:17" s="2" customFormat="1" ht="12" customHeight="1" x14ac:dyDescent="0.25">
      <c r="A30" s="4">
        <v>304</v>
      </c>
      <c r="B30" s="2">
        <v>56</v>
      </c>
      <c r="C30" s="135">
        <v>3842530283</v>
      </c>
      <c r="D30" s="325" t="str">
        <f>VLOOKUP(C30,Purchased!A:B,2,0)</f>
        <v>BRX GOTO T-NUT 10 M5</v>
      </c>
      <c r="E30" s="326"/>
      <c r="F30" s="108" t="str">
        <f>IF(VLOOKUP($C30,Purchased!A:Z,11,0) = 0, " ", VLOOKUP($C30,Purchased!A:Z,11,0))</f>
        <v>BRX</v>
      </c>
      <c r="G30" s="108" t="str">
        <f>IF(VLOOKUP($C30,Purchased!A:Z,12,0)=0, " ", VLOOKUP($C30,Purchased!A:Z,12,0))</f>
        <v>AAP</v>
      </c>
      <c r="H30" s="327" t="str">
        <f>IF(VLOOKUP($C30,Purchased!A:Z,13,0)=0, " ", VLOOKUP($C30,Purchased!A:Z,13,0))</f>
        <v>100 additional quantity added to 55710</v>
      </c>
      <c r="I30" s="328"/>
      <c r="J30" s="46">
        <f>IF(VLOOKUP($C30,Purchased!A:Z,14,0)=0, " ", VLOOKUP($C30,Purchased!A:Z,14,0))</f>
        <v>45463</v>
      </c>
      <c r="K30" s="46">
        <f>IF(VLOOKUP(C30,Purchased!A:R,14,0)=0, " ", VLOOKUP(C30,Purchased!A:R,14,0))</f>
        <v>45463</v>
      </c>
      <c r="L30" s="46">
        <f>IF(VLOOKUP(C30,Purchased!A:R,15,0)=0, " ", VLOOKUP(C30,Purchased!A:R,15,0))</f>
        <v>45463</v>
      </c>
      <c r="M30" s="46">
        <f>IF(VLOOKUP(C30,Purchased!A:R,16,0)=0, " ",VLOOKUP(C30,Purchased!A:R,16,0))</f>
        <v>45481</v>
      </c>
      <c r="N30" s="130">
        <f>IF(VLOOKUP(C30,Purchased!A:R,17,0)=0, " ", VLOOKUP(C30,Purchased!A:R,17,0))</f>
        <v>45481</v>
      </c>
      <c r="O30" s="47">
        <f t="shared" ca="1" si="12"/>
        <v>56</v>
      </c>
      <c r="P30" s="51">
        <f>VLOOKUP(C30,Purchased!A:D,3,FALSE)</f>
        <v>0.56000000000000005</v>
      </c>
      <c r="Q30" s="52">
        <f t="shared" si="13"/>
        <v>31.360000000000003</v>
      </c>
    </row>
    <row r="31" spans="1:17" s="2" customFormat="1" ht="12" customHeight="1" x14ac:dyDescent="0.25">
      <c r="A31" s="4">
        <v>305</v>
      </c>
      <c r="B31" s="2">
        <v>104</v>
      </c>
      <c r="C31" s="135" t="s">
        <v>149</v>
      </c>
      <c r="D31" s="325" t="str">
        <f>VLOOKUP(C31,Purchased!A:B,2,0)</f>
        <v>BRX GOTO QUICK CONNECTOR N10 0°</v>
      </c>
      <c r="E31" s="326"/>
      <c r="F31" s="108" t="str">
        <f>IF(VLOOKUP($C31,Purchased!A:Z,11,0) = 0, " ", VLOOKUP($C31,Purchased!A:Z,11,0))</f>
        <v>T-SLOTS</v>
      </c>
      <c r="G31" s="108" t="str">
        <f>IF(VLOOKUP($C31,Purchased!A:Z,12,0)=0, " ", VLOOKUP($C31,Purchased!A:Z,12,0))</f>
        <v>Process Tech</v>
      </c>
      <c r="H31" s="327" t="str">
        <f>IF(VLOOKUP($C31,Purchased!A:Z,13,0)=0, " ", VLOOKUP($C31,Purchased!A:Z,13,0))</f>
        <v>500 More on P.O. #55639 Part# 659730</v>
      </c>
      <c r="I31" s="328"/>
      <c r="J31" s="46" t="str">
        <f>IF(VLOOKUP($C31,Purchased!A:Z,14,0)=0, " ", VLOOKUP($C31,Purchased!A:Z,14,0))</f>
        <v>N/A</v>
      </c>
      <c r="K31" s="46" t="str">
        <f>IF(VLOOKUP(C31,Purchased!A:R,14,0)=0, " ", VLOOKUP(C31,Purchased!A:R,14,0))</f>
        <v>N/A</v>
      </c>
      <c r="L31" s="46">
        <f>IF(VLOOKUP(C31,Purchased!A:R,15,0)=0, " ", VLOOKUP(C31,Purchased!A:R,15,0))</f>
        <v>45362</v>
      </c>
      <c r="M31" s="46">
        <f>IF(VLOOKUP(C31,Purchased!A:R,16,0)=0, " ",VLOOKUP(C31,Purchased!A:R,16,0))</f>
        <v>45378</v>
      </c>
      <c r="N31" s="130">
        <f>IF(VLOOKUP(C31,Purchased!A:R,17,0)=0, " ", VLOOKUP(C31,Purchased!A:R,17,0))</f>
        <v>45378</v>
      </c>
      <c r="O31" s="47">
        <f t="shared" ca="1" si="12"/>
        <v>104</v>
      </c>
      <c r="P31" s="51">
        <f>VLOOKUP(C31,Purchased!A:D,3,FALSE)</f>
        <v>4.17</v>
      </c>
      <c r="Q31" s="52">
        <f t="shared" si="13"/>
        <v>433.68</v>
      </c>
    </row>
    <row r="32" spans="1:17" s="2" customFormat="1" ht="12" customHeight="1" x14ac:dyDescent="0.25">
      <c r="A32" s="4">
        <v>306</v>
      </c>
      <c r="B32" s="2">
        <v>8</v>
      </c>
      <c r="C32" s="135">
        <v>3842535466</v>
      </c>
      <c r="D32" s="325" t="str">
        <f>VLOOKUP(C32,Purchased!A:B,2,0)</f>
        <v>BRX GOTO QUICK CONNECTOR N10 90°</v>
      </c>
      <c r="E32" s="326"/>
      <c r="F32" s="108" t="str">
        <f>IF(VLOOKUP($C32,Purchased!A:Z,11,0) = 0, " ", VLOOKUP($C32,Purchased!A:Z,11,0))</f>
        <v>T-SLOTS</v>
      </c>
      <c r="G32" s="108" t="str">
        <f>IF(VLOOKUP($C32,Purchased!A:Z,12,0)=0, " ", VLOOKUP($C32,Purchased!A:Z,12,0))</f>
        <v>Process Tech</v>
      </c>
      <c r="H32" s="327" t="str">
        <f>IF(VLOOKUP($C32,Purchased!A:Z,13,0)=0, " ", VLOOKUP($C32,Purchased!A:Z,13,0))</f>
        <v>Ordered 300 8/29/24 JP</v>
      </c>
      <c r="I32" s="328"/>
      <c r="J32" s="46" t="str">
        <f>IF(VLOOKUP($C32,Purchased!A:Z,14,0)=0, " ", VLOOKUP($C32,Purchased!A:Z,14,0))</f>
        <v>N/A</v>
      </c>
      <c r="K32" s="46" t="str">
        <f>IF(VLOOKUP(C32,Purchased!A:R,14,0)=0, " ", VLOOKUP(C32,Purchased!A:R,14,0))</f>
        <v>N/A</v>
      </c>
      <c r="L32" s="46">
        <f>IF(VLOOKUP(C32,Purchased!A:R,15,0)=0, " ", VLOOKUP(C32,Purchased!A:R,15,0))</f>
        <v>45533</v>
      </c>
      <c r="M32" s="46">
        <f>IF(VLOOKUP(C32,Purchased!A:R,16,0)=0, " ",VLOOKUP(C32,Purchased!A:R,16,0))</f>
        <v>45540</v>
      </c>
      <c r="N32" s="130" t="str">
        <f>IF(VLOOKUP(C32,Purchased!A:R,17,0)=0, " ", VLOOKUP(C32,Purchased!A:R,17,0))</f>
        <v xml:space="preserve"> </v>
      </c>
      <c r="O32" s="47">
        <f t="shared" ca="1" si="12"/>
        <v>8</v>
      </c>
      <c r="P32" s="51">
        <f>VLOOKUP(C32,Purchased!A:D,3,FALSE)</f>
        <v>4.17</v>
      </c>
      <c r="Q32" s="52">
        <f t="shared" si="13"/>
        <v>33.36</v>
      </c>
    </row>
    <row r="33" spans="1:17" s="2" customFormat="1" ht="12" customHeight="1" x14ac:dyDescent="0.25">
      <c r="A33" s="4">
        <v>307</v>
      </c>
      <c r="B33" s="2">
        <v>4</v>
      </c>
      <c r="C33" s="135" t="s">
        <v>718</v>
      </c>
      <c r="D33" s="325" t="str">
        <f>VLOOKUP(C33,Purchased!A:B,2,0)</f>
        <v>15MM BALL RAIL, 1140MM LENGTH, T-30MM</v>
      </c>
      <c r="E33" s="326"/>
      <c r="F33" s="108" t="str">
        <f>IF(VLOOKUP($C33,Purchased!A:Z,11,0) = 0, " ", VLOOKUP($C33,Purchased!A:Z,11,0))</f>
        <v>BRL</v>
      </c>
      <c r="G33" s="108" t="str">
        <f>IF(VLOOKUP($C33,Purchased!A:Z,12,0)=0, " ", VLOOKUP($C33,Purchased!A:Z,12,0))</f>
        <v>AAP</v>
      </c>
      <c r="H33" s="327" t="str">
        <f>IF(VLOOKUP($C33,Purchased!A:Z,13,0)=0, " ", VLOOKUP($C33,Purchased!A:Z,13,0))</f>
        <v xml:space="preserve"> </v>
      </c>
      <c r="I33" s="328"/>
      <c r="J33" s="46">
        <f>IF(VLOOKUP($C33,Purchased!A:Z,14,0)=0, " ", VLOOKUP($C33,Purchased!A:Z,14,0))</f>
        <v>45502</v>
      </c>
      <c r="K33" s="46">
        <f>IF(VLOOKUP(C33,Purchased!A:R,14,0)=0, " ", VLOOKUP(C33,Purchased!A:R,14,0))</f>
        <v>45502</v>
      </c>
      <c r="L33" s="46">
        <f>IF(VLOOKUP(C33,Purchased!A:R,15,0)=0, " ", VLOOKUP(C33,Purchased!A:R,15,0))</f>
        <v>45506</v>
      </c>
      <c r="M33" s="46">
        <f>IF(VLOOKUP(C33,Purchased!A:R,16,0)=0, " ",VLOOKUP(C33,Purchased!A:R,16,0))</f>
        <v>45547</v>
      </c>
      <c r="N33" s="130">
        <f>IF(VLOOKUP(C33,Purchased!A:R,17,0)=0, " ", VLOOKUP(C33,Purchased!A:R,17,0))</f>
        <v>45552</v>
      </c>
      <c r="O33" s="47">
        <f t="shared" ca="1" si="12"/>
        <v>4</v>
      </c>
      <c r="P33" s="51">
        <f>VLOOKUP(C33,Purchased!A:D,3,FALSE)</f>
        <v>466.8888</v>
      </c>
      <c r="Q33" s="52">
        <f t="shared" si="13"/>
        <v>1867.5552</v>
      </c>
    </row>
    <row r="34" spans="1:17" s="2" customFormat="1" ht="12" customHeight="1" x14ac:dyDescent="0.25">
      <c r="A34" s="4">
        <v>308</v>
      </c>
      <c r="B34" s="2">
        <v>2</v>
      </c>
      <c r="C34" s="135" t="s">
        <v>719</v>
      </c>
      <c r="D34" s="325" t="str">
        <f>VLOOKUP(C34,Purchased!A:B,2,0)</f>
        <v>RB51-12 REDUCTION SLEEVE, 14MM TO 12MM</v>
      </c>
      <c r="E34" s="326"/>
      <c r="F34" s="108" t="str">
        <f>IF(VLOOKUP($C34,Purchased!A:Z,11,0) = 0, " ", VLOOKUP($C34,Purchased!A:Z,11,0))</f>
        <v>ELESA</v>
      </c>
      <c r="G34" s="108" t="str">
        <f>IF(VLOOKUP($C34,Purchased!A:Z,12,0)=0, " ", VLOOKUP($C34,Purchased!A:Z,12,0))</f>
        <v>ELESA</v>
      </c>
      <c r="H34" s="327" t="str">
        <f>IF(VLOOKUP($C34,Purchased!A:Z,13,0)=0, " ", VLOOKUP($C34,Purchased!A:Z,13,0))</f>
        <v xml:space="preserve"> </v>
      </c>
      <c r="I34" s="328"/>
      <c r="J34" s="46">
        <f>IF(VLOOKUP($C34,Purchased!A:Z,14,0)=0, " ", VLOOKUP($C34,Purchased!A:Z,14,0))</f>
        <v>45506</v>
      </c>
      <c r="K34" s="46">
        <f>IF(VLOOKUP(C34,Purchased!A:R,14,0)=0, " ", VLOOKUP(C34,Purchased!A:R,14,0))</f>
        <v>45506</v>
      </c>
      <c r="L34" s="46">
        <f>IF(VLOOKUP(C34,Purchased!A:R,15,0)=0, " ", VLOOKUP(C34,Purchased!A:R,15,0))</f>
        <v>45526</v>
      </c>
      <c r="M34" s="46">
        <f>IF(VLOOKUP(C34,Purchased!A:R,16,0)=0, " ",VLOOKUP(C34,Purchased!A:R,16,0))</f>
        <v>45551</v>
      </c>
      <c r="N34" s="130">
        <f>IF(VLOOKUP(C34,Purchased!A:R,17,0)=0, " ", VLOOKUP(C34,Purchased!A:R,17,0))</f>
        <v>45551</v>
      </c>
      <c r="O34" s="47">
        <f t="shared" ca="1" si="12"/>
        <v>2</v>
      </c>
      <c r="P34" s="51">
        <f>VLOOKUP(C34,Purchased!A:D,3,FALSE)</f>
        <v>9.19</v>
      </c>
      <c r="Q34" s="52">
        <f t="shared" si="13"/>
        <v>18.38</v>
      </c>
    </row>
    <row r="35" spans="1:17" s="2" customFormat="1" ht="12" customHeight="1" x14ac:dyDescent="0.25">
      <c r="A35" s="4">
        <v>309</v>
      </c>
      <c r="B35" s="2">
        <v>2</v>
      </c>
      <c r="C35" s="135" t="s">
        <v>720</v>
      </c>
      <c r="D35" s="325" t="str">
        <f>VLOOKUP(C35,Purchased!A:B,2,0)</f>
        <v>GN 322.3-125-B12-R FOLDING ALUMINUM HANDWHEEL</v>
      </c>
      <c r="E35" s="326"/>
      <c r="F35" s="108" t="str">
        <f>IF(VLOOKUP($C35,Purchased!A:Z,11,0) = 0, " ", VLOOKUP($C35,Purchased!A:Z,11,0))</f>
        <v>ELESA</v>
      </c>
      <c r="G35" s="108" t="str">
        <f>IF(VLOOKUP($C35,Purchased!A:Z,12,0)=0, " ", VLOOKUP($C35,Purchased!A:Z,12,0))</f>
        <v>ELESA</v>
      </c>
      <c r="H35" s="327" t="str">
        <f>IF(VLOOKUP($C35,Purchased!A:Z,13,0)=0, " ", VLOOKUP($C35,Purchased!A:Z,13,0))</f>
        <v xml:space="preserve"> </v>
      </c>
      <c r="I35" s="328"/>
      <c r="J35" s="46">
        <f>IF(VLOOKUP($C35,Purchased!A:Z,14,0)=0, " ", VLOOKUP($C35,Purchased!A:Z,14,0))</f>
        <v>45506</v>
      </c>
      <c r="K35" s="46">
        <f>IF(VLOOKUP(C35,Purchased!A:R,14,0)=0, " ", VLOOKUP(C35,Purchased!A:R,14,0))</f>
        <v>45506</v>
      </c>
      <c r="L35" s="46">
        <f>IF(VLOOKUP(C35,Purchased!A:R,15,0)=0, " ", VLOOKUP(C35,Purchased!A:R,15,0))</f>
        <v>45526</v>
      </c>
      <c r="M35" s="46">
        <f>IF(VLOOKUP(C35,Purchased!A:R,16,0)=0, " ",VLOOKUP(C35,Purchased!A:R,16,0))</f>
        <v>45551</v>
      </c>
      <c r="N35" s="130">
        <f>IF(VLOOKUP(C35,Purchased!A:R,17,0)=0, " ", VLOOKUP(C35,Purchased!A:R,17,0))</f>
        <v>45551</v>
      </c>
      <c r="O35" s="47">
        <f t="shared" ca="1" si="12"/>
        <v>2</v>
      </c>
      <c r="P35" s="51">
        <f>VLOOKUP(C35,Purchased!A:D,3,FALSE)</f>
        <v>72.47</v>
      </c>
      <c r="Q35" s="52">
        <f t="shared" si="13"/>
        <v>144.94</v>
      </c>
    </row>
    <row r="36" spans="1:17" s="2" customFormat="1" ht="12" customHeight="1" x14ac:dyDescent="0.25">
      <c r="A36" s="4">
        <v>310</v>
      </c>
      <c r="B36" s="2">
        <v>2</v>
      </c>
      <c r="C36" s="135" t="s">
        <v>721</v>
      </c>
      <c r="D36" s="325" t="str">
        <f>VLOOKUP(C36,Purchased!A:B,2,0)</f>
        <v>BSA-N51-12 SINDLE LOCKING BASE, 12MM SHAFT DIA</v>
      </c>
      <c r="E36" s="326"/>
      <c r="F36" s="108" t="str">
        <f>IF(VLOOKUP($C36,Purchased!A:Z,11,0) = 0, " ", VLOOKUP($C36,Purchased!A:Z,11,0))</f>
        <v>ELESA</v>
      </c>
      <c r="G36" s="108" t="str">
        <f>IF(VLOOKUP($C36,Purchased!A:Z,12,0)=0, " ", VLOOKUP($C36,Purchased!A:Z,12,0))</f>
        <v>ELESA</v>
      </c>
      <c r="H36" s="327" t="str">
        <f>IF(VLOOKUP($C36,Purchased!A:Z,13,0)=0, " ", VLOOKUP($C36,Purchased!A:Z,13,0))</f>
        <v xml:space="preserve"> </v>
      </c>
      <c r="I36" s="328"/>
      <c r="J36" s="46">
        <f>IF(VLOOKUP($C36,Purchased!A:Z,14,0)=0, " ", VLOOKUP($C36,Purchased!A:Z,14,0))</f>
        <v>45506</v>
      </c>
      <c r="K36" s="46">
        <f>IF(VLOOKUP(C36,Purchased!A:R,14,0)=0, " ", VLOOKUP(C36,Purchased!A:R,14,0))</f>
        <v>45506</v>
      </c>
      <c r="L36" s="46">
        <f>IF(VLOOKUP(C36,Purchased!A:R,15,0)=0, " ", VLOOKUP(C36,Purchased!A:R,15,0))</f>
        <v>45526</v>
      </c>
      <c r="M36" s="46">
        <f>IF(VLOOKUP(C36,Purchased!A:R,16,0)=0, " ",VLOOKUP(C36,Purchased!A:R,16,0))</f>
        <v>45551</v>
      </c>
      <c r="N36" s="130">
        <f>IF(VLOOKUP(C36,Purchased!A:R,17,0)=0, " ", VLOOKUP(C36,Purchased!A:R,17,0))</f>
        <v>45551</v>
      </c>
      <c r="O36" s="47">
        <f t="shared" ca="1" si="12"/>
        <v>2</v>
      </c>
      <c r="P36" s="51">
        <f>VLOOKUP(C36,Purchased!A:D,3,FALSE)</f>
        <v>45.32</v>
      </c>
      <c r="Q36" s="52">
        <f t="shared" si="13"/>
        <v>90.64</v>
      </c>
    </row>
    <row r="37" spans="1:17" s="2" customFormat="1" ht="12" customHeight="1" x14ac:dyDescent="0.25">
      <c r="A37" s="4">
        <v>311</v>
      </c>
      <c r="B37" s="2">
        <v>3</v>
      </c>
      <c r="C37" s="135" t="s">
        <v>501</v>
      </c>
      <c r="D37" s="325" t="str">
        <f>VLOOKUP(C37,Purchased!A:B,2,0)</f>
        <v>Digital Position Indicator DD51-E-SST-IP65-C2</v>
      </c>
      <c r="E37" s="326"/>
      <c r="F37" s="108" t="str">
        <f>IF(VLOOKUP($C37,Purchased!A:Z,11,0) = 0, " ", VLOOKUP($C37,Purchased!A:Z,11,0))</f>
        <v>ELESA</v>
      </c>
      <c r="G37" s="108" t="str">
        <f>IF(VLOOKUP($C37,Purchased!A:Z,12,0)=0, " ", VLOOKUP($C37,Purchased!A:Z,12,0))</f>
        <v>ELESA</v>
      </c>
      <c r="H37" s="327" t="str">
        <f>IF(VLOOKUP($C37,Purchased!A:Z,13,0)=0, " ", VLOOKUP($C37,Purchased!A:Z,13,0))</f>
        <v xml:space="preserve"> </v>
      </c>
      <c r="I37" s="328"/>
      <c r="J37" s="46">
        <f>IF(VLOOKUP($C37,Purchased!A:Z,14,0)=0, " ", VLOOKUP($C37,Purchased!A:Z,14,0))</f>
        <v>45506</v>
      </c>
      <c r="K37" s="46">
        <f>IF(VLOOKUP(C37,Purchased!A:R,14,0)=0, " ", VLOOKUP(C37,Purchased!A:R,14,0))</f>
        <v>45506</v>
      </c>
      <c r="L37" s="46">
        <f>IF(VLOOKUP(C37,Purchased!A:R,15,0)=0, " ", VLOOKUP(C37,Purchased!A:R,15,0))</f>
        <v>45526</v>
      </c>
      <c r="M37" s="46">
        <f>IF(VLOOKUP(C37,Purchased!A:R,16,0)=0, " ",VLOOKUP(C37,Purchased!A:R,16,0))</f>
        <v>45551</v>
      </c>
      <c r="N37" s="130">
        <f>IF(VLOOKUP(C37,Purchased!A:R,17,0)=0, " ", VLOOKUP(C37,Purchased!A:R,17,0))</f>
        <v>45551</v>
      </c>
      <c r="O37" s="47">
        <f t="shared" ca="1" si="12"/>
        <v>3</v>
      </c>
      <c r="P37" s="51">
        <f>VLOOKUP(C37,Purchased!A:D,3,FALSE)</f>
        <v>258</v>
      </c>
      <c r="Q37" s="52">
        <f t="shared" si="13"/>
        <v>774</v>
      </c>
    </row>
    <row r="38" spans="1:17" s="2" customFormat="1" ht="12" customHeight="1" x14ac:dyDescent="0.25">
      <c r="A38" s="4">
        <v>312</v>
      </c>
      <c r="B38" s="2">
        <v>1</v>
      </c>
      <c r="C38" s="135" t="s">
        <v>500</v>
      </c>
      <c r="D38" s="325" t="str">
        <f>VLOOKUP(C38,Purchased!A:B,2,0)</f>
        <v>Aluminum Handwheel GN 322.3-160-B14-R</v>
      </c>
      <c r="E38" s="326"/>
      <c r="F38" s="108" t="str">
        <f>IF(VLOOKUP($C38,Purchased!A:Z,11,0) = 0, " ", VLOOKUP($C38,Purchased!A:Z,11,0))</f>
        <v>ELESA</v>
      </c>
      <c r="G38" s="108" t="str">
        <f>IF(VLOOKUP($C38,Purchased!A:Z,12,0)=0, " ", VLOOKUP($C38,Purchased!A:Z,12,0))</f>
        <v>ELESA</v>
      </c>
      <c r="H38" s="327" t="str">
        <f>IF(VLOOKUP($C38,Purchased!A:Z,13,0)=0, " ", VLOOKUP($C38,Purchased!A:Z,13,0))</f>
        <v xml:space="preserve"> </v>
      </c>
      <c r="I38" s="328"/>
      <c r="J38" s="46">
        <f>IF(VLOOKUP($C38,Purchased!A:Z,14,0)=0, " ", VLOOKUP($C38,Purchased!A:Z,14,0))</f>
        <v>45506</v>
      </c>
      <c r="K38" s="46">
        <f>IF(VLOOKUP(C38,Purchased!A:R,14,0)=0, " ", VLOOKUP(C38,Purchased!A:R,14,0))</f>
        <v>45506</v>
      </c>
      <c r="L38" s="46">
        <f>IF(VLOOKUP(C38,Purchased!A:R,15,0)=0, " ", VLOOKUP(C38,Purchased!A:R,15,0))</f>
        <v>45526</v>
      </c>
      <c r="M38" s="46">
        <f>IF(VLOOKUP(C38,Purchased!A:R,16,0)=0, " ",VLOOKUP(C38,Purchased!A:R,16,0))</f>
        <v>45551</v>
      </c>
      <c r="N38" s="130">
        <f>IF(VLOOKUP(C38,Purchased!A:R,17,0)=0, " ", VLOOKUP(C38,Purchased!A:R,17,0))</f>
        <v>45551</v>
      </c>
      <c r="O38" s="47">
        <f t="shared" ca="1" si="12"/>
        <v>1</v>
      </c>
      <c r="P38" s="51">
        <f>VLOOKUP(C38,Purchased!A:D,3,FALSE)</f>
        <v>87.05</v>
      </c>
      <c r="Q38" s="52">
        <f t="shared" si="13"/>
        <v>87.05</v>
      </c>
    </row>
    <row r="39" spans="1:17" s="2" customFormat="1" ht="12" customHeight="1" x14ac:dyDescent="0.25">
      <c r="A39" s="4">
        <v>313</v>
      </c>
      <c r="B39" s="2">
        <v>8</v>
      </c>
      <c r="C39" s="135" t="s">
        <v>722</v>
      </c>
      <c r="D39" s="325" t="str">
        <f>VLOOKUP(C39,Purchased!A:B,2,0)</f>
        <v>BEARING SPACER, 6MM ID, 9MM OD, 12.5MM L</v>
      </c>
      <c r="E39" s="326"/>
      <c r="F39" s="108" t="str">
        <f>IF(VLOOKUP($C39,Purchased!A:Z,11,0) = 0, " ", VLOOKUP($C39,Purchased!A:Z,11,0))</f>
        <v>MISUMI</v>
      </c>
      <c r="G39" s="108" t="str">
        <f>IF(VLOOKUP($C39,Purchased!A:Z,12,0)=0, " ", VLOOKUP($C39,Purchased!A:Z,12,0))</f>
        <v>MISUMI</v>
      </c>
      <c r="H39" s="327" t="str">
        <f>IF(VLOOKUP($C39,Purchased!A:Z,13,0)=0, " ", VLOOKUP($C39,Purchased!A:Z,13,0))</f>
        <v xml:space="preserve"> </v>
      </c>
      <c r="I39" s="328"/>
      <c r="J39" s="46">
        <f>IF(VLOOKUP($C39,Purchased!A:Z,14,0)=0, " ", VLOOKUP($C39,Purchased!A:Z,14,0))</f>
        <v>45483</v>
      </c>
      <c r="K39" s="46">
        <f>IF(VLOOKUP(C39,Purchased!A:R,14,0)=0, " ", VLOOKUP(C39,Purchased!A:R,14,0))</f>
        <v>45483</v>
      </c>
      <c r="L39" s="46">
        <f>IF(VLOOKUP(C39,Purchased!A:R,15,0)=0, " ", VLOOKUP(C39,Purchased!A:R,15,0))</f>
        <v>45483</v>
      </c>
      <c r="M39" s="46">
        <f>IF(VLOOKUP(C39,Purchased!A:R,16,0)=0, " ",VLOOKUP(C39,Purchased!A:R,16,0))</f>
        <v>45512</v>
      </c>
      <c r="N39" s="130">
        <f>IF(VLOOKUP(C39,Purchased!A:R,17,0)=0, " ", VLOOKUP(C39,Purchased!A:R,17,0))</f>
        <v>45512</v>
      </c>
      <c r="O39" s="47">
        <f t="shared" ca="1" si="12"/>
        <v>8</v>
      </c>
      <c r="P39" s="51">
        <f>VLOOKUP(C39,Purchased!A:D,3,FALSE)</f>
        <v>13.04</v>
      </c>
      <c r="Q39" s="52">
        <f t="shared" si="13"/>
        <v>104.32</v>
      </c>
    </row>
    <row r="40" spans="1:17" s="2" customFormat="1" ht="12" customHeight="1" x14ac:dyDescent="0.25">
      <c r="A40" s="4">
        <v>314</v>
      </c>
      <c r="B40" s="2">
        <v>4</v>
      </c>
      <c r="C40" s="135" t="s">
        <v>723</v>
      </c>
      <c r="D40" s="325" t="str">
        <f>VLOOKUP(C40,Purchased!A:B,2,0)</f>
        <v>BEARING SPACER, 20MM ID, 23MM OD, 14.5MM L</v>
      </c>
      <c r="E40" s="326"/>
      <c r="F40" s="108" t="str">
        <f>IF(VLOOKUP($C40,Purchased!A:Z,11,0) = 0, " ", VLOOKUP($C40,Purchased!A:Z,11,0))</f>
        <v>MISUMI</v>
      </c>
      <c r="G40" s="108" t="str">
        <f>IF(VLOOKUP($C40,Purchased!A:Z,12,0)=0, " ", VLOOKUP($C40,Purchased!A:Z,12,0))</f>
        <v>MISUMI</v>
      </c>
      <c r="H40" s="327" t="str">
        <f>IF(VLOOKUP($C40,Purchased!A:Z,13,0)=0, " ", VLOOKUP($C40,Purchased!A:Z,13,0))</f>
        <v xml:space="preserve"> </v>
      </c>
      <c r="I40" s="328"/>
      <c r="J40" s="46">
        <f>IF(VLOOKUP($C40,Purchased!A:Z,14,0)=0, " ", VLOOKUP($C40,Purchased!A:Z,14,0))</f>
        <v>45483</v>
      </c>
      <c r="K40" s="46">
        <f>IF(VLOOKUP(C40,Purchased!A:R,14,0)=0, " ", VLOOKUP(C40,Purchased!A:R,14,0))</f>
        <v>45483</v>
      </c>
      <c r="L40" s="46">
        <f>IF(VLOOKUP(C40,Purchased!A:R,15,0)=0, " ", VLOOKUP(C40,Purchased!A:R,15,0))</f>
        <v>45483</v>
      </c>
      <c r="M40" s="46">
        <f>IF(VLOOKUP(C40,Purchased!A:R,16,0)=0, " ",VLOOKUP(C40,Purchased!A:R,16,0))</f>
        <v>45512</v>
      </c>
      <c r="N40" s="130">
        <f>IF(VLOOKUP(C40,Purchased!A:R,17,0)=0, " ", VLOOKUP(C40,Purchased!A:R,17,0))</f>
        <v>45512</v>
      </c>
      <c r="O40" s="47">
        <f t="shared" ca="1" si="12"/>
        <v>4</v>
      </c>
      <c r="P40" s="51">
        <f>VLOOKUP(C40,Purchased!A:D,3,FALSE)</f>
        <v>15.11</v>
      </c>
      <c r="Q40" s="52">
        <f t="shared" si="13"/>
        <v>60.44</v>
      </c>
    </row>
    <row r="41" spans="1:17" s="2" customFormat="1" ht="12" customHeight="1" x14ac:dyDescent="0.25">
      <c r="A41" s="4">
        <v>315</v>
      </c>
      <c r="B41" s="2">
        <v>2</v>
      </c>
      <c r="C41" s="135" t="s">
        <v>724</v>
      </c>
      <c r="D41" s="325" t="str">
        <f>VLOOKUP(C41,Purchased!A:B,2,0)</f>
        <v>BEARING SPACER, 20MM ID, 23MM OD, 25.8MM L</v>
      </c>
      <c r="E41" s="326"/>
      <c r="F41" s="108" t="str">
        <f>IF(VLOOKUP($C41,Purchased!A:Z,11,0) = 0, " ", VLOOKUP($C41,Purchased!A:Z,11,0))</f>
        <v>MISUMI</v>
      </c>
      <c r="G41" s="108" t="str">
        <f>IF(VLOOKUP($C41,Purchased!A:Z,12,0)=0, " ", VLOOKUP($C41,Purchased!A:Z,12,0))</f>
        <v>MISUMI</v>
      </c>
      <c r="H41" s="327" t="str">
        <f>IF(VLOOKUP($C41,Purchased!A:Z,13,0)=0, " ", VLOOKUP($C41,Purchased!A:Z,13,0))</f>
        <v xml:space="preserve"> </v>
      </c>
      <c r="I41" s="328"/>
      <c r="J41" s="46">
        <f>IF(VLOOKUP($C41,Purchased!A:Z,14,0)=0, " ", VLOOKUP($C41,Purchased!A:Z,14,0))</f>
        <v>45483</v>
      </c>
      <c r="K41" s="46">
        <f>IF(VLOOKUP(C41,Purchased!A:R,14,0)=0, " ", VLOOKUP(C41,Purchased!A:R,14,0))</f>
        <v>45483</v>
      </c>
      <c r="L41" s="46">
        <f>IF(VLOOKUP(C41,Purchased!A:R,15,0)=0, " ", VLOOKUP(C41,Purchased!A:R,15,0))</f>
        <v>45483</v>
      </c>
      <c r="M41" s="46">
        <f>IF(VLOOKUP(C41,Purchased!A:R,16,0)=0, " ",VLOOKUP(C41,Purchased!A:R,16,0))</f>
        <v>45512</v>
      </c>
      <c r="N41" s="130">
        <f>IF(VLOOKUP(C41,Purchased!A:R,17,0)=0, " ", VLOOKUP(C41,Purchased!A:R,17,0))</f>
        <v>45512</v>
      </c>
      <c r="O41" s="47">
        <f t="shared" ca="1" si="12"/>
        <v>2</v>
      </c>
      <c r="P41" s="51">
        <f>VLOOKUP(C41,Purchased!A:D,3,FALSE)</f>
        <v>25.28</v>
      </c>
      <c r="Q41" s="52">
        <f t="shared" si="13"/>
        <v>50.56</v>
      </c>
    </row>
    <row r="42" spans="1:17" s="2" customFormat="1" ht="12" customHeight="1" x14ac:dyDescent="0.25">
      <c r="A42" s="4">
        <v>316</v>
      </c>
      <c r="B42" s="192">
        <v>0</v>
      </c>
      <c r="C42" s="135" t="s">
        <v>725</v>
      </c>
      <c r="D42" s="325" t="str">
        <f>VLOOKUP(C42,Purchased!A:B,2,0)</f>
        <v>BEARING SPACER, 12MM ID, 15MM OD, 49MM L</v>
      </c>
      <c r="E42" s="326"/>
      <c r="F42" s="108" t="str">
        <f>IF(VLOOKUP($C42,Purchased!A:Z,11,0) = 0, " ", VLOOKUP($C42,Purchased!A:Z,11,0))</f>
        <v>MISUMI</v>
      </c>
      <c r="G42" s="108" t="str">
        <f>IF(VLOOKUP($C42,Purchased!A:Z,12,0)=0, " ", VLOOKUP($C42,Purchased!A:Z,12,0))</f>
        <v>MISUMI</v>
      </c>
      <c r="H42" s="327" t="str">
        <f>IF(VLOOKUP($C42,Purchased!A:Z,13,0)=0, " ", VLOOKUP($C42,Purchased!A:Z,13,0))</f>
        <v xml:space="preserve"> </v>
      </c>
      <c r="I42" s="328"/>
      <c r="J42" s="46">
        <f>IF(VLOOKUP($C42,Purchased!A:Z,14,0)=0, " ", VLOOKUP($C42,Purchased!A:Z,14,0))</f>
        <v>45483</v>
      </c>
      <c r="K42" s="46">
        <f>IF(VLOOKUP(C42,Purchased!A:R,14,0)=0, " ", VLOOKUP(C42,Purchased!A:R,14,0))</f>
        <v>45483</v>
      </c>
      <c r="L42" s="46">
        <f>IF(VLOOKUP(C42,Purchased!A:R,15,0)=0, " ", VLOOKUP(C42,Purchased!A:R,15,0))</f>
        <v>45483</v>
      </c>
      <c r="M42" s="46">
        <f>IF(VLOOKUP(C42,Purchased!A:R,16,0)=0, " ",VLOOKUP(C42,Purchased!A:R,16,0))</f>
        <v>45512</v>
      </c>
      <c r="N42" s="130">
        <f>IF(VLOOKUP(C42,Purchased!A:R,17,0)=0, " ", VLOOKUP(C42,Purchased!A:R,17,0))</f>
        <v>45512</v>
      </c>
      <c r="O42" s="47">
        <f t="shared" ca="1" si="12"/>
        <v>0</v>
      </c>
      <c r="P42" s="51">
        <f>VLOOKUP(C42,Purchased!A:D,3,FALSE)</f>
        <v>21.12</v>
      </c>
      <c r="Q42" s="52">
        <f t="shared" si="13"/>
        <v>0</v>
      </c>
    </row>
    <row r="43" spans="1:17" s="2" customFormat="1" ht="12" customHeight="1" x14ac:dyDescent="0.25">
      <c r="A43" s="4">
        <v>317</v>
      </c>
      <c r="B43" s="192">
        <v>8</v>
      </c>
      <c r="C43" s="135" t="s">
        <v>726</v>
      </c>
      <c r="D43" s="325" t="str">
        <f>VLOOKUP(C43,Purchased!A:B,2,0)</f>
        <v>BEARING SPACER, 12MM ID, 15MM OD, 25MM L</v>
      </c>
      <c r="E43" s="326"/>
      <c r="F43" s="108" t="str">
        <f>IF(VLOOKUP($C43,Purchased!A:Z,11,0) = 0, " ", VLOOKUP($C43,Purchased!A:Z,11,0))</f>
        <v>MISUMI</v>
      </c>
      <c r="G43" s="108" t="str">
        <f>IF(VLOOKUP($C43,Purchased!A:Z,12,0)=0, " ", VLOOKUP($C43,Purchased!A:Z,12,0))</f>
        <v>MISUMI</v>
      </c>
      <c r="H43" s="327" t="str">
        <f>IF(VLOOKUP($C43,Purchased!A:Z,13,0)=0, " ", VLOOKUP($C43,Purchased!A:Z,13,0))</f>
        <v>2 more on PO 55693</v>
      </c>
      <c r="I43" s="328"/>
      <c r="J43" s="46">
        <f>IF(VLOOKUP($C43,Purchased!A:Z,14,0)=0, " ", VLOOKUP($C43,Purchased!A:Z,14,0))</f>
        <v>45483</v>
      </c>
      <c r="K43" s="46">
        <f>IF(VLOOKUP(C43,Purchased!A:R,14,0)=0, " ", VLOOKUP(C43,Purchased!A:R,14,0))</f>
        <v>45483</v>
      </c>
      <c r="L43" s="46">
        <f>IF(VLOOKUP(C43,Purchased!A:R,15,0)=0, " ", VLOOKUP(C43,Purchased!A:R,15,0))</f>
        <v>45483</v>
      </c>
      <c r="M43" s="46">
        <f>IF(VLOOKUP(C43,Purchased!A:R,16,0)=0, " ",VLOOKUP(C43,Purchased!A:R,16,0))</f>
        <v>45512</v>
      </c>
      <c r="N43" s="130">
        <f>IF(VLOOKUP(C43,Purchased!A:R,17,0)=0, " ", VLOOKUP(C43,Purchased!A:R,17,0))</f>
        <v>45512</v>
      </c>
      <c r="O43" s="47">
        <f t="shared" ca="1" si="12"/>
        <v>8</v>
      </c>
      <c r="P43" s="51">
        <f>VLOOKUP(C43,Purchased!A:D,3,FALSE)</f>
        <v>13.56</v>
      </c>
      <c r="Q43" s="52">
        <f t="shared" si="13"/>
        <v>108.48</v>
      </c>
    </row>
    <row r="44" spans="1:17" s="2" customFormat="1" ht="12" customHeight="1" x14ac:dyDescent="0.25">
      <c r="A44" s="4">
        <v>318</v>
      </c>
      <c r="B44" s="2">
        <v>4</v>
      </c>
      <c r="C44" s="135" t="s">
        <v>614</v>
      </c>
      <c r="D44" s="325" t="str">
        <f>VLOOKUP(C44,Purchased!A:B,2,0)</f>
        <v>CAPTURED BEARING, 20MM ID</v>
      </c>
      <c r="E44" s="326"/>
      <c r="F44" s="108" t="str">
        <f>IF(VLOOKUP($C44,Purchased!A:Z,11,0) = 0, " ", VLOOKUP($C44,Purchased!A:Z,11,0))</f>
        <v>MISUMI</v>
      </c>
      <c r="G44" s="108" t="str">
        <f>IF(VLOOKUP($C44,Purchased!A:Z,12,0)=0, " ", VLOOKUP($C44,Purchased!A:Z,12,0))</f>
        <v>MISUMI</v>
      </c>
      <c r="H44" s="327" t="str">
        <f>IF(VLOOKUP($C44,Purchased!A:Z,13,0)=0, " ", VLOOKUP($C44,Purchased!A:Z,13,0))</f>
        <v xml:space="preserve"> </v>
      </c>
      <c r="I44" s="328"/>
      <c r="J44" s="46">
        <f>IF(VLOOKUP($C44,Purchased!A:Z,14,0)=0, " ", VLOOKUP($C44,Purchased!A:Z,14,0))</f>
        <v>45483</v>
      </c>
      <c r="K44" s="46">
        <f>IF(VLOOKUP(C44,Purchased!A:R,14,0)=0, " ", VLOOKUP(C44,Purchased!A:R,14,0))</f>
        <v>45483</v>
      </c>
      <c r="L44" s="46">
        <f>IF(VLOOKUP(C44,Purchased!A:R,15,0)=0, " ", VLOOKUP(C44,Purchased!A:R,15,0))</f>
        <v>45483</v>
      </c>
      <c r="M44" s="46">
        <f>IF(VLOOKUP(C44,Purchased!A:R,16,0)=0, " ",VLOOKUP(C44,Purchased!A:R,16,0))</f>
        <v>45512</v>
      </c>
      <c r="N44" s="130">
        <f>IF(VLOOKUP(C44,Purchased!A:R,17,0)=0, " ", VLOOKUP(C44,Purchased!A:R,17,0))</f>
        <v>45512</v>
      </c>
      <c r="O44" s="47">
        <f t="shared" ca="1" si="12"/>
        <v>4</v>
      </c>
      <c r="P44" s="51">
        <f>VLOOKUP(C44,Purchased!A:D,3,FALSE)</f>
        <v>57.16</v>
      </c>
      <c r="Q44" s="52">
        <f t="shared" si="13"/>
        <v>228.64</v>
      </c>
    </row>
    <row r="45" spans="1:17" s="2" customFormat="1" ht="12" customHeight="1" x14ac:dyDescent="0.25">
      <c r="A45" s="4">
        <v>319</v>
      </c>
      <c r="B45" s="2">
        <v>8</v>
      </c>
      <c r="C45" s="135" t="s">
        <v>727</v>
      </c>
      <c r="D45" s="325" t="str">
        <f>VLOOKUP(C45,Purchased!A:B,2,0)</f>
        <v>CAPTURED BEARING, 12MM ID</v>
      </c>
      <c r="E45" s="326"/>
      <c r="F45" s="108" t="str">
        <f>IF(VLOOKUP($C45,Purchased!A:Z,11,0) = 0, " ", VLOOKUP($C45,Purchased!A:Z,11,0))</f>
        <v>MISUMI</v>
      </c>
      <c r="G45" s="108" t="str">
        <f>IF(VLOOKUP($C45,Purchased!A:Z,12,0)=0, " ", VLOOKUP($C45,Purchased!A:Z,12,0))</f>
        <v>MISUMI</v>
      </c>
      <c r="H45" s="327" t="str">
        <f>IF(VLOOKUP($C45,Purchased!A:Z,13,0)=0, " ", VLOOKUP($C45,Purchased!A:Z,13,0))</f>
        <v xml:space="preserve"> </v>
      </c>
      <c r="I45" s="328"/>
      <c r="J45" s="46">
        <f>IF(VLOOKUP($C45,Purchased!A:Z,14,0)=0, " ", VLOOKUP($C45,Purchased!A:Z,14,0))</f>
        <v>45483</v>
      </c>
      <c r="K45" s="46">
        <f>IF(VLOOKUP(C45,Purchased!A:R,14,0)=0, " ", VLOOKUP(C45,Purchased!A:R,14,0))</f>
        <v>45483</v>
      </c>
      <c r="L45" s="46">
        <f>IF(VLOOKUP(C45,Purchased!A:R,15,0)=0, " ", VLOOKUP(C45,Purchased!A:R,15,0))</f>
        <v>45483</v>
      </c>
      <c r="M45" s="46">
        <f>IF(VLOOKUP(C45,Purchased!A:R,16,0)=0, " ",VLOOKUP(C45,Purchased!A:R,16,0))</f>
        <v>45512</v>
      </c>
      <c r="N45" s="130">
        <f>IF(VLOOKUP(C45,Purchased!A:R,17,0)=0, " ", VLOOKUP(C45,Purchased!A:R,17,0))</f>
        <v>45512</v>
      </c>
      <c r="O45" s="47">
        <f t="shared" ca="1" si="12"/>
        <v>8</v>
      </c>
      <c r="P45" s="51">
        <f>VLOOKUP(C45,Purchased!A:D,3,FALSE)</f>
        <v>46.49</v>
      </c>
      <c r="Q45" s="52">
        <f t="shared" si="13"/>
        <v>371.92</v>
      </c>
    </row>
    <row r="46" spans="1:17" s="2" customFormat="1" ht="12" customHeight="1" x14ac:dyDescent="0.25">
      <c r="A46" s="4">
        <v>320</v>
      </c>
      <c r="B46" s="2">
        <v>4</v>
      </c>
      <c r="C46" s="135" t="s">
        <v>728</v>
      </c>
      <c r="D46" s="325" t="str">
        <f>VLOOKUP(C46,Purchased!A:B,2,0)</f>
        <v>Long Threaded Rod Spacer</v>
      </c>
      <c r="E46" s="326"/>
      <c r="F46" s="108" t="str">
        <f>IF(VLOOKUP($C46,Purchased!A:Z,11,0) = 0, " ", VLOOKUP($C46,Purchased!A:Z,11,0))</f>
        <v>MISUMI</v>
      </c>
      <c r="G46" s="108" t="str">
        <f>IF(VLOOKUP($C46,Purchased!A:Z,12,0)=0, " ", VLOOKUP($C46,Purchased!A:Z,12,0))</f>
        <v>MISUMI</v>
      </c>
      <c r="H46" s="327" t="str">
        <f>IF(VLOOKUP($C46,Purchased!A:Z,13,0)=0, " ", VLOOKUP($C46,Purchased!A:Z,13,0))</f>
        <v xml:space="preserve"> </v>
      </c>
      <c r="I46" s="328"/>
      <c r="J46" s="46">
        <f>IF(VLOOKUP($C46,Purchased!A:Z,14,0)=0, " ", VLOOKUP($C46,Purchased!A:Z,14,0))</f>
        <v>45483</v>
      </c>
      <c r="K46" s="46">
        <f>IF(VLOOKUP(C46,Purchased!A:R,14,0)=0, " ", VLOOKUP(C46,Purchased!A:R,14,0))</f>
        <v>45483</v>
      </c>
      <c r="L46" s="46">
        <f>IF(VLOOKUP(C46,Purchased!A:R,15,0)=0, " ", VLOOKUP(C46,Purchased!A:R,15,0))</f>
        <v>45483</v>
      </c>
      <c r="M46" s="46">
        <f>IF(VLOOKUP(C46,Purchased!A:R,16,0)=0, " ",VLOOKUP(C46,Purchased!A:R,16,0))</f>
        <v>45512</v>
      </c>
      <c r="N46" s="130">
        <f>IF(VLOOKUP(C46,Purchased!A:R,17,0)=0, " ", VLOOKUP(C46,Purchased!A:R,17,0))</f>
        <v>45512</v>
      </c>
      <c r="O46" s="47">
        <f t="shared" ca="1" si="12"/>
        <v>4</v>
      </c>
      <c r="P46" s="51">
        <f>VLOOKUP(C46,Purchased!A:D,3,FALSE)</f>
        <v>42.73</v>
      </c>
      <c r="Q46" s="52">
        <f t="shared" si="13"/>
        <v>170.92</v>
      </c>
    </row>
    <row r="47" spans="1:17" s="2" customFormat="1" ht="12" customHeight="1" x14ac:dyDescent="0.25">
      <c r="A47" s="4">
        <v>321</v>
      </c>
      <c r="B47" s="2">
        <v>6</v>
      </c>
      <c r="C47" s="135" t="s">
        <v>729</v>
      </c>
      <c r="D47" s="325" t="str">
        <f>VLOOKUP(C47,Purchased!A:B,2,0)</f>
        <v>Spacer 28OD 20ID 6Thick</v>
      </c>
      <c r="E47" s="326"/>
      <c r="F47" s="108" t="str">
        <f>IF(VLOOKUP($C47,Purchased!A:Z,11,0) = 0, " ", VLOOKUP($C47,Purchased!A:Z,11,0))</f>
        <v>MISUMI</v>
      </c>
      <c r="G47" s="108" t="str">
        <f>IF(VLOOKUP($C47,Purchased!A:Z,12,0)=0, " ", VLOOKUP($C47,Purchased!A:Z,12,0))</f>
        <v>MISUMI</v>
      </c>
      <c r="H47" s="327" t="str">
        <f>IF(VLOOKUP($C47,Purchased!A:Z,13,0)=0, " ", VLOOKUP($C47,Purchased!A:Z,13,0))</f>
        <v xml:space="preserve"> </v>
      </c>
      <c r="I47" s="328"/>
      <c r="J47" s="46">
        <f>IF(VLOOKUP($C47,Purchased!A:Z,14,0)=0, " ", VLOOKUP($C47,Purchased!A:Z,14,0))</f>
        <v>45483</v>
      </c>
      <c r="K47" s="46">
        <f>IF(VLOOKUP(C47,Purchased!A:R,14,0)=0, " ", VLOOKUP(C47,Purchased!A:R,14,0))</f>
        <v>45483</v>
      </c>
      <c r="L47" s="46">
        <f>IF(VLOOKUP(C47,Purchased!A:R,15,0)=0, " ", VLOOKUP(C47,Purchased!A:R,15,0))</f>
        <v>45483</v>
      </c>
      <c r="M47" s="46">
        <f>IF(VLOOKUP(C47,Purchased!A:R,16,0)=0, " ",VLOOKUP(C47,Purchased!A:R,16,0))</f>
        <v>45512</v>
      </c>
      <c r="N47" s="130">
        <f>IF(VLOOKUP(C47,Purchased!A:R,17,0)=0, " ", VLOOKUP(C47,Purchased!A:R,17,0))</f>
        <v>45512</v>
      </c>
      <c r="O47" s="47">
        <f t="shared" ca="1" si="12"/>
        <v>6</v>
      </c>
      <c r="P47" s="51">
        <f>VLOOKUP(C47,Purchased!A:D,3,FALSE)</f>
        <v>12.5</v>
      </c>
      <c r="Q47" s="52">
        <f t="shared" si="13"/>
        <v>75</v>
      </c>
    </row>
    <row r="48" spans="1:17" s="2" customFormat="1" ht="12" customHeight="1" x14ac:dyDescent="0.25">
      <c r="A48" s="4">
        <v>322</v>
      </c>
      <c r="B48" s="2">
        <v>2</v>
      </c>
      <c r="C48" s="135" t="s">
        <v>730</v>
      </c>
      <c r="D48" s="325" t="str">
        <f>VLOOKUP(C48,Purchased!A:B,2,0)</f>
        <v>Eccentric Cam Follower</v>
      </c>
      <c r="E48" s="326"/>
      <c r="F48" s="108" t="str">
        <f>IF(VLOOKUP($C48,Purchased!A:Z,11,0) = 0, " ", VLOOKUP($C48,Purchased!A:Z,11,0))</f>
        <v>MISUMI</v>
      </c>
      <c r="G48" s="108" t="str">
        <f>IF(VLOOKUP($C48,Purchased!A:Z,12,0)=0, " ", VLOOKUP($C48,Purchased!A:Z,12,0))</f>
        <v>MISUMI</v>
      </c>
      <c r="H48" s="327" t="str">
        <f>IF(VLOOKUP($C48,Purchased!A:Z,13,0)=0, " ", VLOOKUP($C48,Purchased!A:Z,13,0))</f>
        <v xml:space="preserve"> </v>
      </c>
      <c r="I48" s="328"/>
      <c r="J48" s="46">
        <f>IF(VLOOKUP($C48,Purchased!A:Z,14,0)=0, " ", VLOOKUP($C48,Purchased!A:Z,14,0))</f>
        <v>45483</v>
      </c>
      <c r="K48" s="46">
        <f>IF(VLOOKUP(C48,Purchased!A:R,14,0)=0, " ", VLOOKUP(C48,Purchased!A:R,14,0))</f>
        <v>45483</v>
      </c>
      <c r="L48" s="46">
        <f>IF(VLOOKUP(C48,Purchased!A:R,15,0)=0, " ", VLOOKUP(C48,Purchased!A:R,15,0))</f>
        <v>45483</v>
      </c>
      <c r="M48" s="46">
        <f>IF(VLOOKUP(C48,Purchased!A:R,16,0)=0, " ",VLOOKUP(C48,Purchased!A:R,16,0))</f>
        <v>45512</v>
      </c>
      <c r="N48" s="130">
        <f>IF(VLOOKUP(C48,Purchased!A:R,17,0)=0, " ", VLOOKUP(C48,Purchased!A:R,17,0))</f>
        <v>45512</v>
      </c>
      <c r="O48" s="47">
        <f t="shared" ca="1" si="12"/>
        <v>2</v>
      </c>
      <c r="P48" s="51">
        <f>VLOOKUP(C48,Purchased!A:D,3,FALSE)</f>
        <v>82.24</v>
      </c>
      <c r="Q48" s="52">
        <f t="shared" si="13"/>
        <v>164.48</v>
      </c>
    </row>
    <row r="49" spans="1:17" s="2" customFormat="1" ht="12" customHeight="1" x14ac:dyDescent="0.25">
      <c r="A49" s="4">
        <v>323</v>
      </c>
      <c r="B49" s="2">
        <v>2</v>
      </c>
      <c r="C49" s="135" t="s">
        <v>648</v>
      </c>
      <c r="D49" s="325" t="str">
        <f>VLOOKUP(C49,Purchased!A:B,2,0)</f>
        <v>SPUR GEAR, ELECTROLESS NICKEL PLATED STEEL</v>
      </c>
      <c r="E49" s="326"/>
      <c r="F49" s="108" t="str">
        <f>IF(VLOOKUP($C49,Purchased!A:Z,11,0) = 0, " ", VLOOKUP($C49,Purchased!A:Z,11,0))</f>
        <v>MISUMI</v>
      </c>
      <c r="G49" s="108" t="str">
        <f>IF(VLOOKUP($C49,Purchased!A:Z,12,0)=0, " ", VLOOKUP($C49,Purchased!A:Z,12,0))</f>
        <v>MISUMI</v>
      </c>
      <c r="H49" s="327" t="str">
        <f>IF(VLOOKUP($C49,Purchased!A:Z,13,0)=0, " ", VLOOKUP($C49,Purchased!A:Z,13,0))</f>
        <v>4 more on PO 55693</v>
      </c>
      <c r="I49" s="328"/>
      <c r="J49" s="46">
        <f>IF(VLOOKUP($C49,Purchased!A:Z,14,0)=0, " ", VLOOKUP($C49,Purchased!A:Z,14,0))</f>
        <v>45483</v>
      </c>
      <c r="K49" s="46">
        <f>IF(VLOOKUP(C49,Purchased!A:R,14,0)=0, " ", VLOOKUP(C49,Purchased!A:R,14,0))</f>
        <v>45483</v>
      </c>
      <c r="L49" s="46">
        <f>IF(VLOOKUP(C49,Purchased!A:R,15,0)=0, " ", VLOOKUP(C49,Purchased!A:R,15,0))</f>
        <v>45483</v>
      </c>
      <c r="M49" s="46">
        <f>IF(VLOOKUP(C49,Purchased!A:R,16,0)=0, " ",VLOOKUP(C49,Purchased!A:R,16,0))</f>
        <v>45512</v>
      </c>
      <c r="N49" s="130">
        <f>IF(VLOOKUP(C49,Purchased!A:R,17,0)=0, " ", VLOOKUP(C49,Purchased!A:R,17,0))</f>
        <v>45512</v>
      </c>
      <c r="O49" s="47">
        <f t="shared" ca="1" si="12"/>
        <v>2</v>
      </c>
      <c r="P49" s="51">
        <f>VLOOKUP(C49,Purchased!A:D,3,FALSE)</f>
        <v>48.07</v>
      </c>
      <c r="Q49" s="52">
        <f t="shared" si="13"/>
        <v>96.14</v>
      </c>
    </row>
    <row r="50" spans="1:17" s="2" customFormat="1" ht="12" customHeight="1" x14ac:dyDescent="0.25">
      <c r="A50" s="4">
        <v>324</v>
      </c>
      <c r="B50" s="2">
        <v>4</v>
      </c>
      <c r="C50" s="135" t="s">
        <v>731</v>
      </c>
      <c r="D50" s="325" t="str">
        <f>VLOOKUP(C50,Purchased!A:B,2,0)</f>
        <v>FLAT CAM FOLLOWER, M18X1.5 THREADED SHANK, 40MM OD</v>
      </c>
      <c r="E50" s="326"/>
      <c r="F50" s="108" t="str">
        <f>IF(VLOOKUP($C50,Purchased!A:Z,11,0) = 0, " ", VLOOKUP($C50,Purchased!A:Z,11,0))</f>
        <v>MISUMI</v>
      </c>
      <c r="G50" s="108" t="str">
        <f>IF(VLOOKUP($C50,Purchased!A:Z,12,0)=0, " ", VLOOKUP($C50,Purchased!A:Z,12,0))</f>
        <v>MISUMI</v>
      </c>
      <c r="H50" s="327" t="str">
        <f>IF(VLOOKUP($C50,Purchased!A:Z,13,0)=0, " ", VLOOKUP($C50,Purchased!A:Z,13,0))</f>
        <v xml:space="preserve"> </v>
      </c>
      <c r="I50" s="328"/>
      <c r="J50" s="46">
        <f>IF(VLOOKUP($C50,Purchased!A:Z,14,0)=0, " ", VLOOKUP($C50,Purchased!A:Z,14,0))</f>
        <v>45483</v>
      </c>
      <c r="K50" s="46">
        <f>IF(VLOOKUP(C50,Purchased!A:R,14,0)=0, " ", VLOOKUP(C50,Purchased!A:R,14,0))</f>
        <v>45483</v>
      </c>
      <c r="L50" s="46">
        <f>IF(VLOOKUP(C50,Purchased!A:R,15,0)=0, " ", VLOOKUP(C50,Purchased!A:R,15,0))</f>
        <v>45483</v>
      </c>
      <c r="M50" s="46">
        <f>IF(VLOOKUP(C50,Purchased!A:R,16,0)=0, " ",VLOOKUP(C50,Purchased!A:R,16,0))</f>
        <v>45512</v>
      </c>
      <c r="N50" s="130">
        <f>IF(VLOOKUP(C50,Purchased!A:R,17,0)=0, " ", VLOOKUP(C50,Purchased!A:R,17,0))</f>
        <v>45512</v>
      </c>
      <c r="O50" s="47">
        <f t="shared" ca="1" si="12"/>
        <v>4</v>
      </c>
      <c r="P50" s="51">
        <f>VLOOKUP(C50,Purchased!A:D,3,FALSE)</f>
        <v>51.45</v>
      </c>
      <c r="Q50" s="52">
        <f t="shared" si="13"/>
        <v>205.8</v>
      </c>
    </row>
    <row r="51" spans="1:17" s="2" customFormat="1" ht="12" customHeight="1" x14ac:dyDescent="0.25">
      <c r="A51" s="4">
        <v>325</v>
      </c>
      <c r="B51" s="2">
        <v>4</v>
      </c>
      <c r="C51" s="135" t="s">
        <v>732</v>
      </c>
      <c r="D51" s="325" t="str">
        <f>VLOOKUP(C51,Purchased!A:B,2,0)</f>
        <v>BALL BEARING, 35MM OD, 17MM ID</v>
      </c>
      <c r="E51" s="326"/>
      <c r="F51" s="108" t="str">
        <f>IF(VLOOKUP($C51,Purchased!A:Z,11,0) = 0, " ", VLOOKUP($C51,Purchased!A:Z,11,0))</f>
        <v>MISUMI</v>
      </c>
      <c r="G51" s="108" t="str">
        <f>IF(VLOOKUP($C51,Purchased!A:Z,12,0)=0, " ", VLOOKUP($C51,Purchased!A:Z,12,0))</f>
        <v>MISUMI</v>
      </c>
      <c r="H51" s="327" t="str">
        <f>IF(VLOOKUP($C51,Purchased!A:Z,13,0)=0, " ", VLOOKUP($C51,Purchased!A:Z,13,0))</f>
        <v xml:space="preserve"> </v>
      </c>
      <c r="I51" s="328"/>
      <c r="J51" s="46">
        <f>IF(VLOOKUP($C51,Purchased!A:Z,14,0)=0, " ", VLOOKUP($C51,Purchased!A:Z,14,0))</f>
        <v>45483</v>
      </c>
      <c r="K51" s="46">
        <f>IF(VLOOKUP(C51,Purchased!A:R,14,0)=0, " ", VLOOKUP(C51,Purchased!A:R,14,0))</f>
        <v>45483</v>
      </c>
      <c r="L51" s="46">
        <f>IF(VLOOKUP(C51,Purchased!A:R,15,0)=0, " ", VLOOKUP(C51,Purchased!A:R,15,0))</f>
        <v>45483</v>
      </c>
      <c r="M51" s="46">
        <f>IF(VLOOKUP(C51,Purchased!A:R,16,0)=0, " ",VLOOKUP(C51,Purchased!A:R,16,0))</f>
        <v>45512</v>
      </c>
      <c r="N51" s="130">
        <f>IF(VLOOKUP(C51,Purchased!A:R,17,0)=0, " ", VLOOKUP(C51,Purchased!A:R,17,0))</f>
        <v>45512</v>
      </c>
      <c r="O51" s="47">
        <f t="shared" ca="1" si="12"/>
        <v>4</v>
      </c>
      <c r="P51" s="51">
        <f>VLOOKUP(C51,Purchased!A:D,3,FALSE)</f>
        <v>7.07</v>
      </c>
      <c r="Q51" s="52">
        <f t="shared" si="13"/>
        <v>28.28</v>
      </c>
    </row>
    <row r="52" spans="1:17" s="2" customFormat="1" ht="12" customHeight="1" x14ac:dyDescent="0.25">
      <c r="A52" s="4">
        <v>326</v>
      </c>
      <c r="B52" s="2">
        <v>2</v>
      </c>
      <c r="C52" s="135" t="s">
        <v>733</v>
      </c>
      <c r="D52" s="325" t="str">
        <f>VLOOKUP(C52,Purchased!A:B,2,0)</f>
        <v>Pneumatic Brake for NuLine Bar Rail</v>
      </c>
      <c r="E52" s="326"/>
      <c r="F52" s="108" t="str">
        <f>IF(VLOOKUP($C52,Purchased!A:Z,11,0) = 0, " ", VLOOKUP($C52,Purchased!A:Z,11,0))</f>
        <v>Zimmer</v>
      </c>
      <c r="G52" s="108" t="str">
        <f>IF(VLOOKUP($C52,Purchased!A:Z,12,0)=0, " ", VLOOKUP($C52,Purchased!A:Z,12,0))</f>
        <v>Zimmer</v>
      </c>
      <c r="H52" s="327" t="str">
        <f>IF(VLOOKUP($C52,Purchased!A:Z,13,0)=0, " ", VLOOKUP($C52,Purchased!A:Z,13,0))</f>
        <v>P.O. for 5, bought 1 for trial -JP</v>
      </c>
      <c r="I52" s="328"/>
      <c r="J52" s="46">
        <f>IF(VLOOKUP($C52,Purchased!A:Z,14,0)=0, " ", VLOOKUP($C52,Purchased!A:Z,14,0))</f>
        <v>45482</v>
      </c>
      <c r="K52" s="46">
        <f>IF(VLOOKUP(C52,Purchased!A:R,14,0)=0, " ", VLOOKUP(C52,Purchased!A:R,14,0))</f>
        <v>45482</v>
      </c>
      <c r="L52" s="46">
        <f>IF(VLOOKUP(C52,Purchased!A:R,15,0)=0, " ", VLOOKUP(C52,Purchased!A:R,15,0))</f>
        <v>45482</v>
      </c>
      <c r="M52" s="46">
        <f>IF(VLOOKUP(C52,Purchased!A:R,16,0)=0, " ",VLOOKUP(C52,Purchased!A:R,16,0))</f>
        <v>45512</v>
      </c>
      <c r="N52" s="130">
        <f>IF(VLOOKUP(C52,Purchased!A:R,17,0)=0, " ", VLOOKUP(C52,Purchased!A:R,17,0))</f>
        <v>45512</v>
      </c>
      <c r="O52" s="47">
        <f t="shared" ca="1" si="12"/>
        <v>2</v>
      </c>
      <c r="P52" s="51">
        <f>VLOOKUP(C52,Purchased!A:D,3,FALSE)</f>
        <v>400.3</v>
      </c>
      <c r="Q52" s="52">
        <f t="shared" si="13"/>
        <v>800.6</v>
      </c>
    </row>
    <row r="53" spans="1:17" s="2" customFormat="1" ht="12" customHeight="1" x14ac:dyDescent="0.25">
      <c r="A53" s="4">
        <v>327</v>
      </c>
      <c r="B53" s="2">
        <v>4</v>
      </c>
      <c r="C53" s="135" t="s">
        <v>734</v>
      </c>
      <c r="D53" s="325" t="str">
        <f>VLOOKUP(C53,Purchased!A:B,2,0)</f>
        <v>CUSTOM LEAD SCREW, DRAWING DSK-00072524</v>
      </c>
      <c r="E53" s="326"/>
      <c r="F53" s="108" t="str">
        <f>IF(VLOOKUP($C53,Purchased!A:Z,11,0) = 0, " ", VLOOKUP($C53,Purchased!A:Z,11,0))</f>
        <v>IGUS</v>
      </c>
      <c r="G53" s="108" t="str">
        <f>IF(VLOOKUP($C53,Purchased!A:Z,12,0)=0, " ", VLOOKUP($C53,Purchased!A:Z,12,0))</f>
        <v>IGUS</v>
      </c>
      <c r="H53" s="327" t="str">
        <f>IF(VLOOKUP($C53,Purchased!A:Z,13,0)=0, " ", VLOOKUP($C53,Purchased!A:Z,13,0))</f>
        <v xml:space="preserve"> </v>
      </c>
      <c r="I53" s="328"/>
      <c r="J53" s="46">
        <f>IF(VLOOKUP($C53,Purchased!A:Z,14,0)=0, " ", VLOOKUP($C53,Purchased!A:Z,14,0))</f>
        <v>45489</v>
      </c>
      <c r="K53" s="46">
        <f>IF(VLOOKUP(C53,Purchased!A:R,14,0)=0, " ", VLOOKUP(C53,Purchased!A:R,14,0))</f>
        <v>45489</v>
      </c>
      <c r="L53" s="46">
        <f>IF(VLOOKUP(C53,Purchased!A:R,15,0)=0, " ", VLOOKUP(C53,Purchased!A:R,15,0))</f>
        <v>45489</v>
      </c>
      <c r="M53" s="46">
        <f>IF(VLOOKUP(C53,Purchased!A:R,16,0)=0, " ",VLOOKUP(C53,Purchased!A:R,16,0))</f>
        <v>45534</v>
      </c>
      <c r="N53" s="130">
        <f>IF(VLOOKUP(C53,Purchased!A:R,17,0)=0, " ", VLOOKUP(C53,Purchased!A:R,17,0))</f>
        <v>45534</v>
      </c>
      <c r="O53" s="47">
        <f t="shared" ca="1" si="12"/>
        <v>4</v>
      </c>
      <c r="P53" s="51">
        <f>VLOOKUP(C53,Purchased!A:D,3,FALSE)</f>
        <v>261.75</v>
      </c>
      <c r="Q53" s="52">
        <f t="shared" si="13"/>
        <v>1047</v>
      </c>
    </row>
    <row r="54" spans="1:17" s="2" customFormat="1" ht="12" customHeight="1" x14ac:dyDescent="0.25">
      <c r="A54" s="4">
        <v>328</v>
      </c>
      <c r="B54" s="2">
        <v>1</v>
      </c>
      <c r="C54" s="135" t="s">
        <v>667</v>
      </c>
      <c r="D54" s="325" t="str">
        <f>VLOOKUP(C54,Purchased!A:B,2,0)</f>
        <v>Pushbutton, Green</v>
      </c>
      <c r="E54" s="326"/>
      <c r="F54" s="108" t="str">
        <f>IF(VLOOKUP($C54,Purchased!A:Z,11,0) = 0, " ", VLOOKUP($C54,Purchased!A:Z,11,0))</f>
        <v>NITRA</v>
      </c>
      <c r="G54" s="108" t="str">
        <f>IF(VLOOKUP($C54,Purchased!A:Z,12,0)=0, " ", VLOOKUP($C54,Purchased!A:Z,12,0))</f>
        <v>AUTO DIRECT</v>
      </c>
      <c r="H54" s="327" t="str">
        <f>IF(VLOOKUP($C54,Purchased!A:Z,13,0)=0, " ", VLOOKUP($C54,Purchased!A:Z,13,0))</f>
        <v xml:space="preserve"> </v>
      </c>
      <c r="I54" s="328"/>
      <c r="J54" s="46" t="str">
        <f>IF(VLOOKUP($C54,Purchased!A:Z,14,0)=0, " ", VLOOKUP($C54,Purchased!A:Z,14,0))</f>
        <v>N/A</v>
      </c>
      <c r="K54" s="46" t="str">
        <f>IF(VLOOKUP(C54,Purchased!A:R,14,0)=0, " ", VLOOKUP(C54,Purchased!A:R,14,0))</f>
        <v>N/A</v>
      </c>
      <c r="L54" s="46" t="str">
        <f>IF(VLOOKUP(C54,Purchased!A:R,15,0)=0, " ", VLOOKUP(C54,Purchased!A:R,15,0))</f>
        <v xml:space="preserve"> </v>
      </c>
      <c r="M54" s="46" t="str">
        <f>IF(VLOOKUP(C54,Purchased!A:R,16,0)=0, " ",VLOOKUP(C54,Purchased!A:R,16,0))</f>
        <v xml:space="preserve"> </v>
      </c>
      <c r="N54" s="130" t="str">
        <f>IF(VLOOKUP(C54,Purchased!A:R,17,0)=0, " ", VLOOKUP(C54,Purchased!A:R,17,0))</f>
        <v xml:space="preserve"> </v>
      </c>
      <c r="O54" s="47">
        <f t="shared" ca="1" si="12"/>
        <v>1</v>
      </c>
      <c r="P54" s="51">
        <f>VLOOKUP(C54,Purchased!A:D,3,FALSE)</f>
        <v>2.75</v>
      </c>
      <c r="Q54" s="52">
        <f t="shared" si="13"/>
        <v>2.75</v>
      </c>
    </row>
    <row r="55" spans="1:17" s="2" customFormat="1" ht="12" customHeight="1" x14ac:dyDescent="0.25">
      <c r="A55" s="4">
        <v>329</v>
      </c>
      <c r="B55" s="2">
        <v>1</v>
      </c>
      <c r="C55" s="135" t="s">
        <v>668</v>
      </c>
      <c r="D55" s="325" t="str">
        <f>VLOOKUP(C55,Purchased!A:B,2,0)</f>
        <v>Pneumatic Switch for pushbutton</v>
      </c>
      <c r="E55" s="326"/>
      <c r="F55" s="108" t="str">
        <f>IF(VLOOKUP($C55,Purchased!A:Z,11,0) = 0, " ", VLOOKUP($C55,Purchased!A:Z,11,0))</f>
        <v>NITRA</v>
      </c>
      <c r="G55" s="108" t="str">
        <f>IF(VLOOKUP($C55,Purchased!A:Z,12,0)=0, " ", VLOOKUP($C55,Purchased!A:Z,12,0))</f>
        <v>AUTO DIRECT</v>
      </c>
      <c r="H55" s="327" t="str">
        <f>IF(VLOOKUP($C55,Purchased!A:Z,13,0)=0, " ", VLOOKUP($C55,Purchased!A:Z,13,0))</f>
        <v xml:space="preserve"> </v>
      </c>
      <c r="I55" s="328"/>
      <c r="J55" s="46" t="str">
        <f>IF(VLOOKUP($C55,Purchased!A:Z,14,0)=0, " ", VLOOKUP($C55,Purchased!A:Z,14,0))</f>
        <v>N/A</v>
      </c>
      <c r="K55" s="46" t="str">
        <f>IF(VLOOKUP(C55,Purchased!A:R,14,0)=0, " ", VLOOKUP(C55,Purchased!A:R,14,0))</f>
        <v>N/A</v>
      </c>
      <c r="L55" s="46" t="str">
        <f>IF(VLOOKUP(C55,Purchased!A:R,15,0)=0, " ", VLOOKUP(C55,Purchased!A:R,15,0))</f>
        <v xml:space="preserve"> </v>
      </c>
      <c r="M55" s="46" t="str">
        <f>IF(VLOOKUP(C55,Purchased!A:R,16,0)=0, " ",VLOOKUP(C55,Purchased!A:R,16,0))</f>
        <v xml:space="preserve"> </v>
      </c>
      <c r="N55" s="130" t="str">
        <f>IF(VLOOKUP(C55,Purchased!A:R,17,0)=0, " ", VLOOKUP(C55,Purchased!A:R,17,0))</f>
        <v xml:space="preserve"> </v>
      </c>
      <c r="O55" s="47">
        <f t="shared" ca="1" si="12"/>
        <v>1</v>
      </c>
      <c r="P55" s="51">
        <f>VLOOKUP(C55,Purchased!A:D,3,FALSE)</f>
        <v>19</v>
      </c>
      <c r="Q55" s="52">
        <f t="shared" si="13"/>
        <v>19</v>
      </c>
    </row>
    <row r="56" spans="1:17" s="2" customFormat="1" ht="12" customHeight="1" x14ac:dyDescent="0.25">
      <c r="A56" s="4">
        <v>330</v>
      </c>
      <c r="B56" s="192">
        <v>2</v>
      </c>
      <c r="C56" s="135" t="s">
        <v>735</v>
      </c>
      <c r="D56" s="325" t="str">
        <f>VLOOKUP(C56,Purchased!A:B,2,0)</f>
        <v>2-PIECE SHAFT COLLAR, 12MM ID, CHROME STEEL</v>
      </c>
      <c r="E56" s="326"/>
      <c r="F56" s="108" t="str">
        <f>IF(VLOOKUP($C56,Purchased!A:Z,11,0) = 0, " ", VLOOKUP($C56,Purchased!A:Z,11,0))</f>
        <v>BDI</v>
      </c>
      <c r="G56" s="108" t="str">
        <f>IF(VLOOKUP($C56,Purchased!A:Z,12,0)=0, " ", VLOOKUP($C56,Purchased!A:Z,12,0))</f>
        <v>BDI</v>
      </c>
      <c r="H56" s="327" t="str">
        <f>IF(VLOOKUP($C56,Purchased!A:Z,13,0)=0, " ", VLOOKUP($C56,Purchased!A:Z,13,0))</f>
        <v>Use BDI # 196670</v>
      </c>
      <c r="I56" s="328"/>
      <c r="J56" s="46">
        <f>IF(VLOOKUP($C56,Purchased!A:Z,14,0)=0, " ", VLOOKUP($C56,Purchased!A:Z,14,0))</f>
        <v>45502</v>
      </c>
      <c r="K56" s="46">
        <f>IF(VLOOKUP(C56,Purchased!A:R,14,0)=0, " ", VLOOKUP(C56,Purchased!A:R,14,0))</f>
        <v>45502</v>
      </c>
      <c r="L56" s="46">
        <f>IF(VLOOKUP(C56,Purchased!A:R,15,0)=0, " ", VLOOKUP(C56,Purchased!A:R,15,0))</f>
        <v>45503</v>
      </c>
      <c r="M56" s="46">
        <f>IF(VLOOKUP(C56,Purchased!A:R,16,0)=0, " ",VLOOKUP(C56,Purchased!A:R,16,0))</f>
        <v>45520</v>
      </c>
      <c r="N56" s="130">
        <f>IF(VLOOKUP(C56,Purchased!A:R,17,0)=0, " ", VLOOKUP(C56,Purchased!A:R,17,0))</f>
        <v>45520</v>
      </c>
      <c r="O56" s="47">
        <f t="shared" ca="1" si="12"/>
        <v>2</v>
      </c>
      <c r="P56" s="51">
        <f>VLOOKUP(C56,Purchased!A:D,3,FALSE)</f>
        <v>10.76</v>
      </c>
      <c r="Q56" s="52">
        <f t="shared" si="13"/>
        <v>21.52</v>
      </c>
    </row>
    <row r="57" spans="1:17" s="2" customFormat="1" ht="12" customHeight="1" x14ac:dyDescent="0.25">
      <c r="A57" s="4">
        <v>331</v>
      </c>
      <c r="B57" s="2">
        <v>2</v>
      </c>
      <c r="C57" s="135" t="s">
        <v>736</v>
      </c>
      <c r="D57" s="325" t="str">
        <f>VLOOKUP(C57,Purchased!A:B,2,0)</f>
        <v>2-PIECE SHAFT COLLAR, 20MM ID, CHROME STEEL</v>
      </c>
      <c r="E57" s="326"/>
      <c r="F57" s="108" t="str">
        <f>IF(VLOOKUP($C57,Purchased!A:Z,11,0) = 0, " ", VLOOKUP($C57,Purchased!A:Z,11,0))</f>
        <v>BDI</v>
      </c>
      <c r="G57" s="108" t="str">
        <f>IF(VLOOKUP($C57,Purchased!A:Z,12,0)=0, " ", VLOOKUP($C57,Purchased!A:Z,12,0))</f>
        <v>BDI</v>
      </c>
      <c r="H57" s="327" t="str">
        <f>IF(VLOOKUP($C57,Purchased!A:Z,13,0)=0, " ", VLOOKUP($C57,Purchased!A:Z,13,0))</f>
        <v>Use BDI # 196686</v>
      </c>
      <c r="I57" s="328"/>
      <c r="J57" s="46">
        <f>IF(VLOOKUP($C57,Purchased!A:Z,14,0)=0, " ", VLOOKUP($C57,Purchased!A:Z,14,0))</f>
        <v>45502</v>
      </c>
      <c r="K57" s="46">
        <f>IF(VLOOKUP(C57,Purchased!A:R,14,0)=0, " ", VLOOKUP(C57,Purchased!A:R,14,0))</f>
        <v>45502</v>
      </c>
      <c r="L57" s="46">
        <f>IF(VLOOKUP(C57,Purchased!A:R,15,0)=0, " ", VLOOKUP(C57,Purchased!A:R,15,0))</f>
        <v>45503</v>
      </c>
      <c r="M57" s="46">
        <f>IF(VLOOKUP(C57,Purchased!A:R,16,0)=0, " ",VLOOKUP(C57,Purchased!A:R,16,0))</f>
        <v>45520</v>
      </c>
      <c r="N57" s="130">
        <f>IF(VLOOKUP(C57,Purchased!A:R,17,0)=0, " ", VLOOKUP(C57,Purchased!A:R,17,0))</f>
        <v>45520</v>
      </c>
      <c r="O57" s="47">
        <f t="shared" ca="1" si="12"/>
        <v>2</v>
      </c>
      <c r="P57" s="51">
        <f>VLOOKUP(C57,Purchased!A:D,3,FALSE)</f>
        <v>12.62</v>
      </c>
      <c r="Q57" s="52">
        <f t="shared" si="13"/>
        <v>25.24</v>
      </c>
    </row>
    <row r="58" spans="1:17" s="2" customFormat="1" ht="12" customHeight="1" x14ac:dyDescent="0.25">
      <c r="A58" s="4">
        <v>332</v>
      </c>
      <c r="B58" s="2">
        <v>8</v>
      </c>
      <c r="C58" s="135" t="s">
        <v>737</v>
      </c>
      <c r="D58" s="325" t="str">
        <f>VLOOKUP(C58,Purchased!A:B,2,0)</f>
        <v>Steel Oversized Washer for M6 Screw Size, 6 mm ID, 12 mm OD</v>
      </c>
      <c r="E58" s="326"/>
      <c r="F58" s="108" t="str">
        <f>IF(VLOOKUP($C58,Purchased!A:Z,11,0) = 0, " ", VLOOKUP($C58,Purchased!A:Z,11,0))</f>
        <v>MCM</v>
      </c>
      <c r="G58" s="108" t="str">
        <f>IF(VLOOKUP($C58,Purchased!A:Z,12,0)=0, " ", VLOOKUP($C58,Purchased!A:Z,12,0))</f>
        <v>MCM</v>
      </c>
      <c r="H58" s="327" t="str">
        <f>IF(VLOOKUP($C58,Purchased!A:Z,13,0)=0, " ", VLOOKUP($C58,Purchased!A:Z,13,0))</f>
        <v xml:space="preserve"> </v>
      </c>
      <c r="I58" s="328"/>
      <c r="J58" s="46">
        <f>IF(VLOOKUP($C58,Purchased!A:Z,14,0)=0, " ", VLOOKUP($C58,Purchased!A:Z,14,0))</f>
        <v>45481</v>
      </c>
      <c r="K58" s="46">
        <f>IF(VLOOKUP(C58,Purchased!A:R,14,0)=0, " ", VLOOKUP(C58,Purchased!A:R,14,0))</f>
        <v>45481</v>
      </c>
      <c r="L58" s="46">
        <f>IF(VLOOKUP(C58,Purchased!A:R,15,0)=0, " ", VLOOKUP(C58,Purchased!A:R,15,0))</f>
        <v>45481</v>
      </c>
      <c r="M58" s="46">
        <f>IF(VLOOKUP(C58,Purchased!A:R,16,0)=0, " ",VLOOKUP(C58,Purchased!A:R,16,0))</f>
        <v>45482</v>
      </c>
      <c r="N58" s="130">
        <f>IF(VLOOKUP(C58,Purchased!A:R,17,0)=0, " ", VLOOKUP(C58,Purchased!A:R,17,0))</f>
        <v>45482</v>
      </c>
      <c r="O58" s="47">
        <f t="shared" ca="1" si="12"/>
        <v>8</v>
      </c>
      <c r="P58" s="51">
        <f>VLOOKUP(C58,Purchased!A:D,3,FALSE)</f>
        <v>8</v>
      </c>
      <c r="Q58" s="52">
        <f t="shared" si="13"/>
        <v>64</v>
      </c>
    </row>
    <row r="59" spans="1:17" s="2" customFormat="1" ht="12" customHeight="1" x14ac:dyDescent="0.25">
      <c r="A59" s="4">
        <v>333</v>
      </c>
      <c r="B59" s="2">
        <v>8</v>
      </c>
      <c r="C59" s="135" t="s">
        <v>738</v>
      </c>
      <c r="D59" s="325" t="str">
        <f>VLOOKUP(C59,Purchased!A:B,2,0)</f>
        <v>Corrosion-Resistant Timing Belt Pulley</v>
      </c>
      <c r="E59" s="326"/>
      <c r="F59" s="108" t="str">
        <f>IF(VLOOKUP($C59,Purchased!A:Z,11,0) = 0, " ", VLOOKUP($C59,Purchased!A:Z,11,0))</f>
        <v>BMF</v>
      </c>
      <c r="G59" s="108" t="str">
        <f>IF(VLOOKUP($C59,Purchased!A:Z,12,0)=0, " ", VLOOKUP($C59,Purchased!A:Z,12,0))</f>
        <v>BDI</v>
      </c>
      <c r="H59" s="327" t="str">
        <f>IF(VLOOKUP($C59,Purchased!A:Z,13,0)=0, " ", VLOOKUP($C59,Purchased!A:Z,13,0))</f>
        <v>22707419 - 32XL037M6FA12</v>
      </c>
      <c r="I59" s="328"/>
      <c r="J59" s="46">
        <f>IF(VLOOKUP($C59,Purchased!A:Z,14,0)=0, " ", VLOOKUP($C59,Purchased!A:Z,14,0))</f>
        <v>45481</v>
      </c>
      <c r="K59" s="46">
        <f>IF(VLOOKUP(C59,Purchased!A:R,14,0)=0, " ", VLOOKUP(C59,Purchased!A:R,14,0))</f>
        <v>45481</v>
      </c>
      <c r="L59" s="46">
        <f>IF(VLOOKUP(C59,Purchased!A:R,15,0)=0, " ", VLOOKUP(C59,Purchased!A:R,15,0))</f>
        <v>45481</v>
      </c>
      <c r="M59" s="46">
        <f>IF(VLOOKUP(C59,Purchased!A:R,16,0)=0, " ",VLOOKUP(C59,Purchased!A:R,16,0))</f>
        <v>45495</v>
      </c>
      <c r="N59" s="130">
        <f>IF(VLOOKUP(C59,Purchased!A:R,17,0)=0, " ", VLOOKUP(C59,Purchased!A:R,17,0))</f>
        <v>45495</v>
      </c>
      <c r="O59" s="47">
        <f t="shared" ca="1" si="12"/>
        <v>8</v>
      </c>
      <c r="P59" s="51">
        <f>VLOOKUP(C59,Purchased!A:D,3,FALSE)</f>
        <v>13.15</v>
      </c>
      <c r="Q59" s="52">
        <f t="shared" si="13"/>
        <v>105.2</v>
      </c>
    </row>
    <row r="60" spans="1:17" s="2" customFormat="1" ht="12" customHeight="1" x14ac:dyDescent="0.25">
      <c r="A60" s="4">
        <v>334</v>
      </c>
      <c r="B60" s="2">
        <v>2</v>
      </c>
      <c r="C60" s="135" t="s">
        <v>739</v>
      </c>
      <c r="D60" s="325" t="str">
        <f>VLOOKUP(C60,Purchased!A:B,2,0)</f>
        <v>XL Series Timing Belt, Trade No. 630xL037</v>
      </c>
      <c r="E60" s="326"/>
      <c r="F60" s="108" t="str">
        <f>IF(VLOOKUP($C60,Purchased!A:Z,11,0) = 0, " ", VLOOKUP($C60,Purchased!A:Z,11,0))</f>
        <v>BDI</v>
      </c>
      <c r="G60" s="108" t="str">
        <f>IF(VLOOKUP($C60,Purchased!A:Z,12,0)=0, " ", VLOOKUP($C60,Purchased!A:Z,12,0))</f>
        <v>BDI</v>
      </c>
      <c r="H60" s="327" t="str">
        <f>IF(VLOOKUP($C60,Purchased!A:Z,13,0)=0, " ", VLOOKUP($C60,Purchased!A:Z,13,0))</f>
        <v>Use BDI # 1111545</v>
      </c>
      <c r="I60" s="328"/>
      <c r="J60" s="46">
        <f>IF(VLOOKUP($C60,Purchased!A:Z,14,0)=0, " ", VLOOKUP($C60,Purchased!A:Z,14,0))</f>
        <v>45502</v>
      </c>
      <c r="K60" s="46">
        <f>IF(VLOOKUP(C60,Purchased!A:R,14,0)=0, " ", VLOOKUP(C60,Purchased!A:R,14,0))</f>
        <v>45502</v>
      </c>
      <c r="L60" s="46">
        <f>IF(VLOOKUP(C60,Purchased!A:R,15,0)=0, " ", VLOOKUP(C60,Purchased!A:R,15,0))</f>
        <v>45503</v>
      </c>
      <c r="M60" s="46">
        <f>IF(VLOOKUP(C60,Purchased!A:R,16,0)=0, " ",VLOOKUP(C60,Purchased!A:R,16,0))</f>
        <v>45520</v>
      </c>
      <c r="N60" s="130">
        <f>IF(VLOOKUP(C60,Purchased!A:R,17,0)=0, " ", VLOOKUP(C60,Purchased!A:R,17,0))</f>
        <v>45520</v>
      </c>
      <c r="O60" s="47">
        <f t="shared" ca="1" si="12"/>
        <v>2</v>
      </c>
      <c r="P60" s="51">
        <f>VLOOKUP(C60,Purchased!A:D,3,FALSE)</f>
        <v>14.37</v>
      </c>
      <c r="Q60" s="52">
        <f t="shared" si="13"/>
        <v>28.74</v>
      </c>
    </row>
    <row r="61" spans="1:17" s="2" customFormat="1" ht="12" customHeight="1" x14ac:dyDescent="0.25">
      <c r="A61" s="4">
        <v>335</v>
      </c>
      <c r="B61" s="2">
        <v>4</v>
      </c>
      <c r="C61" s="135" t="s">
        <v>300</v>
      </c>
      <c r="D61" s="325" t="str">
        <f>VLOOKUP(C61,Purchased!A:B,2,0)</f>
        <v>Dowel Pin 52100 Alloy Steel, 10 mm Diameter, 30 mm Long</v>
      </c>
      <c r="E61" s="326"/>
      <c r="F61" s="108" t="str">
        <f>IF(VLOOKUP($C61,Purchased!A:Z,11,0) = 0, " ", VLOOKUP($C61,Purchased!A:Z,11,0))</f>
        <v>MCM</v>
      </c>
      <c r="G61" s="108" t="str">
        <f>IF(VLOOKUP($C61,Purchased!A:Z,12,0)=0, " ", VLOOKUP($C61,Purchased!A:Z,12,0))</f>
        <v>MCM</v>
      </c>
      <c r="H61" s="327" t="str">
        <f>IF(VLOOKUP($C61,Purchased!A:Z,13,0)=0, " ", VLOOKUP($C61,Purchased!A:Z,13,0))</f>
        <v>4 Additional Quantity Added to 55697</v>
      </c>
      <c r="I61" s="328"/>
      <c r="J61" s="46">
        <f>IF(VLOOKUP($C61,Purchased!A:Z,14,0)=0, " ", VLOOKUP($C61,Purchased!A:Z,14,0))</f>
        <v>45460</v>
      </c>
      <c r="K61" s="46">
        <f>IF(VLOOKUP(C61,Purchased!A:R,14,0)=0, " ", VLOOKUP(C61,Purchased!A:R,14,0))</f>
        <v>45460</v>
      </c>
      <c r="L61" s="46">
        <f>IF(VLOOKUP(C61,Purchased!A:R,15,0)=0, " ", VLOOKUP(C61,Purchased!A:R,15,0))</f>
        <v>45460</v>
      </c>
      <c r="M61" s="46">
        <f>IF(VLOOKUP(C61,Purchased!A:R,16,0)=0, " ",VLOOKUP(C61,Purchased!A:R,16,0))</f>
        <v>45462</v>
      </c>
      <c r="N61" s="130">
        <f>IF(VLOOKUP(C61,Purchased!A:R,17,0)=0, " ", VLOOKUP(C61,Purchased!A:R,17,0))</f>
        <v>45462</v>
      </c>
      <c r="O61" s="47">
        <f t="shared" ca="1" si="12"/>
        <v>4</v>
      </c>
      <c r="P61" s="51">
        <f>VLOOKUP(C61,Purchased!A:D,3,FALSE)</f>
        <v>12.91</v>
      </c>
      <c r="Q61" s="52">
        <f t="shared" si="13"/>
        <v>51.64</v>
      </c>
    </row>
    <row r="62" spans="1:17" s="2" customFormat="1" ht="12" customHeight="1" x14ac:dyDescent="0.25">
      <c r="A62" s="4">
        <v>336</v>
      </c>
      <c r="B62" s="2">
        <v>8</v>
      </c>
      <c r="C62" s="135" t="s">
        <v>178</v>
      </c>
      <c r="D62" s="325" t="str">
        <f>VLOOKUP(C62,Purchased!A:B,2,0)</f>
        <v>10mm Dia 20mm L Steel Dowel Pin</v>
      </c>
      <c r="E62" s="326"/>
      <c r="F62" s="108" t="str">
        <f>IF(VLOOKUP($C62,Purchased!A:Z,11,0) = 0, " ", VLOOKUP($C62,Purchased!A:Z,11,0))</f>
        <v>MCM</v>
      </c>
      <c r="G62" s="108" t="str">
        <f>IF(VLOOKUP($C62,Purchased!A:Z,12,0)=0, " ", VLOOKUP($C62,Purchased!A:Z,12,0))</f>
        <v>MCM</v>
      </c>
      <c r="H62" s="327" t="str">
        <f>IF(VLOOKUP($C62,Purchased!A:Z,13,0)=0, " ", VLOOKUP($C62,Purchased!A:Z,13,0))</f>
        <v>3 Additional Quantity Added to 55697</v>
      </c>
      <c r="I62" s="328"/>
      <c r="J62" s="46">
        <f>IF(VLOOKUP($C62,Purchased!A:Z,14,0)=0, " ", VLOOKUP($C62,Purchased!A:Z,14,0))</f>
        <v>45481</v>
      </c>
      <c r="K62" s="46">
        <f>IF(VLOOKUP(C62,Purchased!A:R,14,0)=0, " ", VLOOKUP(C62,Purchased!A:R,14,0))</f>
        <v>45481</v>
      </c>
      <c r="L62" s="46">
        <f>IF(VLOOKUP(C62,Purchased!A:R,15,0)=0, " ", VLOOKUP(C62,Purchased!A:R,15,0))</f>
        <v>45481</v>
      </c>
      <c r="M62" s="46">
        <f>IF(VLOOKUP(C62,Purchased!A:R,16,0)=0, " ",VLOOKUP(C62,Purchased!A:R,16,0))</f>
        <v>45482</v>
      </c>
      <c r="N62" s="130">
        <f>IF(VLOOKUP(C62,Purchased!A:R,17,0)=0, " ", VLOOKUP(C62,Purchased!A:R,17,0))</f>
        <v>45482</v>
      </c>
      <c r="O62" s="47">
        <f t="shared" ca="1" si="12"/>
        <v>8</v>
      </c>
      <c r="P62" s="51">
        <f>VLOOKUP(C62,Purchased!A:D,3,FALSE)</f>
        <v>10.57</v>
      </c>
      <c r="Q62" s="52">
        <f t="shared" si="13"/>
        <v>84.56</v>
      </c>
    </row>
    <row r="63" spans="1:17" s="2" customFormat="1" ht="12" customHeight="1" x14ac:dyDescent="0.25">
      <c r="A63" s="4">
        <v>337</v>
      </c>
      <c r="B63" s="2">
        <v>3</v>
      </c>
      <c r="C63" s="135" t="s">
        <v>504</v>
      </c>
      <c r="D63" s="325" t="str">
        <f>VLOOKUP(C63,Purchased!A:B,2,0)</f>
        <v>20mm ID 32mm OD 7mm Thick Ball Bearing</v>
      </c>
      <c r="E63" s="326"/>
      <c r="F63" s="108" t="str">
        <f>IF(VLOOKUP($C63,Purchased!A:Z,11,0) = 0, " ", VLOOKUP($C63,Purchased!A:Z,11,0))</f>
        <v>MCM</v>
      </c>
      <c r="G63" s="108" t="str">
        <f>IF(VLOOKUP($C63,Purchased!A:Z,12,0)=0, " ", VLOOKUP($C63,Purchased!A:Z,12,0))</f>
        <v>MCM</v>
      </c>
      <c r="H63" s="327" t="str">
        <f>IF(VLOOKUP($C63,Purchased!A:Z,13,0)=0, " ", VLOOKUP($C63,Purchased!A:Z,13,0))</f>
        <v>11 Additional Quantity Added to 55697</v>
      </c>
      <c r="I63" s="328"/>
      <c r="J63" s="46">
        <f>IF(VLOOKUP($C63,Purchased!A:Z,14,0)=0, " ", VLOOKUP($C63,Purchased!A:Z,14,0))</f>
        <v>45481</v>
      </c>
      <c r="K63" s="46">
        <f>IF(VLOOKUP(C63,Purchased!A:R,14,0)=0, " ", VLOOKUP(C63,Purchased!A:R,14,0))</f>
        <v>45481</v>
      </c>
      <c r="L63" s="46">
        <f>IF(VLOOKUP(C63,Purchased!A:R,15,0)=0, " ", VLOOKUP(C63,Purchased!A:R,15,0))</f>
        <v>45481</v>
      </c>
      <c r="M63" s="46">
        <f>IF(VLOOKUP(C63,Purchased!A:R,16,0)=0, " ",VLOOKUP(C63,Purchased!A:R,16,0))</f>
        <v>45482</v>
      </c>
      <c r="N63" s="130">
        <f>IF(VLOOKUP(C63,Purchased!A:R,17,0)=0, " ", VLOOKUP(C63,Purchased!A:R,17,0))</f>
        <v>45482</v>
      </c>
      <c r="O63" s="47">
        <f t="shared" ca="1" si="12"/>
        <v>3</v>
      </c>
      <c r="P63" s="51">
        <f>VLOOKUP(C63,Purchased!A:D,3,FALSE)</f>
        <v>16.88</v>
      </c>
      <c r="Q63" s="52">
        <f t="shared" si="13"/>
        <v>50.64</v>
      </c>
    </row>
    <row r="64" spans="1:17" s="2" customFormat="1" ht="12" customHeight="1" x14ac:dyDescent="0.25">
      <c r="A64" s="4">
        <v>338</v>
      </c>
      <c r="B64" s="2">
        <v>1</v>
      </c>
      <c r="C64" s="135" t="s">
        <v>649</v>
      </c>
      <c r="D64" s="325" t="str">
        <f>VLOOKUP(C64,Purchased!A:B,2,0)</f>
        <v>Two-Piece Shaft Coupling, 6061 Aluminum, for 20 mm x 20 mm Diameter Shaft</v>
      </c>
      <c r="E64" s="326"/>
      <c r="F64" s="108" t="str">
        <f>IF(VLOOKUP($C64,Purchased!A:Z,11,0) = 0, " ", VLOOKUP($C64,Purchased!A:Z,11,0))</f>
        <v>MCM</v>
      </c>
      <c r="G64" s="108" t="str">
        <f>IF(VLOOKUP($C64,Purchased!A:Z,12,0)=0, " ", VLOOKUP($C64,Purchased!A:Z,12,0))</f>
        <v>MCM</v>
      </c>
      <c r="H64" s="327" t="str">
        <f>IF(VLOOKUP($C64,Purchased!A:Z,13,0)=0, " ", VLOOKUP($C64,Purchased!A:Z,13,0))</f>
        <v>2 Additional Quantity Added to 55697</v>
      </c>
      <c r="I64" s="328"/>
      <c r="J64" s="46">
        <f>IF(VLOOKUP($C64,Purchased!A:Z,14,0)=0, " ", VLOOKUP($C64,Purchased!A:Z,14,0))</f>
        <v>45481</v>
      </c>
      <c r="K64" s="46">
        <f>IF(VLOOKUP(C64,Purchased!A:R,14,0)=0, " ", VLOOKUP(C64,Purchased!A:R,14,0))</f>
        <v>45481</v>
      </c>
      <c r="L64" s="46">
        <f>IF(VLOOKUP(C64,Purchased!A:R,15,0)=0, " ", VLOOKUP(C64,Purchased!A:R,15,0))</f>
        <v>45481</v>
      </c>
      <c r="M64" s="46">
        <f>IF(VLOOKUP(C64,Purchased!A:R,16,0)=0, " ",VLOOKUP(C64,Purchased!A:R,16,0))</f>
        <v>45482</v>
      </c>
      <c r="N64" s="130">
        <f>IF(VLOOKUP(C64,Purchased!A:R,17,0)=0, " ", VLOOKUP(C64,Purchased!A:R,17,0))</f>
        <v>45482</v>
      </c>
      <c r="O64" s="47">
        <f t="shared" ref="O64:O70" ca="1" si="14">B64*$L$2</f>
        <v>1</v>
      </c>
      <c r="P64" s="51">
        <f>VLOOKUP(C64,Purchased!A:D,3,FALSE)</f>
        <v>17.79</v>
      </c>
      <c r="Q64" s="52">
        <f t="shared" ref="Q64:Q70" si="15">B64*P64</f>
        <v>17.79</v>
      </c>
    </row>
    <row r="65" spans="1:17" s="2" customFormat="1" ht="12" customHeight="1" x14ac:dyDescent="0.25">
      <c r="A65" s="4">
        <v>339</v>
      </c>
      <c r="B65" s="2">
        <v>2</v>
      </c>
      <c r="C65" s="135" t="s">
        <v>740</v>
      </c>
      <c r="D65" s="325" t="str">
        <f>VLOOKUP(C65,Purchased!A:B,2,0)</f>
        <v>XL Series Timing Belt, Trade No. 260xL027</v>
      </c>
      <c r="E65" s="326"/>
      <c r="F65" s="108" t="str">
        <f>IF(VLOOKUP($C65,Purchased!A:Z,11,0) = 0, " ", VLOOKUP($C65,Purchased!A:Z,11,0))</f>
        <v>BDI</v>
      </c>
      <c r="G65" s="108" t="str">
        <f>IF(VLOOKUP($C65,Purchased!A:Z,12,0)=0, " ", VLOOKUP($C65,Purchased!A:Z,12,0))</f>
        <v>BDI</v>
      </c>
      <c r="H65" s="327" t="str">
        <f>IF(VLOOKUP($C65,Purchased!A:Z,13,0)=0, " ", VLOOKUP($C65,Purchased!A:Z,13,0))</f>
        <v>LENGTH APPROVED (EL 7/10) use BDI #1101568</v>
      </c>
      <c r="I65" s="328"/>
      <c r="J65" s="46">
        <f>IF(VLOOKUP($C65,Purchased!A:Z,14,0)=0, " ", VLOOKUP($C65,Purchased!A:Z,14,0))</f>
        <v>45502</v>
      </c>
      <c r="K65" s="46">
        <f>IF(VLOOKUP(C65,Purchased!A:R,14,0)=0, " ", VLOOKUP(C65,Purchased!A:R,14,0))</f>
        <v>45502</v>
      </c>
      <c r="L65" s="46">
        <f>IF(VLOOKUP(C65,Purchased!A:R,15,0)=0, " ", VLOOKUP(C65,Purchased!A:R,15,0))</f>
        <v>45503</v>
      </c>
      <c r="M65" s="46">
        <f>IF(VLOOKUP(C65,Purchased!A:R,16,0)=0, " ",VLOOKUP(C65,Purchased!A:R,16,0))</f>
        <v>45520</v>
      </c>
      <c r="N65" s="130">
        <f>IF(VLOOKUP(C65,Purchased!A:R,17,0)=0, " ", VLOOKUP(C65,Purchased!A:R,17,0))</f>
        <v>45520</v>
      </c>
      <c r="O65" s="47">
        <f t="shared" ca="1" si="14"/>
        <v>2</v>
      </c>
      <c r="P65" s="51">
        <f>VLOOKUP(C65,Purchased!A:D,3,FALSE)</f>
        <v>7.63</v>
      </c>
      <c r="Q65" s="52">
        <f t="shared" si="15"/>
        <v>15.26</v>
      </c>
    </row>
    <row r="66" spans="1:17" s="2" customFormat="1" ht="12" customHeight="1" x14ac:dyDescent="0.25">
      <c r="A66" s="4">
        <v>340</v>
      </c>
      <c r="B66" s="2">
        <v>1</v>
      </c>
      <c r="C66" s="135" t="s">
        <v>741</v>
      </c>
      <c r="D66" s="325" t="str">
        <f>VLOOKUP(C66,Purchased!A:B,2,0)</f>
        <v>Dual-Section Right-Angle Flow Manifold, Two 3/8 NPT Outlets Per Section, 1/2 NPT Inlets</v>
      </c>
      <c r="E66" s="326"/>
      <c r="F66" s="108" t="str">
        <f>IF(VLOOKUP($C66,Purchased!A:Z,11,0) = 0, " ", VLOOKUP($C66,Purchased!A:Z,11,0))</f>
        <v>MCM</v>
      </c>
      <c r="G66" s="108" t="str">
        <f>IF(VLOOKUP($C66,Purchased!A:Z,12,0)=0, " ", VLOOKUP($C66,Purchased!A:Z,12,0))</f>
        <v>MCM</v>
      </c>
      <c r="H66" s="327" t="str">
        <f>IF(VLOOKUP($C66,Purchased!A:Z,13,0)=0, " ", VLOOKUP($C66,Purchased!A:Z,13,0))</f>
        <v xml:space="preserve"> </v>
      </c>
      <c r="I66" s="328"/>
      <c r="J66" s="46">
        <f>IF(VLOOKUP($C66,Purchased!A:Z,14,0)=0, " ", VLOOKUP($C66,Purchased!A:Z,14,0))</f>
        <v>45526</v>
      </c>
      <c r="K66" s="46">
        <f>IF(VLOOKUP(C66,Purchased!A:R,14,0)=0, " ", VLOOKUP(C66,Purchased!A:R,14,0))</f>
        <v>45526</v>
      </c>
      <c r="L66" s="46">
        <f>IF(VLOOKUP(C66,Purchased!A:R,15,0)=0, " ", VLOOKUP(C66,Purchased!A:R,15,0))</f>
        <v>45526</v>
      </c>
      <c r="M66" s="46" t="str">
        <f>IF(VLOOKUP(C66,Purchased!A:R,16,0)=0, " ",VLOOKUP(C66,Purchased!A:R,16,0))</f>
        <v xml:space="preserve"> </v>
      </c>
      <c r="N66" s="130" t="str">
        <f>IF(VLOOKUP(C66,Purchased!A:R,17,0)=0, " ", VLOOKUP(C66,Purchased!A:R,17,0))</f>
        <v xml:space="preserve"> </v>
      </c>
      <c r="O66" s="47">
        <f t="shared" ca="1" si="14"/>
        <v>1</v>
      </c>
      <c r="P66" s="51">
        <f>VLOOKUP(C66,Purchased!A:D,3,FALSE)</f>
        <v>86.05</v>
      </c>
      <c r="Q66" s="52">
        <f t="shared" si="15"/>
        <v>86.05</v>
      </c>
    </row>
    <row r="67" spans="1:17" s="2" customFormat="1" ht="12" customHeight="1" x14ac:dyDescent="0.25">
      <c r="A67" s="4">
        <v>341</v>
      </c>
      <c r="B67" s="2">
        <v>1</v>
      </c>
      <c r="C67" s="135" t="s">
        <v>742</v>
      </c>
      <c r="D67" s="325" t="str">
        <f>VLOOKUP(C67,Purchased!A:B,2,0)</f>
        <v>Brass High Pressure Flow Switch, Inline, Piston Type, 0.25 gpm Flow Setting, 3/8" NPT Male</v>
      </c>
      <c r="E67" s="326"/>
      <c r="F67" s="108" t="str">
        <f>IF(VLOOKUP($C67,Purchased!A:Z,11,0) = 0, " ", VLOOKUP($C67,Purchased!A:Z,11,0))</f>
        <v>GEMS</v>
      </c>
      <c r="G67" s="108" t="str">
        <f>IF(VLOOKUP($C67,Purchased!A:Z,12,0)=0, " ", VLOOKUP($C67,Purchased!A:Z,12,0))</f>
        <v>NULINE</v>
      </c>
      <c r="H67" s="327" t="str">
        <f>IF(VLOOKUP($C67,Purchased!A:Z,13,0)=0, " ", VLOOKUP($C67,Purchased!A:Z,13,0))</f>
        <v>Have #168432 in stock at Nuline - 3/8 NPT- JP</v>
      </c>
      <c r="I67" s="328"/>
      <c r="J67" s="46" t="str">
        <f>IF(VLOOKUP($C67,Purchased!A:Z,14,0)=0, " ", VLOOKUP($C67,Purchased!A:Z,14,0))</f>
        <v>N/A</v>
      </c>
      <c r="K67" s="46" t="str">
        <f>IF(VLOOKUP(C67,Purchased!A:R,14,0)=0, " ", VLOOKUP(C67,Purchased!A:R,14,0))</f>
        <v>N/A</v>
      </c>
      <c r="L67" s="46" t="str">
        <f>IF(VLOOKUP(C67,Purchased!A:R,15,0)=0, " ", VLOOKUP(C67,Purchased!A:R,15,0))</f>
        <v>N/A</v>
      </c>
      <c r="M67" s="46" t="str">
        <f>IF(VLOOKUP(C67,Purchased!A:R,16,0)=0, " ",VLOOKUP(C67,Purchased!A:R,16,0))</f>
        <v>N/A</v>
      </c>
      <c r="N67" s="130" t="str">
        <f>IF(VLOOKUP(C67,Purchased!A:R,17,0)=0, " ", VLOOKUP(C67,Purchased!A:R,17,0))</f>
        <v>N/A</v>
      </c>
      <c r="O67" s="47">
        <f t="shared" ca="1" si="14"/>
        <v>1</v>
      </c>
      <c r="P67" s="51">
        <f>VLOOKUP(C67,Purchased!A:D,3,FALSE)</f>
        <v>174</v>
      </c>
      <c r="Q67" s="52">
        <f t="shared" si="15"/>
        <v>174</v>
      </c>
    </row>
    <row r="68" spans="1:17" s="2" customFormat="1" ht="12" customHeight="1" x14ac:dyDescent="0.25">
      <c r="A68" s="4">
        <v>342</v>
      </c>
      <c r="B68" s="2">
        <v>4</v>
      </c>
      <c r="C68" s="135" t="s">
        <v>743</v>
      </c>
      <c r="D68" s="325" t="str">
        <f>VLOOKUP(C68,Purchased!A:B,2,0)</f>
        <v>FITTING</v>
      </c>
      <c r="E68" s="326"/>
      <c r="F68" s="108" t="str">
        <f>IF(VLOOKUP($C68,Purchased!A:Z,11,0) = 0, " ", VLOOKUP($C68,Purchased!A:Z,11,0))</f>
        <v>SMC</v>
      </c>
      <c r="G68" s="108" t="str">
        <f>IF(VLOOKUP($C68,Purchased!A:Z,12,0)=0, " ", VLOOKUP($C68,Purchased!A:Z,12,0))</f>
        <v>AAP</v>
      </c>
      <c r="H68" s="327" t="str">
        <f>IF(VLOOKUP($C68,Purchased!A:Z,13,0)=0, " ", VLOOKUP($C68,Purchased!A:Z,13,0))</f>
        <v xml:space="preserve"> </v>
      </c>
      <c r="I68" s="328"/>
      <c r="J68" s="46">
        <f>IF(VLOOKUP($C68,Purchased!A:Z,14,0)=0, " ", VLOOKUP($C68,Purchased!A:Z,14,0))</f>
        <v>45489</v>
      </c>
      <c r="K68" s="46">
        <f>IF(VLOOKUP(C68,Purchased!A:R,14,0)=0, " ", VLOOKUP(C68,Purchased!A:R,14,0))</f>
        <v>45489</v>
      </c>
      <c r="L68" s="46">
        <f>IF(VLOOKUP(C68,Purchased!A:R,15,0)=0, " ", VLOOKUP(C68,Purchased!A:R,15,0))</f>
        <v>45491</v>
      </c>
      <c r="M68" s="46">
        <f>IF(VLOOKUP(C68,Purchased!A:R,16,0)=0, " ",VLOOKUP(C68,Purchased!A:R,16,0))</f>
        <v>45520</v>
      </c>
      <c r="N68" s="130">
        <f>IF(VLOOKUP(C68,Purchased!A:R,17,0)=0, " ", VLOOKUP(C68,Purchased!A:R,17,0))</f>
        <v>45511</v>
      </c>
      <c r="O68" s="47">
        <f t="shared" ca="1" si="14"/>
        <v>4</v>
      </c>
      <c r="P68" s="51">
        <f>VLOOKUP(C68,Purchased!A:D,3,FALSE)</f>
        <v>1.84</v>
      </c>
      <c r="Q68" s="52">
        <f t="shared" si="15"/>
        <v>7.36</v>
      </c>
    </row>
    <row r="69" spans="1:17" s="2" customFormat="1" ht="12" customHeight="1" x14ac:dyDescent="0.25">
      <c r="A69" s="4">
        <v>343</v>
      </c>
      <c r="B69" s="2">
        <v>8</v>
      </c>
      <c r="C69" s="135" t="s">
        <v>744</v>
      </c>
      <c r="D69" s="325" t="str">
        <f>VLOOKUP(C69,Purchased!A:B,2,0)</f>
        <v>CUSTOM MISUMI STANDOFF</v>
      </c>
      <c r="E69" s="326"/>
      <c r="F69" s="108" t="str">
        <f>IF(VLOOKUP($C69,Purchased!A:Z,11,0) = 0, " ", VLOOKUP($C69,Purchased!A:Z,11,0))</f>
        <v>MISUMI</v>
      </c>
      <c r="G69" s="108" t="str">
        <f>IF(VLOOKUP($C69,Purchased!A:Z,12,0)=0, " ", VLOOKUP($C69,Purchased!A:Z,12,0))</f>
        <v>MISUMI</v>
      </c>
      <c r="H69" s="327" t="str">
        <f>IF(VLOOKUP($C69,Purchased!A:Z,13,0)=0, " ", VLOOKUP($C69,Purchased!A:Z,13,0))</f>
        <v xml:space="preserve"> </v>
      </c>
      <c r="I69" s="328"/>
      <c r="J69" s="46" t="str">
        <f>IF(VLOOKUP($C69,Purchased!A:Z,14,0)=0, " ", VLOOKUP($C69,Purchased!A:Z,14,0))</f>
        <v>N/A</v>
      </c>
      <c r="K69" s="46" t="str">
        <f>IF(VLOOKUP(C69,Purchased!A:R,14,0)=0, " ", VLOOKUP(C69,Purchased!A:R,14,0))</f>
        <v>N/A</v>
      </c>
      <c r="L69" s="46">
        <f>IF(VLOOKUP(C69,Purchased!A:R,15,0)=0, " ", VLOOKUP(C69,Purchased!A:R,15,0))</f>
        <v>45524</v>
      </c>
      <c r="M69" s="46">
        <f>IF(VLOOKUP(C69,Purchased!A:R,16,0)=0, " ",VLOOKUP(C69,Purchased!A:R,16,0))</f>
        <v>45540</v>
      </c>
      <c r="N69" s="130">
        <f>IF(VLOOKUP(C69,Purchased!A:R,17,0)=0, " ", VLOOKUP(C69,Purchased!A:R,17,0))</f>
        <v>45527</v>
      </c>
      <c r="O69" s="47">
        <f t="shared" ca="1" si="14"/>
        <v>8</v>
      </c>
      <c r="P69" s="51">
        <f>VLOOKUP(C69,Purchased!A:D,3,FALSE)</f>
        <v>13.04</v>
      </c>
      <c r="Q69" s="52">
        <f t="shared" si="15"/>
        <v>104.32</v>
      </c>
    </row>
    <row r="70" spans="1:17" s="2" customFormat="1" ht="12" customHeight="1" x14ac:dyDescent="0.25">
      <c r="A70" s="4">
        <v>344</v>
      </c>
      <c r="B70" s="2">
        <v>12</v>
      </c>
      <c r="C70" s="135" t="s">
        <v>745</v>
      </c>
      <c r="D70" s="325" t="str">
        <f>VLOOKUP(C70,Purchased!A:B,2,0)</f>
        <v>General Purpose Zinc-Plated Steel Washer for M5 Screw Size, 5.300 mm ID, 
9.000 mm OD</v>
      </c>
      <c r="E70" s="326"/>
      <c r="F70" s="108" t="str">
        <f>IF(VLOOKUP($C70,Purchased!A:Z,11,0) = 0, " ", VLOOKUP($C70,Purchased!A:Z,11,0))</f>
        <v>MCM</v>
      </c>
      <c r="G70" s="108" t="str">
        <f>IF(VLOOKUP($C70,Purchased!A:Z,12,0)=0, " ", VLOOKUP($C70,Purchased!A:Z,12,0))</f>
        <v>MCM</v>
      </c>
      <c r="H70" s="327" t="str">
        <f>IF(VLOOKUP($C70,Purchased!A:Z,13,0)=0, " ", VLOOKUP($C70,Purchased!A:Z,13,0))</f>
        <v xml:space="preserve"> </v>
      </c>
      <c r="I70" s="328"/>
      <c r="J70" s="46">
        <f>IF(VLOOKUP($C70,Purchased!A:Z,14,0)=0, " ", VLOOKUP($C70,Purchased!A:Z,14,0))</f>
        <v>45482</v>
      </c>
      <c r="K70" s="46">
        <f>IF(VLOOKUP(C70,Purchased!A:R,14,0)=0, " ", VLOOKUP(C70,Purchased!A:R,14,0))</f>
        <v>45482</v>
      </c>
      <c r="L70" s="46">
        <f>IF(VLOOKUP(C70,Purchased!A:R,15,0)=0, " ", VLOOKUP(C70,Purchased!A:R,15,0))</f>
        <v>45482</v>
      </c>
      <c r="M70" s="46">
        <f>IF(VLOOKUP(C70,Purchased!A:R,16,0)=0, " ",VLOOKUP(C70,Purchased!A:R,16,0))</f>
        <v>45483</v>
      </c>
      <c r="N70" s="130">
        <f>IF(VLOOKUP(C70,Purchased!A:R,17,0)=0, " ", VLOOKUP(C70,Purchased!A:R,17,0))</f>
        <v>45483</v>
      </c>
      <c r="O70" s="47">
        <f t="shared" ca="1" si="14"/>
        <v>12</v>
      </c>
      <c r="P70" s="51">
        <f>VLOOKUP(C70,Purchased!A:D,3,FALSE)</f>
        <v>4</v>
      </c>
      <c r="Q70" s="52">
        <f t="shared" si="15"/>
        <v>48</v>
      </c>
    </row>
    <row r="71" spans="1:17" s="2" customFormat="1" ht="12" customHeight="1" x14ac:dyDescent="0.25">
      <c r="A71" s="4">
        <v>345</v>
      </c>
      <c r="B71" s="2">
        <v>1</v>
      </c>
      <c r="C71" s="135" t="s">
        <v>746</v>
      </c>
      <c r="D71" s="325" t="str">
        <f>VLOOKUP(C71,Purchased!A:B,2,0)</f>
        <v>Low-Pressure Chrome-Plated Brass Pipe Fitting, Bushing Adapter with Hex Body, 1/2 Male x 3/8 Female NPT</v>
      </c>
      <c r="E71" s="326"/>
      <c r="F71" s="108" t="str">
        <f>IF(VLOOKUP($C71,Purchased!A:Z,11,0) = 0, " ", VLOOKUP($C71,Purchased!A:Z,11,0))</f>
        <v>MCM</v>
      </c>
      <c r="G71" s="108" t="str">
        <f>IF(VLOOKUP($C71,Purchased!A:Z,12,0)=0, " ", VLOOKUP($C71,Purchased!A:Z,12,0))</f>
        <v>MCM</v>
      </c>
      <c r="H71" s="327" t="str">
        <f>IF(VLOOKUP($C71,Purchased!A:Z,13,0)=0, " ", VLOOKUP($C71,Purchased!A:Z,13,0))</f>
        <v xml:space="preserve"> </v>
      </c>
      <c r="I71" s="328"/>
      <c r="J71" s="46">
        <f>IF(VLOOKUP($C71,Purchased!A:Z,14,0)=0, " ", VLOOKUP($C71,Purchased!A:Z,14,0))</f>
        <v>45526</v>
      </c>
      <c r="K71" s="46">
        <f>IF(VLOOKUP(C71,Purchased!A:R,14,0)=0, " ", VLOOKUP(C71,Purchased!A:R,14,0))</f>
        <v>45526</v>
      </c>
      <c r="L71" s="46">
        <f>IF(VLOOKUP(C71,Purchased!A:R,15,0)=0, " ", VLOOKUP(C71,Purchased!A:R,15,0))</f>
        <v>45526</v>
      </c>
      <c r="M71" s="46" t="str">
        <f>IF(VLOOKUP(C71,Purchased!A:R,16,0)=0, " ",VLOOKUP(C71,Purchased!A:R,16,0))</f>
        <v xml:space="preserve"> </v>
      </c>
      <c r="N71" s="130" t="str">
        <f>IF(VLOOKUP(C71,Purchased!A:R,17,0)=0, " ", VLOOKUP(C71,Purchased!A:R,17,0))</f>
        <v xml:space="preserve"> </v>
      </c>
      <c r="O71" s="47">
        <f ca="1">B71*$L$2</f>
        <v>1</v>
      </c>
      <c r="P71" s="51">
        <f>VLOOKUP(C71,Purchased!A:D,3,FALSE)</f>
        <v>19.670000000000002</v>
      </c>
      <c r="Q71" s="52">
        <f>B71*P71</f>
        <v>19.670000000000002</v>
      </c>
    </row>
    <row r="72" spans="1:17" s="2" customFormat="1" ht="12" customHeight="1" x14ac:dyDescent="0.25">
      <c r="A72" s="25"/>
      <c r="B72" s="26"/>
      <c r="C72" s="26"/>
      <c r="D72" s="332"/>
      <c r="E72" s="333"/>
      <c r="F72" s="26"/>
      <c r="G72" s="26"/>
      <c r="H72" s="322"/>
      <c r="I72" s="323"/>
      <c r="J72" s="27"/>
      <c r="K72" s="27"/>
      <c r="L72" s="27"/>
      <c r="M72" s="28"/>
      <c r="N72" s="29"/>
      <c r="O72" s="29"/>
      <c r="P72" s="148"/>
      <c r="Q72" s="149"/>
    </row>
    <row r="73" spans="1:17" s="2" customFormat="1" ht="12" customHeight="1" x14ac:dyDescent="0.25">
      <c r="A73" s="4">
        <v>501</v>
      </c>
      <c r="B73" s="2">
        <v>4</v>
      </c>
      <c r="C73" s="122" t="s">
        <v>198</v>
      </c>
      <c r="D73" s="325"/>
      <c r="E73" s="326"/>
      <c r="F73" s="108">
        <f>VLOOKUP(C73,Bolts!A:L,5,0)</f>
        <v>0</v>
      </c>
      <c r="G73" s="108">
        <f>VLOOKUP(C73,Bolts!A:L,6,0)</f>
        <v>0</v>
      </c>
      <c r="H73" s="108">
        <f>VLOOKUP(C73,Bolts!A:L,7,0)</f>
        <v>0</v>
      </c>
      <c r="I73" s="109"/>
      <c r="J73" s="46">
        <f>VLOOKUP(C73,Bolts!A:L,8,0)</f>
        <v>0</v>
      </c>
      <c r="K73" s="46">
        <f>VLOOKUP(C73,Bolts!A:L,9,0)</f>
        <v>0</v>
      </c>
      <c r="L73" s="46">
        <f>VLOOKUP(C73,Bolts!A:L,10,0)</f>
        <v>0</v>
      </c>
      <c r="M73" s="46">
        <f>VLOOKUP(C73,Bolts!A:L,11,0)</f>
        <v>0</v>
      </c>
      <c r="N73" s="130">
        <f>VLOOKUP(C73,Bolts!A:L,12,0)</f>
        <v>0</v>
      </c>
      <c r="O73" s="47">
        <f t="shared" ref="O73:O82" ca="1" si="16">B73*$L$2</f>
        <v>4</v>
      </c>
      <c r="P73" s="51">
        <f>VLOOKUP(C73,Bolts!A:B,2,FALSE)</f>
        <v>0</v>
      </c>
      <c r="Q73" s="52">
        <f t="shared" ref="Q73:Q82" si="17">B73*P73</f>
        <v>0</v>
      </c>
    </row>
    <row r="74" spans="1:17" s="2" customFormat="1" ht="12" customHeight="1" x14ac:dyDescent="0.25">
      <c r="A74" s="4">
        <v>502</v>
      </c>
      <c r="B74" s="2">
        <v>44</v>
      </c>
      <c r="C74" s="122" t="s">
        <v>349</v>
      </c>
      <c r="D74" s="325"/>
      <c r="E74" s="326"/>
      <c r="F74" s="108">
        <f>VLOOKUP(C74,Bolts!A:L,5,0)</f>
        <v>0</v>
      </c>
      <c r="G74" s="108">
        <f>VLOOKUP(C74,Bolts!A:L,6,0)</f>
        <v>0</v>
      </c>
      <c r="H74" s="108">
        <f>VLOOKUP(C74,Bolts!A:L,7,0)</f>
        <v>0</v>
      </c>
      <c r="I74" s="109"/>
      <c r="J74" s="46">
        <f>VLOOKUP(C74,Bolts!A:L,8,0)</f>
        <v>0</v>
      </c>
      <c r="K74" s="46">
        <f>VLOOKUP(C74,Bolts!A:L,9,0)</f>
        <v>0</v>
      </c>
      <c r="L74" s="46">
        <f>VLOOKUP(C74,Bolts!A:L,10,0)</f>
        <v>0</v>
      </c>
      <c r="M74" s="46">
        <f>VLOOKUP(C74,Bolts!A:L,11,0)</f>
        <v>0</v>
      </c>
      <c r="N74" s="130">
        <f>VLOOKUP(C74,Bolts!A:L,12,0)</f>
        <v>0</v>
      </c>
      <c r="O74" s="47">
        <f t="shared" ca="1" si="16"/>
        <v>44</v>
      </c>
      <c r="P74" s="51">
        <f>VLOOKUP(C74,Bolts!A:B,2,FALSE)</f>
        <v>0</v>
      </c>
      <c r="Q74" s="52">
        <f t="shared" si="17"/>
        <v>0</v>
      </c>
    </row>
    <row r="75" spans="1:17" s="2" customFormat="1" ht="12" customHeight="1" x14ac:dyDescent="0.25">
      <c r="A75" s="4">
        <v>503</v>
      </c>
      <c r="B75" s="2">
        <v>8</v>
      </c>
      <c r="C75" s="122" t="s">
        <v>107</v>
      </c>
      <c r="D75" s="325"/>
      <c r="E75" s="326"/>
      <c r="F75" s="108">
        <f>VLOOKUP(C75,Bolts!A:L,5,0)</f>
        <v>0</v>
      </c>
      <c r="G75" s="108">
        <f>VLOOKUP(C75,Bolts!A:L,6,0)</f>
        <v>0</v>
      </c>
      <c r="H75" s="108">
        <f>VLOOKUP(C75,Bolts!A:L,7,0)</f>
        <v>0</v>
      </c>
      <c r="I75" s="109"/>
      <c r="J75" s="46">
        <f>VLOOKUP(C75,Bolts!A:L,8,0)</f>
        <v>0</v>
      </c>
      <c r="K75" s="46">
        <f>VLOOKUP(C75,Bolts!A:L,9,0)</f>
        <v>0</v>
      </c>
      <c r="L75" s="46">
        <f>VLOOKUP(C75,Bolts!A:L,10,0)</f>
        <v>0</v>
      </c>
      <c r="M75" s="46">
        <f>VLOOKUP(C75,Bolts!A:L,11,0)</f>
        <v>0</v>
      </c>
      <c r="N75" s="130">
        <f>VLOOKUP(C75,Bolts!A:L,12,0)</f>
        <v>0</v>
      </c>
      <c r="O75" s="47">
        <f t="shared" ca="1" si="16"/>
        <v>8</v>
      </c>
      <c r="P75" s="51">
        <f>VLOOKUP(C75,Bolts!A:B,2,FALSE)</f>
        <v>0</v>
      </c>
      <c r="Q75" s="52">
        <f t="shared" si="17"/>
        <v>0</v>
      </c>
    </row>
    <row r="76" spans="1:17" s="2" customFormat="1" ht="12" customHeight="1" x14ac:dyDescent="0.25">
      <c r="A76" s="4">
        <v>504</v>
      </c>
      <c r="B76" s="2">
        <v>56</v>
      </c>
      <c r="C76" s="122" t="s">
        <v>95</v>
      </c>
      <c r="D76" s="325"/>
      <c r="E76" s="326"/>
      <c r="F76" s="108">
        <f>VLOOKUP(C76,Bolts!A:L,5,0)</f>
        <v>0</v>
      </c>
      <c r="G76" s="108">
        <f>VLOOKUP(C76,Bolts!A:L,6,0)</f>
        <v>0</v>
      </c>
      <c r="H76" s="108">
        <f>VLOOKUP(C76,Bolts!A:L,7,0)</f>
        <v>0</v>
      </c>
      <c r="I76" s="109"/>
      <c r="J76" s="46">
        <f>VLOOKUP(C76,Bolts!A:L,8,0)</f>
        <v>0</v>
      </c>
      <c r="K76" s="46">
        <f>VLOOKUP(C76,Bolts!A:L,9,0)</f>
        <v>0</v>
      </c>
      <c r="L76" s="46">
        <f>VLOOKUP(C76,Bolts!A:L,10,0)</f>
        <v>0</v>
      </c>
      <c r="M76" s="46">
        <f>VLOOKUP(C76,Bolts!A:L,11,0)</f>
        <v>0</v>
      </c>
      <c r="N76" s="130">
        <f>VLOOKUP(C76,Bolts!A:L,12,0)</f>
        <v>0</v>
      </c>
      <c r="O76" s="47">
        <f t="shared" ca="1" si="16"/>
        <v>56</v>
      </c>
      <c r="P76" s="51">
        <f>VLOOKUP(C76,Bolts!A:B,2,FALSE)</f>
        <v>0</v>
      </c>
      <c r="Q76" s="52">
        <f t="shared" si="17"/>
        <v>0</v>
      </c>
    </row>
    <row r="77" spans="1:17" s="2" customFormat="1" ht="12" customHeight="1" x14ac:dyDescent="0.25">
      <c r="A77" s="4">
        <v>505</v>
      </c>
      <c r="B77" s="2">
        <v>24</v>
      </c>
      <c r="C77" s="122" t="s">
        <v>389</v>
      </c>
      <c r="D77" s="325"/>
      <c r="E77" s="326"/>
      <c r="F77" s="108">
        <f>VLOOKUP(C77,Bolts!A:L,5,0)</f>
        <v>0</v>
      </c>
      <c r="G77" s="108">
        <f>VLOOKUP(C77,Bolts!A:L,6,0)</f>
        <v>0</v>
      </c>
      <c r="H77" s="108">
        <f>VLOOKUP(C77,Bolts!A:L,7,0)</f>
        <v>0</v>
      </c>
      <c r="I77" s="109"/>
      <c r="J77" s="46">
        <f>VLOOKUP(C77,Bolts!A:L,8,0)</f>
        <v>0</v>
      </c>
      <c r="K77" s="46">
        <f>VLOOKUP(C77,Bolts!A:L,9,0)</f>
        <v>0</v>
      </c>
      <c r="L77" s="46">
        <f>VLOOKUP(C77,Bolts!A:L,10,0)</f>
        <v>0</v>
      </c>
      <c r="M77" s="46">
        <f>VLOOKUP(C77,Bolts!A:L,11,0)</f>
        <v>0</v>
      </c>
      <c r="N77" s="130">
        <f>VLOOKUP(C77,Bolts!A:L,12,0)</f>
        <v>0</v>
      </c>
      <c r="O77" s="47">
        <f t="shared" ca="1" si="16"/>
        <v>24</v>
      </c>
      <c r="P77" s="51">
        <f>VLOOKUP(C77,Bolts!A:B,2,FALSE)</f>
        <v>0</v>
      </c>
      <c r="Q77" s="52">
        <f t="shared" si="17"/>
        <v>0</v>
      </c>
    </row>
    <row r="78" spans="1:17" s="2" customFormat="1" ht="12" customHeight="1" x14ac:dyDescent="0.25">
      <c r="A78" s="4">
        <v>506</v>
      </c>
      <c r="B78" s="2">
        <v>2</v>
      </c>
      <c r="C78" s="122" t="s">
        <v>747</v>
      </c>
      <c r="D78" s="325"/>
      <c r="E78" s="326"/>
      <c r="F78" s="108">
        <f>VLOOKUP(C78,Bolts!A:L,5,0)</f>
        <v>0</v>
      </c>
      <c r="G78" s="108">
        <f>VLOOKUP(C78,Bolts!A:L,6,0)</f>
        <v>0</v>
      </c>
      <c r="H78" s="108">
        <f>VLOOKUP(C78,Bolts!A:L,7,0)</f>
        <v>0</v>
      </c>
      <c r="I78" s="109"/>
      <c r="J78" s="46">
        <f>VLOOKUP(C78,Bolts!A:L,8,0)</f>
        <v>0</v>
      </c>
      <c r="K78" s="46">
        <f>VLOOKUP(C78,Bolts!A:L,9,0)</f>
        <v>0</v>
      </c>
      <c r="L78" s="46">
        <f>VLOOKUP(C78,Bolts!A:L,10,0)</f>
        <v>0</v>
      </c>
      <c r="M78" s="46">
        <f>VLOOKUP(C78,Bolts!A:L,11,0)</f>
        <v>0</v>
      </c>
      <c r="N78" s="130">
        <f>VLOOKUP(C78,Bolts!A:L,12,0)</f>
        <v>0</v>
      </c>
      <c r="O78" s="47">
        <f t="shared" ca="1" si="16"/>
        <v>2</v>
      </c>
      <c r="P78" s="51">
        <f>VLOOKUP(C78,Bolts!A:B,2,FALSE)</f>
        <v>0</v>
      </c>
      <c r="Q78" s="52">
        <f t="shared" si="17"/>
        <v>0</v>
      </c>
    </row>
    <row r="79" spans="1:17" s="2" customFormat="1" ht="12" customHeight="1" x14ac:dyDescent="0.25">
      <c r="A79" s="4">
        <v>507</v>
      </c>
      <c r="B79" s="2">
        <v>4</v>
      </c>
      <c r="C79" s="122" t="s">
        <v>174</v>
      </c>
      <c r="D79" s="325"/>
      <c r="E79" s="326"/>
      <c r="F79" s="108">
        <f>VLOOKUP(C79,Bolts!A:L,5,0)</f>
        <v>0</v>
      </c>
      <c r="G79" s="108">
        <f>VLOOKUP(C79,Bolts!A:L,6,0)</f>
        <v>0</v>
      </c>
      <c r="H79" s="108">
        <f>VLOOKUP(C79,Bolts!A:L,7,0)</f>
        <v>0</v>
      </c>
      <c r="I79" s="109"/>
      <c r="J79" s="46">
        <f>VLOOKUP(C79,Bolts!A:L,8,0)</f>
        <v>0</v>
      </c>
      <c r="K79" s="46">
        <f>VLOOKUP(C79,Bolts!A:L,9,0)</f>
        <v>0</v>
      </c>
      <c r="L79" s="46">
        <f>VLOOKUP(C79,Bolts!A:L,10,0)</f>
        <v>0</v>
      </c>
      <c r="M79" s="46">
        <f>VLOOKUP(C79,Bolts!A:L,11,0)</f>
        <v>0</v>
      </c>
      <c r="N79" s="130">
        <f>VLOOKUP(C79,Bolts!A:L,12,0)</f>
        <v>0</v>
      </c>
      <c r="O79" s="47">
        <f t="shared" ca="1" si="16"/>
        <v>4</v>
      </c>
      <c r="P79" s="51">
        <f>VLOOKUP(C79,Bolts!A:B,2,FALSE)</f>
        <v>0</v>
      </c>
      <c r="Q79" s="52">
        <f t="shared" si="17"/>
        <v>0</v>
      </c>
    </row>
    <row r="80" spans="1:17" s="2" customFormat="1" ht="12" customHeight="1" x14ac:dyDescent="0.25">
      <c r="A80" s="4">
        <v>508</v>
      </c>
      <c r="B80" s="2">
        <v>16</v>
      </c>
      <c r="C80" s="122" t="s">
        <v>180</v>
      </c>
      <c r="D80" s="325"/>
      <c r="E80" s="326"/>
      <c r="F80" s="108">
        <f>VLOOKUP(C80,Bolts!A:L,5,0)</f>
        <v>0</v>
      </c>
      <c r="G80" s="108">
        <f>VLOOKUP(C80,Bolts!A:L,6,0)</f>
        <v>0</v>
      </c>
      <c r="H80" s="108">
        <f>VLOOKUP(C80,Bolts!A:L,7,0)</f>
        <v>0</v>
      </c>
      <c r="I80" s="109"/>
      <c r="J80" s="46">
        <f>VLOOKUP(C80,Bolts!A:L,8,0)</f>
        <v>0</v>
      </c>
      <c r="K80" s="46">
        <f>VLOOKUP(C80,Bolts!A:L,9,0)</f>
        <v>0</v>
      </c>
      <c r="L80" s="46">
        <f>VLOOKUP(C80,Bolts!A:L,10,0)</f>
        <v>0</v>
      </c>
      <c r="M80" s="46">
        <f>VLOOKUP(C80,Bolts!A:L,11,0)</f>
        <v>0</v>
      </c>
      <c r="N80" s="130">
        <f>VLOOKUP(C80,Bolts!A:L,12,0)</f>
        <v>0</v>
      </c>
      <c r="O80" s="47">
        <f t="shared" ca="1" si="16"/>
        <v>16</v>
      </c>
      <c r="P80" s="51">
        <f>VLOOKUP(C80,Bolts!A:B,2,FALSE)</f>
        <v>0</v>
      </c>
      <c r="Q80" s="52">
        <f t="shared" si="17"/>
        <v>0</v>
      </c>
    </row>
    <row r="81" spans="1:17" s="2" customFormat="1" ht="12" customHeight="1" x14ac:dyDescent="0.25">
      <c r="A81" s="4">
        <v>509</v>
      </c>
      <c r="B81" s="2">
        <v>12</v>
      </c>
      <c r="C81" s="122" t="s">
        <v>382</v>
      </c>
      <c r="D81" s="325"/>
      <c r="E81" s="326"/>
      <c r="F81" s="108">
        <f>VLOOKUP(C81,Bolts!A:L,5,0)</f>
        <v>0</v>
      </c>
      <c r="G81" s="108">
        <f>VLOOKUP(C81,Bolts!A:L,6,0)</f>
        <v>0</v>
      </c>
      <c r="H81" s="108">
        <f>VLOOKUP(C81,Bolts!A:L,7,0)</f>
        <v>0</v>
      </c>
      <c r="I81" s="109"/>
      <c r="J81" s="46">
        <f>VLOOKUP(C81,Bolts!A:L,8,0)</f>
        <v>0</v>
      </c>
      <c r="K81" s="46">
        <f>VLOOKUP(C81,Bolts!A:L,9,0)</f>
        <v>0</v>
      </c>
      <c r="L81" s="46">
        <f>VLOOKUP(C81,Bolts!A:L,10,0)</f>
        <v>0</v>
      </c>
      <c r="M81" s="46">
        <f>VLOOKUP(C81,Bolts!A:L,11,0)</f>
        <v>0</v>
      </c>
      <c r="N81" s="130">
        <f>VLOOKUP(C81,Bolts!A:L,12,0)</f>
        <v>0</v>
      </c>
      <c r="O81" s="47">
        <f t="shared" ca="1" si="16"/>
        <v>12</v>
      </c>
      <c r="P81" s="51">
        <f>VLOOKUP(C81,Bolts!A:B,2,FALSE)</f>
        <v>0</v>
      </c>
      <c r="Q81" s="52">
        <f t="shared" si="17"/>
        <v>0</v>
      </c>
    </row>
    <row r="82" spans="1:17" s="2" customFormat="1" ht="12" customHeight="1" x14ac:dyDescent="0.25">
      <c r="A82" s="4">
        <v>510</v>
      </c>
      <c r="B82" s="2">
        <v>33</v>
      </c>
      <c r="C82" s="122" t="s">
        <v>203</v>
      </c>
      <c r="D82" s="325"/>
      <c r="E82" s="326"/>
      <c r="F82" s="108">
        <f>VLOOKUP(C82,Bolts!A:L,5,0)</f>
        <v>0</v>
      </c>
      <c r="G82" s="108">
        <f>VLOOKUP(C82,Bolts!A:L,6,0)</f>
        <v>0</v>
      </c>
      <c r="H82" s="108">
        <f>VLOOKUP(C82,Bolts!A:L,7,0)</f>
        <v>0</v>
      </c>
      <c r="I82" s="109"/>
      <c r="J82" s="46">
        <f>VLOOKUP(C82,Bolts!A:L,8,0)</f>
        <v>0</v>
      </c>
      <c r="K82" s="46">
        <f>VLOOKUP(C82,Bolts!A:L,9,0)</f>
        <v>0</v>
      </c>
      <c r="L82" s="46">
        <f>VLOOKUP(C82,Bolts!A:L,10,0)</f>
        <v>0</v>
      </c>
      <c r="M82" s="46">
        <f>VLOOKUP(C82,Bolts!A:L,11,0)</f>
        <v>0</v>
      </c>
      <c r="N82" s="130">
        <f>VLOOKUP(C82,Bolts!A:L,12,0)</f>
        <v>0</v>
      </c>
      <c r="O82" s="47">
        <f t="shared" ca="1" si="16"/>
        <v>33</v>
      </c>
      <c r="P82" s="51">
        <f>VLOOKUP(C82,Bolts!A:B,2,FALSE)</f>
        <v>0</v>
      </c>
      <c r="Q82" s="52">
        <f t="shared" si="17"/>
        <v>0</v>
      </c>
    </row>
    <row r="83" spans="1:17" s="2" customFormat="1" ht="12" customHeight="1" x14ac:dyDescent="0.25">
      <c r="A83" s="4">
        <v>511</v>
      </c>
      <c r="B83" s="2">
        <v>2</v>
      </c>
      <c r="C83" s="122" t="s">
        <v>264</v>
      </c>
      <c r="D83" s="325"/>
      <c r="E83" s="326"/>
      <c r="F83" s="108">
        <f>VLOOKUP(C83,Bolts!A:L,5,0)</f>
        <v>0</v>
      </c>
      <c r="G83" s="108">
        <f>VLOOKUP(C83,Bolts!A:L,6,0)</f>
        <v>0</v>
      </c>
      <c r="H83" s="108">
        <f>VLOOKUP(C83,Bolts!A:L,7,0)</f>
        <v>0</v>
      </c>
      <c r="I83" s="109"/>
      <c r="J83" s="46">
        <f>VLOOKUP(C83,Bolts!A:L,8,0)</f>
        <v>0</v>
      </c>
      <c r="K83" s="46">
        <f>VLOOKUP(C83,Bolts!A:L,9,0)</f>
        <v>0</v>
      </c>
      <c r="L83" s="46">
        <f>VLOOKUP(C83,Bolts!A:L,10,0)</f>
        <v>0</v>
      </c>
      <c r="M83" s="46">
        <f>VLOOKUP(C83,Bolts!A:L,11,0)</f>
        <v>0</v>
      </c>
      <c r="N83" s="130">
        <f>VLOOKUP(C83,Bolts!A:L,12,0)</f>
        <v>0</v>
      </c>
      <c r="O83" s="47">
        <f ca="1">B83*$L$2</f>
        <v>2</v>
      </c>
      <c r="P83" s="51">
        <f>VLOOKUP(C83,Bolts!A:B,2,FALSE)</f>
        <v>0</v>
      </c>
      <c r="Q83" s="52">
        <f>B83*P83</f>
        <v>0</v>
      </c>
    </row>
    <row r="84" spans="1:17" s="2" customFormat="1" ht="12" customHeight="1" x14ac:dyDescent="0.25">
      <c r="A84" s="4">
        <v>512</v>
      </c>
      <c r="B84" s="2">
        <v>8</v>
      </c>
      <c r="C84" s="122" t="s">
        <v>277</v>
      </c>
      <c r="D84" s="325"/>
      <c r="E84" s="326"/>
      <c r="F84" s="108">
        <f>VLOOKUP(C84,Bolts!A:L,5,0)</f>
        <v>0</v>
      </c>
      <c r="G84" s="108">
        <f>VLOOKUP(C84,Bolts!A:L,6,0)</f>
        <v>0</v>
      </c>
      <c r="H84" s="108">
        <f>VLOOKUP(C84,Bolts!A:L,7,0)</f>
        <v>0</v>
      </c>
      <c r="I84" s="109"/>
      <c r="J84" s="46">
        <f>VLOOKUP(C84,Bolts!A:L,8,0)</f>
        <v>0</v>
      </c>
      <c r="K84" s="46">
        <f>VLOOKUP(C84,Bolts!A:L,9,0)</f>
        <v>0</v>
      </c>
      <c r="L84" s="46">
        <f>VLOOKUP(C84,Bolts!A:L,10,0)</f>
        <v>0</v>
      </c>
      <c r="M84" s="46">
        <f>VLOOKUP(C84,Bolts!A:L,11,0)</f>
        <v>0</v>
      </c>
      <c r="N84" s="130">
        <f>VLOOKUP(C84,Bolts!A:L,12,0)</f>
        <v>0</v>
      </c>
      <c r="O84" s="47">
        <f ca="1">B84*$L$2</f>
        <v>8</v>
      </c>
      <c r="P84" s="51">
        <f>VLOOKUP(C84,Bolts!A:B,2,FALSE)</f>
        <v>0</v>
      </c>
      <c r="Q84" s="52">
        <f>B84*P84</f>
        <v>0</v>
      </c>
    </row>
    <row r="85" spans="1:17" s="2" customFormat="1" ht="12" customHeight="1" x14ac:dyDescent="0.25">
      <c r="A85" s="4">
        <v>513</v>
      </c>
      <c r="B85" s="2">
        <v>0</v>
      </c>
      <c r="C85" s="122" t="s">
        <v>617</v>
      </c>
      <c r="D85" s="158"/>
      <c r="E85" s="159"/>
      <c r="F85" s="108"/>
      <c r="G85" s="108"/>
      <c r="H85" s="108"/>
      <c r="I85" s="109"/>
      <c r="J85" s="46"/>
      <c r="K85" s="46"/>
      <c r="L85" s="46"/>
      <c r="M85" s="46"/>
      <c r="N85" s="130"/>
      <c r="O85" s="47">
        <f ca="1">B85*$L$2</f>
        <v>0</v>
      </c>
      <c r="P85" s="51"/>
      <c r="Q85" s="52"/>
    </row>
    <row r="86" spans="1:17" s="2" customFormat="1" ht="12" customHeight="1" x14ac:dyDescent="0.25">
      <c r="A86" s="25"/>
      <c r="B86" s="26"/>
      <c r="C86" s="26"/>
      <c r="D86" s="332"/>
      <c r="E86" s="333"/>
      <c r="F86" s="26"/>
      <c r="G86" s="26"/>
      <c r="H86" s="322"/>
      <c r="I86" s="323"/>
      <c r="J86" s="27"/>
      <c r="K86" s="27"/>
      <c r="L86" s="27"/>
      <c r="M86" s="28"/>
      <c r="N86" s="29"/>
      <c r="O86" s="29"/>
      <c r="P86" s="148"/>
      <c r="Q86" s="149"/>
    </row>
    <row r="87" spans="1:17" s="2" customFormat="1" ht="12" customHeight="1" x14ac:dyDescent="0.25">
      <c r="A87" s="4">
        <v>701</v>
      </c>
      <c r="B87" s="2">
        <v>4</v>
      </c>
      <c r="C87" s="123" t="s">
        <v>748</v>
      </c>
      <c r="D87" s="325" t="str">
        <f>VLOOKUP(C87,Extrusion!B:C,2,0)</f>
        <v>APPROVED EL 8/1</v>
      </c>
      <c r="E87" s="326"/>
      <c r="F87" s="108" t="str">
        <f ca="1">VLOOKUP(C87,Extrusion!B:N,5,0)</f>
        <v/>
      </c>
      <c r="G87" s="108">
        <f>VLOOKUP(C87,Extrusion!B:N,6,0)</f>
        <v>1</v>
      </c>
      <c r="H87" s="108">
        <f>VLOOKUP(C87,Extrusion!B:N,7,0)</f>
        <v>0</v>
      </c>
      <c r="I87" s="109"/>
      <c r="J87" s="46" t="str">
        <f>VLOOKUP(C87,Extrusion!B:N,8,0)</f>
        <v>T-Slots</v>
      </c>
      <c r="K87" s="46">
        <f>VLOOKUP(C87,Extrusion!B:N,9,0)</f>
        <v>0</v>
      </c>
      <c r="L87" s="46">
        <f>VLOOKUP(C87,Extrusion!B:N,10,0)</f>
        <v>0</v>
      </c>
      <c r="M87" s="46">
        <f>VLOOKUP(C87,Extrusion!B:N,11,0)</f>
        <v>0</v>
      </c>
      <c r="N87" s="47">
        <f>VLOOKUP(C87,Extrusion!B:O,12,0)</f>
        <v>0</v>
      </c>
      <c r="O87" s="47">
        <f t="shared" ref="O87:O91" ca="1" si="18">B87*$L$2</f>
        <v>4</v>
      </c>
      <c r="P87" s="51">
        <f>VLOOKUP(C87,Extrusion!B:G,4,0)</f>
        <v>10</v>
      </c>
      <c r="Q87" s="52">
        <f t="shared" ref="Q87:Q91" si="19">B87*P87</f>
        <v>40</v>
      </c>
    </row>
    <row r="88" spans="1:17" s="2" customFormat="1" ht="12" customHeight="1" x14ac:dyDescent="0.25">
      <c r="A88" s="4">
        <v>702</v>
      </c>
      <c r="B88" s="2">
        <v>3</v>
      </c>
      <c r="C88" s="123" t="s">
        <v>749</v>
      </c>
      <c r="D88" s="325" t="str">
        <f>VLOOKUP(C88,Extrusion!B:C,2,0)</f>
        <v>APPROVED EL 8/1</v>
      </c>
      <c r="E88" s="326"/>
      <c r="F88" s="108" t="str">
        <f ca="1">VLOOKUP(C88,Extrusion!B:N,5,0)</f>
        <v/>
      </c>
      <c r="G88" s="108">
        <f>VLOOKUP(C88,Extrusion!B:N,6,0)</f>
        <v>1</v>
      </c>
      <c r="H88" s="108">
        <f>VLOOKUP(C88,Extrusion!B:N,7,0)</f>
        <v>0</v>
      </c>
      <c r="I88" s="109"/>
      <c r="J88" s="46" t="str">
        <f>VLOOKUP(C88,Extrusion!B:N,8,0)</f>
        <v>T-Slots</v>
      </c>
      <c r="K88" s="46">
        <f>VLOOKUP(C88,Extrusion!B:N,9,0)</f>
        <v>0</v>
      </c>
      <c r="L88" s="46">
        <f>VLOOKUP(C88,Extrusion!B:N,10,0)</f>
        <v>0</v>
      </c>
      <c r="M88" s="46">
        <f>VLOOKUP(C88,Extrusion!B:N,11,0)</f>
        <v>0</v>
      </c>
      <c r="N88" s="47">
        <f>VLOOKUP(C88,Extrusion!B:O,12,0)</f>
        <v>0</v>
      </c>
      <c r="O88" s="47">
        <f t="shared" ca="1" si="18"/>
        <v>3</v>
      </c>
      <c r="P88" s="51">
        <f>VLOOKUP(C88,Extrusion!B:G,4,0)</f>
        <v>5</v>
      </c>
      <c r="Q88" s="52">
        <f t="shared" si="19"/>
        <v>15</v>
      </c>
    </row>
    <row r="89" spans="1:17" s="2" customFormat="1" ht="12" customHeight="1" x14ac:dyDescent="0.25">
      <c r="A89" s="4">
        <v>703</v>
      </c>
      <c r="B89" s="2">
        <v>6</v>
      </c>
      <c r="C89" s="123" t="s">
        <v>157</v>
      </c>
      <c r="D89" s="325" t="str">
        <f>VLOOKUP(C89,Extrusion!B:C,2,0)</f>
        <v>APPROVED EL 8/1</v>
      </c>
      <c r="E89" s="326"/>
      <c r="F89" s="108" t="str">
        <f ca="1">VLOOKUP(C89,Extrusion!B:N,5,0)</f>
        <v/>
      </c>
      <c r="G89" s="108">
        <f>VLOOKUP(C89,Extrusion!B:N,6,0)</f>
        <v>1</v>
      </c>
      <c r="H89" s="108">
        <f>VLOOKUP(C89,Extrusion!B:N,7,0)</f>
        <v>0</v>
      </c>
      <c r="I89" s="109"/>
      <c r="J89" s="46" t="str">
        <f>VLOOKUP(C89,Extrusion!B:N,8,0)</f>
        <v>T-Slots</v>
      </c>
      <c r="K89" s="46">
        <f>VLOOKUP(C89,Extrusion!B:N,9,0)</f>
        <v>0</v>
      </c>
      <c r="L89" s="46">
        <f>VLOOKUP(C89,Extrusion!B:N,10,0)</f>
        <v>0</v>
      </c>
      <c r="M89" s="46">
        <f>VLOOKUP(C89,Extrusion!B:N,11,0)</f>
        <v>0</v>
      </c>
      <c r="N89" s="47">
        <f>VLOOKUP(C89,Extrusion!B:O,12,0)</f>
        <v>0</v>
      </c>
      <c r="O89" s="47">
        <f t="shared" ca="1" si="18"/>
        <v>6</v>
      </c>
      <c r="P89" s="51">
        <f>VLOOKUP(C89,Extrusion!B:G,4,0)</f>
        <v>14</v>
      </c>
      <c r="Q89" s="52">
        <f t="shared" si="19"/>
        <v>84</v>
      </c>
    </row>
    <row r="90" spans="1:17" s="2" customFormat="1" ht="12" customHeight="1" x14ac:dyDescent="0.25">
      <c r="A90" s="4">
        <v>704</v>
      </c>
      <c r="B90" s="2">
        <v>4</v>
      </c>
      <c r="C90" s="123" t="s">
        <v>750</v>
      </c>
      <c r="D90" s="325" t="str">
        <f>VLOOKUP(C90,Extrusion!B:C,2,0)</f>
        <v>APPROVED EL 8/1</v>
      </c>
      <c r="E90" s="326"/>
      <c r="F90" s="108" t="str">
        <f ca="1">VLOOKUP(C90,Extrusion!B:N,5,0)</f>
        <v/>
      </c>
      <c r="G90" s="108">
        <f>VLOOKUP(C90,Extrusion!B:N,6,0)</f>
        <v>1</v>
      </c>
      <c r="H90" s="108">
        <f>VLOOKUP(C90,Extrusion!B:N,7,0)</f>
        <v>0</v>
      </c>
      <c r="I90" s="109"/>
      <c r="J90" s="46" t="str">
        <f>VLOOKUP(C90,Extrusion!B:N,8,0)</f>
        <v>T-Slots</v>
      </c>
      <c r="K90" s="46">
        <f>VLOOKUP(C90,Extrusion!B:N,9,0)</f>
        <v>0</v>
      </c>
      <c r="L90" s="46">
        <f>VLOOKUP(C90,Extrusion!B:N,10,0)</f>
        <v>0</v>
      </c>
      <c r="M90" s="46">
        <f>VLOOKUP(C90,Extrusion!B:N,11,0)</f>
        <v>0</v>
      </c>
      <c r="N90" s="47">
        <f>VLOOKUP(C90,Extrusion!B:O,12,0)</f>
        <v>0</v>
      </c>
      <c r="O90" s="47">
        <f t="shared" ca="1" si="18"/>
        <v>4</v>
      </c>
      <c r="P90" s="51">
        <f>VLOOKUP(C90,Extrusion!B:G,4,0)</f>
        <v>4</v>
      </c>
      <c r="Q90" s="52">
        <f t="shared" si="19"/>
        <v>16</v>
      </c>
    </row>
    <row r="91" spans="1:17" s="2" customFormat="1" ht="12" customHeight="1" x14ac:dyDescent="0.25">
      <c r="A91" s="4">
        <v>705</v>
      </c>
      <c r="B91" s="2">
        <v>1</v>
      </c>
      <c r="C91" s="123" t="s">
        <v>751</v>
      </c>
      <c r="D91" s="325" t="str">
        <f>VLOOKUP(C91,Extrusion!B:C,2,0)</f>
        <v>APPROVED EL 8/1</v>
      </c>
      <c r="E91" s="326"/>
      <c r="F91" s="108" t="str">
        <f ca="1">VLOOKUP(C91,Extrusion!B:N,5,0)</f>
        <v/>
      </c>
      <c r="G91" s="108">
        <f>VLOOKUP(C91,Extrusion!B:N,6,0)</f>
        <v>1</v>
      </c>
      <c r="H91" s="108">
        <f>VLOOKUP(C91,Extrusion!B:N,7,0)</f>
        <v>0</v>
      </c>
      <c r="I91" s="109"/>
      <c r="J91" s="46" t="str">
        <f>VLOOKUP(C91,Extrusion!B:N,8,0)</f>
        <v>T-Slots</v>
      </c>
      <c r="K91" s="46">
        <f>VLOOKUP(C91,Extrusion!B:N,9,0)</f>
        <v>0</v>
      </c>
      <c r="L91" s="46">
        <f>VLOOKUP(C91,Extrusion!B:N,10,0)</f>
        <v>0</v>
      </c>
      <c r="M91" s="46">
        <f>VLOOKUP(C91,Extrusion!B:N,11,0)</f>
        <v>0</v>
      </c>
      <c r="N91" s="47">
        <f>VLOOKUP(C91,Extrusion!B:O,12,0)</f>
        <v>0</v>
      </c>
      <c r="O91" s="47">
        <f t="shared" ca="1" si="18"/>
        <v>1</v>
      </c>
      <c r="P91" s="51">
        <f>VLOOKUP(C91,Extrusion!B:G,4,0)</f>
        <v>1</v>
      </c>
      <c r="Q91" s="52">
        <f t="shared" si="19"/>
        <v>1</v>
      </c>
    </row>
    <row r="92" spans="1:17" s="2" customFormat="1" ht="12" customHeight="1" thickBot="1" x14ac:dyDescent="0.3">
      <c r="A92" s="4">
        <v>706</v>
      </c>
      <c r="B92" s="2">
        <v>1</v>
      </c>
      <c r="C92" s="123" t="s">
        <v>752</v>
      </c>
      <c r="D92" s="325" t="str">
        <f>VLOOKUP(C92,Extrusion!B:C,2,0)</f>
        <v>APPROVED EL 8/1</v>
      </c>
      <c r="E92" s="326"/>
      <c r="F92" s="108" t="str">
        <f ca="1">VLOOKUP(C92,Extrusion!B:N,5,0)</f>
        <v/>
      </c>
      <c r="G92" s="108">
        <f>VLOOKUP(C92,Extrusion!B:N,6,0)</f>
        <v>1</v>
      </c>
      <c r="H92" s="108">
        <f>VLOOKUP(C92,Extrusion!B:N,7,0)</f>
        <v>0</v>
      </c>
      <c r="I92" s="109"/>
      <c r="J92" s="46" t="str">
        <f>VLOOKUP(C92,Extrusion!B:N,8,0)</f>
        <v>T-Slots</v>
      </c>
      <c r="K92" s="46">
        <f>VLOOKUP(C92,Extrusion!B:N,9,0)</f>
        <v>0</v>
      </c>
      <c r="L92" s="46">
        <f>VLOOKUP(C92,Extrusion!B:N,10,0)</f>
        <v>0</v>
      </c>
      <c r="M92" s="46">
        <f>VLOOKUP(C92,Extrusion!B:N,11,0)</f>
        <v>0</v>
      </c>
      <c r="N92" s="47">
        <f>VLOOKUP(C92,Extrusion!B:O,12,0)</f>
        <v>0</v>
      </c>
      <c r="O92" s="47">
        <f ca="1">B92*$L$2</f>
        <v>1</v>
      </c>
      <c r="P92" s="51">
        <f>VLOOKUP(C92,Extrusion!B:G,4,0)</f>
        <v>2</v>
      </c>
      <c r="Q92" s="52">
        <f>B92*P92</f>
        <v>2</v>
      </c>
    </row>
    <row r="93" spans="1:17" s="2" customFormat="1" ht="12" customHeight="1" thickBot="1" x14ac:dyDescent="0.3">
      <c r="A93" s="34"/>
      <c r="B93" s="35"/>
      <c r="C93" s="35"/>
      <c r="D93" s="316"/>
      <c r="E93" s="317"/>
      <c r="F93" s="35"/>
      <c r="G93" s="35"/>
      <c r="H93" s="309"/>
      <c r="I93" s="310"/>
      <c r="J93" s="36"/>
      <c r="K93" s="36"/>
      <c r="L93" s="36"/>
      <c r="M93" s="37"/>
      <c r="N93" s="132"/>
      <c r="O93" s="38"/>
      <c r="P93" s="99" t="s">
        <v>43</v>
      </c>
      <c r="Q93" s="104">
        <f>SUM(Q5:Q92)</f>
        <v>13380.195199999996</v>
      </c>
    </row>
  </sheetData>
  <sheetProtection selectLockedCells="1"/>
  <mergeCells count="161">
    <mergeCell ref="D69:E69"/>
    <mergeCell ref="H69:I69"/>
    <mergeCell ref="D83:E83"/>
    <mergeCell ref="D84:E84"/>
    <mergeCell ref="D25:E25"/>
    <mergeCell ref="H25:I25"/>
    <mergeCell ref="D70:E70"/>
    <mergeCell ref="H70:I70"/>
    <mergeCell ref="D66:E66"/>
    <mergeCell ref="H66:I66"/>
    <mergeCell ref="D67:E67"/>
    <mergeCell ref="H67:I67"/>
    <mergeCell ref="D68:E68"/>
    <mergeCell ref="H68:I68"/>
    <mergeCell ref="D54:E54"/>
    <mergeCell ref="H54:I54"/>
    <mergeCell ref="D55:E55"/>
    <mergeCell ref="H55:I55"/>
    <mergeCell ref="H51:I51"/>
    <mergeCell ref="D52:E52"/>
    <mergeCell ref="H52:I52"/>
    <mergeCell ref="D47:E47"/>
    <mergeCell ref="H47:I47"/>
    <mergeCell ref="D48:E48"/>
    <mergeCell ref="D56:E56"/>
    <mergeCell ref="H56:I56"/>
    <mergeCell ref="D57:E57"/>
    <mergeCell ref="H57:I57"/>
    <mergeCell ref="D58:E58"/>
    <mergeCell ref="H58:I58"/>
    <mergeCell ref="D59:E59"/>
    <mergeCell ref="H59:I59"/>
    <mergeCell ref="D53:E53"/>
    <mergeCell ref="H53:I53"/>
    <mergeCell ref="D60:E60"/>
    <mergeCell ref="H60:I60"/>
    <mergeCell ref="D61:E61"/>
    <mergeCell ref="H61:I61"/>
    <mergeCell ref="H62:I62"/>
    <mergeCell ref="H63:I63"/>
    <mergeCell ref="D62:E62"/>
    <mergeCell ref="D63:E63"/>
    <mergeCell ref="D64:E64"/>
    <mergeCell ref="D93:E93"/>
    <mergeCell ref="H93:I93"/>
    <mergeCell ref="D21:E21"/>
    <mergeCell ref="H21:I21"/>
    <mergeCell ref="D22:E22"/>
    <mergeCell ref="H22:I22"/>
    <mergeCell ref="D40:E40"/>
    <mergeCell ref="D90:E90"/>
    <mergeCell ref="D91:E91"/>
    <mergeCell ref="D86:E86"/>
    <mergeCell ref="H86:I86"/>
    <mergeCell ref="D87:E87"/>
    <mergeCell ref="D88:E88"/>
    <mergeCell ref="D89:E89"/>
    <mergeCell ref="D77:E77"/>
    <mergeCell ref="D78:E78"/>
    <mergeCell ref="D79:E79"/>
    <mergeCell ref="D80:E80"/>
    <mergeCell ref="D81:E81"/>
    <mergeCell ref="D82:E82"/>
    <mergeCell ref="D72:E72"/>
    <mergeCell ref="H64:I64"/>
    <mergeCell ref="D65:E65"/>
    <mergeCell ref="H65:I65"/>
    <mergeCell ref="H72:I72"/>
    <mergeCell ref="D73:E73"/>
    <mergeCell ref="D74:E74"/>
    <mergeCell ref="D75:E75"/>
    <mergeCell ref="D76:E76"/>
    <mergeCell ref="D37:E37"/>
    <mergeCell ref="H37:I37"/>
    <mergeCell ref="D38:E38"/>
    <mergeCell ref="H38:I38"/>
    <mergeCell ref="D39:E39"/>
    <mergeCell ref="H39:I39"/>
    <mergeCell ref="D44:E44"/>
    <mergeCell ref="H44:I44"/>
    <mergeCell ref="D45:E45"/>
    <mergeCell ref="H45:I45"/>
    <mergeCell ref="D46:E46"/>
    <mergeCell ref="H46:I46"/>
    <mergeCell ref="H40:I40"/>
    <mergeCell ref="D41:E41"/>
    <mergeCell ref="H41:I41"/>
    <mergeCell ref="D42:E42"/>
    <mergeCell ref="H42:I42"/>
    <mergeCell ref="D43:E43"/>
    <mergeCell ref="H43:I43"/>
    <mergeCell ref="D50:E50"/>
    <mergeCell ref="H50:I50"/>
    <mergeCell ref="D51:E51"/>
    <mergeCell ref="D34:E34"/>
    <mergeCell ref="H34:I34"/>
    <mergeCell ref="D35:E35"/>
    <mergeCell ref="H35:I35"/>
    <mergeCell ref="D36:E36"/>
    <mergeCell ref="H36:I36"/>
    <mergeCell ref="H48:I48"/>
    <mergeCell ref="D49:E49"/>
    <mergeCell ref="H49:I49"/>
    <mergeCell ref="D31:E31"/>
    <mergeCell ref="H31:I31"/>
    <mergeCell ref="D32:E32"/>
    <mergeCell ref="H32:I32"/>
    <mergeCell ref="D33:E33"/>
    <mergeCell ref="H33:I33"/>
    <mergeCell ref="D28:E28"/>
    <mergeCell ref="H28:I28"/>
    <mergeCell ref="D29:E29"/>
    <mergeCell ref="H29:I29"/>
    <mergeCell ref="D30:E30"/>
    <mergeCell ref="H30:I30"/>
    <mergeCell ref="D20:E20"/>
    <mergeCell ref="H20:I20"/>
    <mergeCell ref="D26:E26"/>
    <mergeCell ref="H26:I26"/>
    <mergeCell ref="D27:E27"/>
    <mergeCell ref="H27:I27"/>
    <mergeCell ref="D23:E23"/>
    <mergeCell ref="H23:I23"/>
    <mergeCell ref="D24:E24"/>
    <mergeCell ref="H24:I24"/>
    <mergeCell ref="D12:E12"/>
    <mergeCell ref="H12:I12"/>
    <mergeCell ref="D18:E18"/>
    <mergeCell ref="H18:I18"/>
    <mergeCell ref="D19:E19"/>
    <mergeCell ref="H19:I19"/>
    <mergeCell ref="D14:E14"/>
    <mergeCell ref="H14:I14"/>
    <mergeCell ref="D15:E15"/>
    <mergeCell ref="H15:I15"/>
    <mergeCell ref="D16:E16"/>
    <mergeCell ref="H16:I16"/>
    <mergeCell ref="D92:E92"/>
    <mergeCell ref="D6:E6"/>
    <mergeCell ref="H6:I6"/>
    <mergeCell ref="D71:E71"/>
    <mergeCell ref="H71:I71"/>
    <mergeCell ref="D1:E1"/>
    <mergeCell ref="D4:E4"/>
    <mergeCell ref="H4:I4"/>
    <mergeCell ref="D5:E5"/>
    <mergeCell ref="H5:I5"/>
    <mergeCell ref="D10:E10"/>
    <mergeCell ref="H10:I10"/>
    <mergeCell ref="D11:E11"/>
    <mergeCell ref="H11:I11"/>
    <mergeCell ref="D13:E13"/>
    <mergeCell ref="H13:I13"/>
    <mergeCell ref="D7:E7"/>
    <mergeCell ref="H7:I7"/>
    <mergeCell ref="D8:E8"/>
    <mergeCell ref="H8:I8"/>
    <mergeCell ref="D9:E9"/>
    <mergeCell ref="H9:I9"/>
    <mergeCell ref="D17:E17"/>
    <mergeCell ref="H17:I17"/>
  </mergeCells>
  <phoneticPr fontId="8" type="noConversion"/>
  <conditionalFormatting sqref="M7 M26 M72:M92">
    <cfRule type="cellIs" dxfId="1332" priority="91" stopIfTrue="1" operator="lessThanOrEqual">
      <formula>$L7</formula>
    </cfRule>
    <cfRule type="cellIs" dxfId="1331" priority="92" operator="greaterThan">
      <formula>L7</formula>
    </cfRule>
  </conditionalFormatting>
  <conditionalFormatting sqref="M27:M38">
    <cfRule type="cellIs" dxfId="1330" priority="65" stopIfTrue="1" operator="lessThanOrEqual">
      <formula>$L27</formula>
    </cfRule>
    <cfRule type="cellIs" dxfId="1329" priority="66" operator="greaterThan">
      <formula>L27</formula>
    </cfRule>
  </conditionalFormatting>
  <conditionalFormatting sqref="M39:M59">
    <cfRule type="cellIs" dxfId="1328" priority="23" stopIfTrue="1" operator="lessThanOrEqual">
      <formula>$L39</formula>
    </cfRule>
    <cfRule type="cellIs" dxfId="1327" priority="24" operator="greaterThan">
      <formula>L39</formula>
    </cfRule>
  </conditionalFormatting>
  <conditionalFormatting sqref="M60">
    <cfRule type="cellIs" dxfId="1326" priority="21" stopIfTrue="1" operator="lessThanOrEqual">
      <formula>$L60</formula>
    </cfRule>
    <cfRule type="cellIs" dxfId="1325" priority="22" operator="greaterThan">
      <formula>L60</formula>
    </cfRule>
  </conditionalFormatting>
  <conditionalFormatting sqref="M61">
    <cfRule type="cellIs" dxfId="1324" priority="19" stopIfTrue="1" operator="lessThanOrEqual">
      <formula>$L61</formula>
    </cfRule>
    <cfRule type="cellIs" dxfId="1323" priority="20" operator="greaterThan">
      <formula>L61</formula>
    </cfRule>
  </conditionalFormatting>
  <conditionalFormatting sqref="M62">
    <cfRule type="cellIs" dxfId="1322" priority="17" stopIfTrue="1" operator="lessThanOrEqual">
      <formula>$L62</formula>
    </cfRule>
    <cfRule type="cellIs" dxfId="1321" priority="18" operator="greaterThan">
      <formula>L62</formula>
    </cfRule>
  </conditionalFormatting>
  <conditionalFormatting sqref="M63">
    <cfRule type="cellIs" dxfId="1320" priority="15" stopIfTrue="1" operator="lessThanOrEqual">
      <formula>$L63</formula>
    </cfRule>
    <cfRule type="cellIs" dxfId="1319" priority="16" operator="greaterThan">
      <formula>L63</formula>
    </cfRule>
  </conditionalFormatting>
  <conditionalFormatting sqref="M64:M71">
    <cfRule type="cellIs" dxfId="1318" priority="1" stopIfTrue="1" operator="lessThanOrEqual">
      <formula>$L64</formula>
    </cfRule>
    <cfRule type="cellIs" dxfId="1317" priority="2" operator="greaterThan">
      <formula>L64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7B699E2-6D83-4D54-B24C-868B29F9285D}">
          <x14:formula1>
            <xm:f>Extrusion!$B:$B</xm:f>
          </x14:formula1>
          <xm:sqref>C87:C92</xm:sqref>
        </x14:dataValidation>
        <x14:dataValidation type="list" allowBlank="1" showInputMessage="1" showErrorMessage="1" xr:uid="{79EC505B-7D27-4D5C-861E-A5C1D1869D0E}">
          <x14:formula1>
            <xm:f>Bolts!$A:$A</xm:f>
          </x14:formula1>
          <xm:sqref>C72:C85</xm:sqref>
        </x14:dataValidation>
        <x14:dataValidation type="list" allowBlank="1" showInputMessage="1" showErrorMessage="1" xr:uid="{F42AC331-A510-4AA0-8683-DF3B7977F40C}">
          <x14:formula1>
            <xm:f>Assemblies!$E:$E</xm:f>
          </x14:formula1>
          <xm:sqref>C5:C6</xm:sqref>
        </x14:dataValidation>
        <x14:dataValidation type="list" allowBlank="1" showInputMessage="1" showErrorMessage="1" xr:uid="{BDD1C791-37EB-485F-8ACE-40D416312771}">
          <x14:formula1>
            <xm:f>Machined!$C:$C</xm:f>
          </x14:formula1>
          <xm:sqref>C7:C25</xm:sqref>
        </x14:dataValidation>
        <x14:dataValidation type="list" allowBlank="1" showInputMessage="1" showErrorMessage="1" xr:uid="{6F7068D6-21A1-46F8-94A2-016955880483}">
          <x14:formula1>
            <xm:f>Purchased!$A:$A</xm:f>
          </x14:formula1>
          <xm:sqref>C26:C71</xm:sqref>
        </x14:dataValidation>
      </x14:dataValidations>
    </ext>
  </extLst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A22B8-72FC-48B4-B05D-C94438CCA0FE}">
  <sheetPr codeName="Sheet124">
    <tabColor theme="9" tint="0.59999389629810485"/>
  </sheetPr>
  <dimension ref="A1:Q22"/>
  <sheetViews>
    <sheetView zoomScale="115" zoomScaleNormal="115" workbookViewId="0">
      <selection activeCell="F18" sqref="A1:Q2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'5'!C10</f>
        <v>PG10.5.4.0.A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'5'!D10</f>
        <v>Cuff Conveyors Assy</v>
      </c>
      <c r="D3" s="85" t="s">
        <v>50</v>
      </c>
      <c r="E3" s="86" t="str">
        <f ca="1">MID(CELL("filename",A1),FIND("]",CELL("filename",A1))+1,256)</f>
        <v>5.4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753</v>
      </c>
      <c r="D5" s="336" t="str">
        <f ca="1">VLOOKUP(C5,Assemblies!E:P,2,0)</f>
        <v>Cuff Guide A Side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6" ca="1" si="0">B5*$L$2</f>
        <v>1</v>
      </c>
      <c r="P5" s="117">
        <f>'5.4.1'!Q27</f>
        <v>1278.0700000000002</v>
      </c>
      <c r="Q5" s="118">
        <f t="shared" ref="Q5:Q6" si="1">B5*P5</f>
        <v>1278.0700000000002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754</v>
      </c>
      <c r="D6" s="314" t="str">
        <f ca="1">VLOOKUP(C6,Assemblies!E:P,2,0)</f>
        <v>Cuff Guide B Side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'5.4.2'!Q27</f>
        <v>1358.9299999999998</v>
      </c>
      <c r="Q6" s="103">
        <f t="shared" si="1"/>
        <v>1358.9299999999998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77">
        <v>1</v>
      </c>
      <c r="B8" s="20">
        <v>1</v>
      </c>
      <c r="C8" s="121" t="s">
        <v>755</v>
      </c>
      <c r="D8" s="314" t="str">
        <f>VLOOKUP(C8,Machined!C:X,2,0)</f>
        <v>CUFF CONVEYOR PLATE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45505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55644</v>
      </c>
      <c r="O8" s="45">
        <f ca="1">B8*$L$2</f>
        <v>1</v>
      </c>
      <c r="P8" s="49">
        <f>VLOOKUP(C8,Machined!C:F,3,0)</f>
        <v>245</v>
      </c>
      <c r="Q8" s="50">
        <f>B8*P8</f>
        <v>245</v>
      </c>
    </row>
    <row r="9" spans="1:17" s="2" customFormat="1" ht="12.75" customHeight="1" x14ac:dyDescent="0.25">
      <c r="A9" s="77">
        <v>2</v>
      </c>
      <c r="B9" s="20">
        <v>2</v>
      </c>
      <c r="C9" s="121" t="s">
        <v>756</v>
      </c>
      <c r="D9" s="314" t="str">
        <f>VLOOKUP(C9,Machined!C:X,2,0)</f>
        <v>CUFF CONVEYOR BRACKET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Proto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45495</v>
      </c>
      <c r="K9" s="44">
        <f>IF(VLOOKUP($C9,Machined!C:Z,19,0) = 0, " ", VLOOKUP($C9,Machined!C:Z,19,0))</f>
        <v>45510</v>
      </c>
      <c r="L9" s="44">
        <f>IF(VLOOKUP($C9,Machined!C:Z,20,0) = 0, " ", VLOOKUP($C9,Machined!C:Z,20,0))</f>
        <v>45540</v>
      </c>
      <c r="M9" s="44">
        <f>IF(VLOOKUP($C9,Machined!C:Z,21,0) = 0, " ", VLOOKUP($C9,Machined!C:Z,21,0))</f>
        <v>45540</v>
      </c>
      <c r="N9" s="129">
        <f>IF(VLOOKUP($C9,Machined!C:Z,22,0) = 0, " ", VLOOKUP($C9,Machined!C:Z,22,0))</f>
        <v>55658</v>
      </c>
      <c r="O9" s="45">
        <f t="shared" ref="O9" ca="1" si="2">B9*$L$2</f>
        <v>2</v>
      </c>
      <c r="P9" s="49">
        <f>VLOOKUP(C9,Machined!C:F,3,0)</f>
        <v>72.67</v>
      </c>
      <c r="Q9" s="50">
        <f t="shared" ref="Q9" si="3">B9*P9</f>
        <v>145.34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8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:O18" ca="1" si="4">B11*$L$2</f>
        <v>8</v>
      </c>
      <c r="P11" s="51">
        <f>VLOOKUP(C11,Purchased!A:D,3,FALSE)</f>
        <v>0.56000000000000005</v>
      </c>
      <c r="Q11" s="52">
        <f t="shared" ref="Q11:Q18" si="5">B11*P11</f>
        <v>4.4800000000000004</v>
      </c>
    </row>
    <row r="12" spans="1:17" s="2" customFormat="1" ht="12" customHeight="1" x14ac:dyDescent="0.25">
      <c r="A12" s="4">
        <v>302</v>
      </c>
      <c r="B12" s="2">
        <v>1</v>
      </c>
      <c r="C12" s="135" t="s">
        <v>757</v>
      </c>
      <c r="D12" s="325" t="str">
        <f>VLOOKUP(C12,Purchased!A:B,2,0)</f>
        <v>DORNER CONFIG D11452542 CUFF A SIDE CONVEYOR</v>
      </c>
      <c r="E12" s="326"/>
      <c r="F12" s="108" t="str">
        <f>IF(VLOOKUP($C12,Purchased!A:Z,11,0) = 0, " ", VLOOKUP($C12,Purchased!A:Z,11,0))</f>
        <v>DORNER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45491</v>
      </c>
      <c r="K12" s="46">
        <f>IF(VLOOKUP(C12,Purchased!A:R,14,0)=0, " ", VLOOKUP(C12,Purchased!A:R,14,0))</f>
        <v>45491</v>
      </c>
      <c r="L12" s="46">
        <f>IF(VLOOKUP(C12,Purchased!A:R,15,0)=0, " ", VLOOKUP(C12,Purchased!A:R,15,0))</f>
        <v>45491</v>
      </c>
      <c r="M12" s="46">
        <f>IF(VLOOKUP(C12,Purchased!A:R,16,0)=0, " ",VLOOKUP(C12,Purchased!A:R,16,0))</f>
        <v>45533</v>
      </c>
      <c r="N12" s="130">
        <f>IF(VLOOKUP(C12,Purchased!A:R,17,0)=0, " ", VLOOKUP(C12,Purchased!A:R,17,0))</f>
        <v>45533</v>
      </c>
      <c r="O12" s="47">
        <f t="shared" ca="1" si="4"/>
        <v>1</v>
      </c>
      <c r="P12" s="51">
        <f>VLOOKUP(C12,Purchased!A:D,3,FALSE)</f>
        <v>2614</v>
      </c>
      <c r="Q12" s="52">
        <f t="shared" si="5"/>
        <v>2614</v>
      </c>
    </row>
    <row r="13" spans="1:17" s="2" customFormat="1" ht="12" customHeight="1" x14ac:dyDescent="0.25">
      <c r="A13" s="4">
        <v>303</v>
      </c>
      <c r="B13" s="2">
        <v>1</v>
      </c>
      <c r="C13" s="135" t="s">
        <v>758</v>
      </c>
      <c r="D13" s="325" t="str">
        <f>VLOOKUP(C13,Purchased!A:B,2,0)</f>
        <v>DORNER CONFIG D11383301 CUFF B SIDE CONVEYOR</v>
      </c>
      <c r="E13" s="326"/>
      <c r="F13" s="108" t="str">
        <f>IF(VLOOKUP($C13,Purchased!A:Z,11,0) = 0, " ", VLOOKUP($C13,Purchased!A:Z,11,0))</f>
        <v>DORNER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45491</v>
      </c>
      <c r="K13" s="46">
        <f>IF(VLOOKUP(C13,Purchased!A:R,14,0)=0, " ", VLOOKUP(C13,Purchased!A:R,14,0))</f>
        <v>45491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45533</v>
      </c>
      <c r="N13" s="130">
        <f>IF(VLOOKUP(C13,Purchased!A:R,17,0)=0, " ", VLOOKUP(C13,Purchased!A:R,17,0))</f>
        <v>45533</v>
      </c>
      <c r="O13" s="47">
        <f t="shared" ca="1" si="4"/>
        <v>1</v>
      </c>
      <c r="P13" s="51">
        <f>VLOOKUP(C13,Purchased!A:D,3,FALSE)</f>
        <v>2657</v>
      </c>
      <c r="Q13" s="52">
        <f t="shared" si="5"/>
        <v>2657</v>
      </c>
    </row>
    <row r="14" spans="1:17" s="2" customFormat="1" ht="12" customHeight="1" x14ac:dyDescent="0.25">
      <c r="A14" s="4">
        <v>304</v>
      </c>
      <c r="B14" s="2">
        <v>1</v>
      </c>
      <c r="C14" s="135" t="s">
        <v>759</v>
      </c>
      <c r="D14" s="325" t="str">
        <f>VLOOKUP(C14,Purchased!A:B,2,0)</f>
        <v>2200 Series Bottom Mount Pkg, D Position</v>
      </c>
      <c r="E14" s="326"/>
      <c r="F14" s="108" t="str">
        <f>IF(VLOOKUP($C14,Purchased!A:Z,11,0) = 0, " ", VLOOKUP($C14,Purchased!A:Z,11,0))</f>
        <v>DORNER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45491</v>
      </c>
      <c r="K14" s="46">
        <f>IF(VLOOKUP(C14,Purchased!A:R,14,0)=0, " ", VLOOKUP(C14,Purchased!A:R,14,0))</f>
        <v>45491</v>
      </c>
      <c r="L14" s="46">
        <f>IF(VLOOKUP(C14,Purchased!A:R,15,0)=0, " ", VLOOKUP(C14,Purchased!A:R,15,0))</f>
        <v>45491</v>
      </c>
      <c r="M14" s="46">
        <f>IF(VLOOKUP(C14,Purchased!A:R,16,0)=0, " ",VLOOKUP(C14,Purchased!A:R,16,0))</f>
        <v>45533</v>
      </c>
      <c r="N14" s="130">
        <f>IF(VLOOKUP(C14,Purchased!A:R,17,0)=0, " ", VLOOKUP(C14,Purchased!A:R,17,0))</f>
        <v>45533</v>
      </c>
      <c r="O14" s="47">
        <f t="shared" ca="1" si="4"/>
        <v>1</v>
      </c>
      <c r="P14" s="51">
        <f>VLOOKUP(C14,Purchased!A:D,3,FALSE)</f>
        <v>366</v>
      </c>
      <c r="Q14" s="52">
        <f t="shared" si="5"/>
        <v>366</v>
      </c>
    </row>
    <row r="15" spans="1:17" s="2" customFormat="1" ht="12" customHeight="1" x14ac:dyDescent="0.25">
      <c r="A15" s="4">
        <v>305</v>
      </c>
      <c r="B15" s="2">
        <v>1</v>
      </c>
      <c r="C15" s="135" t="s">
        <v>760</v>
      </c>
      <c r="D15" s="325" t="str">
        <f>VLOOKUP(C15,Purchased!A:B,2,0)</f>
        <v>2200 Series Bottom Mount Pkg, A Position</v>
      </c>
      <c r="E15" s="326"/>
      <c r="F15" s="108" t="str">
        <f>IF(VLOOKUP($C15,Purchased!A:Z,11,0) = 0, " ", VLOOKUP($C15,Purchased!A:Z,11,0))</f>
        <v>DORNER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45491</v>
      </c>
      <c r="K15" s="46">
        <f>IF(VLOOKUP(C15,Purchased!A:R,14,0)=0, " ", VLOOKUP(C15,Purchased!A:R,14,0))</f>
        <v>45491</v>
      </c>
      <c r="L15" s="46">
        <f>IF(VLOOKUP(C15,Purchased!A:R,15,0)=0, " ", VLOOKUP(C15,Purchased!A:R,15,0))</f>
        <v>45491</v>
      </c>
      <c r="M15" s="46">
        <f>IF(VLOOKUP(C15,Purchased!A:R,16,0)=0, " ",VLOOKUP(C15,Purchased!A:R,16,0))</f>
        <v>45533</v>
      </c>
      <c r="N15" s="130">
        <f>IF(VLOOKUP(C15,Purchased!A:R,17,0)=0, " ", VLOOKUP(C15,Purchased!A:R,17,0))</f>
        <v>45533</v>
      </c>
      <c r="O15" s="47">
        <f t="shared" ca="1" si="4"/>
        <v>1</v>
      </c>
      <c r="P15" s="51">
        <f>VLOOKUP(C15,Purchased!A:D,3,FALSE)</f>
        <v>366</v>
      </c>
      <c r="Q15" s="52">
        <f t="shared" si="5"/>
        <v>366</v>
      </c>
    </row>
    <row r="16" spans="1:17" s="2" customFormat="1" ht="12" customHeight="1" x14ac:dyDescent="0.25">
      <c r="A16" s="4">
        <v>306</v>
      </c>
      <c r="B16" s="2">
        <v>2</v>
      </c>
      <c r="C16" s="135" t="s">
        <v>761</v>
      </c>
      <c r="D16" s="325" t="str">
        <f>VLOOKUP(C16,Purchased!A:B,2,0)</f>
        <v>VFD Gearmotor</v>
      </c>
      <c r="E16" s="326"/>
      <c r="F16" s="108" t="str">
        <f>IF(VLOOKUP($C16,Purchased!A:Z,11,0) = 0, " ", VLOOKUP($C16,Purchased!A:Z,11,0))</f>
        <v>DORNER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45491</v>
      </c>
      <c r="K16" s="46">
        <f>IF(VLOOKUP(C16,Purchased!A:R,14,0)=0, " ", VLOOKUP(C16,Purchased!A:R,14,0))</f>
        <v>45491</v>
      </c>
      <c r="L16" s="46">
        <f>IF(VLOOKUP(C16,Purchased!A:R,15,0)=0, " ", VLOOKUP(C16,Purchased!A:R,15,0))</f>
        <v>45491</v>
      </c>
      <c r="M16" s="46">
        <f>IF(VLOOKUP(C16,Purchased!A:R,16,0)=0, " ",VLOOKUP(C16,Purchased!A:R,16,0))</f>
        <v>45533</v>
      </c>
      <c r="N16" s="130">
        <f>IF(VLOOKUP(C16,Purchased!A:R,17,0)=0, " ", VLOOKUP(C16,Purchased!A:R,17,0))</f>
        <v>45533</v>
      </c>
      <c r="O16" s="47">
        <f t="shared" ca="1" si="4"/>
        <v>2</v>
      </c>
      <c r="P16" s="51">
        <f>VLOOKUP(C16,Purchased!A:D,3,FALSE)</f>
        <v>688</v>
      </c>
      <c r="Q16" s="52">
        <f t="shared" si="5"/>
        <v>1376</v>
      </c>
    </row>
    <row r="17" spans="1:17" s="2" customFormat="1" ht="12" customHeight="1" x14ac:dyDescent="0.25">
      <c r="A17" s="4">
        <v>307</v>
      </c>
      <c r="B17" s="2">
        <v>2</v>
      </c>
      <c r="C17" s="135" t="s">
        <v>762</v>
      </c>
      <c r="D17" s="325" t="str">
        <f>VLOOKUP(C17,Purchased!A:B,2,0)</f>
        <v>2200 SERIES TABLETOP MOUNT BRACKET</v>
      </c>
      <c r="E17" s="326"/>
      <c r="F17" s="108" t="str">
        <f>IF(VLOOKUP($C17,Purchased!A:Z,11,0) = 0, " ", VLOOKUP($C17,Purchased!A:Z,11,0))</f>
        <v>DORNER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45506</v>
      </c>
      <c r="K17" s="46">
        <f>IF(VLOOKUP(C17,Purchased!A:R,14,0)=0, " ", VLOOKUP(C17,Purchased!A:R,14,0))</f>
        <v>45506</v>
      </c>
      <c r="L17" s="46">
        <f>IF(VLOOKUP(C17,Purchased!A:R,15,0)=0, " ", VLOOKUP(C17,Purchased!A:R,15,0))</f>
        <v>45524</v>
      </c>
      <c r="M17" s="46">
        <f>IF(VLOOKUP(C17,Purchased!A:R,16,0)=0, " ",VLOOKUP(C17,Purchased!A:R,16,0))</f>
        <v>45547</v>
      </c>
      <c r="N17" s="130" t="str">
        <f>IF(VLOOKUP(C17,Purchased!A:R,17,0)=0, " ", VLOOKUP(C17,Purchased!A:R,17,0))</f>
        <v xml:space="preserve"> </v>
      </c>
      <c r="O17" s="47">
        <f t="shared" ca="1" si="4"/>
        <v>2</v>
      </c>
      <c r="P17" s="51">
        <f>VLOOKUP(C17,Purchased!A:D,3,FALSE)</f>
        <v>82.600999999999999</v>
      </c>
      <c r="Q17" s="52">
        <f t="shared" si="5"/>
        <v>165.202</v>
      </c>
    </row>
    <row r="18" spans="1:17" s="2" customFormat="1" ht="12" customHeight="1" x14ac:dyDescent="0.25">
      <c r="A18" s="4">
        <v>308</v>
      </c>
      <c r="B18" s="2">
        <v>2</v>
      </c>
      <c r="C18" s="135" t="s">
        <v>763</v>
      </c>
      <c r="D18" s="325" t="str">
        <f>VLOOKUP(C18,Purchased!A:B,2,0)</f>
        <v>M6X1.0 SINGLE HOLE T-BAR</v>
      </c>
      <c r="E18" s="326"/>
      <c r="F18" s="108" t="str">
        <f>IF(VLOOKUP($C18,Purchased!A:Z,11,0) = 0, " ", VLOOKUP($C18,Purchased!A:Z,11,0))</f>
        <v>DORNER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>
        <f>IF(VLOOKUP(C18,Purchased!A:R,15,0)=0, " ", VLOOKUP(C18,Purchased!A:R,15,0))</f>
        <v>45524</v>
      </c>
      <c r="M18" s="46">
        <f>IF(VLOOKUP(C18,Purchased!A:R,16,0)=0, " ",VLOOKUP(C18,Purchased!A:R,16,0))</f>
        <v>45547</v>
      </c>
      <c r="N18" s="130" t="str">
        <f>IF(VLOOKUP(C18,Purchased!A:R,17,0)=0, " ", VLOOKUP(C18,Purchased!A:R,17,0))</f>
        <v xml:space="preserve"> </v>
      </c>
      <c r="O18" s="47">
        <f t="shared" ca="1" si="4"/>
        <v>2</v>
      </c>
      <c r="P18" s="51">
        <f>VLOOKUP(C18,Purchased!A:D,3,FALSE)</f>
        <v>3.01</v>
      </c>
      <c r="Q18" s="52">
        <f t="shared" si="5"/>
        <v>6.02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501</v>
      </c>
      <c r="B20" s="2">
        <v>4</v>
      </c>
      <c r="C20" s="122" t="s">
        <v>246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ref="O20:O21" ca="1" si="6">B20*$L$2</f>
        <v>4</v>
      </c>
      <c r="P20" s="51">
        <f>VLOOKUP(C20,Bolts!A:B,2,FALSE)</f>
        <v>0</v>
      </c>
      <c r="Q20" s="52">
        <f t="shared" ref="Q20:Q21" si="7">B20*P20</f>
        <v>0</v>
      </c>
    </row>
    <row r="21" spans="1:17" s="2" customFormat="1" ht="12" customHeight="1" thickBot="1" x14ac:dyDescent="0.3">
      <c r="A21" s="4">
        <v>502</v>
      </c>
      <c r="B21" s="2">
        <v>8</v>
      </c>
      <c r="C21" s="122" t="s">
        <v>186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6"/>
        <v>8</v>
      </c>
      <c r="P21" s="51">
        <f>VLOOKUP(C21,Bolts!A:B,2,FALSE)</f>
        <v>0</v>
      </c>
      <c r="Q21" s="52">
        <f t="shared" si="7"/>
        <v>0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SUM(Q5:Q21)</f>
        <v>10582.041999999999</v>
      </c>
    </row>
  </sheetData>
  <sheetProtection selectLockedCells="1"/>
  <mergeCells count="37">
    <mergeCell ref="D22:E22"/>
    <mergeCell ref="H22:I22"/>
    <mergeCell ref="D19:E19"/>
    <mergeCell ref="H19:I19"/>
    <mergeCell ref="D20:E20"/>
    <mergeCell ref="D21:E21"/>
    <mergeCell ref="D18:E18"/>
    <mergeCell ref="H18:I18"/>
    <mergeCell ref="D12:E12"/>
    <mergeCell ref="H12:I12"/>
    <mergeCell ref="D13:E13"/>
    <mergeCell ref="H13:I13"/>
    <mergeCell ref="D17:E17"/>
    <mergeCell ref="H17:I17"/>
    <mergeCell ref="D14:E14"/>
    <mergeCell ref="H14:I14"/>
    <mergeCell ref="D15:E15"/>
    <mergeCell ref="H15:I15"/>
    <mergeCell ref="D16:E16"/>
    <mergeCell ref="H16:I16"/>
    <mergeCell ref="D10:E10"/>
    <mergeCell ref="H10:I10"/>
    <mergeCell ref="D11:E11"/>
    <mergeCell ref="H11:I11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7 M10 M19:M21">
    <cfRule type="cellIs" dxfId="1316" priority="19" stopIfTrue="1" operator="lessThanOrEqual">
      <formula>$L7</formula>
    </cfRule>
    <cfRule type="cellIs" dxfId="1315" priority="20" operator="greaterThan">
      <formula>L7</formula>
    </cfRule>
  </conditionalFormatting>
  <conditionalFormatting sqref="M11:M18">
    <cfRule type="cellIs" dxfId="1314" priority="1" stopIfTrue="1" operator="lessThanOrEqual">
      <formula>$L11</formula>
    </cfRule>
    <cfRule type="cellIs" dxfId="1313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2FCB8D0-153D-4587-8AD5-FD2B40AAEB43}">
          <x14:formula1>
            <xm:f>Bolts!$A:$A</xm:f>
          </x14:formula1>
          <xm:sqref>C19:C21</xm:sqref>
        </x14:dataValidation>
        <x14:dataValidation type="list" allowBlank="1" showInputMessage="1" showErrorMessage="1" xr:uid="{6706F33F-DEB1-4022-806E-4FB2E06C3F8A}">
          <x14:formula1>
            <xm:f>Assemblies!$E:$E</xm:f>
          </x14:formula1>
          <xm:sqref>C5:C6</xm:sqref>
        </x14:dataValidation>
        <x14:dataValidation type="list" allowBlank="1" showInputMessage="1" showErrorMessage="1" xr:uid="{08BFB25C-B4E2-4682-8434-89EAED604604}">
          <x14:formula1>
            <xm:f>Machined!$C:$C</xm:f>
          </x14:formula1>
          <xm:sqref>C7:C9</xm:sqref>
        </x14:dataValidation>
        <x14:dataValidation type="list" allowBlank="1" showInputMessage="1" showErrorMessage="1" xr:uid="{6F474428-070A-4A3A-9AD1-3BEEABBF08B4}">
          <x14:formula1>
            <xm:f>Purchased!$A:$A</xm:f>
          </x14:formula1>
          <xm:sqref>C10:C18</xm:sqref>
        </x14:dataValidation>
      </x14:dataValidations>
    </ext>
  </extLst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358C-88D8-4CAF-B527-49769A63C367}">
  <sheetPr codeName="Sheet125">
    <tabColor theme="6" tint="0.59999389629810485"/>
  </sheetPr>
  <dimension ref="A1:Q27"/>
  <sheetViews>
    <sheetView zoomScale="115" zoomScaleNormal="115" workbookViewId="0">
      <selection activeCell="D14" sqref="D14:E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0" width="11.5703125" style="19" customWidth="1"/>
    <col min="11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'5.4'!C5</f>
        <v>PG10.5.4.1.0.A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'5.4'!D5</f>
        <v>Cuff Guide A Side Assy</v>
      </c>
      <c r="D3" s="85" t="s">
        <v>50</v>
      </c>
      <c r="E3" s="86" t="str">
        <f ca="1">MID(CELL("filename",A1),FIND("]",CELL("filename",A1))+1,256)</f>
        <v>5.4.1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764</v>
      </c>
      <c r="D5" s="314" t="str">
        <f>VLOOKUP(C5,Machined!C:X,2,0)</f>
        <v>FIXED GUIDE 1 A SIDE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MtnStatesAuto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45505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55644</v>
      </c>
      <c r="O5" s="45">
        <f ca="1">B5*$L$2</f>
        <v>1</v>
      </c>
      <c r="P5" s="49">
        <f>VLOOKUP(C5,Machined!C:F,3,0)</f>
        <v>369</v>
      </c>
      <c r="Q5" s="50">
        <f>B5*P5</f>
        <v>369</v>
      </c>
    </row>
    <row r="6" spans="1:17" s="2" customFormat="1" ht="12.75" customHeight="1" x14ac:dyDescent="0.25">
      <c r="A6" s="77">
        <v>2</v>
      </c>
      <c r="B6" s="20">
        <v>1</v>
      </c>
      <c r="C6" s="121" t="s">
        <v>3881</v>
      </c>
      <c r="D6" s="314" t="str">
        <f>VLOOKUP(C6,Machined!C:X,2,0)</f>
        <v>FIXED GUIDE 2 A SIDE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NULINE</v>
      </c>
      <c r="H6" s="320" t="str">
        <f>IF(VLOOKUP($C6,Machined!C:Z,17,0) = 0, " ", VLOOKUP($C6,Machined!C:Z,17,0))</f>
        <v>Nuline to modify Rev A to B</v>
      </c>
      <c r="I6" s="321" t="str">
        <f>IF(VLOOKUP($C6,Machined!$C:$Y,13,0) = 0, " ", VLOOKUP($C6,Machined!$C:$Y,13,0))</f>
        <v>6061-T6 ALUMINUM</v>
      </c>
      <c r="J6" s="44" t="str">
        <f>IF(VLOOKUP($C6,Machined!C:Z,18,0) = 0, " ", VLOOKUP($C6,Machined!C:Z,18,0))</f>
        <v>N/A</v>
      </c>
      <c r="K6" s="44" t="str">
        <f>IF(VLOOKUP($C6,Machined!C:Z,19,0) = 0, " ", VLOOKUP($C6,Machined!C:Z,19,0))</f>
        <v>N/A</v>
      </c>
      <c r="L6" s="44" t="str">
        <f>IF(VLOOKUP($C6,Machined!C:Z,20,0) = 0, " ", VLOOKUP($C6,Machined!C:Z,20,0))</f>
        <v>N/A</v>
      </c>
      <c r="M6" s="44" t="str">
        <f>IF(VLOOKUP($C6,Machined!C:Z,21,0) = 0, " ", VLOOKUP($C6,Machined!C:Z,21,0))</f>
        <v>N/A</v>
      </c>
      <c r="N6" s="129" t="str">
        <f>IF(VLOOKUP($C6,Machined!C:Z,22,0) = 0, " ", VLOOKUP($C6,Machined!C:Z,22,0))</f>
        <v>N/A</v>
      </c>
      <c r="O6" s="45">
        <f t="shared" ref="O6:O7" ca="1" si="0">B6*$L$2</f>
        <v>1</v>
      </c>
      <c r="P6" s="49">
        <f>VLOOKUP(C6,Machined!C:F,3,0)</f>
        <v>0</v>
      </c>
      <c r="Q6" s="50">
        <f t="shared" ref="Q6:Q7" si="1">B6*P6</f>
        <v>0</v>
      </c>
    </row>
    <row r="7" spans="1:17" s="2" customFormat="1" ht="12.75" customHeight="1" x14ac:dyDescent="0.25">
      <c r="A7" s="77">
        <v>3</v>
      </c>
      <c r="B7" s="20">
        <v>1</v>
      </c>
      <c r="C7" s="121" t="s">
        <v>765</v>
      </c>
      <c r="D7" s="314" t="str">
        <f>VLOOKUP(C7,Machined!C:X,2,0)</f>
        <v>TELESCOPING GUIDE 1 A SIDE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MtnStatesAuto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45505</v>
      </c>
      <c r="L7" s="44">
        <f>IF(VLOOKUP($C7,Machined!C:Z,20,0) = 0, " ", VLOOKUP($C7,Machined!C:Z,20,0))</f>
        <v>45540</v>
      </c>
      <c r="M7" s="44">
        <f>IF(VLOOKUP($C7,Machined!C:Z,21,0) = 0, " ", VLOOKUP($C7,Machined!C:Z,21,0))</f>
        <v>45540</v>
      </c>
      <c r="N7" s="129">
        <f>IF(VLOOKUP($C7,Machined!C:Z,22,0) = 0, " ", VLOOKUP($C7,Machined!C:Z,22,0))</f>
        <v>55644</v>
      </c>
      <c r="O7" s="45">
        <f t="shared" ca="1" si="0"/>
        <v>1</v>
      </c>
      <c r="P7" s="49">
        <f>VLOOKUP(C7,Machined!C:F,3,0)</f>
        <v>245</v>
      </c>
      <c r="Q7" s="50">
        <f t="shared" si="1"/>
        <v>245</v>
      </c>
    </row>
    <row r="8" spans="1:17" s="2" customFormat="1" ht="12.75" customHeight="1" x14ac:dyDescent="0.25">
      <c r="A8" s="77">
        <v>4</v>
      </c>
      <c r="B8" s="20">
        <v>1</v>
      </c>
      <c r="C8" s="121" t="s">
        <v>766</v>
      </c>
      <c r="D8" s="314" t="str">
        <f>VLOOKUP(C8,Machined!C:X,2,0)</f>
        <v>TELESCOPING GUIDE 2 A SIDE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45505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55644</v>
      </c>
      <c r="O8" s="45">
        <f ca="1">B8*$L$2</f>
        <v>1</v>
      </c>
      <c r="P8" s="49">
        <f>VLOOKUP(C8,Machined!C:F,3,0)</f>
        <v>245</v>
      </c>
      <c r="Q8" s="50">
        <f>B8*P8</f>
        <v>245</v>
      </c>
    </row>
    <row r="9" spans="1:17" s="2" customFormat="1" ht="12.75" customHeight="1" x14ac:dyDescent="0.25">
      <c r="A9" s="77">
        <v>5</v>
      </c>
      <c r="B9" s="20">
        <v>3</v>
      </c>
      <c r="C9" s="121" t="s">
        <v>767</v>
      </c>
      <c r="D9" s="314" t="str">
        <f>VLOOKUP(C9,Machined!C:X,2,0)</f>
        <v>CUFF GUIDE BRACKET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45495</v>
      </c>
      <c r="K9" s="44">
        <f>IF(VLOOKUP($C9,Machined!C:Z,19,0) = 0, " ", VLOOKUP($C9,Machined!C:Z,19,0))</f>
        <v>45504</v>
      </c>
      <c r="L9" s="44">
        <f>IF(VLOOKUP($C9,Machined!C:Z,20,0) = 0, " ", VLOOKUP($C9,Machined!C:Z,20,0))</f>
        <v>45534</v>
      </c>
      <c r="M9" s="44">
        <f>IF(VLOOKUP($C9,Machined!C:Z,21,0) = 0, " ", VLOOKUP($C9,Machined!C:Z,21,0))</f>
        <v>45534</v>
      </c>
      <c r="N9" s="129">
        <f>IF(VLOOKUP($C9,Machined!C:Z,22,0) = 0, " ", VLOOKUP($C9,Machined!C:Z,22,0))</f>
        <v>55641</v>
      </c>
      <c r="O9" s="45">
        <f t="shared" ref="O9:O10" ca="1" si="2">B9*$L$2</f>
        <v>3</v>
      </c>
      <c r="P9" s="49">
        <f>VLOOKUP(C9,Machined!C:F,3,0)</f>
        <v>40.700000000000003</v>
      </c>
      <c r="Q9" s="50">
        <f t="shared" ref="Q9:Q10" si="3">B9*P9</f>
        <v>122.10000000000001</v>
      </c>
    </row>
    <row r="10" spans="1:17" s="2" customFormat="1" ht="12.75" customHeight="1" x14ac:dyDescent="0.25">
      <c r="A10" s="77">
        <v>6</v>
      </c>
      <c r="B10" s="20">
        <v>1</v>
      </c>
      <c r="C10" s="121" t="s">
        <v>768</v>
      </c>
      <c r="D10" s="314" t="str">
        <f>VLOOKUP(C10,Machined!C:X,2,0)</f>
        <v>RAIL TIE 2</v>
      </c>
      <c r="E10" s="329"/>
      <c r="F10" s="107" t="str">
        <f>VLOOKUP($C10,Machined!C:Z,13,0)</f>
        <v>6061-T6 ALUMINUM</v>
      </c>
      <c r="G10" s="44" t="str">
        <f>IF(VLOOKUP($C10,Machined!C:Z,16,0) = 0, " ", VLOOKUP($C10,Machined!C:Z,16,0))</f>
        <v>Frontier Mach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6061-T6 ALUMINUM</v>
      </c>
      <c r="J10" s="44">
        <f>IF(VLOOKUP($C10,Machined!C:Z,18,0) = 0, " ", VLOOKUP($C10,Machined!C:Z,18,0))</f>
        <v>45495</v>
      </c>
      <c r="K10" s="44">
        <f>IF(VLOOKUP($C10,Machined!C:Z,19,0) = 0, " ", VLOOKUP($C10,Machined!C:Z,19,0))</f>
        <v>45504</v>
      </c>
      <c r="L10" s="44">
        <f>IF(VLOOKUP($C10,Machined!C:Z,20,0) = 0, " ", VLOOKUP($C10,Machined!C:Z,20,0))</f>
        <v>45534</v>
      </c>
      <c r="M10" s="44">
        <f>IF(VLOOKUP($C10,Machined!C:Z,21,0) = 0, " ", VLOOKUP($C10,Machined!C:Z,21,0))</f>
        <v>45534</v>
      </c>
      <c r="N10" s="129">
        <f>IF(VLOOKUP($C10,Machined!C:Z,22,0) = 0, " ", VLOOKUP($C10,Machined!C:Z,22,0))</f>
        <v>55641</v>
      </c>
      <c r="O10" s="45">
        <f t="shared" ca="1" si="2"/>
        <v>1</v>
      </c>
      <c r="P10" s="49">
        <f>VLOOKUP(C10,Machined!C:F,3,0)</f>
        <v>72.05</v>
      </c>
      <c r="Q10" s="50">
        <f t="shared" si="3"/>
        <v>72.05</v>
      </c>
    </row>
    <row r="11" spans="1:17" s="2" customFormat="1" ht="12.75" customHeight="1" x14ac:dyDescent="0.25">
      <c r="A11" s="77">
        <v>7</v>
      </c>
      <c r="B11" s="20">
        <v>3</v>
      </c>
      <c r="C11" s="121" t="s">
        <v>769</v>
      </c>
      <c r="D11" s="314" t="str">
        <f>VLOOKUP(C11,Machined!C:X,2,0)</f>
        <v>GUIDE BRACKET TOP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Frontier Mach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45495</v>
      </c>
      <c r="K11" s="44">
        <f>IF(VLOOKUP($C11,Machined!C:Z,19,0) = 0, " ", VLOOKUP($C11,Machined!C:Z,19,0))</f>
        <v>45504</v>
      </c>
      <c r="L11" s="44">
        <f>IF(VLOOKUP($C11,Machined!C:Z,20,0) = 0, " ", VLOOKUP($C11,Machined!C:Z,20,0))</f>
        <v>45534</v>
      </c>
      <c r="M11" s="44">
        <f>IF(VLOOKUP($C11,Machined!C:Z,21,0) = 0, " ", VLOOKUP($C11,Machined!C:Z,21,0))</f>
        <v>45534</v>
      </c>
      <c r="N11" s="129">
        <f>IF(VLOOKUP($C11,Machined!C:Z,22,0) = 0, " ", VLOOKUP($C11,Machined!C:Z,22,0))</f>
        <v>55641</v>
      </c>
      <c r="O11" s="45">
        <f t="shared" ref="O11" ca="1" si="4">B11*$L$2</f>
        <v>3</v>
      </c>
      <c r="P11" s="49">
        <f>VLOOKUP(C11,Machined!C:F,3,0)</f>
        <v>37.15</v>
      </c>
      <c r="Q11" s="50">
        <f t="shared" ref="Q11" si="5">B11*P11</f>
        <v>111.44999999999999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301</v>
      </c>
      <c r="B13" s="2">
        <v>2</v>
      </c>
      <c r="C13" s="135" t="s">
        <v>770</v>
      </c>
      <c r="D13" s="325" t="str">
        <f>VLOOKUP(C13,Purchased!A:B,2,0)</f>
        <v>18-8 Stainless Steel Hex Drive Flat Head Screw, M4 x 0.7 mm Thread, 12 mm 
Long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45482</v>
      </c>
      <c r="K13" s="46">
        <f>IF(VLOOKUP(C13,Purchased!A:R,14,0)=0, " ", VLOOKUP(C13,Purchased!A:R,14,0))</f>
        <v>45482</v>
      </c>
      <c r="L13" s="46">
        <f>IF(VLOOKUP(C13,Purchased!A:R,15,0)=0, " ", VLOOKUP(C13,Purchased!A:R,15,0))</f>
        <v>45482</v>
      </c>
      <c r="M13" s="46">
        <f>IF(VLOOKUP(C13,Purchased!A:R,16,0)=0, " ",VLOOKUP(C13,Purchased!A:R,16,0))</f>
        <v>45483</v>
      </c>
      <c r="N13" s="130">
        <f>IF(VLOOKUP(C13,Purchased!A:R,17,0)=0, " ", VLOOKUP(C13,Purchased!A:R,17,0))</f>
        <v>45483</v>
      </c>
      <c r="O13" s="47">
        <f t="shared" ref="O13" ca="1" si="6">B13*$L$2</f>
        <v>2</v>
      </c>
      <c r="P13" s="51">
        <f>VLOOKUP(C13,Purchased!A:D,3,FALSE)</f>
        <v>11.62</v>
      </c>
      <c r="Q13" s="52">
        <f t="shared" ref="Q13" si="7">B13*P13</f>
        <v>23.24</v>
      </c>
    </row>
    <row r="14" spans="1:17" s="2" customFormat="1" ht="12" customHeight="1" x14ac:dyDescent="0.25">
      <c r="A14" s="4">
        <v>302</v>
      </c>
      <c r="C14" s="135"/>
      <c r="D14" s="325"/>
      <c r="E14" s="326"/>
      <c r="F14" s="108"/>
      <c r="G14" s="108"/>
      <c r="H14" s="327"/>
      <c r="I14" s="328"/>
      <c r="J14" s="46"/>
      <c r="K14" s="46"/>
      <c r="L14" s="46"/>
      <c r="M14" s="46"/>
      <c r="N14" s="130"/>
      <c r="O14" s="47"/>
      <c r="P14" s="51"/>
      <c r="Q14" s="52"/>
    </row>
    <row r="15" spans="1:17" s="2" customFormat="1" ht="12" customHeight="1" x14ac:dyDescent="0.25">
      <c r="A15" s="4">
        <v>303</v>
      </c>
      <c r="C15" s="135"/>
      <c r="D15" s="325"/>
      <c r="E15" s="326"/>
      <c r="F15" s="108"/>
      <c r="G15" s="108"/>
      <c r="H15" s="327"/>
      <c r="I15" s="328"/>
      <c r="J15" s="46"/>
      <c r="K15" s="46"/>
      <c r="L15" s="46"/>
      <c r="M15" s="46"/>
      <c r="N15" s="130"/>
      <c r="O15" s="47"/>
      <c r="P15" s="51"/>
      <c r="Q15" s="52"/>
    </row>
    <row r="16" spans="1:17" s="2" customFormat="1" ht="12" customHeight="1" x14ac:dyDescent="0.25">
      <c r="A16" s="4">
        <v>304</v>
      </c>
      <c r="C16" s="135"/>
      <c r="D16" s="325"/>
      <c r="E16" s="326"/>
      <c r="F16" s="108"/>
      <c r="G16" s="108"/>
      <c r="H16" s="327"/>
      <c r="I16" s="328"/>
      <c r="J16" s="46"/>
      <c r="K16" s="46"/>
      <c r="L16" s="46"/>
      <c r="M16" s="46"/>
      <c r="N16" s="130"/>
      <c r="O16" s="47"/>
      <c r="P16" s="51"/>
      <c r="Q16" s="52"/>
    </row>
    <row r="17" spans="1:17" s="2" customFormat="1" ht="12" customHeight="1" x14ac:dyDescent="0.25">
      <c r="A17" s="4">
        <v>305</v>
      </c>
      <c r="B17" s="2">
        <v>2</v>
      </c>
      <c r="C17" s="135" t="s">
        <v>771</v>
      </c>
      <c r="D17" s="325" t="str">
        <f>VLOOKUP(C17,Purchased!A:B,2,0)</f>
        <v>18-8 Stainless Steel Hex Drive Flat Head Screw, M4 x 0.7 mm Thread, 6 mm 
Long</v>
      </c>
      <c r="E17" s="326"/>
      <c r="F17" s="108" t="str">
        <f>IF(VLOOKUP($C17,Purchased!A:Z,11,0) = 0, " ", VLOOKUP($C17,Purchased!A:Z,11,0))</f>
        <v>MCM</v>
      </c>
      <c r="G17" s="108" t="str">
        <f>IF(VLOOKUP($C17,Purchased!A:Z,12,0)=0, " ", VLOOKUP($C17,Purchased!A:Z,12,0))</f>
        <v>MCM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45482</v>
      </c>
      <c r="K17" s="46">
        <f>IF(VLOOKUP(C17,Purchased!A:R,14,0)=0, " ", VLOOKUP(C17,Purchased!A:R,14,0))</f>
        <v>45482</v>
      </c>
      <c r="L17" s="46">
        <f>IF(VLOOKUP(C17,Purchased!A:R,15,0)=0, " ", VLOOKUP(C17,Purchased!A:R,15,0))</f>
        <v>45482</v>
      </c>
      <c r="M17" s="46">
        <f>IF(VLOOKUP(C17,Purchased!A:R,16,0)=0, " ",VLOOKUP(C17,Purchased!A:R,16,0))</f>
        <v>45483</v>
      </c>
      <c r="N17" s="130">
        <f>IF(VLOOKUP(C17,Purchased!A:R,17,0)=0, " ", VLOOKUP(C17,Purchased!A:R,17,0))</f>
        <v>45483</v>
      </c>
      <c r="O17" s="47">
        <f t="shared" ref="O17:O22" ca="1" si="8">B17*$L$2</f>
        <v>2</v>
      </c>
      <c r="P17" s="51">
        <f>VLOOKUP(C17,Purchased!A:D,3,FALSE)</f>
        <v>11.04</v>
      </c>
      <c r="Q17" s="52">
        <f t="shared" ref="Q17:Q22" si="9">B17*P17</f>
        <v>22.08</v>
      </c>
    </row>
    <row r="18" spans="1:17" s="2" customFormat="1" ht="12" customHeight="1" x14ac:dyDescent="0.25">
      <c r="A18" s="4">
        <v>306</v>
      </c>
      <c r="B18" s="2">
        <v>3</v>
      </c>
      <c r="C18" s="135" t="s">
        <v>763</v>
      </c>
      <c r="D18" s="325" t="str">
        <f>VLOOKUP(C18,Purchased!A:B,2,0)</f>
        <v>M6X1.0 SINGLE HOLE T-BAR</v>
      </c>
      <c r="E18" s="326"/>
      <c r="F18" s="108" t="str">
        <f>IF(VLOOKUP($C18,Purchased!A:Z,11,0) = 0, " ", VLOOKUP($C18,Purchased!A:Z,11,0))</f>
        <v>DORNER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>
        <f>IF(VLOOKUP(C18,Purchased!A:R,15,0)=0, " ", VLOOKUP(C18,Purchased!A:R,15,0))</f>
        <v>45524</v>
      </c>
      <c r="M18" s="46">
        <f>IF(VLOOKUP(C18,Purchased!A:R,16,0)=0, " ",VLOOKUP(C18,Purchased!A:R,16,0))</f>
        <v>45547</v>
      </c>
      <c r="N18" s="130" t="str">
        <f>IF(VLOOKUP(C18,Purchased!A:R,17,0)=0, " ", VLOOKUP(C18,Purchased!A:R,17,0))</f>
        <v xml:space="preserve"> </v>
      </c>
      <c r="O18" s="47">
        <f t="shared" ca="1" si="8"/>
        <v>3</v>
      </c>
      <c r="P18" s="51">
        <f>VLOOKUP(C18,Purchased!A:D,3,FALSE)</f>
        <v>3.01</v>
      </c>
      <c r="Q18" s="52">
        <f t="shared" si="9"/>
        <v>9.0299999999999994</v>
      </c>
    </row>
    <row r="19" spans="1:17" s="2" customFormat="1" ht="12" customHeight="1" x14ac:dyDescent="0.25">
      <c r="A19" s="4">
        <v>307</v>
      </c>
      <c r="B19" s="2">
        <v>4</v>
      </c>
      <c r="C19" s="135" t="s">
        <v>3880</v>
      </c>
      <c r="D19" s="325" t="str">
        <f>VLOOKUP(C19,Purchased!A:B,2,0)</f>
        <v>18-8 Stainless Steel Unthreaded Spacer, 4.500 mm OD, 4 mm Long, for M3 Screw Size</v>
      </c>
      <c r="E19" s="326"/>
      <c r="F19" s="108" t="str">
        <f>IF(VLOOKUP($C19,Purchased!A:Z,11,0) = 0, " ", VLOOKUP($C19,Purchased!A:Z,11,0))</f>
        <v>MCM</v>
      </c>
      <c r="G19" s="108" t="str">
        <f>IF(VLOOKUP($C19,Purchased!A:Z,12,0)=0, " ", VLOOKUP($C19,Purchased!A:Z,12,0))</f>
        <v>MCM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45559</v>
      </c>
      <c r="M19" s="46">
        <f>IF(VLOOKUP(C19,Purchased!A:R,16,0)=0, " ",VLOOKUP(C19,Purchased!A:R,16,0))</f>
        <v>45560</v>
      </c>
      <c r="N19" s="130">
        <f>IF(VLOOKUP(C19,Purchased!A:R,17,0)=0, " ", VLOOKUP(C19,Purchased!A:R,17,0))</f>
        <v>45560</v>
      </c>
      <c r="O19" s="47">
        <f t="shared" ca="1" si="8"/>
        <v>4</v>
      </c>
      <c r="P19" s="51">
        <f>VLOOKUP(C19,Purchased!A:D,3,FALSE)</f>
        <v>1.75</v>
      </c>
      <c r="Q19" s="52">
        <f t="shared" si="9"/>
        <v>7</v>
      </c>
    </row>
    <row r="20" spans="1:17" s="2" customFormat="1" ht="12" customHeight="1" x14ac:dyDescent="0.25">
      <c r="A20" s="4">
        <v>308</v>
      </c>
      <c r="B20" s="2">
        <v>4</v>
      </c>
      <c r="C20" s="135" t="s">
        <v>773</v>
      </c>
      <c r="D20" s="325" t="str">
        <f>VLOOKUP(C20,Purchased!A:B,2,0)</f>
        <v>Class 8.8 Steel General Purpose Washer, Zinc-Plated, for M3 Screw Size, 3.2 mm ID, 7.0 mm OD</v>
      </c>
      <c r="E20" s="326"/>
      <c r="F20" s="108" t="str">
        <f>IF(VLOOKUP($C20,Purchased!A:Z,11,0) = 0, " ", VLOOKUP($C20,Purchased!A:Z,11,0))</f>
        <v>MCM</v>
      </c>
      <c r="G20" s="108" t="str">
        <f>IF(VLOOKUP($C20,Purchased!A:Z,12,0)=0, " ", VLOOKUP($C20,Purchased!A:Z,12,0))</f>
        <v>MCM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45526</v>
      </c>
      <c r="K20" s="46">
        <f>IF(VLOOKUP(C20,Purchased!A:R,14,0)=0, " ", VLOOKUP(C20,Purchased!A:R,14,0))</f>
        <v>45526</v>
      </c>
      <c r="L20" s="46">
        <f>IF(VLOOKUP(C20,Purchased!A:R,15,0)=0, " ", VLOOKUP(C20,Purchased!A:R,15,0))</f>
        <v>45526</v>
      </c>
      <c r="M20" s="46" t="str">
        <f>IF(VLOOKUP(C20,Purchased!A:R,16,0)=0, " ",VLOOKUP(C20,Purchased!A:R,16,0))</f>
        <v xml:space="preserve"> </v>
      </c>
      <c r="N20" s="130" t="str">
        <f>IF(VLOOKUP(C20,Purchased!A:R,17,0)=0, " ", VLOOKUP(C20,Purchased!A:R,17,0))</f>
        <v xml:space="preserve"> </v>
      </c>
      <c r="O20" s="47">
        <f t="shared" ca="1" si="8"/>
        <v>4</v>
      </c>
      <c r="P20" s="51">
        <f>VLOOKUP(C20,Purchased!A:D,3,FALSE)</f>
        <v>2.61</v>
      </c>
      <c r="Q20" s="52">
        <f t="shared" si="9"/>
        <v>10.44</v>
      </c>
    </row>
    <row r="21" spans="1:17" s="2" customFormat="1" ht="12" customHeight="1" x14ac:dyDescent="0.25">
      <c r="A21" s="4">
        <v>309</v>
      </c>
      <c r="B21" s="2">
        <v>4</v>
      </c>
      <c r="C21" s="135" t="s">
        <v>774</v>
      </c>
      <c r="D21" s="325" t="str">
        <f>VLOOKUP(C21,Purchased!A:B,2,0)</f>
        <v>Medium-Strength Zinc-Plated Steel Thin Hex Nut Class 04, M3 x 0.5 mm Thread</v>
      </c>
      <c r="E21" s="326"/>
      <c r="F21" s="108" t="str">
        <f>IF(VLOOKUP($C21,Purchased!A:Z,11,0) = 0, " ", VLOOKUP($C21,Purchased!A:Z,11,0))</f>
        <v>MCM</v>
      </c>
      <c r="G21" s="108" t="str">
        <f>IF(VLOOKUP($C21,Purchased!A:Z,12,0)=0, " ", VLOOKUP($C21,Purchased!A:Z,12,0))</f>
        <v>MCM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45526</v>
      </c>
      <c r="K21" s="46">
        <f>IF(VLOOKUP(C21,Purchased!A:R,14,0)=0, " ", VLOOKUP(C21,Purchased!A:R,14,0))</f>
        <v>45526</v>
      </c>
      <c r="L21" s="46">
        <f>IF(VLOOKUP(C21,Purchased!A:R,15,0)=0, " ", VLOOKUP(C21,Purchased!A:R,15,0))</f>
        <v>45526</v>
      </c>
      <c r="M21" s="46" t="str">
        <f>IF(VLOOKUP(C21,Purchased!A:R,16,0)=0, " ",VLOOKUP(C21,Purchased!A:R,16,0))</f>
        <v xml:space="preserve"> </v>
      </c>
      <c r="N21" s="130" t="str">
        <f>IF(VLOOKUP(C21,Purchased!A:R,17,0)=0, " ", VLOOKUP(C21,Purchased!A:R,17,0))</f>
        <v xml:space="preserve"> </v>
      </c>
      <c r="O21" s="47">
        <f t="shared" ca="1" si="8"/>
        <v>4</v>
      </c>
      <c r="P21" s="51">
        <f>VLOOKUP(C21,Purchased!A:D,3,FALSE)</f>
        <v>4.2300000000000004</v>
      </c>
      <c r="Q21" s="52">
        <f t="shared" si="9"/>
        <v>16.920000000000002</v>
      </c>
    </row>
    <row r="22" spans="1:17" s="2" customFormat="1" ht="12" customHeight="1" x14ac:dyDescent="0.25">
      <c r="A22" s="4">
        <v>310</v>
      </c>
      <c r="B22" s="2">
        <v>4</v>
      </c>
      <c r="C22" s="135" t="s">
        <v>775</v>
      </c>
      <c r="D22" s="325" t="str">
        <f>VLOOKUP(C22,Purchased!A:B,2,0)</f>
        <v>18-8 Stainless Steel Hex Drive Flat Head Screw, M3 x 0.5 mm Thread, 12 mm Long</v>
      </c>
      <c r="E22" s="326"/>
      <c r="F22" s="108" t="str">
        <f>IF(VLOOKUP($C22,Purchased!A:Z,11,0) = 0, " ", VLOOKUP($C22,Purchased!A:Z,11,0))</f>
        <v>MCM</v>
      </c>
      <c r="G22" s="108" t="str">
        <f>IF(VLOOKUP($C22,Purchased!A:Z,12,0)=0, " ", VLOOKUP($C22,Purchased!A:Z,12,0))</f>
        <v>MCM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45526</v>
      </c>
      <c r="K22" s="46">
        <f>IF(VLOOKUP(C22,Purchased!A:R,14,0)=0, " ", VLOOKUP(C22,Purchased!A:R,14,0))</f>
        <v>45526</v>
      </c>
      <c r="L22" s="46">
        <f>IF(VLOOKUP(C22,Purchased!A:R,15,0)=0, " ", VLOOKUP(C22,Purchased!A:R,15,0))</f>
        <v>45526</v>
      </c>
      <c r="M22" s="46" t="str">
        <f>IF(VLOOKUP(C22,Purchased!A:R,16,0)=0, " ",VLOOKUP(C22,Purchased!A:R,16,0))</f>
        <v xml:space="preserve"> </v>
      </c>
      <c r="N22" s="130" t="str">
        <f>IF(VLOOKUP(C22,Purchased!A:R,17,0)=0, " ", VLOOKUP(C22,Purchased!A:R,17,0))</f>
        <v xml:space="preserve"> </v>
      </c>
      <c r="O22" s="47">
        <f t="shared" ca="1" si="8"/>
        <v>4</v>
      </c>
      <c r="P22" s="51">
        <f>VLOOKUP(C22,Purchased!A:D,3,FALSE)</f>
        <v>6.19</v>
      </c>
      <c r="Q22" s="52">
        <f t="shared" si="9"/>
        <v>24.76</v>
      </c>
    </row>
    <row r="23" spans="1:17" s="2" customFormat="1" ht="12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" customHeight="1" x14ac:dyDescent="0.25">
      <c r="A24" s="4">
        <v>501</v>
      </c>
      <c r="B24" s="2">
        <v>3</v>
      </c>
      <c r="C24" s="122" t="s">
        <v>174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ref="O24:O25" ca="1" si="10">B24*$L$2</f>
        <v>3</v>
      </c>
      <c r="P24" s="51">
        <f>VLOOKUP(C24,Bolts!A:B,2,FALSE)</f>
        <v>0</v>
      </c>
      <c r="Q24" s="52">
        <f t="shared" ref="Q24:Q25" si="11">B24*P24</f>
        <v>0</v>
      </c>
    </row>
    <row r="25" spans="1:17" s="2" customFormat="1" ht="12" customHeight="1" x14ac:dyDescent="0.25">
      <c r="A25" s="4">
        <v>502</v>
      </c>
      <c r="B25" s="2">
        <v>6</v>
      </c>
      <c r="C25" s="122" t="s">
        <v>776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10"/>
        <v>6</v>
      </c>
      <c r="P25" s="51">
        <f>VLOOKUP(C25,Bolts!A:B,2,FALSE)</f>
        <v>0</v>
      </c>
      <c r="Q25" s="52">
        <f t="shared" si="11"/>
        <v>0</v>
      </c>
    </row>
    <row r="26" spans="1:17" s="2" customFormat="1" ht="12" customHeight="1" thickBot="1" x14ac:dyDescent="0.3">
      <c r="A26" s="4">
        <v>503</v>
      </c>
      <c r="B26" s="2">
        <v>9</v>
      </c>
      <c r="C26" s="122" t="s">
        <v>777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ref="O26" ca="1" si="12">B26*$L$2</f>
        <v>9</v>
      </c>
      <c r="P26" s="51">
        <f>VLOOKUP(C26,Bolts!A:B,2,FALSE)</f>
        <v>0</v>
      </c>
      <c r="Q26" s="52">
        <f t="shared" ref="Q26" si="13">B26*P26</f>
        <v>0</v>
      </c>
    </row>
    <row r="27" spans="1:17" s="2" customFormat="1" ht="12" customHeight="1" thickBot="1" x14ac:dyDescent="0.3">
      <c r="A27" s="34"/>
      <c r="B27" s="35"/>
      <c r="C27" s="35"/>
      <c r="D27" s="316"/>
      <c r="E27" s="317"/>
      <c r="F27" s="35"/>
      <c r="G27" s="35"/>
      <c r="H27" s="309"/>
      <c r="I27" s="310"/>
      <c r="J27" s="36"/>
      <c r="K27" s="36"/>
      <c r="L27" s="36"/>
      <c r="M27" s="37"/>
      <c r="N27" s="132"/>
      <c r="O27" s="38"/>
      <c r="P27" s="99" t="s">
        <v>43</v>
      </c>
      <c r="Q27" s="104">
        <f>SUM(Q5:Q25)</f>
        <v>1278.0700000000002</v>
      </c>
    </row>
  </sheetData>
  <sheetProtection selectLockedCells="1"/>
  <mergeCells count="46">
    <mergeCell ref="D22:E22"/>
    <mergeCell ref="H22:I22"/>
    <mergeCell ref="D26:E26"/>
    <mergeCell ref="D19:E19"/>
    <mergeCell ref="H19:I19"/>
    <mergeCell ref="D20:E20"/>
    <mergeCell ref="H20:I20"/>
    <mergeCell ref="D21:E21"/>
    <mergeCell ref="H21:I21"/>
    <mergeCell ref="D27:E27"/>
    <mergeCell ref="H27:I27"/>
    <mergeCell ref="D23:E23"/>
    <mergeCell ref="H23:I23"/>
    <mergeCell ref="D24:E24"/>
    <mergeCell ref="D25:E25"/>
    <mergeCell ref="D17:E17"/>
    <mergeCell ref="H17:I17"/>
    <mergeCell ref="D18:E18"/>
    <mergeCell ref="H18:I18"/>
    <mergeCell ref="D14:E14"/>
    <mergeCell ref="H14:I14"/>
    <mergeCell ref="D15:E15"/>
    <mergeCell ref="H15:I15"/>
    <mergeCell ref="D16:E16"/>
    <mergeCell ref="H16:I16"/>
    <mergeCell ref="D12:E12"/>
    <mergeCell ref="H12:I12"/>
    <mergeCell ref="D13:E13"/>
    <mergeCell ref="H13:I13"/>
    <mergeCell ref="D10:E10"/>
    <mergeCell ref="H10:I10"/>
    <mergeCell ref="D11:E11"/>
    <mergeCell ref="H11:I11"/>
    <mergeCell ref="D7:E7"/>
    <mergeCell ref="H7:I7"/>
    <mergeCell ref="D8:E8"/>
    <mergeCell ref="H8:I8"/>
    <mergeCell ref="D9:E9"/>
    <mergeCell ref="H9:I9"/>
    <mergeCell ref="D5:E5"/>
    <mergeCell ref="H5:I5"/>
    <mergeCell ref="D6:E6"/>
    <mergeCell ref="H6:I6"/>
    <mergeCell ref="D1:E1"/>
    <mergeCell ref="D4:E4"/>
    <mergeCell ref="H4:I4"/>
  </mergeCells>
  <conditionalFormatting sqref="M12 M14:M16 M23:M26">
    <cfRule type="cellIs" dxfId="1312" priority="15" stopIfTrue="1" operator="lessThanOrEqual">
      <formula>$L12</formula>
    </cfRule>
    <cfRule type="cellIs" dxfId="1311" priority="16" operator="greaterThan">
      <formula>L12</formula>
    </cfRule>
  </conditionalFormatting>
  <conditionalFormatting sqref="M13">
    <cfRule type="cellIs" dxfId="1310" priority="13" stopIfTrue="1" operator="lessThanOrEqual">
      <formula>$L13</formula>
    </cfRule>
    <cfRule type="cellIs" dxfId="1309" priority="14" operator="greaterThan">
      <formula>L13</formula>
    </cfRule>
  </conditionalFormatting>
  <conditionalFormatting sqref="M17">
    <cfRule type="cellIs" dxfId="1308" priority="11" stopIfTrue="1" operator="lessThanOrEqual">
      <formula>$L17</formula>
    </cfRule>
    <cfRule type="cellIs" dxfId="1307" priority="12" operator="greaterThan">
      <formula>L17</formula>
    </cfRule>
  </conditionalFormatting>
  <conditionalFormatting sqref="M18">
    <cfRule type="cellIs" dxfId="1306" priority="9" stopIfTrue="1" operator="lessThanOrEqual">
      <formula>$L18</formula>
    </cfRule>
    <cfRule type="cellIs" dxfId="1305" priority="10" operator="greaterThan">
      <formula>L18</formula>
    </cfRule>
  </conditionalFormatting>
  <conditionalFormatting sqref="M19:M22">
    <cfRule type="cellIs" dxfId="1304" priority="1" stopIfTrue="1" operator="lessThanOrEqual">
      <formula>$L19</formula>
    </cfRule>
    <cfRule type="cellIs" dxfId="1303" priority="2" operator="greaterThan">
      <formula>L19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7685176-702C-426A-8BE9-83B7B1F194A2}">
          <x14:formula1>
            <xm:f>Bolts!$A:$A</xm:f>
          </x14:formula1>
          <xm:sqref>C23:C26</xm:sqref>
        </x14:dataValidation>
        <x14:dataValidation type="list" allowBlank="1" showInputMessage="1" showErrorMessage="1" xr:uid="{9BE14DB8-4A06-409A-881F-5C1D0E2090D2}">
          <x14:formula1>
            <xm:f>Machined!$C:$C</xm:f>
          </x14:formula1>
          <xm:sqref>C5:C11</xm:sqref>
        </x14:dataValidation>
        <x14:dataValidation type="list" allowBlank="1" showInputMessage="1" showErrorMessage="1" xr:uid="{190CC029-3BF5-4A93-9C2D-AA2085622A59}">
          <x14:formula1>
            <xm:f>Purchased!$A:$A</xm:f>
          </x14:formula1>
          <xm:sqref>C12:C22</xm:sqref>
        </x14:dataValidation>
      </x14:dataValidations>
    </ext>
  </extLst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698D3-19E1-4B82-93BC-820C37B88354}">
  <sheetPr codeName="Sheet126">
    <tabColor theme="6" tint="0.59999389629810485"/>
  </sheetPr>
  <dimension ref="A1:Q27"/>
  <sheetViews>
    <sheetView zoomScale="115" zoomScaleNormal="115" workbookViewId="0">
      <selection activeCell="C19" sqref="C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'5.4'!C6</f>
        <v>PG10.5.4.2.0.A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'5.4'!D6</f>
        <v>Cuff Guide B Side Assy</v>
      </c>
      <c r="D3" s="85" t="s">
        <v>50</v>
      </c>
      <c r="E3" s="86" t="str">
        <f ca="1">MID(CELL("filename",A1),FIND("]",CELL("filename",A1))+1,256)</f>
        <v>5.4.2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778</v>
      </c>
      <c r="D5" s="314" t="str">
        <f>VLOOKUP(C5,Machined!C:X,2,0)</f>
        <v>FIXED GUIDE 1 B SIDE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MtnStatesAuto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45505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55644</v>
      </c>
      <c r="O5" s="45">
        <f ca="1">B5*$L$2</f>
        <v>1</v>
      </c>
      <c r="P5" s="49">
        <f>VLOOKUP(C5,Machined!C:F,3,0)</f>
        <v>429</v>
      </c>
      <c r="Q5" s="50">
        <f>B5*P5</f>
        <v>429</v>
      </c>
    </row>
    <row r="6" spans="1:17" s="2" customFormat="1" ht="12.75" customHeight="1" x14ac:dyDescent="0.25">
      <c r="A6" s="77">
        <v>2</v>
      </c>
      <c r="B6" s="20">
        <v>1</v>
      </c>
      <c r="C6" s="121" t="s">
        <v>3882</v>
      </c>
      <c r="D6" s="314" t="str">
        <f>VLOOKUP(C6,Machined!C:X,2,0)</f>
        <v>FIXED GUIDE 2 B SIDE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NULINE</v>
      </c>
      <c r="H6" s="320" t="str">
        <f>IF(VLOOKUP($C6,Machined!C:Z,17,0) = 0, " ", VLOOKUP($C6,Machined!C:Z,17,0))</f>
        <v>Nuline to modify Rev A to B</v>
      </c>
      <c r="I6" s="321" t="str">
        <f>IF(VLOOKUP($C6,Machined!$C:$Y,13,0) = 0, " ", VLOOKUP($C6,Machined!$C:$Y,13,0))</f>
        <v>6061-T6 ALUMINUM</v>
      </c>
      <c r="J6" s="44" t="str">
        <f>IF(VLOOKUP($C6,Machined!C:Z,18,0) = 0, " ", VLOOKUP($C6,Machined!C:Z,18,0))</f>
        <v>N/A</v>
      </c>
      <c r="K6" s="44" t="str">
        <f>IF(VLOOKUP($C6,Machined!C:Z,19,0) = 0, " ", VLOOKUP($C6,Machined!C:Z,19,0))</f>
        <v>N/A</v>
      </c>
      <c r="L6" s="44" t="str">
        <f>IF(VLOOKUP($C6,Machined!C:Z,20,0) = 0, " ", VLOOKUP($C6,Machined!C:Z,20,0))</f>
        <v>N/A</v>
      </c>
      <c r="M6" s="44" t="str">
        <f>IF(VLOOKUP($C6,Machined!C:Z,21,0) = 0, " ", VLOOKUP($C6,Machined!C:Z,21,0))</f>
        <v>N/A</v>
      </c>
      <c r="N6" s="129" t="str">
        <f>IF(VLOOKUP($C6,Machined!C:Z,22,0) = 0, " ", VLOOKUP($C6,Machined!C:Z,22,0))</f>
        <v>N/A</v>
      </c>
      <c r="O6" s="45">
        <f t="shared" ref="O6:O7" ca="1" si="0">B6*$L$2</f>
        <v>1</v>
      </c>
      <c r="P6" s="49">
        <f>VLOOKUP(C6,Machined!C:F,3,0)</f>
        <v>0</v>
      </c>
      <c r="Q6" s="50">
        <f t="shared" ref="Q6:Q7" si="1">B6*P6</f>
        <v>0</v>
      </c>
    </row>
    <row r="7" spans="1:17" s="2" customFormat="1" ht="12.75" customHeight="1" x14ac:dyDescent="0.25">
      <c r="A7" s="77">
        <v>3</v>
      </c>
      <c r="B7" s="20">
        <v>1</v>
      </c>
      <c r="C7" s="121" t="s">
        <v>779</v>
      </c>
      <c r="D7" s="314" t="str">
        <f>VLOOKUP(C7,Machined!C:X,2,0)</f>
        <v>TELESCOPING GUIDE 1 B SIDE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MtnStatesAuto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45505</v>
      </c>
      <c r="L7" s="44">
        <f>IF(VLOOKUP($C7,Machined!C:Z,20,0) = 0, " ", VLOOKUP($C7,Machined!C:Z,20,0))</f>
        <v>45540</v>
      </c>
      <c r="M7" s="44">
        <f>IF(VLOOKUP($C7,Machined!C:Z,21,0) = 0, " ", VLOOKUP($C7,Machined!C:Z,21,0))</f>
        <v>45540</v>
      </c>
      <c r="N7" s="129">
        <f>IF(VLOOKUP($C7,Machined!C:Z,22,0) = 0, " ", VLOOKUP($C7,Machined!C:Z,22,0))</f>
        <v>55644</v>
      </c>
      <c r="O7" s="45">
        <f t="shared" ca="1" si="0"/>
        <v>1</v>
      </c>
      <c r="P7" s="49">
        <f>VLOOKUP(C7,Machined!C:F,3,0)</f>
        <v>215</v>
      </c>
      <c r="Q7" s="50">
        <f t="shared" si="1"/>
        <v>215</v>
      </c>
    </row>
    <row r="8" spans="1:17" s="2" customFormat="1" ht="12.75" customHeight="1" x14ac:dyDescent="0.25">
      <c r="A8" s="77">
        <v>4</v>
      </c>
      <c r="B8" s="20">
        <v>1</v>
      </c>
      <c r="C8" s="121" t="s">
        <v>780</v>
      </c>
      <c r="D8" s="314" t="str">
        <f>VLOOKUP(C8,Machined!C:X,2,0)</f>
        <v>TELESCOPING GUIDE 2 B SIDE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45505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55644</v>
      </c>
      <c r="O8" s="45">
        <f ca="1">B8*$L$2</f>
        <v>1</v>
      </c>
      <c r="P8" s="49">
        <f>VLOOKUP(C8,Machined!C:F,3,0)</f>
        <v>215</v>
      </c>
      <c r="Q8" s="50">
        <f>B8*P8</f>
        <v>215</v>
      </c>
    </row>
    <row r="9" spans="1:17" s="2" customFormat="1" ht="12.75" customHeight="1" x14ac:dyDescent="0.25">
      <c r="A9" s="77">
        <v>5</v>
      </c>
      <c r="B9" s="20">
        <v>4</v>
      </c>
      <c r="C9" s="121" t="s">
        <v>767</v>
      </c>
      <c r="D9" s="314" t="str">
        <f>VLOOKUP(C9,Machined!C:X,2,0)</f>
        <v>CUFF GUIDE BRACKET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45495</v>
      </c>
      <c r="K9" s="44">
        <f>IF(VLOOKUP($C9,Machined!C:Z,19,0) = 0, " ", VLOOKUP($C9,Machined!C:Z,19,0))</f>
        <v>45504</v>
      </c>
      <c r="L9" s="44">
        <f>IF(VLOOKUP($C9,Machined!C:Z,20,0) = 0, " ", VLOOKUP($C9,Machined!C:Z,20,0))</f>
        <v>45534</v>
      </c>
      <c r="M9" s="44">
        <f>IF(VLOOKUP($C9,Machined!C:Z,21,0) = 0, " ", VLOOKUP($C9,Machined!C:Z,21,0))</f>
        <v>45534</v>
      </c>
      <c r="N9" s="129">
        <f>IF(VLOOKUP($C9,Machined!C:Z,22,0) = 0, " ", VLOOKUP($C9,Machined!C:Z,22,0))</f>
        <v>55641</v>
      </c>
      <c r="O9" s="45">
        <f t="shared" ref="O9:O10" ca="1" si="2">B9*$L$2</f>
        <v>4</v>
      </c>
      <c r="P9" s="49">
        <f>VLOOKUP(C9,Machined!C:F,3,0)</f>
        <v>40.700000000000003</v>
      </c>
      <c r="Q9" s="50">
        <f t="shared" ref="Q9:Q10" si="3">B9*P9</f>
        <v>162.80000000000001</v>
      </c>
    </row>
    <row r="10" spans="1:17" s="2" customFormat="1" ht="12.75" customHeight="1" x14ac:dyDescent="0.25">
      <c r="A10" s="77">
        <v>6</v>
      </c>
      <c r="B10" s="20">
        <v>1</v>
      </c>
      <c r="C10" s="121" t="s">
        <v>768</v>
      </c>
      <c r="D10" s="314" t="str">
        <f>VLOOKUP(C10,Machined!C:X,2,0)</f>
        <v>RAIL TIE 2</v>
      </c>
      <c r="E10" s="329"/>
      <c r="F10" s="107" t="str">
        <f>VLOOKUP($C10,Machined!C:Z,13,0)</f>
        <v>6061-T6 ALUMINUM</v>
      </c>
      <c r="G10" s="44" t="str">
        <f>IF(VLOOKUP($C10,Machined!C:Z,16,0) = 0, " ", VLOOKUP($C10,Machined!C:Z,16,0))</f>
        <v>Frontier Mach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6061-T6 ALUMINUM</v>
      </c>
      <c r="J10" s="44">
        <f>IF(VLOOKUP($C10,Machined!C:Z,18,0) = 0, " ", VLOOKUP($C10,Machined!C:Z,18,0))</f>
        <v>45495</v>
      </c>
      <c r="K10" s="44">
        <f>IF(VLOOKUP($C10,Machined!C:Z,19,0) = 0, " ", VLOOKUP($C10,Machined!C:Z,19,0))</f>
        <v>45504</v>
      </c>
      <c r="L10" s="44">
        <f>IF(VLOOKUP($C10,Machined!C:Z,20,0) = 0, " ", VLOOKUP($C10,Machined!C:Z,20,0))</f>
        <v>45534</v>
      </c>
      <c r="M10" s="44">
        <f>IF(VLOOKUP($C10,Machined!C:Z,21,0) = 0, " ", VLOOKUP($C10,Machined!C:Z,21,0))</f>
        <v>45534</v>
      </c>
      <c r="N10" s="129">
        <f>IF(VLOOKUP($C10,Machined!C:Z,22,0) = 0, " ", VLOOKUP($C10,Machined!C:Z,22,0))</f>
        <v>55641</v>
      </c>
      <c r="O10" s="45">
        <f t="shared" ca="1" si="2"/>
        <v>1</v>
      </c>
      <c r="P10" s="49">
        <f>VLOOKUP(C10,Machined!C:F,3,0)</f>
        <v>72.05</v>
      </c>
      <c r="Q10" s="50">
        <f t="shared" si="3"/>
        <v>72.05</v>
      </c>
    </row>
    <row r="11" spans="1:17" s="2" customFormat="1" ht="12.75" customHeight="1" x14ac:dyDescent="0.25">
      <c r="A11" s="77">
        <v>7</v>
      </c>
      <c r="B11" s="20">
        <v>4</v>
      </c>
      <c r="C11" s="121" t="s">
        <v>769</v>
      </c>
      <c r="D11" s="314" t="str">
        <f>VLOOKUP(C11,Machined!C:X,2,0)</f>
        <v>GUIDE BRACKET TOP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Frontier Mach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45495</v>
      </c>
      <c r="K11" s="44">
        <f>IF(VLOOKUP($C11,Machined!C:Z,19,0) = 0, " ", VLOOKUP($C11,Machined!C:Z,19,0))</f>
        <v>45504</v>
      </c>
      <c r="L11" s="44">
        <f>IF(VLOOKUP($C11,Machined!C:Z,20,0) = 0, " ", VLOOKUP($C11,Machined!C:Z,20,0))</f>
        <v>45534</v>
      </c>
      <c r="M11" s="44">
        <f>IF(VLOOKUP($C11,Machined!C:Z,21,0) = 0, " ", VLOOKUP($C11,Machined!C:Z,21,0))</f>
        <v>45534</v>
      </c>
      <c r="N11" s="129">
        <f>IF(VLOOKUP($C11,Machined!C:Z,22,0) = 0, " ", VLOOKUP($C11,Machined!C:Z,22,0))</f>
        <v>55641</v>
      </c>
      <c r="O11" s="45">
        <f t="shared" ref="O11" ca="1" si="4">B11*$L$2</f>
        <v>4</v>
      </c>
      <c r="P11" s="49">
        <f>VLOOKUP(C11,Machined!C:F,3,0)</f>
        <v>37.15</v>
      </c>
      <c r="Q11" s="50">
        <f t="shared" ref="Q11" si="5">B11*P11</f>
        <v>148.6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301</v>
      </c>
      <c r="B13" s="2">
        <v>2</v>
      </c>
      <c r="C13" s="135" t="s">
        <v>770</v>
      </c>
      <c r="D13" s="325" t="str">
        <f>VLOOKUP(C13,Purchased!A:B,2,0)</f>
        <v>18-8 Stainless Steel Hex Drive Flat Head Screw, M4 x 0.7 mm Thread, 12 mm 
Long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45482</v>
      </c>
      <c r="K13" s="46">
        <f>IF(VLOOKUP(C13,Purchased!A:R,14,0)=0, " ", VLOOKUP(C13,Purchased!A:R,14,0))</f>
        <v>45482</v>
      </c>
      <c r="L13" s="46">
        <f>IF(VLOOKUP(C13,Purchased!A:R,15,0)=0, " ", VLOOKUP(C13,Purchased!A:R,15,0))</f>
        <v>45482</v>
      </c>
      <c r="M13" s="46">
        <f>IF(VLOOKUP(C13,Purchased!A:R,16,0)=0, " ",VLOOKUP(C13,Purchased!A:R,16,0))</f>
        <v>45483</v>
      </c>
      <c r="N13" s="130">
        <f>IF(VLOOKUP(C13,Purchased!A:R,17,0)=0, " ", VLOOKUP(C13,Purchased!A:R,17,0))</f>
        <v>45483</v>
      </c>
      <c r="O13" s="47">
        <f t="shared" ref="O13:O18" ca="1" si="6">B13*$L$2</f>
        <v>2</v>
      </c>
      <c r="P13" s="51">
        <f>VLOOKUP(C13,Purchased!A:D,3,FALSE)</f>
        <v>11.62</v>
      </c>
      <c r="Q13" s="52">
        <f t="shared" ref="Q13:Q18" si="7">B13*P13</f>
        <v>23.24</v>
      </c>
    </row>
    <row r="14" spans="1:17" s="2" customFormat="1" ht="12" customHeight="1" x14ac:dyDescent="0.25">
      <c r="A14" s="4">
        <v>302</v>
      </c>
      <c r="C14" s="135"/>
      <c r="D14" s="325"/>
      <c r="E14" s="326"/>
      <c r="F14" s="108"/>
      <c r="G14" s="108"/>
      <c r="H14" s="327"/>
      <c r="I14" s="328"/>
      <c r="J14" s="46"/>
      <c r="K14" s="46"/>
      <c r="L14" s="46"/>
      <c r="M14" s="46"/>
      <c r="N14" s="130"/>
      <c r="O14" s="47"/>
      <c r="P14" s="51"/>
      <c r="Q14" s="52"/>
    </row>
    <row r="15" spans="1:17" s="2" customFormat="1" ht="12" customHeight="1" x14ac:dyDescent="0.25">
      <c r="A15" s="4">
        <v>303</v>
      </c>
      <c r="C15" s="135"/>
      <c r="D15" s="325"/>
      <c r="E15" s="326"/>
      <c r="F15" s="108"/>
      <c r="G15" s="108"/>
      <c r="H15" s="327"/>
      <c r="I15" s="328"/>
      <c r="J15" s="46"/>
      <c r="K15" s="46"/>
      <c r="L15" s="46"/>
      <c r="M15" s="46"/>
      <c r="N15" s="130"/>
      <c r="O15" s="47"/>
      <c r="P15" s="51"/>
      <c r="Q15" s="52"/>
    </row>
    <row r="16" spans="1:17" s="2" customFormat="1" ht="12" customHeight="1" x14ac:dyDescent="0.25">
      <c r="A16" s="4">
        <v>304</v>
      </c>
      <c r="C16" s="135"/>
      <c r="D16" s="325"/>
      <c r="E16" s="326"/>
      <c r="F16" s="108"/>
      <c r="G16" s="108"/>
      <c r="H16" s="327"/>
      <c r="I16" s="328"/>
      <c r="J16" s="46"/>
      <c r="K16" s="46"/>
      <c r="L16" s="46"/>
      <c r="M16" s="46"/>
      <c r="N16" s="130"/>
      <c r="O16" s="47"/>
      <c r="P16" s="51"/>
      <c r="Q16" s="52"/>
    </row>
    <row r="17" spans="1:17" s="2" customFormat="1" ht="12" customHeight="1" x14ac:dyDescent="0.25">
      <c r="A17" s="4">
        <v>305</v>
      </c>
      <c r="B17" s="2">
        <v>2</v>
      </c>
      <c r="C17" s="135" t="s">
        <v>771</v>
      </c>
      <c r="D17" s="325" t="str">
        <f>VLOOKUP(C17,Purchased!A:B,2,0)</f>
        <v>18-8 Stainless Steel Hex Drive Flat Head Screw, M4 x 0.7 mm Thread, 6 mm 
Long</v>
      </c>
      <c r="E17" s="326"/>
      <c r="F17" s="108" t="str">
        <f>IF(VLOOKUP($C17,Purchased!A:Z,11,0) = 0, " ", VLOOKUP($C17,Purchased!A:Z,11,0))</f>
        <v>MCM</v>
      </c>
      <c r="G17" s="108" t="str">
        <f>IF(VLOOKUP($C17,Purchased!A:Z,12,0)=0, " ", VLOOKUP($C17,Purchased!A:Z,12,0))</f>
        <v>MCM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45482</v>
      </c>
      <c r="K17" s="46">
        <f>IF(VLOOKUP(C17,Purchased!A:R,14,0)=0, " ", VLOOKUP(C17,Purchased!A:R,14,0))</f>
        <v>45482</v>
      </c>
      <c r="L17" s="46">
        <f>IF(VLOOKUP(C17,Purchased!A:R,15,0)=0, " ", VLOOKUP(C17,Purchased!A:R,15,0))</f>
        <v>45482</v>
      </c>
      <c r="M17" s="46">
        <f>IF(VLOOKUP(C17,Purchased!A:R,16,0)=0, " ",VLOOKUP(C17,Purchased!A:R,16,0))</f>
        <v>45483</v>
      </c>
      <c r="N17" s="130">
        <f>IF(VLOOKUP(C17,Purchased!A:R,17,0)=0, " ", VLOOKUP(C17,Purchased!A:R,17,0))</f>
        <v>45483</v>
      </c>
      <c r="O17" s="47">
        <f t="shared" ca="1" si="6"/>
        <v>2</v>
      </c>
      <c r="P17" s="51">
        <f>VLOOKUP(C17,Purchased!A:D,3,FALSE)</f>
        <v>11.04</v>
      </c>
      <c r="Q17" s="52">
        <f t="shared" si="7"/>
        <v>22.08</v>
      </c>
    </row>
    <row r="18" spans="1:17" s="2" customFormat="1" ht="12" customHeight="1" x14ac:dyDescent="0.25">
      <c r="A18" s="4">
        <v>306</v>
      </c>
      <c r="B18" s="2">
        <v>4</v>
      </c>
      <c r="C18" s="135" t="s">
        <v>763</v>
      </c>
      <c r="D18" s="325" t="str">
        <f>VLOOKUP(C18,Purchased!A:B,2,0)</f>
        <v>M6X1.0 SINGLE HOLE T-BAR</v>
      </c>
      <c r="E18" s="326"/>
      <c r="F18" s="108" t="str">
        <f>IF(VLOOKUP($C18,Purchased!A:Z,11,0) = 0, " ", VLOOKUP($C18,Purchased!A:Z,11,0))</f>
        <v>DORNER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 t="str">
        <f>IF(VLOOKUP($C18,Purchased!A:Z,14,0)=0, " ", VLOOKUP($C18,Purchased!A:Z,14,0))</f>
        <v>N/A</v>
      </c>
      <c r="K18" s="46" t="str">
        <f>IF(VLOOKUP(C18,Purchased!A:R,14,0)=0, " ", VLOOKUP(C18,Purchased!A:R,14,0))</f>
        <v>N/A</v>
      </c>
      <c r="L18" s="46">
        <f>IF(VLOOKUP(C18,Purchased!A:R,15,0)=0, " ", VLOOKUP(C18,Purchased!A:R,15,0))</f>
        <v>45524</v>
      </c>
      <c r="M18" s="46">
        <f>IF(VLOOKUP(C18,Purchased!A:R,16,0)=0, " ",VLOOKUP(C18,Purchased!A:R,16,0))</f>
        <v>45547</v>
      </c>
      <c r="N18" s="130" t="str">
        <f>IF(VLOOKUP(C18,Purchased!A:R,17,0)=0, " ", VLOOKUP(C18,Purchased!A:R,17,0))</f>
        <v xml:space="preserve"> </v>
      </c>
      <c r="O18" s="47">
        <f t="shared" ca="1" si="6"/>
        <v>4</v>
      </c>
      <c r="P18" s="51">
        <f>VLOOKUP(C18,Purchased!A:D,3,FALSE)</f>
        <v>3.01</v>
      </c>
      <c r="Q18" s="52">
        <f t="shared" si="7"/>
        <v>12.04</v>
      </c>
    </row>
    <row r="19" spans="1:17" s="2" customFormat="1" ht="12" customHeight="1" x14ac:dyDescent="0.25">
      <c r="A19" s="4">
        <v>307</v>
      </c>
      <c r="B19" s="2">
        <v>4</v>
      </c>
      <c r="C19" s="135" t="s">
        <v>3880</v>
      </c>
      <c r="D19" s="325" t="str">
        <f>VLOOKUP(C19,Purchased!A:B,2,0)</f>
        <v>18-8 Stainless Steel Unthreaded Spacer, 4.500 mm OD, 4 mm Long, for M3 Screw Size</v>
      </c>
      <c r="E19" s="326"/>
      <c r="F19" s="108" t="str">
        <f>IF(VLOOKUP($C19,Purchased!A:Z,11,0) = 0, " ", VLOOKUP($C19,Purchased!A:Z,11,0))</f>
        <v>MCM</v>
      </c>
      <c r="G19" s="108" t="str">
        <f>IF(VLOOKUP($C19,Purchased!A:Z,12,0)=0, " ", VLOOKUP($C19,Purchased!A:Z,12,0))</f>
        <v>MCM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45559</v>
      </c>
      <c r="M19" s="46">
        <f>IF(VLOOKUP(C19,Purchased!A:R,16,0)=0, " ",VLOOKUP(C19,Purchased!A:R,16,0))</f>
        <v>45560</v>
      </c>
      <c r="N19" s="130">
        <f>IF(VLOOKUP(C19,Purchased!A:R,17,0)=0, " ", VLOOKUP(C19,Purchased!A:R,17,0))</f>
        <v>45560</v>
      </c>
      <c r="O19" s="47">
        <f t="shared" ref="O19:O22" ca="1" si="8">B19*$L$2</f>
        <v>4</v>
      </c>
      <c r="P19" s="51">
        <f>VLOOKUP(C19,Purchased!A:D,3,FALSE)</f>
        <v>1.75</v>
      </c>
      <c r="Q19" s="52">
        <f t="shared" ref="Q19:Q22" si="9">B19*P19</f>
        <v>7</v>
      </c>
    </row>
    <row r="20" spans="1:17" s="2" customFormat="1" ht="12" customHeight="1" x14ac:dyDescent="0.25">
      <c r="A20" s="4">
        <v>308</v>
      </c>
      <c r="B20" s="2">
        <v>4</v>
      </c>
      <c r="C20" s="135" t="s">
        <v>773</v>
      </c>
      <c r="D20" s="325" t="str">
        <f>VLOOKUP(C20,Purchased!A:B,2,0)</f>
        <v>Class 8.8 Steel General Purpose Washer, Zinc-Plated, for M3 Screw Size, 3.2 mm ID, 7.0 mm OD</v>
      </c>
      <c r="E20" s="326"/>
      <c r="F20" s="108" t="str">
        <f>IF(VLOOKUP($C20,Purchased!A:Z,11,0) = 0, " ", VLOOKUP($C20,Purchased!A:Z,11,0))</f>
        <v>MCM</v>
      </c>
      <c r="G20" s="108" t="str">
        <f>IF(VLOOKUP($C20,Purchased!A:Z,12,0)=0, " ", VLOOKUP($C20,Purchased!A:Z,12,0))</f>
        <v>MCM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45526</v>
      </c>
      <c r="K20" s="46">
        <f>IF(VLOOKUP(C20,Purchased!A:R,14,0)=0, " ", VLOOKUP(C20,Purchased!A:R,14,0))</f>
        <v>45526</v>
      </c>
      <c r="L20" s="46">
        <f>IF(VLOOKUP(C20,Purchased!A:R,15,0)=0, " ", VLOOKUP(C20,Purchased!A:R,15,0))</f>
        <v>45526</v>
      </c>
      <c r="M20" s="46" t="str">
        <f>IF(VLOOKUP(C20,Purchased!A:R,16,0)=0, " ",VLOOKUP(C20,Purchased!A:R,16,0))</f>
        <v xml:space="preserve"> </v>
      </c>
      <c r="N20" s="130" t="str">
        <f>IF(VLOOKUP(C20,Purchased!A:R,17,0)=0, " ", VLOOKUP(C20,Purchased!A:R,17,0))</f>
        <v xml:space="preserve"> </v>
      </c>
      <c r="O20" s="47">
        <f t="shared" ca="1" si="8"/>
        <v>4</v>
      </c>
      <c r="P20" s="51">
        <f>VLOOKUP(C20,Purchased!A:D,3,FALSE)</f>
        <v>2.61</v>
      </c>
      <c r="Q20" s="52">
        <f t="shared" si="9"/>
        <v>10.44</v>
      </c>
    </row>
    <row r="21" spans="1:17" s="2" customFormat="1" ht="12" customHeight="1" x14ac:dyDescent="0.25">
      <c r="A21" s="4">
        <v>309</v>
      </c>
      <c r="B21" s="2">
        <v>4</v>
      </c>
      <c r="C21" s="135" t="s">
        <v>774</v>
      </c>
      <c r="D21" s="325" t="str">
        <f>VLOOKUP(C21,Purchased!A:B,2,0)</f>
        <v>Medium-Strength Zinc-Plated Steel Thin Hex Nut Class 04, M3 x 0.5 mm Thread</v>
      </c>
      <c r="E21" s="326"/>
      <c r="F21" s="108" t="str">
        <f>IF(VLOOKUP($C21,Purchased!A:Z,11,0) = 0, " ", VLOOKUP($C21,Purchased!A:Z,11,0))</f>
        <v>MCM</v>
      </c>
      <c r="G21" s="108" t="str">
        <f>IF(VLOOKUP($C21,Purchased!A:Z,12,0)=0, " ", VLOOKUP($C21,Purchased!A:Z,12,0))</f>
        <v>MCM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45526</v>
      </c>
      <c r="K21" s="46">
        <f>IF(VLOOKUP(C21,Purchased!A:R,14,0)=0, " ", VLOOKUP(C21,Purchased!A:R,14,0))</f>
        <v>45526</v>
      </c>
      <c r="L21" s="46">
        <f>IF(VLOOKUP(C21,Purchased!A:R,15,0)=0, " ", VLOOKUP(C21,Purchased!A:R,15,0))</f>
        <v>45526</v>
      </c>
      <c r="M21" s="46" t="str">
        <f>IF(VLOOKUP(C21,Purchased!A:R,16,0)=0, " ",VLOOKUP(C21,Purchased!A:R,16,0))</f>
        <v xml:space="preserve"> </v>
      </c>
      <c r="N21" s="130" t="str">
        <f>IF(VLOOKUP(C21,Purchased!A:R,17,0)=0, " ", VLOOKUP(C21,Purchased!A:R,17,0))</f>
        <v xml:space="preserve"> </v>
      </c>
      <c r="O21" s="47">
        <f t="shared" ca="1" si="8"/>
        <v>4</v>
      </c>
      <c r="P21" s="51">
        <f>VLOOKUP(C21,Purchased!A:D,3,FALSE)</f>
        <v>4.2300000000000004</v>
      </c>
      <c r="Q21" s="52">
        <f t="shared" si="9"/>
        <v>16.920000000000002</v>
      </c>
    </row>
    <row r="22" spans="1:17" s="2" customFormat="1" ht="12" customHeight="1" x14ac:dyDescent="0.25">
      <c r="A22" s="4">
        <v>310</v>
      </c>
      <c r="B22" s="2">
        <v>4</v>
      </c>
      <c r="C22" s="135" t="s">
        <v>775</v>
      </c>
      <c r="D22" s="325" t="str">
        <f>VLOOKUP(C22,Purchased!A:B,2,0)</f>
        <v>18-8 Stainless Steel Hex Drive Flat Head Screw, M3 x 0.5 mm Thread, 12 mm Long</v>
      </c>
      <c r="E22" s="326"/>
      <c r="F22" s="108" t="str">
        <f>IF(VLOOKUP($C22,Purchased!A:Z,11,0) = 0, " ", VLOOKUP($C22,Purchased!A:Z,11,0))</f>
        <v>MCM</v>
      </c>
      <c r="G22" s="108" t="str">
        <f>IF(VLOOKUP($C22,Purchased!A:Z,12,0)=0, " ", VLOOKUP($C22,Purchased!A:Z,12,0))</f>
        <v>MCM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45526</v>
      </c>
      <c r="K22" s="46">
        <f>IF(VLOOKUP(C22,Purchased!A:R,14,0)=0, " ", VLOOKUP(C22,Purchased!A:R,14,0))</f>
        <v>45526</v>
      </c>
      <c r="L22" s="46">
        <f>IF(VLOOKUP(C22,Purchased!A:R,15,0)=0, " ", VLOOKUP(C22,Purchased!A:R,15,0))</f>
        <v>45526</v>
      </c>
      <c r="M22" s="46" t="str">
        <f>IF(VLOOKUP(C22,Purchased!A:R,16,0)=0, " ",VLOOKUP(C22,Purchased!A:R,16,0))</f>
        <v xml:space="preserve"> </v>
      </c>
      <c r="N22" s="130" t="str">
        <f>IF(VLOOKUP(C22,Purchased!A:R,17,0)=0, " ", VLOOKUP(C22,Purchased!A:R,17,0))</f>
        <v xml:space="preserve"> </v>
      </c>
      <c r="O22" s="47">
        <f t="shared" ca="1" si="8"/>
        <v>4</v>
      </c>
      <c r="P22" s="51">
        <f>VLOOKUP(C22,Purchased!A:D,3,FALSE)</f>
        <v>6.19</v>
      </c>
      <c r="Q22" s="52">
        <f t="shared" si="9"/>
        <v>24.76</v>
      </c>
    </row>
    <row r="23" spans="1:17" s="2" customFormat="1" ht="12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" customHeight="1" x14ac:dyDescent="0.25">
      <c r="A24" s="4">
        <v>501</v>
      </c>
      <c r="B24" s="2">
        <v>4</v>
      </c>
      <c r="C24" s="122" t="s">
        <v>174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ref="O24:O25" ca="1" si="10">B24*$L$2</f>
        <v>4</v>
      </c>
      <c r="P24" s="51">
        <f>VLOOKUP(C24,Bolts!A:B,2,FALSE)</f>
        <v>0</v>
      </c>
      <c r="Q24" s="52">
        <f t="shared" ref="Q24:Q25" si="11">B24*P24</f>
        <v>0</v>
      </c>
    </row>
    <row r="25" spans="1:17" s="2" customFormat="1" ht="12" customHeight="1" x14ac:dyDescent="0.25">
      <c r="A25" s="4">
        <v>502</v>
      </c>
      <c r="B25" s="2">
        <v>8</v>
      </c>
      <c r="C25" s="122" t="s">
        <v>776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10"/>
        <v>8</v>
      </c>
      <c r="P25" s="51">
        <f>VLOOKUP(C25,Bolts!A:B,2,FALSE)</f>
        <v>0</v>
      </c>
      <c r="Q25" s="52">
        <f t="shared" si="11"/>
        <v>0</v>
      </c>
    </row>
    <row r="26" spans="1:17" s="2" customFormat="1" ht="12" customHeight="1" thickBot="1" x14ac:dyDescent="0.3">
      <c r="A26" s="4">
        <v>503</v>
      </c>
      <c r="B26" s="2">
        <v>12</v>
      </c>
      <c r="C26" s="122" t="s">
        <v>777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ref="O26" ca="1" si="12">B26*$L$2</f>
        <v>12</v>
      </c>
      <c r="P26" s="51">
        <f>VLOOKUP(C26,Bolts!A:B,2,FALSE)</f>
        <v>0</v>
      </c>
      <c r="Q26" s="52">
        <f t="shared" ref="Q26" si="13">B26*P26</f>
        <v>0</v>
      </c>
    </row>
    <row r="27" spans="1:17" s="2" customFormat="1" ht="12" customHeight="1" thickBot="1" x14ac:dyDescent="0.3">
      <c r="A27" s="34"/>
      <c r="B27" s="35"/>
      <c r="C27" s="35"/>
      <c r="D27" s="316"/>
      <c r="E27" s="317"/>
      <c r="F27" s="35"/>
      <c r="G27" s="35"/>
      <c r="H27" s="309"/>
      <c r="I27" s="310"/>
      <c r="J27" s="36"/>
      <c r="K27" s="36"/>
      <c r="L27" s="36"/>
      <c r="M27" s="37"/>
      <c r="N27" s="132"/>
      <c r="O27" s="38"/>
      <c r="P27" s="99" t="s">
        <v>43</v>
      </c>
      <c r="Q27" s="104">
        <f>SUM(Q5:Q25)</f>
        <v>1358.9299999999998</v>
      </c>
    </row>
  </sheetData>
  <sheetProtection selectLockedCells="1"/>
  <mergeCells count="46">
    <mergeCell ref="D22:E22"/>
    <mergeCell ref="H22:I22"/>
    <mergeCell ref="D26:E26"/>
    <mergeCell ref="D19:E19"/>
    <mergeCell ref="H19:I19"/>
    <mergeCell ref="D20:E20"/>
    <mergeCell ref="H20:I20"/>
    <mergeCell ref="D21:E21"/>
    <mergeCell ref="H21:I21"/>
    <mergeCell ref="D27:E27"/>
    <mergeCell ref="H27:I27"/>
    <mergeCell ref="D23:E23"/>
    <mergeCell ref="H23:I23"/>
    <mergeCell ref="D24:E24"/>
    <mergeCell ref="D25:E25"/>
    <mergeCell ref="D17:E17"/>
    <mergeCell ref="H17:I17"/>
    <mergeCell ref="D18:E18"/>
    <mergeCell ref="H18:I18"/>
    <mergeCell ref="D14:E14"/>
    <mergeCell ref="H14:I14"/>
    <mergeCell ref="D15:E15"/>
    <mergeCell ref="H15:I15"/>
    <mergeCell ref="D16:E16"/>
    <mergeCell ref="H16:I16"/>
    <mergeCell ref="D12:E12"/>
    <mergeCell ref="H12:I12"/>
    <mergeCell ref="D13:E13"/>
    <mergeCell ref="H13:I13"/>
    <mergeCell ref="D10:E10"/>
    <mergeCell ref="H10:I10"/>
    <mergeCell ref="D11:E11"/>
    <mergeCell ref="H11:I11"/>
    <mergeCell ref="D7:E7"/>
    <mergeCell ref="H7:I7"/>
    <mergeCell ref="D8:E8"/>
    <mergeCell ref="H8:I8"/>
    <mergeCell ref="D9:E9"/>
    <mergeCell ref="H9:I9"/>
    <mergeCell ref="D5:E5"/>
    <mergeCell ref="H5:I5"/>
    <mergeCell ref="D6:E6"/>
    <mergeCell ref="H6:I6"/>
    <mergeCell ref="D1:E1"/>
    <mergeCell ref="D4:E4"/>
    <mergeCell ref="H4:I4"/>
  </mergeCells>
  <conditionalFormatting sqref="M12 M23:M26">
    <cfRule type="cellIs" dxfId="1302" priority="21" stopIfTrue="1" operator="lessThanOrEqual">
      <formula>$L12</formula>
    </cfRule>
    <cfRule type="cellIs" dxfId="1301" priority="22" operator="greaterThan">
      <formula>L12</formula>
    </cfRule>
  </conditionalFormatting>
  <conditionalFormatting sqref="M13">
    <cfRule type="cellIs" dxfId="1300" priority="19" stopIfTrue="1" operator="lessThanOrEqual">
      <formula>$L13</formula>
    </cfRule>
    <cfRule type="cellIs" dxfId="1299" priority="20" operator="greaterThan">
      <formula>L13</formula>
    </cfRule>
  </conditionalFormatting>
  <conditionalFormatting sqref="M14">
    <cfRule type="cellIs" dxfId="1298" priority="17" stopIfTrue="1" operator="lessThanOrEqual">
      <formula>$L14</formula>
    </cfRule>
    <cfRule type="cellIs" dxfId="1297" priority="18" operator="greaterThan">
      <formula>L14</formula>
    </cfRule>
  </conditionalFormatting>
  <conditionalFormatting sqref="M15">
    <cfRule type="cellIs" dxfId="1296" priority="15" stopIfTrue="1" operator="lessThanOrEqual">
      <formula>$L15</formula>
    </cfRule>
    <cfRule type="cellIs" dxfId="1295" priority="16" operator="greaterThan">
      <formula>L15</formula>
    </cfRule>
  </conditionalFormatting>
  <conditionalFormatting sqref="M16">
    <cfRule type="cellIs" dxfId="1294" priority="13" stopIfTrue="1" operator="lessThanOrEqual">
      <formula>$L16</formula>
    </cfRule>
    <cfRule type="cellIs" dxfId="1293" priority="14" operator="greaterThan">
      <formula>L16</formula>
    </cfRule>
  </conditionalFormatting>
  <conditionalFormatting sqref="M17">
    <cfRule type="cellIs" dxfId="1292" priority="11" stopIfTrue="1" operator="lessThanOrEqual">
      <formula>$L17</formula>
    </cfRule>
    <cfRule type="cellIs" dxfId="1291" priority="12" operator="greaterThan">
      <formula>L17</formula>
    </cfRule>
  </conditionalFormatting>
  <conditionalFormatting sqref="M18">
    <cfRule type="cellIs" dxfId="1290" priority="9" stopIfTrue="1" operator="lessThanOrEqual">
      <formula>$L18</formula>
    </cfRule>
    <cfRule type="cellIs" dxfId="1289" priority="10" operator="greaterThan">
      <formula>L18</formula>
    </cfRule>
  </conditionalFormatting>
  <conditionalFormatting sqref="M19">
    <cfRule type="cellIs" dxfId="1288" priority="7" stopIfTrue="1" operator="lessThanOrEqual">
      <formula>$L19</formula>
    </cfRule>
    <cfRule type="cellIs" dxfId="1287" priority="8" operator="greaterThan">
      <formula>L19</formula>
    </cfRule>
  </conditionalFormatting>
  <conditionalFormatting sqref="M20">
    <cfRule type="cellIs" dxfId="1286" priority="5" stopIfTrue="1" operator="lessThanOrEqual">
      <formula>$L20</formula>
    </cfRule>
    <cfRule type="cellIs" dxfId="1285" priority="6" operator="greaterThan">
      <formula>L20</formula>
    </cfRule>
  </conditionalFormatting>
  <conditionalFormatting sqref="M21">
    <cfRule type="cellIs" dxfId="1284" priority="3" stopIfTrue="1" operator="lessThanOrEqual">
      <formula>$L21</formula>
    </cfRule>
    <cfRule type="cellIs" dxfId="1283" priority="4" operator="greaterThan">
      <formula>L21</formula>
    </cfRule>
  </conditionalFormatting>
  <conditionalFormatting sqref="M22">
    <cfRule type="cellIs" dxfId="1282" priority="1" stopIfTrue="1" operator="lessThanOrEqual">
      <formula>$L22</formula>
    </cfRule>
    <cfRule type="cellIs" dxfId="1281" priority="2" operator="greaterThan">
      <formula>L22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1A4F1B-7231-47DA-9344-1B3BDDC91D69}">
          <x14:formula1>
            <xm:f>Bolts!$A:$A</xm:f>
          </x14:formula1>
          <xm:sqref>C23:C26</xm:sqref>
        </x14:dataValidation>
        <x14:dataValidation type="list" allowBlank="1" showInputMessage="1" showErrorMessage="1" xr:uid="{3378CFA0-9B9C-4F85-9DD6-31FB52A2A65A}">
          <x14:formula1>
            <xm:f>Machined!$C:$C</xm:f>
          </x14:formula1>
          <xm:sqref>C5:C11</xm:sqref>
        </x14:dataValidation>
        <x14:dataValidation type="list" allowBlank="1" showInputMessage="1" showErrorMessage="1" xr:uid="{AF0CBF04-0262-497E-A478-CF24CA6DA15B}">
          <x14:formula1>
            <xm:f>Purchased!$A:$A</xm:f>
          </x14:formula1>
          <xm:sqref>C12:C22</xm:sqref>
        </x14:dataValidation>
      </x14:dataValidations>
    </ext>
  </extLst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65A5D-925E-4139-A96D-8E8755D01B60}">
  <sheetPr codeName="Sheet127">
    <tabColor theme="9" tint="0.59999389629810485"/>
  </sheetPr>
  <dimension ref="A1:Q50"/>
  <sheetViews>
    <sheetView topLeftCell="A15" zoomScale="115" zoomScaleNormal="115" workbookViewId="0">
      <selection activeCell="C30" sqref="C3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'5'!C11</f>
        <v>PG10.5.5.0.A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'5'!D11</f>
        <v>Cuff Lift Assy A Side</v>
      </c>
      <c r="D3" s="85" t="s">
        <v>50</v>
      </c>
      <c r="E3" s="86" t="str">
        <f ca="1">MID(CELL("filename",A1),FIND("]",CELL("filename",A1))+1,256)</f>
        <v>5.5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781</v>
      </c>
      <c r="D5" s="336" t="str">
        <f ca="1">VLOOKUP(C5,Assemblies!E:P,2,0)</f>
        <v>Cuff Escpmnt A Side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8" ca="1" si="0">B5*$L$2</f>
        <v>1</v>
      </c>
      <c r="P5" s="117">
        <f>'5.5.1'!Q30</f>
        <v>2007.0099999999998</v>
      </c>
      <c r="Q5" s="118">
        <f t="shared" ref="Q5:Q8" si="1">B5*P5</f>
        <v>2007.0099999999998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782</v>
      </c>
      <c r="D6" s="314" t="str">
        <f ca="1">VLOOKUP(C6,Assemblies!E:P,2,0)</f>
        <v>Cuff Shuttle A Side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'5.5.2'!Q18</f>
        <v>1866.54</v>
      </c>
      <c r="Q6" s="103">
        <f t="shared" si="1"/>
        <v>1866.54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783</v>
      </c>
      <c r="D7" s="314" t="str">
        <f ca="1">VLOOKUP(C7,Assemblies!E:P,2,0)</f>
        <v>Cuff Esc Sensor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'5.5.3'!Q15</f>
        <v>759.21</v>
      </c>
      <c r="Q7" s="103">
        <f t="shared" si="1"/>
        <v>759.21</v>
      </c>
    </row>
    <row r="8" spans="1:17" s="2" customFormat="1" ht="12.75" customHeight="1" x14ac:dyDescent="0.2">
      <c r="A8" s="150" t="s">
        <v>60</v>
      </c>
      <c r="B8" s="1">
        <v>1</v>
      </c>
      <c r="C8" s="145" t="s">
        <v>784</v>
      </c>
      <c r="D8" s="314" t="str">
        <f ca="1">VLOOKUP(C8,Assemblies!E:P,2,0)</f>
        <v>Cuff Nail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'5.5.4'!Q21</f>
        <v>643.59</v>
      </c>
      <c r="Q8" s="103">
        <f t="shared" si="1"/>
        <v>643.59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785</v>
      </c>
      <c r="D10" s="314" t="str">
        <f>VLOOKUP(C10,Machined!C:X,2,0)</f>
        <v>Cuff Lift Bearing Plate</v>
      </c>
      <c r="E10" s="329"/>
      <c r="F10" s="107" t="str">
        <f>VLOOKUP($C10,Machined!C:Z,13,0)</f>
        <v>MIC-6 CAST ALUMINUM</v>
      </c>
      <c r="G10" s="44" t="str">
        <f>IF(VLOOKUP($C10,Machined!C:Z,16,0) = 0, " ", VLOOKUP($C10,Machined!C:Z,16,0))</f>
        <v>MtnStatesAuto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MIC-6 CAST ALUMINUM</v>
      </c>
      <c r="J10" s="44">
        <f>IF(VLOOKUP($C10,Machined!C:Z,18,0) = 0, " ", VLOOKUP($C10,Machined!C:Z,18,0))</f>
        <v>45495</v>
      </c>
      <c r="K10" s="44">
        <f>IF(VLOOKUP($C10,Machined!C:Z,19,0) = 0, " ", VLOOKUP($C10,Machined!C:Z,19,0))</f>
        <v>45505</v>
      </c>
      <c r="L10" s="44">
        <f>IF(VLOOKUP($C10,Machined!C:Z,20,0) = 0, " ", VLOOKUP($C10,Machined!C:Z,20,0))</f>
        <v>45540</v>
      </c>
      <c r="M10" s="44">
        <f>IF(VLOOKUP($C10,Machined!C:Z,21,0) = 0, " ", VLOOKUP($C10,Machined!C:Z,21,0))</f>
        <v>45540</v>
      </c>
      <c r="N10" s="129">
        <f>IF(VLOOKUP($C10,Machined!C:Z,22,0) = 0, " ", VLOOKUP($C10,Machined!C:Z,22,0))</f>
        <v>55644</v>
      </c>
      <c r="O10" s="45">
        <f ca="1">B10*$L$2</f>
        <v>1</v>
      </c>
      <c r="P10" s="49">
        <f>VLOOKUP(C10,Machined!C:F,3,0)</f>
        <v>526</v>
      </c>
      <c r="Q10" s="50">
        <f>B10*P10</f>
        <v>526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786</v>
      </c>
      <c r="D11" s="314" t="str">
        <f>VLOOKUP(C11,Machined!C:X,2,0)</f>
        <v>Lift Mid Plate A Side</v>
      </c>
      <c r="E11" s="329"/>
      <c r="F11" s="107" t="str">
        <f>VLOOKUP($C11,Machined!C:Z,13,0)</f>
        <v>MIC-6 CAST ALUMINUM</v>
      </c>
      <c r="G11" s="44" t="str">
        <f>IF(VLOOKUP($C11,Machined!C:Z,16,0) = 0, " ", VLOOKUP($C11,Machined!C:Z,16,0))</f>
        <v>MtnStatesAuto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MIC-6 CAST ALUMINUM</v>
      </c>
      <c r="J11" s="44">
        <f>IF(VLOOKUP($C11,Machined!C:Z,18,0) = 0, " ", VLOOKUP($C11,Machined!C:Z,18,0))</f>
        <v>45495</v>
      </c>
      <c r="K11" s="44">
        <f>IF(VLOOKUP($C11,Machined!C:Z,19,0) = 0, " ", VLOOKUP($C11,Machined!C:Z,19,0))</f>
        <v>45505</v>
      </c>
      <c r="L11" s="44">
        <f>IF(VLOOKUP($C11,Machined!C:Z,20,0) = 0, " ", VLOOKUP($C11,Machined!C:Z,20,0))</f>
        <v>45540</v>
      </c>
      <c r="M11" s="44">
        <f>IF(VLOOKUP($C11,Machined!C:Z,21,0) = 0, " ", VLOOKUP($C11,Machined!C:Z,21,0))</f>
        <v>45540</v>
      </c>
      <c r="N11" s="129">
        <f>IF(VLOOKUP($C11,Machined!C:Z,22,0) = 0, " ", VLOOKUP($C11,Machined!C:Z,22,0))</f>
        <v>55644</v>
      </c>
      <c r="O11" s="45">
        <f t="shared" ref="O11:O12" ca="1" si="2">B11*$L$2</f>
        <v>1</v>
      </c>
      <c r="P11" s="49">
        <f>VLOOKUP(C11,Machined!C:F,3,0)</f>
        <v>461</v>
      </c>
      <c r="Q11" s="50">
        <f t="shared" ref="Q11:Q12" si="3">B11*P11</f>
        <v>461</v>
      </c>
    </row>
    <row r="12" spans="1:17" s="2" customFormat="1" ht="12.75" customHeight="1" x14ac:dyDescent="0.25">
      <c r="A12" s="77">
        <v>3</v>
      </c>
      <c r="B12" s="20">
        <v>2</v>
      </c>
      <c r="C12" s="121" t="s">
        <v>787</v>
      </c>
      <c r="D12" s="314" t="str">
        <f>VLOOKUP(C12,Machined!C:X,2,0)</f>
        <v>Support Plate</v>
      </c>
      <c r="E12" s="329"/>
      <c r="F12" s="107" t="str">
        <f>VLOOKUP($C12,Machined!C:Z,13,0)</f>
        <v>6061-T6 ALUMINUM</v>
      </c>
      <c r="G12" s="44" t="str">
        <f>IF(VLOOKUP($C12,Machined!C:Z,16,0) = 0, " ", VLOOKUP($C12,Machined!C:Z,16,0))</f>
        <v>MtnStatesAuto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6061-T6 ALUMINUM</v>
      </c>
      <c r="J12" s="44">
        <f>IF(VLOOKUP($C12,Machined!C:Z,18,0) = 0, " ", VLOOKUP($C12,Machined!C:Z,18,0))</f>
        <v>45495</v>
      </c>
      <c r="K12" s="44">
        <f>IF(VLOOKUP($C12,Machined!C:Z,19,0) = 0, " ", VLOOKUP($C12,Machined!C:Z,19,0))</f>
        <v>45505</v>
      </c>
      <c r="L12" s="44">
        <f>IF(VLOOKUP($C12,Machined!C:Z,20,0) = 0, " ", VLOOKUP($C12,Machined!C:Z,20,0))</f>
        <v>45540</v>
      </c>
      <c r="M12" s="44">
        <f>IF(VLOOKUP($C12,Machined!C:Z,21,0) = 0, " ", VLOOKUP($C12,Machined!C:Z,21,0))</f>
        <v>45540</v>
      </c>
      <c r="N12" s="129">
        <f>IF(VLOOKUP($C12,Machined!C:Z,22,0) = 0, " ", VLOOKUP($C12,Machined!C:Z,22,0))</f>
        <v>55644</v>
      </c>
      <c r="O12" s="45">
        <f t="shared" ca="1" si="2"/>
        <v>2</v>
      </c>
      <c r="P12" s="49">
        <f>VLOOKUP(C12,Machined!C:F,3,0)</f>
        <v>196.25</v>
      </c>
      <c r="Q12" s="50">
        <f t="shared" si="3"/>
        <v>392.5</v>
      </c>
    </row>
    <row r="13" spans="1:17" s="2" customFormat="1" ht="12.75" customHeight="1" x14ac:dyDescent="0.25">
      <c r="A13" s="77">
        <v>4</v>
      </c>
      <c r="B13" s="20">
        <v>8</v>
      </c>
      <c r="C13" s="121" t="s">
        <v>788</v>
      </c>
      <c r="D13" s="314" t="str">
        <f>VLOOKUP(C13,Machined!C:X,2,0)</f>
        <v>Cuff Gusset</v>
      </c>
      <c r="E13" s="329"/>
      <c r="F13" s="107" t="str">
        <f>VLOOKUP($C13,Machined!C:Z,13,0)</f>
        <v>304 STAINLESS STEEL</v>
      </c>
      <c r="G13" s="44" t="str">
        <f>IF(VLOOKUP($C13,Machined!C:Z,16,0) = 0, " ", VLOOKUP($C13,Machined!C:Z,16,0))</f>
        <v>Proto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304 STAINLESS STEEL</v>
      </c>
      <c r="J13" s="44">
        <f>IF(VLOOKUP($C13,Machined!C:Z,18,0) = 0, " ", VLOOKUP($C13,Machined!C:Z,18,0))</f>
        <v>45495</v>
      </c>
      <c r="K13" s="44">
        <f>IF(VLOOKUP($C13,Machined!C:Z,19,0) = 0, " ", VLOOKUP($C13,Machined!C:Z,19,0))</f>
        <v>45510</v>
      </c>
      <c r="L13" s="44">
        <f>IF(VLOOKUP($C13,Machined!C:Z,20,0) = 0, " ", VLOOKUP($C13,Machined!C:Z,20,0))</f>
        <v>45540</v>
      </c>
      <c r="M13" s="44">
        <f>IF(VLOOKUP($C13,Machined!C:Z,21,0) = 0, " ", VLOOKUP($C13,Machined!C:Z,21,0))</f>
        <v>45540</v>
      </c>
      <c r="N13" s="129">
        <f>IF(VLOOKUP($C13,Machined!C:Z,22,0) = 0, " ", VLOOKUP($C13,Machined!C:Z,22,0))</f>
        <v>55658</v>
      </c>
      <c r="O13" s="45">
        <f ca="1">B13*$L$2</f>
        <v>8</v>
      </c>
      <c r="P13" s="49">
        <f>VLOOKUP(C13,Machined!C:F,3,0)</f>
        <v>45.94</v>
      </c>
      <c r="Q13" s="50">
        <f>B13*P13</f>
        <v>367.52</v>
      </c>
    </row>
    <row r="14" spans="1:17" s="2" customFormat="1" ht="12.75" customHeight="1" x14ac:dyDescent="0.25">
      <c r="A14" s="77">
        <v>5</v>
      </c>
      <c r="B14" s="20">
        <v>1</v>
      </c>
      <c r="C14" s="121" t="s">
        <v>789</v>
      </c>
      <c r="D14" s="314" t="str">
        <f>VLOOKUP(C14,Machined!C:X,2,0)</f>
        <v>Water Coupling Bracket</v>
      </c>
      <c r="E14" s="329"/>
      <c r="F14" s="107" t="str">
        <f>VLOOKUP($C14,Machined!C:Z,13,0)</f>
        <v>304 STAINLESS STEEL</v>
      </c>
      <c r="G14" s="44" t="str">
        <f>IF(VLOOKUP($C14,Machined!C:Z,16,0) = 0, " ", VLOOKUP($C14,Machined!C:Z,16,0))</f>
        <v>Proto</v>
      </c>
      <c r="H14" s="320" t="str">
        <f>IF(VLOOKUP($C14,Machined!C:Z,17,0) = 0, " ", VLOOKUP($C14,Machined!C:Z,17,0))</f>
        <v xml:space="preserve"> </v>
      </c>
      <c r="I14" s="321" t="str">
        <f>IF(VLOOKUP($C14,Machined!$C:$Y,13,0) = 0, " ", VLOOKUP($C14,Machined!$C:$Y,13,0))</f>
        <v>304 STAINLESS STEEL</v>
      </c>
      <c r="J14" s="44">
        <f>IF(VLOOKUP($C14,Machined!C:Z,18,0) = 0, " ", VLOOKUP($C14,Machined!C:Z,18,0))</f>
        <v>45495</v>
      </c>
      <c r="K14" s="44">
        <f>IF(VLOOKUP($C14,Machined!C:Z,19,0) = 0, " ", VLOOKUP($C14,Machined!C:Z,19,0))</f>
        <v>45510</v>
      </c>
      <c r="L14" s="44">
        <f>IF(VLOOKUP($C14,Machined!C:Z,20,0) = 0, " ", VLOOKUP($C14,Machined!C:Z,20,0))</f>
        <v>45540</v>
      </c>
      <c r="M14" s="44">
        <f>IF(VLOOKUP($C14,Machined!C:Z,21,0) = 0, " ", VLOOKUP($C14,Machined!C:Z,21,0))</f>
        <v>45540</v>
      </c>
      <c r="N14" s="129">
        <f>IF(VLOOKUP($C14,Machined!C:Z,22,0) = 0, " ", VLOOKUP($C14,Machined!C:Z,22,0))</f>
        <v>55658</v>
      </c>
      <c r="O14" s="45">
        <f t="shared" ref="O14:O15" ca="1" si="4">B14*$L$2</f>
        <v>1</v>
      </c>
      <c r="P14" s="49">
        <f>VLOOKUP(C14,Machined!C:F,3,0)</f>
        <v>72.12</v>
      </c>
      <c r="Q14" s="50">
        <f t="shared" ref="Q14:Q15" si="5">B14*P14</f>
        <v>72.12</v>
      </c>
    </row>
    <row r="15" spans="1:17" s="2" customFormat="1" ht="12.75" customHeight="1" x14ac:dyDescent="0.25">
      <c r="A15" s="77">
        <v>6</v>
      </c>
      <c r="B15" s="20">
        <v>2</v>
      </c>
      <c r="C15" s="121" t="s">
        <v>790</v>
      </c>
      <c r="D15" s="314" t="str">
        <f>VLOOKUP(C15,Machined!C:X,2,0)</f>
        <v>Water Hose Weight</v>
      </c>
      <c r="E15" s="329"/>
      <c r="F15" s="107" t="str">
        <f>VLOOKUP($C15,Machined!C:Z,13,0)</f>
        <v>6061-T6 ALUMINUM</v>
      </c>
      <c r="G15" s="44" t="str">
        <f>IF(VLOOKUP($C15,Machined!C:Z,16,0) = 0, " ", VLOOKUP($C15,Machined!C:Z,16,0))</f>
        <v>Frontier Mach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6061-T6 ALUMINUM</v>
      </c>
      <c r="J15" s="44">
        <f>IF(VLOOKUP($C15,Machined!C:Z,18,0) = 0, " ", VLOOKUP($C15,Machined!C:Z,18,0))</f>
        <v>45495</v>
      </c>
      <c r="K15" s="44">
        <f>IF(VLOOKUP($C15,Machined!C:Z,19,0) = 0, " ", VLOOKUP($C15,Machined!C:Z,19,0))</f>
        <v>45504</v>
      </c>
      <c r="L15" s="44">
        <f>IF(VLOOKUP($C15,Machined!C:Z,20,0) = 0, " ", VLOOKUP($C15,Machined!C:Z,20,0))</f>
        <v>45534</v>
      </c>
      <c r="M15" s="44">
        <f>IF(VLOOKUP($C15,Machined!C:Z,21,0) = 0, " ", VLOOKUP($C15,Machined!C:Z,21,0))</f>
        <v>45534</v>
      </c>
      <c r="N15" s="129">
        <f>IF(VLOOKUP($C15,Machined!C:Z,22,0) = 0, " ", VLOOKUP($C15,Machined!C:Z,22,0))</f>
        <v>55641</v>
      </c>
      <c r="O15" s="45">
        <f t="shared" ca="1" si="4"/>
        <v>2</v>
      </c>
      <c r="P15" s="49">
        <f>VLOOKUP(C15,Machined!C:F,3,0)</f>
        <v>63.35</v>
      </c>
      <c r="Q15" s="50">
        <f t="shared" si="5"/>
        <v>126.7</v>
      </c>
    </row>
    <row r="16" spans="1:17" s="2" customFormat="1" ht="12.75" customHeight="1" x14ac:dyDescent="0.25">
      <c r="A16" s="77">
        <v>7</v>
      </c>
      <c r="B16" s="20">
        <v>2</v>
      </c>
      <c r="C16" s="121" t="s">
        <v>791</v>
      </c>
      <c r="D16" s="314" t="str">
        <f>VLOOKUP(C16,Machined!C:X,2,0)</f>
        <v>Lead Screw Mounting Block</v>
      </c>
      <c r="E16" s="329"/>
      <c r="F16" s="107" t="str">
        <f>VLOOKUP($C16,Machined!C:Z,13,0)</f>
        <v>6061-T6 ALUMINUM</v>
      </c>
      <c r="G16" s="44" t="str">
        <f>IF(VLOOKUP($C16,Machined!C:Z,16,0) = 0, " ", VLOOKUP($C16,Machined!C:Z,16,0))</f>
        <v>Craig Miller</v>
      </c>
      <c r="H16" s="320" t="str">
        <f>IF(VLOOKUP($C16,Machined!C:Z,17,0) = 0, " ", VLOOKUP($C16,Machined!C:Z,17,0))</f>
        <v>ordered 8 more 55629</v>
      </c>
      <c r="I16" s="321" t="str">
        <f>IF(VLOOKUP($C16,Machined!$C:$Y,13,0) = 0, " ", VLOOKUP($C16,Machined!$C:$Y,13,0))</f>
        <v>6061-T6 ALUMINUM</v>
      </c>
      <c r="J16" s="44">
        <f>IF(VLOOKUP($C16,Machined!C:Z,18,0) = 0, " ", VLOOKUP($C16,Machined!C:Z,18,0))</f>
        <v>45468</v>
      </c>
      <c r="K16" s="44">
        <f>IF(VLOOKUP($C16,Machined!C:Z,19,0) = 0, " ", VLOOKUP($C16,Machined!C:Z,19,0))</f>
        <v>45470</v>
      </c>
      <c r="L16" s="44">
        <f>IF(VLOOKUP($C16,Machined!C:Z,20,0) = 0, " ", VLOOKUP($C16,Machined!C:Z,20,0))</f>
        <v>45495</v>
      </c>
      <c r="M16" s="44">
        <f>IF(VLOOKUP($C16,Machined!C:Z,21,0) = 0, " ", VLOOKUP($C16,Machined!C:Z,21,0))</f>
        <v>45495</v>
      </c>
      <c r="N16" s="129">
        <f>IF(VLOOKUP($C16,Machined!C:Z,22,0) = 0, " ", VLOOKUP($C16,Machined!C:Z,22,0))</f>
        <v>55576</v>
      </c>
      <c r="O16" s="45">
        <f ca="1">B16*$L$2</f>
        <v>2</v>
      </c>
      <c r="P16" s="49">
        <f>VLOOKUP(C16,Machined!C:F,3,0)</f>
        <v>45.5</v>
      </c>
      <c r="Q16" s="50">
        <f>B16*P16</f>
        <v>91</v>
      </c>
    </row>
    <row r="17" spans="1:17" s="2" customFormat="1" ht="12.75" customHeight="1" x14ac:dyDescent="0.25">
      <c r="A17" s="77">
        <v>8</v>
      </c>
      <c r="B17" s="20">
        <v>1</v>
      </c>
      <c r="C17" s="121" t="s">
        <v>792</v>
      </c>
      <c r="D17" s="314" t="str">
        <f>VLOOKUP(C17,Machined!C:X,2,0)</f>
        <v>Lead Nut Modification</v>
      </c>
      <c r="E17" s="329"/>
      <c r="F17" s="107" t="str">
        <f>VLOOKUP($C17,Machined!C:Z,13,0)</f>
        <v>PURCHASED PART</v>
      </c>
      <c r="G17" s="44" t="str">
        <f>IF(VLOOKUP($C17,Machined!C:Z,16,0) = 0, " ", VLOOKUP($C17,Machined!C:Z,16,0))</f>
        <v xml:space="preserve">Nuline </v>
      </c>
      <c r="H17" s="320" t="str">
        <f>IF(VLOOKUP($C17,Machined!C:Z,17,0) = 0, " ", VLOOKUP($C17,Machined!C:Z,17,0))</f>
        <v>P.O for material</v>
      </c>
      <c r="I17" s="321" t="str">
        <f>IF(VLOOKUP($C17,Machined!$C:$Y,13,0) = 0, " ", VLOOKUP($C17,Machined!$C:$Y,13,0))</f>
        <v>PURCHASED PART</v>
      </c>
      <c r="J17" s="44">
        <f>IF(VLOOKUP($C17,Machined!C:Z,18,0) = 0, " ", VLOOKUP($C17,Machined!C:Z,18,0))</f>
        <v>45496</v>
      </c>
      <c r="K17" s="44">
        <f>IF(VLOOKUP($C17,Machined!C:Z,19,0) = 0, " ", VLOOKUP($C17,Machined!C:Z,19,0))</f>
        <v>45496</v>
      </c>
      <c r="L17" s="44">
        <f>IF(VLOOKUP($C17,Machined!C:Z,20,0) = 0, " ", VLOOKUP($C17,Machined!C:Z,20,0))</f>
        <v>45531</v>
      </c>
      <c r="M17" s="44">
        <f>IF(VLOOKUP($C17,Machined!C:Z,21,0) = 0, " ", VLOOKUP($C17,Machined!C:Z,21,0))</f>
        <v>45531</v>
      </c>
      <c r="N17" s="129">
        <f>IF(VLOOKUP($C17,Machined!C:Z,22,0) = 0, " ", VLOOKUP($C17,Machined!C:Z,22,0))</f>
        <v>55621</v>
      </c>
      <c r="O17" s="45">
        <f t="shared" ref="O17" ca="1" si="6">B17*$L$2</f>
        <v>1</v>
      </c>
      <c r="P17" s="49">
        <f>VLOOKUP(C17,Machined!C:F,3,0)</f>
        <v>23.04</v>
      </c>
      <c r="Q17" s="50">
        <f t="shared" ref="Q17" si="7">B17*P17</f>
        <v>23.04</v>
      </c>
    </row>
    <row r="18" spans="1:17" s="2" customFormat="1" ht="12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301</v>
      </c>
      <c r="B19" s="2">
        <v>4</v>
      </c>
      <c r="C19" s="135" t="s">
        <v>629</v>
      </c>
      <c r="D19" s="325" t="str">
        <f>VLOOKUP(C19,Purchased!A:B,2,0)</f>
        <v>15mm C1 Preload Runner Block</v>
      </c>
      <c r="E19" s="326"/>
      <c r="F19" s="108" t="str">
        <f>IF(VLOOKUP($C19,Purchased!A:Z,11,0) = 0, " ", VLOOKUP($C19,Purchased!A:Z,11,0))</f>
        <v>BRL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>Ordered 24 additional PO 55645</v>
      </c>
      <c r="I19" s="328"/>
      <c r="J19" s="46">
        <f>IF(VLOOKUP($C19,Purchased!A:Z,14,0)=0, " ", VLOOKUP($C19,Purchased!A:Z,14,0))</f>
        <v>45461</v>
      </c>
      <c r="K19" s="46">
        <f>IF(VLOOKUP(C19,Purchased!A:R,14,0)=0, " ", VLOOKUP(C19,Purchased!A:R,14,0))</f>
        <v>45461</v>
      </c>
      <c r="L19" s="46">
        <f>IF(VLOOKUP(C19,Purchased!A:R,15,0)=0, " ", VLOOKUP(C19,Purchased!A:R,15,0))</f>
        <v>45462</v>
      </c>
      <c r="M19" s="46">
        <f>IF(VLOOKUP(C19,Purchased!A:R,16,0)=0, " ",VLOOKUP(C19,Purchased!A:R,16,0))</f>
        <v>45504</v>
      </c>
      <c r="N19" s="130">
        <f>IF(VLOOKUP(C19,Purchased!A:R,17,0)=0, " ", VLOOKUP(C19,Purchased!A:R,17,0))</f>
        <v>45504</v>
      </c>
      <c r="O19" s="47">
        <f t="shared" ref="O19:O31" ca="1" si="8">B19*$L$2</f>
        <v>4</v>
      </c>
      <c r="P19" s="51">
        <f>VLOOKUP(C19,Purchased!A:D,3,FALSE)</f>
        <v>109.2133</v>
      </c>
      <c r="Q19" s="52">
        <f t="shared" ref="Q19:Q31" si="9">B19*P19</f>
        <v>436.85320000000002</v>
      </c>
    </row>
    <row r="20" spans="1:17" s="2" customFormat="1" ht="12" customHeight="1" x14ac:dyDescent="0.25">
      <c r="A20" s="4">
        <v>302</v>
      </c>
      <c r="B20" s="2">
        <v>2</v>
      </c>
      <c r="C20" s="135" t="s">
        <v>793</v>
      </c>
      <c r="D20" s="325" t="str">
        <f>VLOOKUP(C20,Purchased!A:B,2,0)</f>
        <v>Non-spill 1/8 Hose Barb Valved Elbow Coupling Insert</v>
      </c>
      <c r="E20" s="326"/>
      <c r="F20" s="108" t="str">
        <f>IF(VLOOKUP($C20,Purchased!A:Z,11,0) = 0, " ", VLOOKUP($C20,Purchased!A:Z,11,0))</f>
        <v>CPC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>Replaced with MCM 51545K92</v>
      </c>
      <c r="I20" s="328"/>
      <c r="J20" s="46">
        <f>IF(VLOOKUP($C20,Purchased!A:Z,14,0)=0, " ", VLOOKUP($C20,Purchased!A:Z,14,0))</f>
        <v>45527</v>
      </c>
      <c r="K20" s="46">
        <f>IF(VLOOKUP(C20,Purchased!A:R,14,0)=0, " ", VLOOKUP(C20,Purchased!A:R,14,0))</f>
        <v>45527</v>
      </c>
      <c r="L20" s="46">
        <f>IF(VLOOKUP(C20,Purchased!A:R,15,0)=0, " ", VLOOKUP(C20,Purchased!A:R,15,0))</f>
        <v>45527</v>
      </c>
      <c r="M20" s="46">
        <f>IF(VLOOKUP(C20,Purchased!A:R,16,0)=0, " ",VLOOKUP(C20,Purchased!A:R,16,0))</f>
        <v>45530</v>
      </c>
      <c r="N20" s="130" t="str">
        <f>IF(VLOOKUP(C20,Purchased!A:R,17,0)=0, " ", VLOOKUP(C20,Purchased!A:R,17,0))</f>
        <v xml:space="preserve"> </v>
      </c>
      <c r="O20" s="47">
        <f t="shared" ca="1" si="8"/>
        <v>2</v>
      </c>
      <c r="P20" s="51">
        <f>VLOOKUP(C20,Purchased!A:D,3,FALSE)</f>
        <v>10.31</v>
      </c>
      <c r="Q20" s="52">
        <f t="shared" si="9"/>
        <v>20.62</v>
      </c>
    </row>
    <row r="21" spans="1:17" s="2" customFormat="1" ht="12" customHeight="1" x14ac:dyDescent="0.25">
      <c r="A21" s="4">
        <v>303</v>
      </c>
      <c r="B21" s="2">
        <v>2</v>
      </c>
      <c r="C21" s="135" t="s">
        <v>794</v>
      </c>
      <c r="D21" s="325" t="str">
        <f>VLOOKUP(C21,Purchased!A:B,2,0)</f>
        <v>Non-spill 1/8 Hose Barb Valved Panel Mount Coupling Body</v>
      </c>
      <c r="E21" s="326"/>
      <c r="F21" s="108" t="str">
        <f>IF(VLOOKUP($C21,Purchased!A:Z,11,0) = 0, " ", VLOOKUP($C21,Purchased!A:Z,11,0))</f>
        <v>CPC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>Replaced with MCM 5012K34</v>
      </c>
      <c r="I21" s="328"/>
      <c r="J21" s="46">
        <f>IF(VLOOKUP($C21,Purchased!A:Z,14,0)=0, " ", VLOOKUP($C21,Purchased!A:Z,14,0))</f>
        <v>45527</v>
      </c>
      <c r="K21" s="46">
        <f>IF(VLOOKUP(C21,Purchased!A:R,14,0)=0, " ", VLOOKUP(C21,Purchased!A:R,14,0))</f>
        <v>45527</v>
      </c>
      <c r="L21" s="46">
        <f>IF(VLOOKUP(C21,Purchased!A:R,15,0)=0, " ", VLOOKUP(C21,Purchased!A:R,15,0))</f>
        <v>45527</v>
      </c>
      <c r="M21" s="46">
        <f>IF(VLOOKUP(C21,Purchased!A:R,16,0)=0, " ",VLOOKUP(C21,Purchased!A:R,16,0))</f>
        <v>45530</v>
      </c>
      <c r="N21" s="130" t="str">
        <f>IF(VLOOKUP(C21,Purchased!A:R,17,0)=0, " ", VLOOKUP(C21,Purchased!A:R,17,0))</f>
        <v xml:space="preserve"> </v>
      </c>
      <c r="O21" s="47">
        <f t="shared" ca="1" si="8"/>
        <v>2</v>
      </c>
      <c r="P21" s="51">
        <f>VLOOKUP(C21,Purchased!A:D,3,FALSE)</f>
        <v>10.73</v>
      </c>
      <c r="Q21" s="52">
        <f t="shared" si="9"/>
        <v>21.46</v>
      </c>
    </row>
    <row r="22" spans="1:17" s="2" customFormat="1" ht="12" customHeight="1" x14ac:dyDescent="0.25">
      <c r="A22" s="4">
        <v>304</v>
      </c>
      <c r="B22" s="2">
        <v>1</v>
      </c>
      <c r="C22" s="135" t="s">
        <v>795</v>
      </c>
      <c r="D22" s="325" t="str">
        <f>VLOOKUP(C22,Purchased!A:B,2,0)</f>
        <v>IGUS Flanged Lead Screw, 14mm dia</v>
      </c>
      <c r="E22" s="326"/>
      <c r="F22" s="108" t="str">
        <f>IF(VLOOKUP($C22,Purchased!A:Z,11,0) = 0, " ", VLOOKUP($C22,Purchased!A:Z,11,0))</f>
        <v>IGUS</v>
      </c>
      <c r="G22" s="108" t="str">
        <f>IF(VLOOKUP($C22,Purchased!A:Z,12,0)=0, " ", VLOOKUP($C22,Purchased!A:Z,12,0))</f>
        <v>IGUS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45489</v>
      </c>
      <c r="K22" s="46">
        <f>IF(VLOOKUP(C22,Purchased!A:R,14,0)=0, " ", VLOOKUP(C22,Purchased!A:R,14,0))</f>
        <v>45489</v>
      </c>
      <c r="L22" s="46">
        <f>IF(VLOOKUP(C22,Purchased!A:R,15,0)=0, " ", VLOOKUP(C22,Purchased!A:R,15,0))</f>
        <v>45489</v>
      </c>
      <c r="M22" s="46">
        <f>IF(VLOOKUP(C22,Purchased!A:R,16,0)=0, " ",VLOOKUP(C22,Purchased!A:R,16,0))</f>
        <v>45534</v>
      </c>
      <c r="N22" s="130">
        <f>IF(VLOOKUP(C22,Purchased!A:R,17,0)=0, " ", VLOOKUP(C22,Purchased!A:R,17,0))</f>
        <v>45534</v>
      </c>
      <c r="O22" s="47">
        <f t="shared" ca="1" si="8"/>
        <v>1</v>
      </c>
      <c r="P22" s="51">
        <f>VLOOKUP(C22,Purchased!A:D,3,FALSE)</f>
        <v>16.54</v>
      </c>
      <c r="Q22" s="52">
        <f t="shared" si="9"/>
        <v>16.54</v>
      </c>
    </row>
    <row r="23" spans="1:17" s="2" customFormat="1" ht="12" customHeight="1" x14ac:dyDescent="0.25">
      <c r="A23" s="4">
        <v>305</v>
      </c>
      <c r="B23" s="2">
        <v>2</v>
      </c>
      <c r="C23" s="135" t="s">
        <v>796</v>
      </c>
      <c r="D23" s="325" t="str">
        <f>VLOOKUP(C23,Purchased!A:B,2,0)</f>
        <v>Keyence AMPLIFIER BRACKET FOR LR-X100C SENSOR</v>
      </c>
      <c r="E23" s="326"/>
      <c r="F23" s="108" t="str">
        <f>IF(VLOOKUP($C23,Purchased!A:Z,11,0) = 0, " ", VLOOKUP($C23,Purchased!A:Z,11,0))</f>
        <v>KEYENCE</v>
      </c>
      <c r="G23" s="108" t="str">
        <f>IF(VLOOKUP($C23,Purchased!A:Z,12,0)=0, " ", VLOOKUP($C23,Purchased!A:Z,12,0))</f>
        <v>KEYENCE</v>
      </c>
      <c r="H23" s="327" t="str">
        <f>IF(VLOOKUP($C23,Purchased!A:Z,13,0)=0, " ", VLOOKUP($C23,Purchased!A:Z,13,0))</f>
        <v xml:space="preserve"> </v>
      </c>
      <c r="I23" s="328"/>
      <c r="J23" s="46">
        <f>IF(VLOOKUP($C23,Purchased!A:Z,14,0)=0, " ", VLOOKUP($C23,Purchased!A:Z,14,0))</f>
        <v>45516</v>
      </c>
      <c r="K23" s="46">
        <f>IF(VLOOKUP(C23,Purchased!A:R,14,0)=0, " ", VLOOKUP(C23,Purchased!A:R,14,0))</f>
        <v>45516</v>
      </c>
      <c r="L23" s="46">
        <f>IF(VLOOKUP(C23,Purchased!A:R,15,0)=0, " ", VLOOKUP(C23,Purchased!A:R,15,0))</f>
        <v>45518</v>
      </c>
      <c r="M23" s="46">
        <f>IF(VLOOKUP(C23,Purchased!A:R,16,0)=0, " ",VLOOKUP(C23,Purchased!A:R,16,0))</f>
        <v>45526</v>
      </c>
      <c r="N23" s="130">
        <f>IF(VLOOKUP(C23,Purchased!A:R,17,0)=0, " ", VLOOKUP(C23,Purchased!A:R,17,0))</f>
        <v>45526</v>
      </c>
      <c r="O23" s="47">
        <f t="shared" ca="1" si="8"/>
        <v>2</v>
      </c>
      <c r="P23" s="51">
        <f>VLOOKUP(C23,Purchased!A:D,3,FALSE)</f>
        <v>12</v>
      </c>
      <c r="Q23" s="52">
        <f t="shared" si="9"/>
        <v>24</v>
      </c>
    </row>
    <row r="24" spans="1:17" s="2" customFormat="1" ht="12" customHeight="1" x14ac:dyDescent="0.25">
      <c r="A24" s="4">
        <v>306</v>
      </c>
      <c r="B24" s="2">
        <v>3</v>
      </c>
      <c r="C24" s="135" t="s">
        <v>306</v>
      </c>
      <c r="D24" s="325" t="str">
        <f>VLOOKUP(C24,Purchased!A:B,2,0)</f>
        <v>M8 female 0° A-cod. with cable, PVC 3x0.25 bk UL/CSA 10m</v>
      </c>
      <c r="E24" s="326"/>
      <c r="F24" s="108" t="str">
        <f>IF(VLOOKUP($C24,Purchased!A:Z,11,0) = 0, " ", VLOOKUP($C24,Purchased!A:Z,11,0))</f>
        <v>MURR</v>
      </c>
      <c r="G24" s="108" t="str">
        <f>IF(VLOOKUP($C24,Purchased!A:Z,12,0)=0, " ", VLOOKUP($C24,Purchased!A:Z,12,0))</f>
        <v>MURR</v>
      </c>
      <c r="H24" s="327" t="str">
        <f>IF(VLOOKUP($C24,Purchased!A:Z,13,0)=0, " ", VLOOKUP($C24,Purchased!A:Z,13,0))</f>
        <v xml:space="preserve"> </v>
      </c>
      <c r="I24" s="328"/>
      <c r="J24" s="46">
        <f>IF(VLOOKUP($C24,Purchased!A:Z,14,0)=0, " ", VLOOKUP($C24,Purchased!A:Z,14,0))</f>
        <v>45506</v>
      </c>
      <c r="K24" s="46">
        <f>IF(VLOOKUP(C24,Purchased!A:R,14,0)=0, " ", VLOOKUP(C24,Purchased!A:R,14,0))</f>
        <v>45506</v>
      </c>
      <c r="L24" s="46" t="str">
        <f>IF(VLOOKUP(C24,Purchased!A:R,15,0)=0, " ", VLOOKUP(C24,Purchased!A:R,15,0))</f>
        <v xml:space="preserve"> </v>
      </c>
      <c r="M24" s="46" t="str">
        <f>IF(VLOOKUP(C24,Purchased!A:R,16,0)=0, " ",VLOOKUP(C24,Purchased!A:R,16,0))</f>
        <v xml:space="preserve"> </v>
      </c>
      <c r="N24" s="130" t="str">
        <f>IF(VLOOKUP(C24,Purchased!A:R,17,0)=0, " ", VLOOKUP(C24,Purchased!A:R,17,0))</f>
        <v xml:space="preserve"> </v>
      </c>
      <c r="O24" s="47">
        <f t="shared" ca="1" si="8"/>
        <v>3</v>
      </c>
      <c r="P24" s="51">
        <f>VLOOKUP(C24,Purchased!A:D,3,FALSE)</f>
        <v>0</v>
      </c>
      <c r="Q24" s="52">
        <f t="shared" si="9"/>
        <v>0</v>
      </c>
    </row>
    <row r="25" spans="1:17" s="2" customFormat="1" ht="12" customHeight="1" x14ac:dyDescent="0.25">
      <c r="A25" s="4">
        <v>307</v>
      </c>
      <c r="B25" s="2">
        <v>2</v>
      </c>
      <c r="C25" s="135" t="s">
        <v>797</v>
      </c>
      <c r="D25" s="325" t="str">
        <f>VLOOKUP(C25,Purchased!A:B,2,0)</f>
        <v>Speed Controller, 100 series 4mm tubing</v>
      </c>
      <c r="E25" s="326"/>
      <c r="F25" s="108" t="str">
        <f>IF(VLOOKUP($C25,Purchased!A:Z,11,0) = 0, " ", VLOOKUP($C25,Purchased!A:Z,11,0))</f>
        <v>SMC</v>
      </c>
      <c r="G25" s="108" t="str">
        <f>IF(VLOOKUP($C25,Purchased!A:Z,12,0)=0, " ", VLOOKUP($C25,Purchased!A:Z,12,0))</f>
        <v>AAP</v>
      </c>
      <c r="H25" s="327" t="str">
        <f>IF(VLOOKUP($C25,Purchased!A:Z,13,0)=0, " ", VLOOKUP($C25,Purchased!A:Z,13,0))</f>
        <v xml:space="preserve"> </v>
      </c>
      <c r="I25" s="328"/>
      <c r="J25" s="46">
        <f>IF(VLOOKUP($C25,Purchased!A:Z,14,0)=0, " ", VLOOKUP($C25,Purchased!A:Z,14,0))</f>
        <v>45489</v>
      </c>
      <c r="K25" s="46">
        <f>IF(VLOOKUP(C25,Purchased!A:R,14,0)=0, " ", VLOOKUP(C25,Purchased!A:R,14,0))</f>
        <v>45489</v>
      </c>
      <c r="L25" s="46">
        <f>IF(VLOOKUP(C25,Purchased!A:R,15,0)=0, " ", VLOOKUP(C25,Purchased!A:R,15,0))</f>
        <v>45491</v>
      </c>
      <c r="M25" s="46">
        <f>IF(VLOOKUP(C25,Purchased!A:R,16,0)=0, " ",VLOOKUP(C25,Purchased!A:R,16,0))</f>
        <v>45520</v>
      </c>
      <c r="N25" s="130">
        <f>IF(VLOOKUP(C25,Purchased!A:R,17,0)=0, " ", VLOOKUP(C25,Purchased!A:R,17,0))</f>
        <v>45511</v>
      </c>
      <c r="O25" s="47">
        <f t="shared" ca="1" si="8"/>
        <v>2</v>
      </c>
      <c r="P25" s="51">
        <f>VLOOKUP(C25,Purchased!A:D,3,FALSE)</f>
        <v>11.25</v>
      </c>
      <c r="Q25" s="52">
        <f t="shared" si="9"/>
        <v>22.5</v>
      </c>
    </row>
    <row r="26" spans="1:17" s="2" customFormat="1" ht="12" customHeight="1" x14ac:dyDescent="0.25">
      <c r="A26" s="4">
        <v>308</v>
      </c>
      <c r="B26" s="2">
        <v>1</v>
      </c>
      <c r="C26" s="135" t="s">
        <v>798</v>
      </c>
      <c r="D26" s="325" t="str">
        <f>VLOOKUP(C26,Purchased!A:B,2,0)</f>
        <v>Speed controller flange 10 series</v>
      </c>
      <c r="E26" s="326"/>
      <c r="F26" s="108" t="str">
        <f>IF(VLOOKUP($C26,Purchased!A:Z,11,0) = 0, " ", VLOOKUP($C26,Purchased!A:Z,11,0))</f>
        <v>SMC</v>
      </c>
      <c r="G26" s="108" t="str">
        <f>IF(VLOOKUP($C26,Purchased!A:Z,12,0)=0, " ", VLOOKUP($C26,Purchased!A:Z,12,0))</f>
        <v>AAP</v>
      </c>
      <c r="H26" s="327" t="str">
        <f>IF(VLOOKUP($C26,Purchased!A:Z,13,0)=0, " ", VLOOKUP($C26,Purchased!A:Z,13,0))</f>
        <v xml:space="preserve"> </v>
      </c>
      <c r="I26" s="328"/>
      <c r="J26" s="46">
        <f>IF(VLOOKUP($C26,Purchased!A:Z,14,0)=0, " ", VLOOKUP($C26,Purchased!A:Z,14,0))</f>
        <v>45489</v>
      </c>
      <c r="K26" s="46">
        <f>IF(VLOOKUP(C26,Purchased!A:R,14,0)=0, " ", VLOOKUP(C26,Purchased!A:R,14,0))</f>
        <v>45489</v>
      </c>
      <c r="L26" s="46">
        <f>IF(VLOOKUP(C26,Purchased!A:R,15,0)=0, " ", VLOOKUP(C26,Purchased!A:R,15,0))</f>
        <v>45491</v>
      </c>
      <c r="M26" s="46">
        <f>IF(VLOOKUP(C26,Purchased!A:R,16,0)=0, " ",VLOOKUP(C26,Purchased!A:R,16,0))</f>
        <v>45520</v>
      </c>
      <c r="N26" s="130">
        <f>IF(VLOOKUP(C26,Purchased!A:R,17,0)=0, " ", VLOOKUP(C26,Purchased!A:R,17,0))</f>
        <v>45511</v>
      </c>
      <c r="O26" s="47">
        <f t="shared" ca="1" si="8"/>
        <v>1</v>
      </c>
      <c r="P26" s="51">
        <f>VLOOKUP(C26,Purchased!A:D,3,FALSE)</f>
        <v>1.65</v>
      </c>
      <c r="Q26" s="52">
        <f t="shared" si="9"/>
        <v>1.65</v>
      </c>
    </row>
    <row r="27" spans="1:17" s="2" customFormat="1" ht="12" customHeight="1" x14ac:dyDescent="0.25">
      <c r="A27" s="4">
        <v>309</v>
      </c>
      <c r="B27" s="2">
        <v>2</v>
      </c>
      <c r="C27" s="135" t="s">
        <v>799</v>
      </c>
      <c r="D27" s="325" t="str">
        <f>VLOOKUP(C27,Purchased!A:B,2,0)</f>
        <v>Speed Controller One Touch Fitting, 6mm dia tubing</v>
      </c>
      <c r="E27" s="326"/>
      <c r="F27" s="108" t="str">
        <f>IF(VLOOKUP($C27,Purchased!A:Z,11,0) = 0, " ", VLOOKUP($C27,Purchased!A:Z,11,0))</f>
        <v>SMC</v>
      </c>
      <c r="G27" s="108" t="str">
        <f>IF(VLOOKUP($C27,Purchased!A:Z,12,0)=0, " ", VLOOKUP($C27,Purchased!A:Z,12,0))</f>
        <v>AAP</v>
      </c>
      <c r="H27" s="327" t="str">
        <f>IF(VLOOKUP($C27,Purchased!A:Z,13,0)=0, " ", VLOOKUP($C27,Purchased!A:Z,13,0))</f>
        <v>10 more PO 55692</v>
      </c>
      <c r="I27" s="328"/>
      <c r="J27" s="46">
        <f>IF(VLOOKUP($C27,Purchased!A:Z,14,0)=0, " ", VLOOKUP($C27,Purchased!A:Z,14,0))</f>
        <v>45489</v>
      </c>
      <c r="K27" s="46">
        <f>IF(VLOOKUP(C27,Purchased!A:R,14,0)=0, " ", VLOOKUP(C27,Purchased!A:R,14,0))</f>
        <v>45489</v>
      </c>
      <c r="L27" s="46">
        <f>IF(VLOOKUP(C27,Purchased!A:R,15,0)=0, " ", VLOOKUP(C27,Purchased!A:R,15,0))</f>
        <v>45491</v>
      </c>
      <c r="M27" s="46">
        <f>IF(VLOOKUP(C27,Purchased!A:R,16,0)=0, " ",VLOOKUP(C27,Purchased!A:R,16,0))</f>
        <v>45520</v>
      </c>
      <c r="N27" s="130">
        <f>IF(VLOOKUP(C27,Purchased!A:R,17,0)=0, " ", VLOOKUP(C27,Purchased!A:R,17,0))</f>
        <v>45511</v>
      </c>
      <c r="O27" s="47">
        <f t="shared" ca="1" si="8"/>
        <v>2</v>
      </c>
      <c r="P27" s="51">
        <f>VLOOKUP(C27,Purchased!A:D,3,FALSE)</f>
        <v>14.87</v>
      </c>
      <c r="Q27" s="52">
        <f t="shared" si="9"/>
        <v>29.74</v>
      </c>
    </row>
    <row r="28" spans="1:17" s="2" customFormat="1" ht="12" customHeight="1" x14ac:dyDescent="0.25">
      <c r="A28" s="4">
        <v>310</v>
      </c>
      <c r="B28" s="2">
        <v>2</v>
      </c>
      <c r="C28" s="135" t="s">
        <v>800</v>
      </c>
      <c r="D28" s="325" t="str">
        <f>VLOOKUP(C28,Purchased!A:B,2,0)</f>
        <v>Speed controller flange 20 series</v>
      </c>
      <c r="E28" s="326"/>
      <c r="F28" s="108" t="str">
        <f>IF(VLOOKUP($C28,Purchased!A:Z,11,0) = 0, " ", VLOOKUP($C28,Purchased!A:Z,11,0))</f>
        <v>SMC</v>
      </c>
      <c r="G28" s="108" t="str">
        <f>IF(VLOOKUP($C28,Purchased!A:Z,12,0)=0, " ", VLOOKUP($C28,Purchased!A:Z,12,0))</f>
        <v>AAP</v>
      </c>
      <c r="H28" s="327" t="str">
        <f>IF(VLOOKUP($C28,Purchased!A:Z,13,0)=0, " ", VLOOKUP($C28,Purchased!A:Z,13,0))</f>
        <v xml:space="preserve"> </v>
      </c>
      <c r="I28" s="328"/>
      <c r="J28" s="46">
        <f>IF(VLOOKUP($C28,Purchased!A:Z,14,0)=0, " ", VLOOKUP($C28,Purchased!A:Z,14,0))</f>
        <v>45489</v>
      </c>
      <c r="K28" s="46">
        <f>IF(VLOOKUP(C28,Purchased!A:R,14,0)=0, " ", VLOOKUP(C28,Purchased!A:R,14,0))</f>
        <v>45489</v>
      </c>
      <c r="L28" s="46">
        <f>IF(VLOOKUP(C28,Purchased!A:R,15,0)=0, " ", VLOOKUP(C28,Purchased!A:R,15,0))</f>
        <v>45491</v>
      </c>
      <c r="M28" s="46">
        <f>IF(VLOOKUP(C28,Purchased!A:R,16,0)=0, " ",VLOOKUP(C28,Purchased!A:R,16,0))</f>
        <v>45520</v>
      </c>
      <c r="N28" s="130">
        <f>IF(VLOOKUP(C28,Purchased!A:R,17,0)=0, " ", VLOOKUP(C28,Purchased!A:R,17,0))</f>
        <v>45511</v>
      </c>
      <c r="O28" s="47">
        <f t="shared" ca="1" si="8"/>
        <v>2</v>
      </c>
      <c r="P28" s="51">
        <f>VLOOKUP(C28,Purchased!A:D,3,FALSE)</f>
        <v>1.65</v>
      </c>
      <c r="Q28" s="52">
        <f t="shared" si="9"/>
        <v>3.3</v>
      </c>
    </row>
    <row r="29" spans="1:17" s="2" customFormat="1" ht="12" customHeight="1" x14ac:dyDescent="0.25">
      <c r="A29" s="4">
        <v>311</v>
      </c>
      <c r="B29" s="2">
        <v>2</v>
      </c>
      <c r="C29" s="135" t="s">
        <v>801</v>
      </c>
      <c r="D29" s="325" t="str">
        <f>VLOOKUP(C29,Purchased!A:B,2,0)</f>
        <v>KQ2 unifit, elbow, 4mm dia tubing both</v>
      </c>
      <c r="E29" s="326"/>
      <c r="F29" s="108" t="str">
        <f>IF(VLOOKUP($C29,Purchased!A:Z,11,0) = 0, " ", VLOOKUP($C29,Purchased!A:Z,11,0))</f>
        <v>SMC</v>
      </c>
      <c r="G29" s="108" t="str">
        <f>IF(VLOOKUP($C29,Purchased!A:Z,12,0)=0, " ", VLOOKUP($C29,Purchased!A:Z,12,0))</f>
        <v>AAP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45489</v>
      </c>
      <c r="K29" s="46">
        <f>IF(VLOOKUP(C29,Purchased!A:R,14,0)=0, " ", VLOOKUP(C29,Purchased!A:R,14,0))</f>
        <v>45489</v>
      </c>
      <c r="L29" s="46">
        <f>IF(VLOOKUP(C29,Purchased!A:R,15,0)=0, " ", VLOOKUP(C29,Purchased!A:R,15,0))</f>
        <v>45491</v>
      </c>
      <c r="M29" s="46">
        <f>IF(VLOOKUP(C29,Purchased!A:R,16,0)=0, " ",VLOOKUP(C29,Purchased!A:R,16,0))</f>
        <v>45520</v>
      </c>
      <c r="N29" s="130">
        <f>IF(VLOOKUP(C29,Purchased!A:R,17,0)=0, " ", VLOOKUP(C29,Purchased!A:R,17,0))</f>
        <v>45511</v>
      </c>
      <c r="O29" s="47">
        <f t="shared" ca="1" si="8"/>
        <v>2</v>
      </c>
      <c r="P29" s="51">
        <f>VLOOKUP(C29,Purchased!A:D,3,FALSE)</f>
        <v>1.35</v>
      </c>
      <c r="Q29" s="52">
        <f t="shared" si="9"/>
        <v>2.7</v>
      </c>
    </row>
    <row r="30" spans="1:17" s="2" customFormat="1" ht="12" customHeight="1" x14ac:dyDescent="0.25">
      <c r="A30" s="4">
        <v>312</v>
      </c>
      <c r="B30" s="2">
        <v>1</v>
      </c>
      <c r="C30" s="135" t="s">
        <v>802</v>
      </c>
      <c r="D30" s="325" t="str">
        <f>VLOOKUP(C30,Purchased!A:B,2,0)</f>
        <v>Custom Double Acting Single Rod</v>
      </c>
      <c r="E30" s="326"/>
      <c r="F30" s="108" t="str">
        <f>IF(VLOOKUP($C30,Purchased!A:Z,11,0) = 0, " ", VLOOKUP($C30,Purchased!A:Z,11,0))</f>
        <v>SMC</v>
      </c>
      <c r="G30" s="108" t="str">
        <f>IF(VLOOKUP($C30,Purchased!A:Z,12,0)=0, " ", VLOOKUP($C30,Purchased!A:Z,12,0))</f>
        <v>AAP</v>
      </c>
      <c r="H30" s="327" t="str">
        <f>IF(VLOOKUP($C30,Purchased!A:Z,13,0)=0, " ", VLOOKUP($C30,Purchased!A:Z,13,0))</f>
        <v>Cuff 3-Position Actuator EL</v>
      </c>
      <c r="I30" s="328"/>
      <c r="J30" s="46">
        <f>IF(VLOOKUP($C30,Purchased!A:Z,14,0)=0, " ", VLOOKUP($C30,Purchased!A:Z,14,0))</f>
        <v>45510</v>
      </c>
      <c r="K30" s="46">
        <f>IF(VLOOKUP(C30,Purchased!A:R,14,0)=0, " ", VLOOKUP(C30,Purchased!A:R,14,0))</f>
        <v>45510</v>
      </c>
      <c r="L30" s="46">
        <f>IF(VLOOKUP(C30,Purchased!A:R,15,0)=0, " ", VLOOKUP(C30,Purchased!A:R,15,0))</f>
        <v>45517</v>
      </c>
      <c r="M30" s="46">
        <f>IF(VLOOKUP(C30,Purchased!A:R,16,0)=0, " ",VLOOKUP(C30,Purchased!A:R,16,0))</f>
        <v>45548</v>
      </c>
      <c r="N30" s="130">
        <f>IF(VLOOKUP(C30,Purchased!A:R,17,0)=0, " ", VLOOKUP(C30,Purchased!A:R,17,0))</f>
        <v>45561</v>
      </c>
      <c r="O30" s="47">
        <f t="shared" ca="1" si="8"/>
        <v>1</v>
      </c>
      <c r="P30" s="51">
        <f>VLOOKUP(C30,Purchased!A:D,3,FALSE)</f>
        <v>298.10840000000002</v>
      </c>
      <c r="Q30" s="52">
        <f t="shared" si="9"/>
        <v>298.10840000000002</v>
      </c>
    </row>
    <row r="31" spans="1:17" s="2" customFormat="1" ht="12" customHeight="1" x14ac:dyDescent="0.25">
      <c r="A31" s="4">
        <v>313</v>
      </c>
      <c r="B31" s="2">
        <v>3</v>
      </c>
      <c r="C31" s="135" t="s">
        <v>803</v>
      </c>
      <c r="D31" s="325" t="str">
        <f>VLOOKUP(C31,Purchased!A:B,2,0)</f>
        <v>KQ2 unifit, elbow, 8mm dia tubing, 1/8NPT</v>
      </c>
      <c r="E31" s="326"/>
      <c r="F31" s="108" t="str">
        <f>IF(VLOOKUP($C31,Purchased!A:Z,11,0) = 0, " ", VLOOKUP($C31,Purchased!A:Z,11,0))</f>
        <v>SMC</v>
      </c>
      <c r="G31" s="108" t="str">
        <f>IF(VLOOKUP($C31,Purchased!A:Z,12,0)=0, " ", VLOOKUP($C31,Purchased!A:Z,12,0))</f>
        <v>AAP</v>
      </c>
      <c r="H31" s="327" t="str">
        <f>IF(VLOOKUP($C31,Purchased!A:Z,13,0)=0, " ", VLOOKUP($C31,Purchased!A:Z,13,0))</f>
        <v xml:space="preserve"> </v>
      </c>
      <c r="I31" s="328"/>
      <c r="J31" s="46">
        <f>IF(VLOOKUP($C31,Purchased!A:Z,14,0)=0, " ", VLOOKUP($C31,Purchased!A:Z,14,0))</f>
        <v>45489</v>
      </c>
      <c r="K31" s="46">
        <f>IF(VLOOKUP(C31,Purchased!A:R,14,0)=0, " ", VLOOKUP(C31,Purchased!A:R,14,0))</f>
        <v>45489</v>
      </c>
      <c r="L31" s="46">
        <f>IF(VLOOKUP(C31,Purchased!A:R,15,0)=0, " ", VLOOKUP(C31,Purchased!A:R,15,0))</f>
        <v>45491</v>
      </c>
      <c r="M31" s="46">
        <f>IF(VLOOKUP(C31,Purchased!A:R,16,0)=0, " ",VLOOKUP(C31,Purchased!A:R,16,0))</f>
        <v>45520</v>
      </c>
      <c r="N31" s="130">
        <f>IF(VLOOKUP(C31,Purchased!A:R,17,0)=0, " ", VLOOKUP(C31,Purchased!A:R,17,0))</f>
        <v>45511</v>
      </c>
      <c r="O31" s="47">
        <f t="shared" ca="1" si="8"/>
        <v>3</v>
      </c>
      <c r="P31" s="51">
        <f>VLOOKUP(C31,Purchased!A:D,3,FALSE)</f>
        <v>2.2000000000000002</v>
      </c>
      <c r="Q31" s="52">
        <f t="shared" si="9"/>
        <v>6.6000000000000005</v>
      </c>
    </row>
    <row r="32" spans="1:17" s="2" customFormat="1" ht="12" customHeight="1" x14ac:dyDescent="0.25">
      <c r="A32" s="4">
        <v>314</v>
      </c>
      <c r="B32" s="2">
        <v>3</v>
      </c>
      <c r="C32" s="135" t="s">
        <v>305</v>
      </c>
      <c r="D32" s="325" t="str">
        <f>VLOOKUP(C32,Purchased!A:B,2,0)</f>
        <v>Auto Switch, Solid State, General Purpose, M8-3Pin Connector, 0.5m Cord 
Length</v>
      </c>
      <c r="E32" s="326"/>
      <c r="F32" s="108" t="str">
        <f>IF(VLOOKUP($C32,Purchased!A:Z,11,0) = 0, " ", VLOOKUP($C32,Purchased!A:Z,11,0))</f>
        <v>SMC</v>
      </c>
      <c r="G32" s="108" t="str">
        <f>IF(VLOOKUP($C32,Purchased!A:Z,12,0)=0, " ", VLOOKUP($C32,Purchased!A:Z,12,0))</f>
        <v>AAP</v>
      </c>
      <c r="H32" s="327" t="str">
        <f>IF(VLOOKUP($C32,Purchased!A:Z,13,0)=0, " ", VLOOKUP($C32,Purchased!A:Z,13,0))</f>
        <v>10 more PO 55692</v>
      </c>
      <c r="I32" s="328"/>
      <c r="J32" s="46">
        <f>IF(VLOOKUP($C32,Purchased!A:Z,14,0)=0, " ", VLOOKUP($C32,Purchased!A:Z,14,0))</f>
        <v>45489</v>
      </c>
      <c r="K32" s="46">
        <f>IF(VLOOKUP(C32,Purchased!A:R,14,0)=0, " ", VLOOKUP(C32,Purchased!A:R,14,0))</f>
        <v>45489</v>
      </c>
      <c r="L32" s="46">
        <f>IF(VLOOKUP(C32,Purchased!A:R,15,0)=0, " ", VLOOKUP(C32,Purchased!A:R,15,0))</f>
        <v>45489</v>
      </c>
      <c r="M32" s="46">
        <f>IF(VLOOKUP(C32,Purchased!A:R,16,0)=0, " ",VLOOKUP(C32,Purchased!A:R,16,0))</f>
        <v>45510</v>
      </c>
      <c r="N32" s="130">
        <f>IF(VLOOKUP(C32,Purchased!A:R,17,0)=0, " ", VLOOKUP(C32,Purchased!A:R,17,0))</f>
        <v>45513</v>
      </c>
      <c r="O32" s="47">
        <f ca="1">B32*$L$2</f>
        <v>3</v>
      </c>
      <c r="P32" s="51">
        <f>VLOOKUP(C32,Purchased!A:D,3,FALSE)</f>
        <v>38.64</v>
      </c>
      <c r="Q32" s="52">
        <f>B32*P32</f>
        <v>115.92</v>
      </c>
    </row>
    <row r="33" spans="1:17" s="2" customFormat="1" ht="12" customHeight="1" x14ac:dyDescent="0.25">
      <c r="A33" s="4">
        <v>315</v>
      </c>
      <c r="B33" s="2">
        <v>3</v>
      </c>
      <c r="C33" s="135" t="s">
        <v>672</v>
      </c>
      <c r="D33" s="325" t="str">
        <f>VLOOKUP(C33,Purchased!A:B,2,0)</f>
        <v>8MM Speed controller</v>
      </c>
      <c r="E33" s="326"/>
      <c r="F33" s="108" t="str">
        <f>IF(VLOOKUP($C33,Purchased!A:Z,11,0) = 0, " ", VLOOKUP($C33,Purchased!A:Z,11,0))</f>
        <v>SMC</v>
      </c>
      <c r="G33" s="108" t="str">
        <f>IF(VLOOKUP($C33,Purchased!A:Z,12,0)=0, " ", VLOOKUP($C33,Purchased!A:Z,12,0))</f>
        <v>AAP</v>
      </c>
      <c r="H33" s="327" t="str">
        <f>IF(VLOOKUP($C33,Purchased!A:Z,13,0)=0, " ", VLOOKUP($C33,Purchased!A:Z,13,0))</f>
        <v xml:space="preserve"> </v>
      </c>
      <c r="I33" s="328"/>
      <c r="J33" s="46">
        <f>IF(VLOOKUP($C33,Purchased!A:Z,14,0)=0, " ", VLOOKUP($C33,Purchased!A:Z,14,0))</f>
        <v>45489</v>
      </c>
      <c r="K33" s="46">
        <f>IF(VLOOKUP(C33,Purchased!A:R,14,0)=0, " ", VLOOKUP(C33,Purchased!A:R,14,0))</f>
        <v>45489</v>
      </c>
      <c r="L33" s="46">
        <f>IF(VLOOKUP(C33,Purchased!A:R,15,0)=0, " ", VLOOKUP(C33,Purchased!A:R,15,0))</f>
        <v>45491</v>
      </c>
      <c r="M33" s="46">
        <f>IF(VLOOKUP(C33,Purchased!A:R,16,0)=0, " ",VLOOKUP(C33,Purchased!A:R,16,0))</f>
        <v>45520</v>
      </c>
      <c r="N33" s="130">
        <f>IF(VLOOKUP(C33,Purchased!A:R,17,0)=0, " ", VLOOKUP(C33,Purchased!A:R,17,0))</f>
        <v>45511</v>
      </c>
      <c r="O33" s="47">
        <f ca="1">B33*$L$2</f>
        <v>3</v>
      </c>
      <c r="P33" s="51">
        <f>VLOOKUP(C33,Purchased!A:D,3,FALSE)</f>
        <v>22.46</v>
      </c>
      <c r="Q33" s="52">
        <f>B33*P33</f>
        <v>67.38</v>
      </c>
    </row>
    <row r="34" spans="1:17" s="2" customFormat="1" ht="12" customHeight="1" x14ac:dyDescent="0.25">
      <c r="A34" s="4">
        <v>316</v>
      </c>
      <c r="B34" s="2">
        <v>3</v>
      </c>
      <c r="C34" s="135" t="s">
        <v>804</v>
      </c>
      <c r="D34" s="325" t="str">
        <f>VLOOKUP(C34,Purchased!A:B,2,0)</f>
        <v>KQ2 AIR FITTING, 8MM PLUG-IN ELBOW</v>
      </c>
      <c r="E34" s="326"/>
      <c r="F34" s="108" t="str">
        <f>IF(VLOOKUP($C34,Purchased!A:Z,11,0) = 0, " ", VLOOKUP($C34,Purchased!A:Z,11,0))</f>
        <v>SMC</v>
      </c>
      <c r="G34" s="108" t="str">
        <f>IF(VLOOKUP($C34,Purchased!A:Z,12,0)=0, " ", VLOOKUP($C34,Purchased!A:Z,12,0))</f>
        <v>AAP</v>
      </c>
      <c r="H34" s="327" t="str">
        <f>IF(VLOOKUP($C34,Purchased!A:Z,13,0)=0, " ", VLOOKUP($C34,Purchased!A:Z,13,0))</f>
        <v xml:space="preserve"> </v>
      </c>
      <c r="I34" s="328"/>
      <c r="J34" s="46">
        <f>IF(VLOOKUP($C34,Purchased!A:Z,14,0)=0, " ", VLOOKUP($C34,Purchased!A:Z,14,0))</f>
        <v>45489</v>
      </c>
      <c r="K34" s="46">
        <f>IF(VLOOKUP(C34,Purchased!A:R,14,0)=0, " ", VLOOKUP(C34,Purchased!A:R,14,0))</f>
        <v>45489</v>
      </c>
      <c r="L34" s="46">
        <f>IF(VLOOKUP(C34,Purchased!A:R,15,0)=0, " ", VLOOKUP(C34,Purchased!A:R,15,0))</f>
        <v>45491</v>
      </c>
      <c r="M34" s="46">
        <f>IF(VLOOKUP(C34,Purchased!A:R,16,0)=0, " ",VLOOKUP(C34,Purchased!A:R,16,0))</f>
        <v>45520</v>
      </c>
      <c r="N34" s="130">
        <f>IF(VLOOKUP(C34,Purchased!A:R,17,0)=0, " ", VLOOKUP(C34,Purchased!A:R,17,0))</f>
        <v>45511</v>
      </c>
      <c r="O34" s="47">
        <f ca="1">B34*$L$2</f>
        <v>3</v>
      </c>
      <c r="P34" s="51">
        <f>VLOOKUP(C34,Purchased!A:D,3,FALSE)</f>
        <v>1.43</v>
      </c>
      <c r="Q34" s="52">
        <f>B34*P34</f>
        <v>4.29</v>
      </c>
    </row>
    <row r="35" spans="1:17" s="2" customFormat="1" ht="12" customHeight="1" x14ac:dyDescent="0.25">
      <c r="A35" s="4">
        <v>317</v>
      </c>
      <c r="B35" s="2">
        <v>2</v>
      </c>
      <c r="C35" s="135" t="s">
        <v>805</v>
      </c>
      <c r="D35" s="325" t="str">
        <f>VLOOKUP(C35,Purchased!A:B,2,0)</f>
        <v>BRACKET FOR 30 SERIES SPEED CONTROLLER</v>
      </c>
      <c r="E35" s="326"/>
      <c r="F35" s="108" t="str">
        <f>IF(VLOOKUP($C35,Purchased!A:Z,11,0) = 0, " ", VLOOKUP($C35,Purchased!A:Z,11,0))</f>
        <v>SMC</v>
      </c>
      <c r="G35" s="108" t="str">
        <f>IF(VLOOKUP($C35,Purchased!A:Z,12,0)=0, " ", VLOOKUP($C35,Purchased!A:Z,12,0))</f>
        <v>AAP</v>
      </c>
      <c r="H35" s="327" t="str">
        <f>IF(VLOOKUP($C35,Purchased!A:Z,13,0)=0, " ", VLOOKUP($C35,Purchased!A:Z,13,0))</f>
        <v xml:space="preserve"> </v>
      </c>
      <c r="I35" s="328"/>
      <c r="J35" s="46">
        <f>IF(VLOOKUP($C35,Purchased!A:Z,14,0)=0, " ", VLOOKUP($C35,Purchased!A:Z,14,0))</f>
        <v>45489</v>
      </c>
      <c r="K35" s="46">
        <f>IF(VLOOKUP(C35,Purchased!A:R,14,0)=0, " ", VLOOKUP(C35,Purchased!A:R,14,0))</f>
        <v>45489</v>
      </c>
      <c r="L35" s="46">
        <f>IF(VLOOKUP(C35,Purchased!A:R,15,0)=0, " ", VLOOKUP(C35,Purchased!A:R,15,0))</f>
        <v>45491</v>
      </c>
      <c r="M35" s="46">
        <f>IF(VLOOKUP(C35,Purchased!A:R,16,0)=0, " ",VLOOKUP(C35,Purchased!A:R,16,0))</f>
        <v>45520</v>
      </c>
      <c r="N35" s="130">
        <f>IF(VLOOKUP(C35,Purchased!A:R,17,0)=0, " ", VLOOKUP(C35,Purchased!A:R,17,0))</f>
        <v>45511</v>
      </c>
      <c r="O35" s="47">
        <f ca="1">B35*$L$2</f>
        <v>2</v>
      </c>
      <c r="P35" s="51">
        <f>VLOOKUP(C35,Purchased!A:D,3,FALSE)</f>
        <v>2.4700000000000002</v>
      </c>
      <c r="Q35" s="52">
        <f>B35*P35</f>
        <v>4.9400000000000004</v>
      </c>
    </row>
    <row r="36" spans="1:17" s="2" customFormat="1" ht="12" customHeight="1" x14ac:dyDescent="0.25">
      <c r="A36" s="4">
        <v>318</v>
      </c>
      <c r="B36" s="2">
        <v>3</v>
      </c>
      <c r="C36" s="135" t="s">
        <v>227</v>
      </c>
      <c r="D36" s="325" t="str">
        <f>VLOOKUP(C36,Purchased!A:B,2,0)</f>
        <v>KQ2 one touch fitting, 8mm D elbow</v>
      </c>
      <c r="E36" s="326"/>
      <c r="F36" s="108" t="str">
        <f>IF(VLOOKUP($C36,Purchased!A:Z,11,0) = 0, " ", VLOOKUP($C36,Purchased!A:Z,11,0))</f>
        <v>SMC</v>
      </c>
      <c r="G36" s="108" t="str">
        <f>IF(VLOOKUP($C36,Purchased!A:Z,12,0)=0, " ", VLOOKUP($C36,Purchased!A:Z,12,0))</f>
        <v>AAP</v>
      </c>
      <c r="H36" s="327" t="str">
        <f>IF(VLOOKUP($C36,Purchased!A:Z,13,0)=0, " ", VLOOKUP($C36,Purchased!A:Z,13,0))</f>
        <v xml:space="preserve"> </v>
      </c>
      <c r="I36" s="328"/>
      <c r="J36" s="46">
        <f>IF(VLOOKUP($C36,Purchased!A:Z,14,0)=0, " ", VLOOKUP($C36,Purchased!A:Z,14,0))</f>
        <v>45489</v>
      </c>
      <c r="K36" s="46">
        <f>IF(VLOOKUP(C36,Purchased!A:R,14,0)=0, " ", VLOOKUP(C36,Purchased!A:R,14,0))</f>
        <v>45489</v>
      </c>
      <c r="L36" s="46">
        <f>IF(VLOOKUP(C36,Purchased!A:R,15,0)=0, " ", VLOOKUP(C36,Purchased!A:R,15,0))</f>
        <v>45491</v>
      </c>
      <c r="M36" s="46">
        <f>IF(VLOOKUP(C36,Purchased!A:R,16,0)=0, " ",VLOOKUP(C36,Purchased!A:R,16,0))</f>
        <v>45520</v>
      </c>
      <c r="N36" s="130">
        <f>IF(VLOOKUP(C36,Purchased!A:R,17,0)=0, " ", VLOOKUP(C36,Purchased!A:R,17,0))</f>
        <v>45511</v>
      </c>
      <c r="O36" s="47">
        <f ca="1">B36*$L$2</f>
        <v>3</v>
      </c>
      <c r="P36" s="51">
        <f>VLOOKUP(C36,Purchased!A:D,3,FALSE)</f>
        <v>1.86</v>
      </c>
      <c r="Q36" s="52">
        <f>B36*P36</f>
        <v>5.58</v>
      </c>
    </row>
    <row r="37" spans="1:17" s="2" customFormat="1" ht="12" customHeight="1" x14ac:dyDescent="0.25">
      <c r="A37" s="25"/>
      <c r="B37" s="26"/>
      <c r="C37" s="26"/>
      <c r="D37" s="332"/>
      <c r="E37" s="333"/>
      <c r="F37" s="26"/>
      <c r="G37" s="26"/>
      <c r="H37" s="322"/>
      <c r="I37" s="323"/>
      <c r="J37" s="27"/>
      <c r="K37" s="27"/>
      <c r="L37" s="27"/>
      <c r="M37" s="28"/>
      <c r="N37" s="29"/>
      <c r="O37" s="29"/>
      <c r="P37" s="148"/>
      <c r="Q37" s="149"/>
    </row>
    <row r="38" spans="1:17" s="2" customFormat="1" ht="12" customHeight="1" x14ac:dyDescent="0.25">
      <c r="A38" s="4">
        <v>501</v>
      </c>
      <c r="B38" s="2">
        <v>6</v>
      </c>
      <c r="C38" s="122" t="s">
        <v>197</v>
      </c>
      <c r="D38" s="325"/>
      <c r="E38" s="326"/>
      <c r="F38" s="108">
        <f>VLOOKUP(C38,Bolts!A:L,5,0)</f>
        <v>0</v>
      </c>
      <c r="G38" s="108">
        <f>VLOOKUP(C38,Bolts!A:L,6,0)</f>
        <v>0</v>
      </c>
      <c r="H38" s="108">
        <f>VLOOKUP(C38,Bolts!A:L,7,0)</f>
        <v>0</v>
      </c>
      <c r="I38" s="109"/>
      <c r="J38" s="46">
        <f>VLOOKUP(C38,Bolts!A:L,8,0)</f>
        <v>0</v>
      </c>
      <c r="K38" s="46">
        <f>VLOOKUP(C38,Bolts!A:L,9,0)</f>
        <v>0</v>
      </c>
      <c r="L38" s="46">
        <f>VLOOKUP(C38,Bolts!A:L,10,0)</f>
        <v>0</v>
      </c>
      <c r="M38" s="46">
        <f>VLOOKUP(C38,Bolts!A:L,11,0)</f>
        <v>0</v>
      </c>
      <c r="N38" s="130">
        <f>VLOOKUP(C38,Bolts!A:L,12,0)</f>
        <v>0</v>
      </c>
      <c r="O38" s="47">
        <f t="shared" ref="O38:O48" ca="1" si="10">B38*$L$2</f>
        <v>6</v>
      </c>
      <c r="P38" s="51">
        <f>VLOOKUP(C38,Bolts!A:B,2,FALSE)</f>
        <v>0</v>
      </c>
      <c r="Q38" s="52">
        <f t="shared" ref="Q38:Q48" si="11">B38*P38</f>
        <v>0</v>
      </c>
    </row>
    <row r="39" spans="1:17" s="2" customFormat="1" ht="12" customHeight="1" x14ac:dyDescent="0.25">
      <c r="A39" s="4">
        <v>502</v>
      </c>
      <c r="B39" s="2">
        <v>2</v>
      </c>
      <c r="C39" s="122" t="s">
        <v>806</v>
      </c>
      <c r="D39" s="325"/>
      <c r="E39" s="326"/>
      <c r="F39" s="108">
        <f>VLOOKUP(C39,Bolts!A:L,5,0)</f>
        <v>0</v>
      </c>
      <c r="G39" s="108" t="str">
        <f>VLOOKUP(C39,Bolts!A:L,6,0)</f>
        <v xml:space="preserve"> </v>
      </c>
      <c r="H39" s="108">
        <f>VLOOKUP(C39,Bolts!A:L,7,0)</f>
        <v>0</v>
      </c>
      <c r="I39" s="109"/>
      <c r="J39" s="46">
        <f>VLOOKUP(C39,Bolts!A:L,8,0)</f>
        <v>0</v>
      </c>
      <c r="K39" s="46">
        <f>VLOOKUP(C39,Bolts!A:L,9,0)</f>
        <v>0</v>
      </c>
      <c r="L39" s="46">
        <f>VLOOKUP(C39,Bolts!A:L,10,0)</f>
        <v>0</v>
      </c>
      <c r="M39" s="46">
        <f>VLOOKUP(C39,Bolts!A:L,11,0)</f>
        <v>0</v>
      </c>
      <c r="N39" s="130">
        <f>VLOOKUP(C39,Bolts!A:L,12,0)</f>
        <v>0</v>
      </c>
      <c r="O39" s="47">
        <f t="shared" ca="1" si="10"/>
        <v>2</v>
      </c>
      <c r="P39" s="51">
        <f>VLOOKUP(C39,Bolts!A:B,2,FALSE)</f>
        <v>0</v>
      </c>
      <c r="Q39" s="52">
        <f t="shared" si="11"/>
        <v>0</v>
      </c>
    </row>
    <row r="40" spans="1:17" s="2" customFormat="1" ht="12" customHeight="1" x14ac:dyDescent="0.25">
      <c r="A40" s="4">
        <v>503</v>
      </c>
      <c r="B40" s="2">
        <v>2</v>
      </c>
      <c r="C40" s="122" t="s">
        <v>807</v>
      </c>
      <c r="D40" s="325"/>
      <c r="E40" s="326"/>
      <c r="F40" s="108">
        <f>VLOOKUP(C40,Bolts!A:L,5,0)</f>
        <v>0</v>
      </c>
      <c r="G40" s="108">
        <f>VLOOKUP(C40,Bolts!A:L,6,0)</f>
        <v>0</v>
      </c>
      <c r="H40" s="108">
        <f>VLOOKUP(C40,Bolts!A:L,7,0)</f>
        <v>0</v>
      </c>
      <c r="I40" s="109"/>
      <c r="J40" s="46">
        <f>VLOOKUP(C40,Bolts!A:L,8,0)</f>
        <v>0</v>
      </c>
      <c r="K40" s="46">
        <f>VLOOKUP(C40,Bolts!A:L,9,0)</f>
        <v>0</v>
      </c>
      <c r="L40" s="46">
        <f>VLOOKUP(C40,Bolts!A:L,10,0)</f>
        <v>0</v>
      </c>
      <c r="M40" s="46">
        <f>VLOOKUP(C40,Bolts!A:L,11,0)</f>
        <v>0</v>
      </c>
      <c r="N40" s="130">
        <f>VLOOKUP(C40,Bolts!A:L,12,0)</f>
        <v>0</v>
      </c>
      <c r="O40" s="47">
        <f t="shared" ca="1" si="10"/>
        <v>2</v>
      </c>
      <c r="P40" s="51">
        <f>VLOOKUP(C40,Bolts!A:B,2,FALSE)</f>
        <v>0</v>
      </c>
      <c r="Q40" s="52">
        <f t="shared" si="11"/>
        <v>0</v>
      </c>
    </row>
    <row r="41" spans="1:17" s="2" customFormat="1" ht="12" customHeight="1" x14ac:dyDescent="0.25">
      <c r="A41" s="4">
        <v>504</v>
      </c>
      <c r="B41" s="2">
        <v>4</v>
      </c>
      <c r="C41" s="122" t="s">
        <v>808</v>
      </c>
      <c r="D41" s="325"/>
      <c r="E41" s="326"/>
      <c r="F41" s="108">
        <f>VLOOKUP(C41,Bolts!A:L,5,0)</f>
        <v>0</v>
      </c>
      <c r="G41" s="108">
        <f>VLOOKUP(C41,Bolts!A:L,6,0)</f>
        <v>0</v>
      </c>
      <c r="H41" s="108">
        <f>VLOOKUP(C41,Bolts!A:L,7,0)</f>
        <v>0</v>
      </c>
      <c r="I41" s="109"/>
      <c r="J41" s="46">
        <f>VLOOKUP(C41,Bolts!A:L,8,0)</f>
        <v>0</v>
      </c>
      <c r="K41" s="46">
        <f>VLOOKUP(C41,Bolts!A:L,9,0)</f>
        <v>0</v>
      </c>
      <c r="L41" s="46">
        <f>VLOOKUP(C41,Bolts!A:L,10,0)</f>
        <v>0</v>
      </c>
      <c r="M41" s="46">
        <f>VLOOKUP(C41,Bolts!A:L,11,0)</f>
        <v>0</v>
      </c>
      <c r="N41" s="130">
        <f>VLOOKUP(C41,Bolts!A:L,12,0)</f>
        <v>0</v>
      </c>
      <c r="O41" s="47">
        <f t="shared" ca="1" si="10"/>
        <v>4</v>
      </c>
      <c r="P41" s="51">
        <f>VLOOKUP(C41,Bolts!A:B,2,FALSE)</f>
        <v>0</v>
      </c>
      <c r="Q41" s="52">
        <f t="shared" si="11"/>
        <v>0</v>
      </c>
    </row>
    <row r="42" spans="1:17" s="2" customFormat="1" ht="12" customHeight="1" x14ac:dyDescent="0.25">
      <c r="A42" s="4">
        <v>505</v>
      </c>
      <c r="B42" s="2">
        <v>2</v>
      </c>
      <c r="C42" s="122" t="s">
        <v>809</v>
      </c>
      <c r="D42" s="325"/>
      <c r="E42" s="326"/>
      <c r="F42" s="108">
        <f>VLOOKUP(C42,Bolts!A:L,5,0)</f>
        <v>0</v>
      </c>
      <c r="G42" s="108">
        <f>VLOOKUP(C42,Bolts!A:L,6,0)</f>
        <v>0</v>
      </c>
      <c r="H42" s="108">
        <f>VLOOKUP(C42,Bolts!A:L,7,0)</f>
        <v>0</v>
      </c>
      <c r="I42" s="109"/>
      <c r="J42" s="46">
        <f>VLOOKUP(C42,Bolts!A:L,8,0)</f>
        <v>0</v>
      </c>
      <c r="K42" s="46">
        <f>VLOOKUP(C42,Bolts!A:L,9,0)</f>
        <v>0</v>
      </c>
      <c r="L42" s="46">
        <f>VLOOKUP(C42,Bolts!A:L,10,0)</f>
        <v>0</v>
      </c>
      <c r="M42" s="46">
        <f>VLOOKUP(C42,Bolts!A:L,11,0)</f>
        <v>0</v>
      </c>
      <c r="N42" s="130">
        <f>VLOOKUP(C42,Bolts!A:L,12,0)</f>
        <v>0</v>
      </c>
      <c r="O42" s="47">
        <f t="shared" ca="1" si="10"/>
        <v>2</v>
      </c>
      <c r="P42" s="51">
        <f>VLOOKUP(C42,Bolts!A:B,2,FALSE)</f>
        <v>0</v>
      </c>
      <c r="Q42" s="52">
        <f t="shared" si="11"/>
        <v>0</v>
      </c>
    </row>
    <row r="43" spans="1:17" s="2" customFormat="1" ht="12" customHeight="1" x14ac:dyDescent="0.25">
      <c r="A43" s="4">
        <v>506</v>
      </c>
      <c r="B43" s="2">
        <v>4</v>
      </c>
      <c r="C43" s="122" t="s">
        <v>275</v>
      </c>
      <c r="D43" s="325"/>
      <c r="E43" s="326"/>
      <c r="F43" s="108">
        <f>VLOOKUP(C43,Bolts!A:L,5,0)</f>
        <v>0</v>
      </c>
      <c r="G43" s="108">
        <f>VLOOKUP(C43,Bolts!A:L,6,0)</f>
        <v>0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t="shared" ca="1" si="10"/>
        <v>4</v>
      </c>
      <c r="P43" s="51">
        <f>VLOOKUP(C43,Bolts!A:B,2,FALSE)</f>
        <v>0</v>
      </c>
      <c r="Q43" s="52">
        <f t="shared" si="11"/>
        <v>0</v>
      </c>
    </row>
    <row r="44" spans="1:17" s="2" customFormat="1" ht="12" customHeight="1" x14ac:dyDescent="0.25">
      <c r="A44" s="4">
        <v>507</v>
      </c>
      <c r="B44" s="2">
        <v>2</v>
      </c>
      <c r="C44" s="122" t="s">
        <v>349</v>
      </c>
      <c r="D44" s="325"/>
      <c r="E44" s="326"/>
      <c r="F44" s="108">
        <f>VLOOKUP(C44,Bolts!A:L,5,0)</f>
        <v>0</v>
      </c>
      <c r="G44" s="108">
        <f>VLOOKUP(C44,Bolts!A:L,6,0)</f>
        <v>0</v>
      </c>
      <c r="H44" s="108">
        <f>VLOOKUP(C44,Bolts!A:L,7,0)</f>
        <v>0</v>
      </c>
      <c r="I44" s="109"/>
      <c r="J44" s="46">
        <f>VLOOKUP(C44,Bolts!A:L,8,0)</f>
        <v>0</v>
      </c>
      <c r="K44" s="46">
        <f>VLOOKUP(C44,Bolts!A:L,9,0)</f>
        <v>0</v>
      </c>
      <c r="L44" s="46">
        <f>VLOOKUP(C44,Bolts!A:L,10,0)</f>
        <v>0</v>
      </c>
      <c r="M44" s="46">
        <f>VLOOKUP(C44,Bolts!A:L,11,0)</f>
        <v>0</v>
      </c>
      <c r="N44" s="130">
        <f>VLOOKUP(C44,Bolts!A:L,12,0)</f>
        <v>0</v>
      </c>
      <c r="O44" s="47">
        <f t="shared" ca="1" si="10"/>
        <v>2</v>
      </c>
      <c r="P44" s="51">
        <f>VLOOKUP(C44,Bolts!A:B,2,FALSE)</f>
        <v>0</v>
      </c>
      <c r="Q44" s="52">
        <f t="shared" si="11"/>
        <v>0</v>
      </c>
    </row>
    <row r="45" spans="1:17" s="2" customFormat="1" ht="12" customHeight="1" x14ac:dyDescent="0.25">
      <c r="A45" s="4">
        <v>508</v>
      </c>
      <c r="B45" s="2">
        <v>2</v>
      </c>
      <c r="C45" s="122" t="s">
        <v>810</v>
      </c>
      <c r="D45" s="325"/>
      <c r="E45" s="326"/>
      <c r="F45" s="108">
        <f>VLOOKUP(C45,Bolts!A:L,5,0)</f>
        <v>0</v>
      </c>
      <c r="G45" s="108">
        <f>VLOOKUP(C45,Bolts!A:L,6,0)</f>
        <v>0</v>
      </c>
      <c r="H45" s="108">
        <f>VLOOKUP(C45,Bolts!A:L,7,0)</f>
        <v>0</v>
      </c>
      <c r="I45" s="109"/>
      <c r="J45" s="46">
        <f>VLOOKUP(C45,Bolts!A:L,8,0)</f>
        <v>0</v>
      </c>
      <c r="K45" s="46">
        <f>VLOOKUP(C45,Bolts!A:L,9,0)</f>
        <v>0</v>
      </c>
      <c r="L45" s="46">
        <f>VLOOKUP(C45,Bolts!A:L,10,0)</f>
        <v>0</v>
      </c>
      <c r="M45" s="46">
        <f>VLOOKUP(C45,Bolts!A:L,11,0)</f>
        <v>0</v>
      </c>
      <c r="N45" s="130">
        <f>VLOOKUP(C45,Bolts!A:L,12,0)</f>
        <v>0</v>
      </c>
      <c r="O45" s="47">
        <f t="shared" ca="1" si="10"/>
        <v>2</v>
      </c>
      <c r="P45" s="51">
        <f>VLOOKUP(C45,Bolts!A:B,2,FALSE)</f>
        <v>0</v>
      </c>
      <c r="Q45" s="52">
        <f t="shared" si="11"/>
        <v>0</v>
      </c>
    </row>
    <row r="46" spans="1:17" s="2" customFormat="1" ht="12" customHeight="1" x14ac:dyDescent="0.25">
      <c r="A46" s="4">
        <v>509</v>
      </c>
      <c r="B46" s="2">
        <v>2</v>
      </c>
      <c r="C46" s="122" t="s">
        <v>329</v>
      </c>
      <c r="D46" s="325"/>
      <c r="E46" s="326"/>
      <c r="F46" s="108">
        <f>VLOOKUP(C46,Bolts!A:L,5,0)</f>
        <v>0</v>
      </c>
      <c r="G46" s="108">
        <f>VLOOKUP(C46,Bolts!A:L,6,0)</f>
        <v>0</v>
      </c>
      <c r="H46" s="108">
        <f>VLOOKUP(C46,Bolts!A:L,7,0)</f>
        <v>0</v>
      </c>
      <c r="I46" s="109"/>
      <c r="J46" s="46">
        <f>VLOOKUP(C46,Bolts!A:L,8,0)</f>
        <v>0</v>
      </c>
      <c r="K46" s="46">
        <f>VLOOKUP(C46,Bolts!A:L,9,0)</f>
        <v>0</v>
      </c>
      <c r="L46" s="46">
        <f>VLOOKUP(C46,Bolts!A:L,10,0)</f>
        <v>0</v>
      </c>
      <c r="M46" s="46">
        <f>VLOOKUP(C46,Bolts!A:L,11,0)</f>
        <v>0</v>
      </c>
      <c r="N46" s="130">
        <f>VLOOKUP(C46,Bolts!A:L,12,0)</f>
        <v>0</v>
      </c>
      <c r="O46" s="47">
        <f t="shared" ca="1" si="10"/>
        <v>2</v>
      </c>
      <c r="P46" s="51">
        <f>VLOOKUP(C46,Bolts!A:B,2,FALSE)</f>
        <v>0</v>
      </c>
      <c r="Q46" s="52">
        <f t="shared" si="11"/>
        <v>0</v>
      </c>
    </row>
    <row r="47" spans="1:17" s="2" customFormat="1" ht="12" customHeight="1" x14ac:dyDescent="0.25">
      <c r="A47" s="4">
        <v>510</v>
      </c>
      <c r="B47" s="2">
        <v>40</v>
      </c>
      <c r="C47" s="122" t="s">
        <v>107</v>
      </c>
      <c r="D47" s="325"/>
      <c r="E47" s="326"/>
      <c r="F47" s="108">
        <f>VLOOKUP(C47,Bolts!A:L,5,0)</f>
        <v>0</v>
      </c>
      <c r="G47" s="108">
        <f>VLOOKUP(C47,Bolts!A:L,6,0)</f>
        <v>0</v>
      </c>
      <c r="H47" s="108">
        <f>VLOOKUP(C47,Bolts!A:L,7,0)</f>
        <v>0</v>
      </c>
      <c r="I47" s="109"/>
      <c r="J47" s="46">
        <f>VLOOKUP(C47,Bolts!A:L,8,0)</f>
        <v>0</v>
      </c>
      <c r="K47" s="46">
        <f>VLOOKUP(C47,Bolts!A:L,9,0)</f>
        <v>0</v>
      </c>
      <c r="L47" s="46">
        <f>VLOOKUP(C47,Bolts!A:L,10,0)</f>
        <v>0</v>
      </c>
      <c r="M47" s="46">
        <f>VLOOKUP(C47,Bolts!A:L,11,0)</f>
        <v>0</v>
      </c>
      <c r="N47" s="130">
        <f>VLOOKUP(C47,Bolts!A:L,12,0)</f>
        <v>0</v>
      </c>
      <c r="O47" s="47">
        <f t="shared" ca="1" si="10"/>
        <v>40</v>
      </c>
      <c r="P47" s="51">
        <f>VLOOKUP(C47,Bolts!A:B,2,FALSE)</f>
        <v>0</v>
      </c>
      <c r="Q47" s="52">
        <f t="shared" si="11"/>
        <v>0</v>
      </c>
    </row>
    <row r="48" spans="1:17" s="2" customFormat="1" ht="12" customHeight="1" x14ac:dyDescent="0.25">
      <c r="A48" s="4">
        <v>511</v>
      </c>
      <c r="B48" s="2">
        <v>20</v>
      </c>
      <c r="C48" s="122" t="s">
        <v>811</v>
      </c>
      <c r="D48" s="325"/>
      <c r="E48" s="326"/>
      <c r="F48" s="108">
        <f>VLOOKUP(C48,Bolts!A:L,5,0)</f>
        <v>0</v>
      </c>
      <c r="G48" s="108">
        <f>VLOOKUP(C48,Bolts!A:L,6,0)</f>
        <v>0</v>
      </c>
      <c r="H48" s="108">
        <f>VLOOKUP(C48,Bolts!A:L,7,0)</f>
        <v>0</v>
      </c>
      <c r="I48" s="109"/>
      <c r="J48" s="46">
        <f>VLOOKUP(C48,Bolts!A:L,8,0)</f>
        <v>0</v>
      </c>
      <c r="K48" s="46">
        <f>VLOOKUP(C48,Bolts!A:L,9,0)</f>
        <v>0</v>
      </c>
      <c r="L48" s="46">
        <f>VLOOKUP(C48,Bolts!A:L,10,0)</f>
        <v>0</v>
      </c>
      <c r="M48" s="46">
        <f>VLOOKUP(C48,Bolts!A:L,11,0)</f>
        <v>0</v>
      </c>
      <c r="N48" s="130">
        <f>VLOOKUP(C48,Bolts!A:L,12,0)</f>
        <v>0</v>
      </c>
      <c r="O48" s="47">
        <f t="shared" ca="1" si="10"/>
        <v>20</v>
      </c>
      <c r="P48" s="51">
        <f>VLOOKUP(C48,Bolts!A:B,2,FALSE)</f>
        <v>0</v>
      </c>
      <c r="Q48" s="52">
        <f t="shared" si="11"/>
        <v>0</v>
      </c>
    </row>
    <row r="49" spans="1:17" s="2" customFormat="1" ht="12" customHeight="1" thickBot="1" x14ac:dyDescent="0.3">
      <c r="A49" s="4">
        <v>512</v>
      </c>
      <c r="B49" s="2">
        <v>12</v>
      </c>
      <c r="C49" s="122" t="s">
        <v>310</v>
      </c>
      <c r="D49" s="325"/>
      <c r="E49" s="326"/>
      <c r="F49" s="108">
        <f>VLOOKUP(C49,Bolts!A:L,5,0)</f>
        <v>0</v>
      </c>
      <c r="G49" s="108">
        <f>VLOOKUP(C49,Bolts!A:L,6,0)</f>
        <v>0</v>
      </c>
      <c r="H49" s="108">
        <f>VLOOKUP(C49,Bolts!A:L,7,0)</f>
        <v>0</v>
      </c>
      <c r="I49" s="109"/>
      <c r="J49" s="46">
        <f>VLOOKUP(C49,Bolts!A:L,8,0)</f>
        <v>0</v>
      </c>
      <c r="K49" s="46">
        <f>VLOOKUP(C49,Bolts!A:L,9,0)</f>
        <v>0</v>
      </c>
      <c r="L49" s="46">
        <f>VLOOKUP(C49,Bolts!A:L,10,0)</f>
        <v>0</v>
      </c>
      <c r="M49" s="46">
        <f>VLOOKUP(C49,Bolts!A:L,11,0)</f>
        <v>0</v>
      </c>
      <c r="N49" s="130">
        <f>VLOOKUP(C49,Bolts!A:L,12,0)</f>
        <v>0</v>
      </c>
      <c r="O49" s="47">
        <f ca="1">B49*$L$2</f>
        <v>12</v>
      </c>
      <c r="P49" s="51">
        <f>VLOOKUP(C49,Bolts!A:B,2,FALSE)</f>
        <v>0</v>
      </c>
      <c r="Q49" s="52">
        <f>B49*P49</f>
        <v>0</v>
      </c>
    </row>
    <row r="50" spans="1:17" s="2" customFormat="1" ht="12" customHeight="1" thickBot="1" x14ac:dyDescent="0.3">
      <c r="A50" s="34"/>
      <c r="B50" s="35"/>
      <c r="C50" s="35"/>
      <c r="D50" s="316"/>
      <c r="E50" s="317"/>
      <c r="F50" s="35"/>
      <c r="G50" s="35"/>
      <c r="H50" s="309"/>
      <c r="I50" s="310"/>
      <c r="J50" s="36"/>
      <c r="K50" s="36"/>
      <c r="L50" s="36"/>
      <c r="M50" s="37"/>
      <c r="N50" s="132"/>
      <c r="O50" s="38"/>
      <c r="P50" s="99" t="s">
        <v>43</v>
      </c>
      <c r="Q50" s="104">
        <f>SUM(Q5:Q49)</f>
        <v>8418.4116000000013</v>
      </c>
    </row>
  </sheetData>
  <sheetProtection selectLockedCells="1"/>
  <mergeCells count="83">
    <mergeCell ref="D35:E35"/>
    <mergeCell ref="H35:I35"/>
    <mergeCell ref="D36:E36"/>
    <mergeCell ref="H36:I36"/>
    <mergeCell ref="D49:E49"/>
    <mergeCell ref="D32:E32"/>
    <mergeCell ref="H32:I32"/>
    <mergeCell ref="D33:E33"/>
    <mergeCell ref="H33:I33"/>
    <mergeCell ref="D34:E34"/>
    <mergeCell ref="H34:I34"/>
    <mergeCell ref="D50:E50"/>
    <mergeCell ref="H50:I50"/>
    <mergeCell ref="D48:E48"/>
    <mergeCell ref="D47:E47"/>
    <mergeCell ref="D37:E37"/>
    <mergeCell ref="H37:I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29:E29"/>
    <mergeCell ref="H29:I29"/>
    <mergeCell ref="D30:E30"/>
    <mergeCell ref="H30:I30"/>
    <mergeCell ref="D31:E31"/>
    <mergeCell ref="H31:I31"/>
    <mergeCell ref="D26:E26"/>
    <mergeCell ref="H26:I26"/>
    <mergeCell ref="D27:E27"/>
    <mergeCell ref="H27:I27"/>
    <mergeCell ref="D28:E28"/>
    <mergeCell ref="H28:I28"/>
    <mergeCell ref="D23:E23"/>
    <mergeCell ref="H23:I23"/>
    <mergeCell ref="D24:E24"/>
    <mergeCell ref="H24:I24"/>
    <mergeCell ref="D25:E25"/>
    <mergeCell ref="H25:I25"/>
    <mergeCell ref="D20:E20"/>
    <mergeCell ref="H20:I20"/>
    <mergeCell ref="D21:E21"/>
    <mergeCell ref="H21:I21"/>
    <mergeCell ref="D22:E22"/>
    <mergeCell ref="H22:I22"/>
    <mergeCell ref="D18:E18"/>
    <mergeCell ref="H18:I18"/>
    <mergeCell ref="D19:E19"/>
    <mergeCell ref="H19:I19"/>
    <mergeCell ref="D15:E15"/>
    <mergeCell ref="H15:I15"/>
    <mergeCell ref="D16:E16"/>
    <mergeCell ref="H16:I16"/>
    <mergeCell ref="D17:E17"/>
    <mergeCell ref="H17:I17"/>
    <mergeCell ref="D12:E12"/>
    <mergeCell ref="H12:I12"/>
    <mergeCell ref="D13:E13"/>
    <mergeCell ref="H13:I13"/>
    <mergeCell ref="D14:E14"/>
    <mergeCell ref="H14:I14"/>
    <mergeCell ref="D11:E11"/>
    <mergeCell ref="H11:I11"/>
    <mergeCell ref="D7:E7"/>
    <mergeCell ref="H7:I7"/>
    <mergeCell ref="D8:E8"/>
    <mergeCell ref="H8:I8"/>
    <mergeCell ref="D9:E9"/>
    <mergeCell ref="H9:I9"/>
    <mergeCell ref="D10:E10"/>
    <mergeCell ref="H10:I10"/>
    <mergeCell ref="D6:E6"/>
    <mergeCell ref="H6:I6"/>
    <mergeCell ref="D1:E1"/>
    <mergeCell ref="D4:E4"/>
    <mergeCell ref="H4:I4"/>
    <mergeCell ref="D5:E5"/>
    <mergeCell ref="H5:I5"/>
  </mergeCells>
  <conditionalFormatting sqref="M9 M18 M37:M49">
    <cfRule type="cellIs" dxfId="1280" priority="39" stopIfTrue="1" operator="lessThanOrEqual">
      <formula>$L9</formula>
    </cfRule>
    <cfRule type="cellIs" dxfId="1279" priority="40" operator="greaterThan">
      <formula>L9</formula>
    </cfRule>
  </conditionalFormatting>
  <conditionalFormatting sqref="M19">
    <cfRule type="cellIs" dxfId="1278" priority="35" stopIfTrue="1" operator="lessThanOrEqual">
      <formula>$L19</formula>
    </cfRule>
    <cfRule type="cellIs" dxfId="1277" priority="36" operator="greaterThan">
      <formula>L19</formula>
    </cfRule>
  </conditionalFormatting>
  <conditionalFormatting sqref="M20">
    <cfRule type="cellIs" dxfId="1276" priority="33" stopIfTrue="1" operator="lessThanOrEqual">
      <formula>$L20</formula>
    </cfRule>
    <cfRule type="cellIs" dxfId="1275" priority="34" operator="greaterThan">
      <formula>L20</formula>
    </cfRule>
  </conditionalFormatting>
  <conditionalFormatting sqref="M21:M36">
    <cfRule type="cellIs" dxfId="1274" priority="1" stopIfTrue="1" operator="lessThanOrEqual">
      <formula>$L21</formula>
    </cfRule>
    <cfRule type="cellIs" dxfId="1273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50F53C5-3B9D-42B8-A25C-B1EAC9F6EC68}">
          <x14:formula1>
            <xm:f>Bolts!$A:$A</xm:f>
          </x14:formula1>
          <xm:sqref>C37:C49</xm:sqref>
        </x14:dataValidation>
        <x14:dataValidation type="list" allowBlank="1" showInputMessage="1" showErrorMessage="1" xr:uid="{6774DAC1-D3F0-4ADC-87AB-7EFF0A01F921}">
          <x14:formula1>
            <xm:f>Assemblies!$E:$E</xm:f>
          </x14:formula1>
          <xm:sqref>C5:C8</xm:sqref>
        </x14:dataValidation>
        <x14:dataValidation type="list" allowBlank="1" showInputMessage="1" showErrorMessage="1" xr:uid="{2516CC20-941F-4832-99F5-93A48EB06B9C}">
          <x14:formula1>
            <xm:f>Machined!$C:$C</xm:f>
          </x14:formula1>
          <xm:sqref>C9:C17</xm:sqref>
        </x14:dataValidation>
        <x14:dataValidation type="list" allowBlank="1" showInputMessage="1" showErrorMessage="1" xr:uid="{728B198F-7609-4951-982C-6C78D5F3B7DA}">
          <x14:formula1>
            <xm:f>Purchased!$A:$A</xm:f>
          </x14:formula1>
          <xm:sqref>C18:C36</xm:sqref>
        </x14:dataValidation>
      </x14:dataValidations>
    </ext>
  </extLst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54359-00D8-4521-8456-0758A5B1F879}">
  <sheetPr codeName="Sheet128">
    <tabColor theme="6" tint="0.59999389629810485"/>
  </sheetPr>
  <dimension ref="A1:Q30"/>
  <sheetViews>
    <sheetView zoomScale="115" zoomScaleNormal="115" workbookViewId="0">
      <selection activeCell="C18" sqref="C1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'5.5'!C5</f>
        <v>PG10.5.5.1.0.A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'5.5'!D5</f>
        <v>Cuff Escpmnt A Side Assy</v>
      </c>
      <c r="D3" s="85" t="s">
        <v>50</v>
      </c>
      <c r="E3" s="86" t="str">
        <f ca="1">MID(CELL("filename",A1),FIND("]",CELL("filename",A1))+1,256)</f>
        <v>5.5.1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812</v>
      </c>
      <c r="D5" s="314" t="str">
        <f>VLOOKUP(C5,Machined!C:X,2,0)</f>
        <v>ESC MOUNT A SIDE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45504</v>
      </c>
      <c r="L5" s="44">
        <f>IF(VLOOKUP($C5,Machined!C:Z,20,0) = 0, " ", VLOOKUP($C5,Machined!C:Z,20,0))</f>
        <v>45534</v>
      </c>
      <c r="M5" s="44">
        <f>IF(VLOOKUP($C5,Machined!C:Z,21,0) = 0, " ", VLOOKUP($C5,Machined!C:Z,21,0))</f>
        <v>45534</v>
      </c>
      <c r="N5" s="129">
        <f>IF(VLOOKUP($C5,Machined!C:Z,22,0) = 0, " ", VLOOKUP($C5,Machined!C:Z,22,0))</f>
        <v>55641</v>
      </c>
      <c r="O5" s="45">
        <f ca="1">B5*$L$2</f>
        <v>1</v>
      </c>
      <c r="P5" s="49">
        <f>VLOOKUP(C5,Machined!C:F,3,0)</f>
        <v>167.65</v>
      </c>
      <c r="Q5" s="50">
        <f>B5*P5</f>
        <v>167.65</v>
      </c>
    </row>
    <row r="6" spans="1:17" s="2" customFormat="1" ht="12.75" customHeight="1" x14ac:dyDescent="0.25">
      <c r="A6" s="77">
        <v>2</v>
      </c>
      <c r="B6" s="20">
        <v>1</v>
      </c>
      <c r="C6" s="121" t="s">
        <v>813</v>
      </c>
      <c r="D6" s="314" t="str">
        <f>VLOOKUP(C6,Machined!C:X,2,0)</f>
        <v>ESC PLATE A SIDE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45504</v>
      </c>
      <c r="L6" s="44">
        <f>IF(VLOOKUP($C6,Machined!C:Z,20,0) = 0, " ", VLOOKUP($C6,Machined!C:Z,20,0))</f>
        <v>45534</v>
      </c>
      <c r="M6" s="44">
        <f>IF(VLOOKUP($C6,Machined!C:Z,21,0) = 0, " ", VLOOKUP($C6,Machined!C:Z,21,0))</f>
        <v>45534</v>
      </c>
      <c r="N6" s="129">
        <f>IF(VLOOKUP($C6,Machined!C:Z,22,0) = 0, " ", VLOOKUP($C6,Machined!C:Z,22,0))</f>
        <v>55641</v>
      </c>
      <c r="O6" s="45">
        <f t="shared" ref="O6:O7" ca="1" si="0">B6*$L$2</f>
        <v>1</v>
      </c>
      <c r="P6" s="49">
        <f>VLOOKUP(C6,Machined!C:F,3,0)</f>
        <v>128.6</v>
      </c>
      <c r="Q6" s="50">
        <f t="shared" ref="Q6:Q7" si="1">B6*P6</f>
        <v>128.6</v>
      </c>
    </row>
    <row r="7" spans="1:17" s="2" customFormat="1" ht="12.75" customHeight="1" x14ac:dyDescent="0.25">
      <c r="A7" s="77">
        <v>3</v>
      </c>
      <c r="B7" s="20">
        <v>1</v>
      </c>
      <c r="C7" s="121" t="s">
        <v>814</v>
      </c>
      <c r="D7" s="314" t="str">
        <f>VLOOKUP(C7,Machined!C:X,2,0)</f>
        <v>CUFF DEADNEST A SIDE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45504</v>
      </c>
      <c r="L7" s="44">
        <f>IF(VLOOKUP($C7,Machined!C:Z,20,0) = 0, " ", VLOOKUP($C7,Machined!C:Z,20,0))</f>
        <v>45534</v>
      </c>
      <c r="M7" s="44">
        <f>IF(VLOOKUP($C7,Machined!C:Z,21,0) = 0, " ", VLOOKUP($C7,Machined!C:Z,21,0))</f>
        <v>45534</v>
      </c>
      <c r="N7" s="129">
        <f>IF(VLOOKUP($C7,Machined!C:Z,22,0) = 0, " ", VLOOKUP($C7,Machined!C:Z,22,0))</f>
        <v>55641</v>
      </c>
      <c r="O7" s="45">
        <f t="shared" ca="1" si="0"/>
        <v>1</v>
      </c>
      <c r="P7" s="49">
        <f>VLOOKUP(C7,Machined!C:F,3,0)</f>
        <v>328.5</v>
      </c>
      <c r="Q7" s="50">
        <f t="shared" si="1"/>
        <v>328.5</v>
      </c>
    </row>
    <row r="8" spans="1:17" s="2" customFormat="1" ht="12.75" customHeight="1" x14ac:dyDescent="0.25">
      <c r="A8" s="77">
        <v>4</v>
      </c>
      <c r="B8" s="20">
        <v>1</v>
      </c>
      <c r="C8" s="121" t="s">
        <v>815</v>
      </c>
      <c r="D8" s="314" t="str">
        <f>VLOOKUP(C8,Machined!C:X,2,0)</f>
        <v>ESC FINGER 1 A SIDE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>Proto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304 STAINLESS STEEL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45510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55658</v>
      </c>
      <c r="O8" s="45">
        <f ca="1">B8*$L$2</f>
        <v>1</v>
      </c>
      <c r="P8" s="49">
        <f>VLOOKUP(C8,Machined!C:F,3,0)</f>
        <v>72.56</v>
      </c>
      <c r="Q8" s="50">
        <f>B8*P8</f>
        <v>72.56</v>
      </c>
    </row>
    <row r="9" spans="1:17" s="2" customFormat="1" ht="12.75" customHeight="1" x14ac:dyDescent="0.25">
      <c r="A9" s="77">
        <v>5</v>
      </c>
      <c r="B9" s="20">
        <v>1</v>
      </c>
      <c r="C9" s="121" t="s">
        <v>816</v>
      </c>
      <c r="D9" s="314" t="str">
        <f>VLOOKUP(C9,Machined!C:X,2,0)</f>
        <v>ESC FINGER 2 A SIDE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Proto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45495</v>
      </c>
      <c r="K9" s="44">
        <f>IF(VLOOKUP($C9,Machined!C:Z,19,0) = 0, " ", VLOOKUP($C9,Machined!C:Z,19,0))</f>
        <v>45510</v>
      </c>
      <c r="L9" s="44">
        <f>IF(VLOOKUP($C9,Machined!C:Z,20,0) = 0, " ", VLOOKUP($C9,Machined!C:Z,20,0))</f>
        <v>45540</v>
      </c>
      <c r="M9" s="44">
        <f>IF(VLOOKUP($C9,Machined!C:Z,21,0) = 0, " ", VLOOKUP($C9,Machined!C:Z,21,0))</f>
        <v>45540</v>
      </c>
      <c r="N9" s="129">
        <f>IF(VLOOKUP($C9,Machined!C:Z,22,0) = 0, " ", VLOOKUP($C9,Machined!C:Z,22,0))</f>
        <v>55658</v>
      </c>
      <c r="O9" s="45">
        <f t="shared" ref="O9:O10" ca="1" si="2">B9*$L$2</f>
        <v>1</v>
      </c>
      <c r="P9" s="49">
        <f>VLOOKUP(C9,Machined!C:F,3,0)</f>
        <v>72.56</v>
      </c>
      <c r="Q9" s="50">
        <f t="shared" ref="Q9:Q10" si="3">B9*P9</f>
        <v>72.56</v>
      </c>
    </row>
    <row r="10" spans="1:17" s="2" customFormat="1" ht="12.75" customHeight="1" x14ac:dyDescent="0.25">
      <c r="A10" s="77">
        <v>6</v>
      </c>
      <c r="B10" s="20">
        <v>1</v>
      </c>
      <c r="C10" s="121" t="s">
        <v>817</v>
      </c>
      <c r="D10" s="314" t="str">
        <f>VLOOKUP(C10,Machined!C:X,2,0)</f>
        <v>ESC GUIDE A SIDE</v>
      </c>
      <c r="E10" s="329"/>
      <c r="F10" s="107" t="str">
        <f>VLOOKUP($C10,Machined!C:Z,13,0)</f>
        <v>304 STAINLESS STEEL</v>
      </c>
      <c r="G10" s="44" t="str">
        <f>IF(VLOOKUP($C10,Machined!C:Z,16,0) = 0, " ", VLOOKUP($C10,Machined!C:Z,16,0))</f>
        <v>Proto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304 STAINLESS STEEL</v>
      </c>
      <c r="J10" s="44">
        <f>IF(VLOOKUP($C10,Machined!C:Z,18,0) = 0, " ", VLOOKUP($C10,Machined!C:Z,18,0))</f>
        <v>45495</v>
      </c>
      <c r="K10" s="44">
        <f>IF(VLOOKUP($C10,Machined!C:Z,19,0) = 0, " ", VLOOKUP($C10,Machined!C:Z,19,0))</f>
        <v>45510</v>
      </c>
      <c r="L10" s="44">
        <f>IF(VLOOKUP($C10,Machined!C:Z,20,0) = 0, " ", VLOOKUP($C10,Machined!C:Z,20,0))</f>
        <v>45540</v>
      </c>
      <c r="M10" s="44">
        <f>IF(VLOOKUP($C10,Machined!C:Z,21,0) = 0, " ", VLOOKUP($C10,Machined!C:Z,21,0))</f>
        <v>45540</v>
      </c>
      <c r="N10" s="129">
        <f>IF(VLOOKUP($C10,Machined!C:Z,22,0) = 0, " ", VLOOKUP($C10,Machined!C:Z,22,0))</f>
        <v>55658</v>
      </c>
      <c r="O10" s="45">
        <f t="shared" ca="1" si="2"/>
        <v>1</v>
      </c>
      <c r="P10" s="49">
        <f>VLOOKUP(C10,Machined!C:F,3,0)</f>
        <v>139.13999999999999</v>
      </c>
      <c r="Q10" s="50">
        <f t="shared" si="3"/>
        <v>139.13999999999999</v>
      </c>
    </row>
    <row r="11" spans="1:17" s="2" customFormat="1" ht="12.75" customHeight="1" x14ac:dyDescent="0.25">
      <c r="A11" s="77">
        <v>7</v>
      </c>
      <c r="B11" s="20">
        <v>1</v>
      </c>
      <c r="C11" s="121" t="s">
        <v>818</v>
      </c>
      <c r="D11" s="314" t="str">
        <f>VLOOKUP(C11,Machined!C:X,2,0)</f>
        <v>DEADNEST SENSOR BRACKET</v>
      </c>
      <c r="E11" s="329"/>
      <c r="F11" s="107" t="str">
        <f>VLOOKUP($C11,Machined!C:Z,13,0)</f>
        <v>304 STAINLESS STEEL</v>
      </c>
      <c r="G11" s="44" t="str">
        <f>IF(VLOOKUP($C11,Machined!C:Z,16,0) = 0, " ", VLOOKUP($C11,Machined!C:Z,16,0))</f>
        <v>Proto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304 STAINLESS STEEL</v>
      </c>
      <c r="J11" s="44">
        <f>IF(VLOOKUP($C11,Machined!C:Z,18,0) = 0, " ", VLOOKUP($C11,Machined!C:Z,18,0))</f>
        <v>45495</v>
      </c>
      <c r="K11" s="44">
        <f>IF(VLOOKUP($C11,Machined!C:Z,19,0) = 0, " ", VLOOKUP($C11,Machined!C:Z,19,0))</f>
        <v>45510</v>
      </c>
      <c r="L11" s="44">
        <f>IF(VLOOKUP($C11,Machined!C:Z,20,0) = 0, " ", VLOOKUP($C11,Machined!C:Z,20,0))</f>
        <v>45540</v>
      </c>
      <c r="M11" s="44">
        <f>IF(VLOOKUP($C11,Machined!C:Z,21,0) = 0, " ", VLOOKUP($C11,Machined!C:Z,21,0))</f>
        <v>45540</v>
      </c>
      <c r="N11" s="129">
        <f>IF(VLOOKUP($C11,Machined!C:Z,22,0) = 0, " ", VLOOKUP($C11,Machined!C:Z,22,0))</f>
        <v>55658</v>
      </c>
      <c r="O11" s="45">
        <f ca="1">B11*$L$2</f>
        <v>1</v>
      </c>
      <c r="P11" s="49">
        <f>VLOOKUP(C11,Machined!C:F,3,0)</f>
        <v>51.84</v>
      </c>
      <c r="Q11" s="50">
        <f>B11*P11</f>
        <v>51.84</v>
      </c>
    </row>
    <row r="12" spans="1:17" s="2" customFormat="1" ht="12.75" customHeight="1" x14ac:dyDescent="0.25">
      <c r="A12" s="77">
        <v>8</v>
      </c>
      <c r="B12" s="20">
        <v>1</v>
      </c>
      <c r="C12" s="121" t="s">
        <v>819</v>
      </c>
      <c r="D12" s="314" t="str">
        <f>VLOOKUP(C12,Machined!C:X,2,0)</f>
        <v>ESC GUARD A SIDE</v>
      </c>
      <c r="E12" s="329"/>
      <c r="F12" s="107" t="str">
        <f>VLOOKUP($C12,Machined!C:Z,13,0)</f>
        <v>304 STAINLESS STEEL</v>
      </c>
      <c r="G12" s="44" t="str">
        <f>IF(VLOOKUP($C12,Machined!C:Z,16,0) = 0, " ", VLOOKUP($C12,Machined!C:Z,16,0))</f>
        <v>Proto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304 STAINLESS STEEL</v>
      </c>
      <c r="J12" s="44">
        <f>IF(VLOOKUP($C12,Machined!C:Z,18,0) = 0, " ", VLOOKUP($C12,Machined!C:Z,18,0))</f>
        <v>45495</v>
      </c>
      <c r="K12" s="44">
        <f>IF(VLOOKUP($C12,Machined!C:Z,19,0) = 0, " ", VLOOKUP($C12,Machined!C:Z,19,0))</f>
        <v>45510</v>
      </c>
      <c r="L12" s="44">
        <f>IF(VLOOKUP($C12,Machined!C:Z,20,0) = 0, " ", VLOOKUP($C12,Machined!C:Z,20,0))</f>
        <v>45540</v>
      </c>
      <c r="M12" s="44">
        <f>IF(VLOOKUP($C12,Machined!C:Z,21,0) = 0, " ", VLOOKUP($C12,Machined!C:Z,21,0))</f>
        <v>45540</v>
      </c>
      <c r="N12" s="129">
        <f>IF(VLOOKUP($C12,Machined!C:Z,22,0) = 0, " ", VLOOKUP($C12,Machined!C:Z,22,0))</f>
        <v>55658</v>
      </c>
      <c r="O12" s="45">
        <f t="shared" ref="O12" ca="1" si="4">B12*$L$2</f>
        <v>1</v>
      </c>
      <c r="P12" s="49">
        <f>VLOOKUP(C12,Machined!C:F,3,0)</f>
        <v>140.04</v>
      </c>
      <c r="Q12" s="50">
        <f t="shared" ref="Q12" si="5">B12*P12</f>
        <v>140.04</v>
      </c>
    </row>
    <row r="13" spans="1:17" s="2" customFormat="1" ht="12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" customHeight="1" x14ac:dyDescent="0.25">
      <c r="A14" s="4">
        <v>301</v>
      </c>
      <c r="B14" s="2">
        <v>1</v>
      </c>
      <c r="C14" s="135" t="s">
        <v>820</v>
      </c>
      <c r="D14" s="325" t="str">
        <f>VLOOKUP(C14,Purchased!A:B,2,0)</f>
        <v>Keyence COMPACT LASER SENSOR, M8 CONNECTOR, 100MM RANGE</v>
      </c>
      <c r="E14" s="326"/>
      <c r="F14" s="108" t="str">
        <f>IF(VLOOKUP($C14,Purchased!A:Z,11,0) = 0, " ", VLOOKUP($C14,Purchased!A:Z,11,0))</f>
        <v>KEYENCE</v>
      </c>
      <c r="G14" s="108" t="str">
        <f>IF(VLOOKUP($C14,Purchased!A:Z,12,0)=0, " ", VLOOKUP($C14,Purchased!A:Z,12,0))</f>
        <v>KEYENCE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45516</v>
      </c>
      <c r="K14" s="46">
        <f>IF(VLOOKUP(C14,Purchased!A:R,14,0)=0, " ", VLOOKUP(C14,Purchased!A:R,14,0))</f>
        <v>45516</v>
      </c>
      <c r="L14" s="46">
        <f>IF(VLOOKUP(C14,Purchased!A:R,15,0)=0, " ", VLOOKUP(C14,Purchased!A:R,15,0))</f>
        <v>45518</v>
      </c>
      <c r="M14" s="46">
        <f>IF(VLOOKUP(C14,Purchased!A:R,16,0)=0, " ",VLOOKUP(C14,Purchased!A:R,16,0))</f>
        <v>45526</v>
      </c>
      <c r="N14" s="130">
        <f>IF(VLOOKUP(C14,Purchased!A:R,17,0)=0, " ", VLOOKUP(C14,Purchased!A:R,17,0))</f>
        <v>45526</v>
      </c>
      <c r="O14" s="47">
        <f t="shared" ref="O14:O21" ca="1" si="6">B14*$L$2</f>
        <v>1</v>
      </c>
      <c r="P14" s="51">
        <f>VLOOKUP(C14,Purchased!A:D,3,FALSE)</f>
        <v>575</v>
      </c>
      <c r="Q14" s="52">
        <f t="shared" ref="Q14:Q21" si="7">B14*P14</f>
        <v>575</v>
      </c>
    </row>
    <row r="15" spans="1:17" s="2" customFormat="1" ht="12" customHeight="1" x14ac:dyDescent="0.25">
      <c r="A15" s="4">
        <v>302</v>
      </c>
      <c r="B15" s="2">
        <v>2</v>
      </c>
      <c r="C15" s="135" t="s">
        <v>745</v>
      </c>
      <c r="D15" s="325" t="str">
        <f>VLOOKUP(C15,Purchased!A:B,2,0)</f>
        <v>General Purpose Zinc-Plated Steel Washer for M5 Screw Size, 5.300 mm ID, 
9.000 mm OD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45482</v>
      </c>
      <c r="K15" s="46">
        <f>IF(VLOOKUP(C15,Purchased!A:R,14,0)=0, " ", VLOOKUP(C15,Purchased!A:R,14,0))</f>
        <v>45482</v>
      </c>
      <c r="L15" s="46">
        <f>IF(VLOOKUP(C15,Purchased!A:R,15,0)=0, " ", VLOOKUP(C15,Purchased!A:R,15,0))</f>
        <v>45482</v>
      </c>
      <c r="M15" s="46">
        <f>IF(VLOOKUP(C15,Purchased!A:R,16,0)=0, " ",VLOOKUP(C15,Purchased!A:R,16,0))</f>
        <v>45483</v>
      </c>
      <c r="N15" s="130">
        <f>IF(VLOOKUP(C15,Purchased!A:R,17,0)=0, " ", VLOOKUP(C15,Purchased!A:R,17,0))</f>
        <v>45483</v>
      </c>
      <c r="O15" s="47">
        <f t="shared" ca="1" si="6"/>
        <v>2</v>
      </c>
      <c r="P15" s="51">
        <f>VLOOKUP(C15,Purchased!A:D,3,FALSE)</f>
        <v>4</v>
      </c>
      <c r="Q15" s="52">
        <f t="shared" si="7"/>
        <v>8</v>
      </c>
    </row>
    <row r="16" spans="1:17" s="2" customFormat="1" ht="12" customHeight="1" x14ac:dyDescent="0.25">
      <c r="A16" s="4">
        <v>303</v>
      </c>
      <c r="B16" s="2">
        <v>6</v>
      </c>
      <c r="C16" s="135" t="s">
        <v>821</v>
      </c>
      <c r="D16" s="325" t="str">
        <f>VLOOKUP(C16,Purchased!A:B,2,0)</f>
        <v>General Purpose Zinc-Plated Steel Washer for M4 Screw Size, 4.300 mm ID, 8 
mm OD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45482</v>
      </c>
      <c r="K16" s="46">
        <f>IF(VLOOKUP(C16,Purchased!A:R,14,0)=0, " ", VLOOKUP(C16,Purchased!A:R,14,0))</f>
        <v>45482</v>
      </c>
      <c r="L16" s="46">
        <f>IF(VLOOKUP(C16,Purchased!A:R,15,0)=0, " ", VLOOKUP(C16,Purchased!A:R,15,0))</f>
        <v>45482</v>
      </c>
      <c r="M16" s="46">
        <f>IF(VLOOKUP(C16,Purchased!A:R,16,0)=0, " ",VLOOKUP(C16,Purchased!A:R,16,0))</f>
        <v>45483</v>
      </c>
      <c r="N16" s="130">
        <f>IF(VLOOKUP(C16,Purchased!A:R,17,0)=0, " ", VLOOKUP(C16,Purchased!A:R,17,0))</f>
        <v>45483</v>
      </c>
      <c r="O16" s="47">
        <f t="shared" ca="1" si="6"/>
        <v>6</v>
      </c>
      <c r="P16" s="51">
        <f>VLOOKUP(C16,Purchased!A:D,3,FALSE)</f>
        <v>3.72</v>
      </c>
      <c r="Q16" s="52">
        <f t="shared" si="7"/>
        <v>22.32</v>
      </c>
    </row>
    <row r="17" spans="1:17" s="2" customFormat="1" ht="12" customHeight="1" x14ac:dyDescent="0.25">
      <c r="A17" s="4">
        <v>304</v>
      </c>
      <c r="B17" s="2">
        <v>2</v>
      </c>
      <c r="C17" s="135" t="s">
        <v>306</v>
      </c>
      <c r="D17" s="325" t="str">
        <f>VLOOKUP(C17,Purchased!A:B,2,0)</f>
        <v>M8 female 0° A-cod. with cable, PVC 3x0.25 bk UL/CSA 10m</v>
      </c>
      <c r="E17" s="326"/>
      <c r="F17" s="108" t="str">
        <f>IF(VLOOKUP($C17,Purchased!A:Z,11,0) = 0, " ", VLOOKUP($C17,Purchased!A:Z,11,0))</f>
        <v>MURR</v>
      </c>
      <c r="G17" s="108" t="str">
        <f>IF(VLOOKUP($C17,Purchased!A:Z,12,0)=0, " ", VLOOKUP($C17,Purchased!A:Z,12,0))</f>
        <v>MURR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45506</v>
      </c>
      <c r="K17" s="46">
        <f>IF(VLOOKUP(C17,Purchased!A:R,14,0)=0, " ", VLOOKUP(C17,Purchased!A:R,14,0))</f>
        <v>45506</v>
      </c>
      <c r="L17" s="46" t="str">
        <f>IF(VLOOKUP(C17,Purchased!A:R,15,0)=0, " ", VLOOKUP(C17,Purchased!A:R,15,0))</f>
        <v xml:space="preserve"> </v>
      </c>
      <c r="M17" s="46" t="str">
        <f>IF(VLOOKUP(C17,Purchased!A:R,16,0)=0, " ",VLOOKUP(C17,Purchased!A:R,16,0))</f>
        <v xml:space="preserve"> </v>
      </c>
      <c r="N17" s="130" t="str">
        <f>IF(VLOOKUP(C17,Purchased!A:R,17,0)=0, " ", VLOOKUP(C17,Purchased!A:R,17,0))</f>
        <v xml:space="preserve"> </v>
      </c>
      <c r="O17" s="47">
        <f t="shared" ca="1" si="6"/>
        <v>2</v>
      </c>
      <c r="P17" s="51">
        <f>VLOOKUP(C17,Purchased!A:D,3,FALSE)</f>
        <v>0</v>
      </c>
      <c r="Q17" s="52">
        <f t="shared" si="7"/>
        <v>0</v>
      </c>
    </row>
    <row r="18" spans="1:17" s="2" customFormat="1" ht="12" customHeight="1" x14ac:dyDescent="0.25">
      <c r="A18" s="4">
        <v>305</v>
      </c>
      <c r="B18" s="2">
        <v>1</v>
      </c>
      <c r="C18" s="135" t="s">
        <v>220</v>
      </c>
      <c r="D18" s="325" t="str">
        <f>VLOOKUP(C18,Purchased!A:B,2,0)</f>
        <v>M8 4PIN TO FLYING LEAD 7.5M CABLE</v>
      </c>
      <c r="E18" s="326"/>
      <c r="F18" s="108" t="str">
        <f>IF(VLOOKUP($C18,Purchased!A:Z,11,0) = 0, " ", VLOOKUP($C18,Purchased!A:Z,11,0))</f>
        <v>MURR</v>
      </c>
      <c r="G18" s="108" t="str">
        <f>IF(VLOOKUP($C18,Purchased!A:Z,12,0)=0, " ", VLOOKUP($C18,Purchased!A:Z,12,0))</f>
        <v>MURR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45506</v>
      </c>
      <c r="K18" s="46">
        <f>IF(VLOOKUP(C18,Purchased!A:R,14,0)=0, " ", VLOOKUP(C18,Purchased!A:R,14,0))</f>
        <v>45506</v>
      </c>
      <c r="L18" s="46" t="str">
        <f>IF(VLOOKUP(C18,Purchased!A:R,15,0)=0, " ", VLOOKUP(C18,Purchased!A:R,15,0))</f>
        <v xml:space="preserve"> </v>
      </c>
      <c r="M18" s="46" t="str">
        <f>IF(VLOOKUP(C18,Purchased!A:R,16,0)=0, " ",VLOOKUP(C18,Purchased!A:R,16,0))</f>
        <v xml:space="preserve"> </v>
      </c>
      <c r="N18" s="130" t="str">
        <f>IF(VLOOKUP(C18,Purchased!A:R,17,0)=0, " ", VLOOKUP(C18,Purchased!A:R,17,0))</f>
        <v xml:space="preserve"> </v>
      </c>
      <c r="O18" s="47">
        <f t="shared" ca="1" si="6"/>
        <v>1</v>
      </c>
      <c r="P18" s="51">
        <f>VLOOKUP(C18,Purchased!A:D,3,FALSE)</f>
        <v>0</v>
      </c>
      <c r="Q18" s="52">
        <f t="shared" si="7"/>
        <v>0</v>
      </c>
    </row>
    <row r="19" spans="1:17" s="2" customFormat="1" ht="12" customHeight="1" x14ac:dyDescent="0.25">
      <c r="A19" s="4">
        <v>306</v>
      </c>
      <c r="B19" s="2">
        <v>1</v>
      </c>
      <c r="C19" s="135" t="s">
        <v>822</v>
      </c>
      <c r="D19" s="325" t="str">
        <f>VLOOKUP(C19,Purchased!A:B,2,0)</f>
        <v>2-FINGER ESCAPEMENT, 12MM BORE, 12MM STROKE</v>
      </c>
      <c r="E19" s="326"/>
      <c r="F19" s="108" t="str">
        <f>IF(VLOOKUP($C19,Purchased!A:Z,11,0) = 0, " ", VLOOKUP($C19,Purchased!A:Z,11,0))</f>
        <v>SMC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45489</v>
      </c>
      <c r="M19" s="46">
        <f>IF(VLOOKUP(C19,Purchased!A:R,16,0)=0, " ",VLOOKUP(C19,Purchased!A:R,16,0))</f>
        <v>45510</v>
      </c>
      <c r="N19" s="130">
        <f>IF(VLOOKUP(C19,Purchased!A:R,17,0)=0, " ", VLOOKUP(C19,Purchased!A:R,17,0))</f>
        <v>45513</v>
      </c>
      <c r="O19" s="47">
        <f t="shared" ca="1" si="6"/>
        <v>1</v>
      </c>
      <c r="P19" s="51">
        <f>VLOOKUP(C19,Purchased!A:D,3,FALSE)</f>
        <v>220.66</v>
      </c>
      <c r="Q19" s="52">
        <f t="shared" si="7"/>
        <v>220.66</v>
      </c>
    </row>
    <row r="20" spans="1:17" s="2" customFormat="1" ht="12" customHeight="1" x14ac:dyDescent="0.25">
      <c r="A20" s="4">
        <v>307</v>
      </c>
      <c r="B20" s="2">
        <v>2</v>
      </c>
      <c r="C20" s="135" t="s">
        <v>657</v>
      </c>
      <c r="D20" s="325" t="str">
        <f>VLOOKUP(C20,Purchased!A:B,2,0)</f>
        <v>KQ2 unifit, elbow, 4mm dia tubing, M5 port</v>
      </c>
      <c r="E20" s="326"/>
      <c r="F20" s="108" t="str">
        <f>IF(VLOOKUP($C20,Purchased!A:Z,11,0) = 0, " ", VLOOKUP($C20,Purchased!A:Z,11,0))</f>
        <v>SMC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>20 more PO 55692</v>
      </c>
      <c r="I20" s="328"/>
      <c r="J20" s="46">
        <f>IF(VLOOKUP($C20,Purchased!A:Z,14,0)=0, " ", VLOOKUP($C20,Purchased!A:Z,14,0))</f>
        <v>45489</v>
      </c>
      <c r="K20" s="46">
        <f>IF(VLOOKUP(C20,Purchased!A:R,14,0)=0, " ", VLOOKUP(C20,Purchased!A:R,14,0))</f>
        <v>45489</v>
      </c>
      <c r="L20" s="46">
        <f>IF(VLOOKUP(C20,Purchased!A:R,15,0)=0, " ", VLOOKUP(C20,Purchased!A:R,15,0))</f>
        <v>45491</v>
      </c>
      <c r="M20" s="46">
        <f>IF(VLOOKUP(C20,Purchased!A:R,16,0)=0, " ",VLOOKUP(C20,Purchased!A:R,16,0))</f>
        <v>45520</v>
      </c>
      <c r="N20" s="130">
        <f>IF(VLOOKUP(C20,Purchased!A:R,17,0)=0, " ", VLOOKUP(C20,Purchased!A:R,17,0))</f>
        <v>45511</v>
      </c>
      <c r="O20" s="47">
        <f t="shared" ca="1" si="6"/>
        <v>2</v>
      </c>
      <c r="P20" s="51">
        <f>VLOOKUP(C20,Purchased!A:D,3,FALSE)</f>
        <v>1.43</v>
      </c>
      <c r="Q20" s="52">
        <f t="shared" si="7"/>
        <v>2.86</v>
      </c>
    </row>
    <row r="21" spans="1:17" s="2" customFormat="1" ht="12" customHeight="1" x14ac:dyDescent="0.25">
      <c r="A21" s="4">
        <v>308</v>
      </c>
      <c r="B21" s="2">
        <v>2</v>
      </c>
      <c r="C21" s="135" t="s">
        <v>305</v>
      </c>
      <c r="D21" s="325" t="str">
        <f>VLOOKUP(C21,Purchased!A:B,2,0)</f>
        <v>Auto Switch, Solid State, General Purpose, M8-3Pin Connector, 0.5m Cord 
Length</v>
      </c>
      <c r="E21" s="326"/>
      <c r="F21" s="108" t="str">
        <f>IF(VLOOKUP($C21,Purchased!A:Z,11,0) = 0, " ", VLOOKUP($C21,Purchased!A:Z,11,0))</f>
        <v>SMC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>10 more PO 55692</v>
      </c>
      <c r="I21" s="328"/>
      <c r="J21" s="46">
        <f>IF(VLOOKUP($C21,Purchased!A:Z,14,0)=0, " ", VLOOKUP($C21,Purchased!A:Z,14,0))</f>
        <v>45489</v>
      </c>
      <c r="K21" s="46">
        <f>IF(VLOOKUP(C21,Purchased!A:R,14,0)=0, " ", VLOOKUP(C21,Purchased!A:R,14,0))</f>
        <v>45489</v>
      </c>
      <c r="L21" s="46">
        <f>IF(VLOOKUP(C21,Purchased!A:R,15,0)=0, " ", VLOOKUP(C21,Purchased!A:R,15,0))</f>
        <v>45489</v>
      </c>
      <c r="M21" s="46">
        <f>IF(VLOOKUP(C21,Purchased!A:R,16,0)=0, " ",VLOOKUP(C21,Purchased!A:R,16,0))</f>
        <v>45510</v>
      </c>
      <c r="N21" s="130">
        <f>IF(VLOOKUP(C21,Purchased!A:R,17,0)=0, " ", VLOOKUP(C21,Purchased!A:R,17,0))</f>
        <v>45513</v>
      </c>
      <c r="O21" s="47">
        <f t="shared" ca="1" si="6"/>
        <v>2</v>
      </c>
      <c r="P21" s="51">
        <f>VLOOKUP(C21,Purchased!A:D,3,FALSE)</f>
        <v>38.64</v>
      </c>
      <c r="Q21" s="52">
        <f t="shared" si="7"/>
        <v>77.28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501</v>
      </c>
      <c r="B23" s="2">
        <v>4</v>
      </c>
      <c r="C23" s="122" t="s">
        <v>196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ref="O23:O29" ca="1" si="8">B23*$L$2</f>
        <v>4</v>
      </c>
      <c r="P23" s="51">
        <f>VLOOKUP(C23,Bolts!A:B,2,FALSE)</f>
        <v>0</v>
      </c>
      <c r="Q23" s="52">
        <f t="shared" ref="Q23:Q29" si="9">B23*P23</f>
        <v>0</v>
      </c>
    </row>
    <row r="24" spans="1:17" s="2" customFormat="1" ht="12" customHeight="1" x14ac:dyDescent="0.25">
      <c r="A24" s="4">
        <v>502</v>
      </c>
      <c r="B24" s="2">
        <v>2</v>
      </c>
      <c r="C24" s="122" t="s">
        <v>823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8"/>
        <v>2</v>
      </c>
      <c r="P24" s="51">
        <f>VLOOKUP(C24,Bolts!A:B,2,FALSE)</f>
        <v>0</v>
      </c>
      <c r="Q24" s="52">
        <f t="shared" si="9"/>
        <v>0</v>
      </c>
    </row>
    <row r="25" spans="1:17" s="2" customFormat="1" ht="12" customHeight="1" x14ac:dyDescent="0.25">
      <c r="A25" s="4">
        <v>503</v>
      </c>
      <c r="B25" s="2">
        <v>4</v>
      </c>
      <c r="C25" s="122" t="s">
        <v>275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8"/>
        <v>4</v>
      </c>
      <c r="P25" s="51">
        <f>VLOOKUP(C25,Bolts!A:B,2,FALSE)</f>
        <v>0</v>
      </c>
      <c r="Q25" s="52">
        <f t="shared" si="9"/>
        <v>0</v>
      </c>
    </row>
    <row r="26" spans="1:17" s="2" customFormat="1" ht="12" customHeight="1" x14ac:dyDescent="0.25">
      <c r="A26" s="4">
        <v>504</v>
      </c>
      <c r="B26" s="2">
        <v>6</v>
      </c>
      <c r="C26" s="122" t="s">
        <v>198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8"/>
        <v>6</v>
      </c>
      <c r="P26" s="51">
        <f>VLOOKUP(C26,Bolts!A:B,2,FALSE)</f>
        <v>0</v>
      </c>
      <c r="Q26" s="52">
        <f t="shared" si="9"/>
        <v>0</v>
      </c>
    </row>
    <row r="27" spans="1:17" s="2" customFormat="1" ht="12" customHeight="1" x14ac:dyDescent="0.25">
      <c r="A27" s="4">
        <v>505</v>
      </c>
      <c r="B27" s="2">
        <v>2</v>
      </c>
      <c r="C27" s="122" t="s">
        <v>95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8"/>
        <v>2</v>
      </c>
      <c r="P27" s="51">
        <f>VLOOKUP(C27,Bolts!A:B,2,FALSE)</f>
        <v>0</v>
      </c>
      <c r="Q27" s="52">
        <f t="shared" si="9"/>
        <v>0</v>
      </c>
    </row>
    <row r="28" spans="1:17" s="2" customFormat="1" ht="12" customHeight="1" x14ac:dyDescent="0.25">
      <c r="A28" s="4">
        <v>506</v>
      </c>
      <c r="B28" s="2">
        <v>2</v>
      </c>
      <c r="C28" s="122" t="s">
        <v>660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8"/>
        <v>2</v>
      </c>
      <c r="P28" s="51">
        <f>VLOOKUP(C28,Bolts!A:B,2,FALSE)</f>
        <v>0</v>
      </c>
      <c r="Q28" s="52">
        <f t="shared" si="9"/>
        <v>0</v>
      </c>
    </row>
    <row r="29" spans="1:17" s="2" customFormat="1" ht="12" customHeight="1" thickBot="1" x14ac:dyDescent="0.3">
      <c r="A29" s="4">
        <v>507</v>
      </c>
      <c r="B29" s="2">
        <v>2</v>
      </c>
      <c r="C29" s="122" t="s">
        <v>808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8"/>
        <v>2</v>
      </c>
      <c r="P29" s="51">
        <f>VLOOKUP(C29,Bolts!A:B,2,FALSE)</f>
        <v>0</v>
      </c>
      <c r="Q29" s="52">
        <f t="shared" si="9"/>
        <v>0</v>
      </c>
    </row>
    <row r="30" spans="1:17" s="2" customFormat="1" ht="12" customHeight="1" thickBot="1" x14ac:dyDescent="0.3">
      <c r="A30" s="34"/>
      <c r="B30" s="35"/>
      <c r="C30" s="35"/>
      <c r="D30" s="316"/>
      <c r="E30" s="317"/>
      <c r="F30" s="35"/>
      <c r="G30" s="35"/>
      <c r="H30" s="309"/>
      <c r="I30" s="310"/>
      <c r="J30" s="36"/>
      <c r="K30" s="36"/>
      <c r="L30" s="36"/>
      <c r="M30" s="37"/>
      <c r="N30" s="132"/>
      <c r="O30" s="38"/>
      <c r="P30" s="99" t="s">
        <v>43</v>
      </c>
      <c r="Q30" s="104">
        <f>SUM(Q5:Q29)</f>
        <v>2007.0099999999998</v>
      </c>
    </row>
  </sheetData>
  <sheetProtection selectLockedCells="1"/>
  <mergeCells count="48">
    <mergeCell ref="D30:E30"/>
    <mergeCell ref="H30:I30"/>
    <mergeCell ref="D27:E27"/>
    <mergeCell ref="D28:E28"/>
    <mergeCell ref="D29:E29"/>
    <mergeCell ref="D26:E26"/>
    <mergeCell ref="D21:E21"/>
    <mergeCell ref="H21:I21"/>
    <mergeCell ref="D18:E18"/>
    <mergeCell ref="H18:I18"/>
    <mergeCell ref="D19:E19"/>
    <mergeCell ref="H19:I19"/>
    <mergeCell ref="D20:E20"/>
    <mergeCell ref="H20:I20"/>
    <mergeCell ref="D22:E22"/>
    <mergeCell ref="H22:I22"/>
    <mergeCell ref="D23:E23"/>
    <mergeCell ref="D24:E24"/>
    <mergeCell ref="D25:E25"/>
    <mergeCell ref="D15:E15"/>
    <mergeCell ref="H15:I15"/>
    <mergeCell ref="D16:E16"/>
    <mergeCell ref="H16:I16"/>
    <mergeCell ref="D17:E17"/>
    <mergeCell ref="H17:I17"/>
    <mergeCell ref="D13:E13"/>
    <mergeCell ref="H13:I13"/>
    <mergeCell ref="D14:E14"/>
    <mergeCell ref="H14:I14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5:E5"/>
    <mergeCell ref="H5:I5"/>
    <mergeCell ref="D6:E6"/>
    <mergeCell ref="H6:I6"/>
    <mergeCell ref="D1:E1"/>
    <mergeCell ref="D4:E4"/>
    <mergeCell ref="H4:I4"/>
  </mergeCells>
  <conditionalFormatting sqref="M13 M22:M29">
    <cfRule type="cellIs" dxfId="1272" priority="17" stopIfTrue="1" operator="lessThanOrEqual">
      <formula>$L13</formula>
    </cfRule>
    <cfRule type="cellIs" dxfId="1271" priority="18" operator="greaterThan">
      <formula>L13</formula>
    </cfRule>
  </conditionalFormatting>
  <conditionalFormatting sqref="M14">
    <cfRule type="cellIs" dxfId="1270" priority="15" stopIfTrue="1" operator="lessThanOrEqual">
      <formula>$L14</formula>
    </cfRule>
    <cfRule type="cellIs" dxfId="1269" priority="16" operator="greaterThan">
      <formula>L14</formula>
    </cfRule>
  </conditionalFormatting>
  <conditionalFormatting sqref="M15">
    <cfRule type="cellIs" dxfId="1268" priority="13" stopIfTrue="1" operator="lessThanOrEqual">
      <formula>$L15</formula>
    </cfRule>
    <cfRule type="cellIs" dxfId="1267" priority="14" operator="greaterThan">
      <formula>L15</formula>
    </cfRule>
  </conditionalFormatting>
  <conditionalFormatting sqref="M16:M20">
    <cfRule type="cellIs" dxfId="1266" priority="3" stopIfTrue="1" operator="lessThanOrEqual">
      <formula>$L16</formula>
    </cfRule>
    <cfRule type="cellIs" dxfId="1265" priority="4" operator="greaterThan">
      <formula>L16</formula>
    </cfRule>
  </conditionalFormatting>
  <conditionalFormatting sqref="M21">
    <cfRule type="cellIs" dxfId="1264" priority="1" stopIfTrue="1" operator="lessThanOrEqual">
      <formula>$L21</formula>
    </cfRule>
    <cfRule type="cellIs" dxfId="1263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6B5F32-5F27-4C0A-952D-6E33DF8B466D}">
          <x14:formula1>
            <xm:f>Bolts!$A:$A</xm:f>
          </x14:formula1>
          <xm:sqref>C22:C29</xm:sqref>
        </x14:dataValidation>
        <x14:dataValidation type="list" allowBlank="1" showInputMessage="1" showErrorMessage="1" xr:uid="{52CA2B75-F848-43F4-BDD0-036555DC6C60}">
          <x14:formula1>
            <xm:f>Machined!$C:$C</xm:f>
          </x14:formula1>
          <xm:sqref>C5:C12</xm:sqref>
        </x14:dataValidation>
        <x14:dataValidation type="list" allowBlank="1" showInputMessage="1" showErrorMessage="1" xr:uid="{AFD497F9-F54D-418E-90B0-62815BB5ABE7}">
          <x14:formula1>
            <xm:f>Purchased!$A:$A</xm:f>
          </x14:formula1>
          <xm:sqref>C13:C21</xm:sqref>
        </x14:dataValidation>
      </x14:dataValidations>
    </ext>
  </extLst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EECC4-CBAE-42F6-9D5C-6556B2AFB668}">
  <sheetPr codeName="Sheet129">
    <tabColor theme="6" tint="0.59999389629810485"/>
  </sheetPr>
  <dimension ref="A1:Q18"/>
  <sheetViews>
    <sheetView zoomScale="115" zoomScaleNormal="115" workbookViewId="0">
      <selection activeCell="F13" sqref="F13:N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'5.5'!C6</f>
        <v>PG10.5.5.2.0.A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'5.5'!D6</f>
        <v>Cuff Shuttle A Side Assy</v>
      </c>
      <c r="D3" s="85" t="s">
        <v>50</v>
      </c>
      <c r="E3" s="86" t="str">
        <f ca="1">MID(CELL("filename",A1),FIND("]",CELL("filename",A1))+1,256)</f>
        <v>5.5.2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824</v>
      </c>
      <c r="D5" s="336" t="str">
        <f ca="1">VLOOKUP(C5,Assemblies!E:P,2,0)</f>
        <v>Cuff Gripper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1</v>
      </c>
      <c r="P5" s="117">
        <f>'5.5.2.1'!Q26</f>
        <v>1255.9299999999998</v>
      </c>
      <c r="Q5" s="118">
        <f t="shared" ref="Q5" si="1">B5*P5</f>
        <v>1255.9299999999998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1</v>
      </c>
      <c r="C7" s="121" t="s">
        <v>825</v>
      </c>
      <c r="D7" s="314" t="str">
        <f>VLOOKUP(C7,Machined!C:X,2,0)</f>
        <v>SHUTTLE TABLE PLATE A SIDE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45504</v>
      </c>
      <c r="L7" s="44">
        <f>IF(VLOOKUP($C7,Machined!C:Z,20,0) = 0, " ", VLOOKUP($C7,Machined!C:Z,20,0))</f>
        <v>45534</v>
      </c>
      <c r="M7" s="44">
        <f>IF(VLOOKUP($C7,Machined!C:Z,21,0) = 0, " ", VLOOKUP($C7,Machined!C:Z,21,0))</f>
        <v>45534</v>
      </c>
      <c r="N7" s="129">
        <f>IF(VLOOKUP($C7,Machined!C:Z,22,0) = 0, " ", VLOOKUP($C7,Machined!C:Z,22,0))</f>
        <v>55641</v>
      </c>
      <c r="O7" s="45">
        <f ca="1">B7*$L$2</f>
        <v>1</v>
      </c>
      <c r="P7" s="49">
        <f>VLOOKUP(C7,Machined!C:F,3,0)</f>
        <v>68.55</v>
      </c>
      <c r="Q7" s="50">
        <f>B7*P7</f>
        <v>68.55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2</v>
      </c>
      <c r="C9" s="135" t="s">
        <v>826</v>
      </c>
      <c r="D9" s="325" t="str">
        <f>VLOOKUP(C9,Purchased!A:B,2,0)</f>
        <v>KQ2, elbow fitting, 6mm dia, M5 port</v>
      </c>
      <c r="E9" s="326"/>
      <c r="F9" s="108" t="str">
        <f>IF(VLOOKUP($C9,Purchased!A:Z,11,0) = 0, " ", VLOOKUP($C9,Purchased!A:Z,11,0))</f>
        <v>SMC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45489</v>
      </c>
      <c r="K9" s="46">
        <f>IF(VLOOKUP(C9,Purchased!A:R,14,0)=0, " ", VLOOKUP(C9,Purchased!A:R,14,0))</f>
        <v>45489</v>
      </c>
      <c r="L9" s="46">
        <f>IF(VLOOKUP(C9,Purchased!A:R,15,0)=0, " ", VLOOKUP(C9,Purchased!A:R,15,0))</f>
        <v>45491</v>
      </c>
      <c r="M9" s="46">
        <f>IF(VLOOKUP(C9,Purchased!A:R,16,0)=0, " ",VLOOKUP(C9,Purchased!A:R,16,0))</f>
        <v>45520</v>
      </c>
      <c r="N9" s="130">
        <f>IF(VLOOKUP(C9,Purchased!A:R,17,0)=0, " ", VLOOKUP(C9,Purchased!A:R,17,0))</f>
        <v>45511</v>
      </c>
      <c r="O9" s="47">
        <f t="shared" ref="O9:O13" ca="1" si="2">B9*$L$2</f>
        <v>2</v>
      </c>
      <c r="P9" s="51">
        <f>VLOOKUP(C9,Purchased!A:D,3,FALSE)</f>
        <v>1.74</v>
      </c>
      <c r="Q9" s="52">
        <f t="shared" ref="Q9:Q13" si="3">B9*P9</f>
        <v>3.48</v>
      </c>
    </row>
    <row r="10" spans="1:17" s="2" customFormat="1" ht="12" customHeight="1" x14ac:dyDescent="0.25">
      <c r="A10" s="4">
        <v>302</v>
      </c>
      <c r="B10" s="2">
        <v>2</v>
      </c>
      <c r="C10" s="135" t="s">
        <v>305</v>
      </c>
      <c r="D10" s="325" t="str">
        <f>VLOOKUP(C10,Purchased!A:B,2,0)</f>
        <v>Auto Switch, Solid State, General Purpose, M8-3Pin Connector, 0.5m Cord 
Length</v>
      </c>
      <c r="E10" s="326"/>
      <c r="F10" s="108" t="str">
        <f>IF(VLOOKUP($C10,Purchased!A:Z,11,0) = 0, " ", VLOOKUP($C10,Purchased!A:Z,11,0))</f>
        <v>SMC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>10 more PO 55692</v>
      </c>
      <c r="I10" s="328"/>
      <c r="J10" s="46">
        <f>IF(VLOOKUP($C10,Purchased!A:Z,14,0)=0, " ", VLOOKUP($C10,Purchased!A:Z,14,0))</f>
        <v>45489</v>
      </c>
      <c r="K10" s="46">
        <f>IF(VLOOKUP(C10,Purchased!A:R,14,0)=0, " ", VLOOKUP(C10,Purchased!A:R,14,0))</f>
        <v>45489</v>
      </c>
      <c r="L10" s="46">
        <f>IF(VLOOKUP(C10,Purchased!A:R,15,0)=0, " ", VLOOKUP(C10,Purchased!A:R,15,0))</f>
        <v>45489</v>
      </c>
      <c r="M10" s="46">
        <f>IF(VLOOKUP(C10,Purchased!A:R,16,0)=0, " ",VLOOKUP(C10,Purchased!A:R,16,0))</f>
        <v>45510</v>
      </c>
      <c r="N10" s="130">
        <f>IF(VLOOKUP(C10,Purchased!A:R,17,0)=0, " ", VLOOKUP(C10,Purchased!A:R,17,0))</f>
        <v>45513</v>
      </c>
      <c r="O10" s="47">
        <f t="shared" ca="1" si="2"/>
        <v>2</v>
      </c>
      <c r="P10" s="51">
        <f>VLOOKUP(C10,Purchased!A:D,3,FALSE)</f>
        <v>38.64</v>
      </c>
      <c r="Q10" s="52">
        <f t="shared" si="3"/>
        <v>77.28</v>
      </c>
    </row>
    <row r="11" spans="1:17" s="2" customFormat="1" ht="12" customHeight="1" x14ac:dyDescent="0.25">
      <c r="A11" s="4">
        <v>303</v>
      </c>
      <c r="B11" s="2">
        <v>1</v>
      </c>
      <c r="C11" s="135" t="s">
        <v>827</v>
      </c>
      <c r="D11" s="325" t="str">
        <f>VLOOKUP(C11,Purchased!A:B,2,0)</f>
        <v>RODLESS ACTUATOR, MECHANICALLY COUPLED, CAM FOLLOWER TYPE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45489</v>
      </c>
      <c r="M11" s="46">
        <f>IF(VLOOKUP(C11,Purchased!A:R,16,0)=0, " ",VLOOKUP(C11,Purchased!A:R,16,0))</f>
        <v>45510</v>
      </c>
      <c r="N11" s="130">
        <f>IF(VLOOKUP(C11,Purchased!A:R,17,0)=0, " ", VLOOKUP(C11,Purchased!A:R,17,0))</f>
        <v>45541</v>
      </c>
      <c r="O11" s="47">
        <f t="shared" ca="1" si="2"/>
        <v>1</v>
      </c>
      <c r="P11" s="51">
        <f>VLOOKUP(C11,Purchased!A:D,3,FALSE)</f>
        <v>410.38</v>
      </c>
      <c r="Q11" s="52">
        <f t="shared" si="3"/>
        <v>410.38</v>
      </c>
    </row>
    <row r="12" spans="1:17" s="2" customFormat="1" ht="12" customHeight="1" x14ac:dyDescent="0.25">
      <c r="A12" s="4">
        <v>304</v>
      </c>
      <c r="B12" s="2">
        <v>4</v>
      </c>
      <c r="C12" s="135" t="s">
        <v>828</v>
      </c>
      <c r="D12" s="325" t="str">
        <f>VLOOKUP(C12,Purchased!A:B,2,0)</f>
        <v>HEX SPACER, 45MM L, M4 TAP, M5 TAP</v>
      </c>
      <c r="E12" s="326"/>
      <c r="F12" s="108" t="str">
        <f>IF(VLOOKUP($C12,Purchased!A:Z,11,0) = 0, " ", VLOOKUP($C12,Purchased!A:Z,11,0))</f>
        <v>MISUMI</v>
      </c>
      <c r="G12" s="108" t="str">
        <f>IF(VLOOKUP($C12,Purchased!A:Z,12,0)=0, " ", VLOOKUP($C12,Purchased!A:Z,12,0))</f>
        <v>MISUMI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45483</v>
      </c>
      <c r="K12" s="46">
        <f>IF(VLOOKUP(C12,Purchased!A:R,14,0)=0, " ", VLOOKUP(C12,Purchased!A:R,14,0))</f>
        <v>45483</v>
      </c>
      <c r="L12" s="46">
        <f>IF(VLOOKUP(C12,Purchased!A:R,15,0)=0, " ", VLOOKUP(C12,Purchased!A:R,15,0))</f>
        <v>45483</v>
      </c>
      <c r="M12" s="46">
        <f>IF(VLOOKUP(C12,Purchased!A:R,16,0)=0, " ",VLOOKUP(C12,Purchased!A:R,16,0))</f>
        <v>45512</v>
      </c>
      <c r="N12" s="130">
        <f>IF(VLOOKUP(C12,Purchased!A:R,17,0)=0, " ", VLOOKUP(C12,Purchased!A:R,17,0))</f>
        <v>45512</v>
      </c>
      <c r="O12" s="47">
        <f t="shared" ca="1" si="2"/>
        <v>4</v>
      </c>
      <c r="P12" s="51">
        <f>VLOOKUP(C12,Purchased!A:D,3,FALSE)</f>
        <v>12.73</v>
      </c>
      <c r="Q12" s="52">
        <f t="shared" si="3"/>
        <v>50.92</v>
      </c>
    </row>
    <row r="13" spans="1:17" s="2" customFormat="1" ht="12" customHeight="1" x14ac:dyDescent="0.25">
      <c r="A13" s="4">
        <v>305</v>
      </c>
      <c r="B13" s="2">
        <v>2</v>
      </c>
      <c r="C13" s="135" t="s">
        <v>306</v>
      </c>
      <c r="D13" s="325" t="str">
        <f>VLOOKUP(C13,Purchased!A:B,2,0)</f>
        <v>M8 female 0° A-cod. with cable, PVC 3x0.25 bk UL/CSA 10m</v>
      </c>
      <c r="E13" s="326"/>
      <c r="F13" s="108" t="str">
        <f>IF(VLOOKUP($C13,Purchased!A:Z,11,0) = 0, " ", VLOOKUP($C13,Purchased!A:Z,11,0))</f>
        <v>MURR</v>
      </c>
      <c r="G13" s="108" t="str">
        <f>IF(VLOOKUP($C13,Purchased!A:Z,12,0)=0, " ", VLOOKUP($C13,Purchased!A:Z,12,0))</f>
        <v>MURR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45506</v>
      </c>
      <c r="K13" s="46">
        <f>IF(VLOOKUP(C13,Purchased!A:R,14,0)=0, " ", VLOOKUP(C13,Purchased!A:R,14,0))</f>
        <v>45506</v>
      </c>
      <c r="L13" s="46" t="str">
        <f>IF(VLOOKUP(C13,Purchased!A:R,15,0)=0, " ", VLOOKUP(C13,Purchased!A:R,15,0))</f>
        <v xml:space="preserve"> </v>
      </c>
      <c r="M13" s="46" t="str">
        <f>IF(VLOOKUP(C13,Purchased!A:R,16,0)=0, " ",VLOOKUP(C13,Purchased!A:R,16,0))</f>
        <v xml:space="preserve"> </v>
      </c>
      <c r="N13" s="130" t="str">
        <f>IF(VLOOKUP(C13,Purchased!A:R,17,0)=0, " ", VLOOKUP(C13,Purchased!A:R,17,0))</f>
        <v xml:space="preserve"> </v>
      </c>
      <c r="O13" s="47">
        <f t="shared" ca="1" si="2"/>
        <v>2</v>
      </c>
      <c r="P13" s="51">
        <f>VLOOKUP(C13,Purchased!A:D,3,FALSE)</f>
        <v>0</v>
      </c>
      <c r="Q13" s="52">
        <f t="shared" si="3"/>
        <v>0</v>
      </c>
    </row>
    <row r="14" spans="1:17" s="2" customFormat="1" ht="12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" customHeight="1" x14ac:dyDescent="0.25">
      <c r="A15" s="4">
        <v>501</v>
      </c>
      <c r="B15" s="2">
        <v>4</v>
      </c>
      <c r="C15" s="122" t="s">
        <v>829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ref="O15:O17" ca="1" si="4">B15*$L$2</f>
        <v>4</v>
      </c>
      <c r="P15" s="51">
        <f>VLOOKUP(C15,Bolts!A:B,2,FALSE)</f>
        <v>0</v>
      </c>
      <c r="Q15" s="52">
        <f t="shared" ref="Q15:Q17" si="5">B15*P15</f>
        <v>0</v>
      </c>
    </row>
    <row r="16" spans="1:17" s="2" customFormat="1" ht="12" customHeight="1" x14ac:dyDescent="0.25">
      <c r="A16" s="4">
        <v>502</v>
      </c>
      <c r="B16" s="2">
        <v>4</v>
      </c>
      <c r="C16" s="122" t="s">
        <v>107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ca="1" si="4"/>
        <v>4</v>
      </c>
      <c r="P16" s="51">
        <f>VLOOKUP(C16,Bolts!A:B,2,FALSE)</f>
        <v>0</v>
      </c>
      <c r="Q16" s="52">
        <f t="shared" si="5"/>
        <v>0</v>
      </c>
    </row>
    <row r="17" spans="1:17" s="2" customFormat="1" ht="12" customHeight="1" thickBot="1" x14ac:dyDescent="0.3">
      <c r="A17" s="4">
        <v>503</v>
      </c>
      <c r="B17" s="2">
        <v>4</v>
      </c>
      <c r="C17" s="122" t="s">
        <v>830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4"/>
        <v>4</v>
      </c>
      <c r="P17" s="51">
        <f>VLOOKUP(C17,Bolts!A:B,2,FALSE)</f>
        <v>0</v>
      </c>
      <c r="Q17" s="52">
        <f t="shared" si="5"/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SUM(Q5:Q17)</f>
        <v>1866.54</v>
      </c>
    </row>
  </sheetData>
  <sheetProtection selectLockedCells="1"/>
  <mergeCells count="28">
    <mergeCell ref="D15:E15"/>
    <mergeCell ref="D16:E16"/>
    <mergeCell ref="D17:E17"/>
    <mergeCell ref="D18:E18"/>
    <mergeCell ref="H18:I18"/>
    <mergeCell ref="D12:E12"/>
    <mergeCell ref="H12:I12"/>
    <mergeCell ref="D13:E13"/>
    <mergeCell ref="H13:I13"/>
    <mergeCell ref="D14:E14"/>
    <mergeCell ref="H14:I14"/>
    <mergeCell ref="D9:E9"/>
    <mergeCell ref="H9:I9"/>
    <mergeCell ref="D10:E10"/>
    <mergeCell ref="H10:I10"/>
    <mergeCell ref="D11:E11"/>
    <mergeCell ref="H11:I11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6 M8 M14:M17">
    <cfRule type="cellIs" dxfId="1262" priority="13" stopIfTrue="1" operator="lessThanOrEqual">
      <formula>$L6</formula>
    </cfRule>
    <cfRule type="cellIs" dxfId="1261" priority="14" operator="greaterThan">
      <formula>L6</formula>
    </cfRule>
  </conditionalFormatting>
  <conditionalFormatting sqref="M9">
    <cfRule type="cellIs" dxfId="1260" priority="9" stopIfTrue="1" operator="lessThanOrEqual">
      <formula>$L9</formula>
    </cfRule>
    <cfRule type="cellIs" dxfId="1259" priority="10" operator="greaterThan">
      <formula>L9</formula>
    </cfRule>
  </conditionalFormatting>
  <conditionalFormatting sqref="M10">
    <cfRule type="cellIs" dxfId="1258" priority="7" stopIfTrue="1" operator="lessThanOrEqual">
      <formula>$L10</formula>
    </cfRule>
    <cfRule type="cellIs" dxfId="1257" priority="8" operator="greaterThan">
      <formula>L10</formula>
    </cfRule>
  </conditionalFormatting>
  <conditionalFormatting sqref="M11">
    <cfRule type="cellIs" dxfId="1256" priority="5" stopIfTrue="1" operator="lessThanOrEqual">
      <formula>$L11</formula>
    </cfRule>
    <cfRule type="cellIs" dxfId="1255" priority="6" operator="greaterThan">
      <formula>L11</formula>
    </cfRule>
  </conditionalFormatting>
  <conditionalFormatting sqref="M12">
    <cfRule type="cellIs" dxfId="1254" priority="3" stopIfTrue="1" operator="lessThanOrEqual">
      <formula>$L12</formula>
    </cfRule>
    <cfRule type="cellIs" dxfId="1253" priority="4" operator="greaterThan">
      <formula>L12</formula>
    </cfRule>
  </conditionalFormatting>
  <conditionalFormatting sqref="M13">
    <cfRule type="cellIs" dxfId="1252" priority="1" stopIfTrue="1" operator="lessThanOrEqual">
      <formula>$L13</formula>
    </cfRule>
    <cfRule type="cellIs" dxfId="1251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5E74EE7-6A65-433F-A2EB-25F73D8390A3}">
          <x14:formula1>
            <xm:f>Bolts!$A:$A</xm:f>
          </x14:formula1>
          <xm:sqref>C14:C17</xm:sqref>
        </x14:dataValidation>
        <x14:dataValidation type="list" allowBlank="1" showInputMessage="1" showErrorMessage="1" xr:uid="{57D7EB03-E84B-4701-BADF-DFECB2418BA4}">
          <x14:formula1>
            <xm:f>Assemblies!$E:$E</xm:f>
          </x14:formula1>
          <xm:sqref>C5</xm:sqref>
        </x14:dataValidation>
        <x14:dataValidation type="list" allowBlank="1" showInputMessage="1" showErrorMessage="1" xr:uid="{E867CD71-87CC-4B69-B04A-76AB5BCF0CFB}">
          <x14:formula1>
            <xm:f>Machined!$C:$C</xm:f>
          </x14:formula1>
          <xm:sqref>C6:C7</xm:sqref>
        </x14:dataValidation>
        <x14:dataValidation type="list" allowBlank="1" showInputMessage="1" showErrorMessage="1" xr:uid="{2F1964A8-3180-461F-971F-57592215B3DB}">
          <x14:formula1>
            <xm:f>Purchased!$A:$A</xm:f>
          </x14:formula1>
          <xm:sqref>C8:C13</xm:sqref>
        </x14:dataValidation>
      </x14:dataValidations>
    </ext>
  </extLst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6744B-A256-4D49-92D4-9DFB3748DBE7}">
  <sheetPr codeName="Sheet130">
    <tabColor theme="3" tint="0.79998168889431442"/>
  </sheetPr>
  <dimension ref="A1:Q26"/>
  <sheetViews>
    <sheetView zoomScale="115" zoomScaleNormal="115" workbookViewId="0">
      <selection activeCell="F17" sqref="A1:Q2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'5.5.2'!C5</f>
        <v>PG10.5.5.2.1.0.A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'5.5.2'!D5</f>
        <v>Cuff Gripper Assy</v>
      </c>
      <c r="D3" s="85" t="s">
        <v>50</v>
      </c>
      <c r="E3" s="86" t="str">
        <f ca="1">MID(CELL("filename",A1),FIND("]",CELL("filename",A1))+1,256)</f>
        <v>5.5.2.1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831</v>
      </c>
      <c r="D5" s="314" t="str">
        <f>VLOOKUP(C5,Machined!C:X,2,0)</f>
        <v>CUFF GRIPPER ARM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MtnStatesAuto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45505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55644</v>
      </c>
      <c r="O5" s="45">
        <f ca="1">B5*$L$2</f>
        <v>2</v>
      </c>
      <c r="P5" s="49">
        <f>VLOOKUP(C5,Machined!C:F,3,0)</f>
        <v>160.19999999999999</v>
      </c>
      <c r="Q5" s="50">
        <f>B5*P5</f>
        <v>160.19999999999999</v>
      </c>
    </row>
    <row r="6" spans="1:17" s="2" customFormat="1" ht="12.75" customHeight="1" x14ac:dyDescent="0.25">
      <c r="A6" s="77">
        <v>2</v>
      </c>
      <c r="B6" s="20">
        <v>1</v>
      </c>
      <c r="C6" s="121" t="s">
        <v>832</v>
      </c>
      <c r="D6" s="314" t="str">
        <f>VLOOKUP(C6,Machined!C:X,2,0)</f>
        <v>GRIPPER ARM RIB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MtnStatesAuto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45505</v>
      </c>
      <c r="L6" s="44">
        <f>IF(VLOOKUP($C6,Machined!C:Z,20,0) = 0, " ", VLOOKUP($C6,Machined!C:Z,20,0))</f>
        <v>45540</v>
      </c>
      <c r="M6" s="44">
        <f>IF(VLOOKUP($C6,Machined!C:Z,21,0) = 0, " ", VLOOKUP($C6,Machined!C:Z,21,0))</f>
        <v>45540</v>
      </c>
      <c r="N6" s="129">
        <f>IF(VLOOKUP($C6,Machined!C:Z,22,0) = 0, " ", VLOOKUP($C6,Machined!C:Z,22,0))</f>
        <v>55644</v>
      </c>
      <c r="O6" s="45">
        <f t="shared" ref="O6:O7" ca="1" si="0">B6*$L$2</f>
        <v>2</v>
      </c>
      <c r="P6" s="49">
        <f>VLOOKUP(C6,Machined!C:F,3,0)</f>
        <v>188</v>
      </c>
      <c r="Q6" s="50">
        <f t="shared" ref="Q6:Q7" si="1">B6*P6</f>
        <v>188</v>
      </c>
    </row>
    <row r="7" spans="1:17" s="2" customFormat="1" ht="12.75" customHeight="1" x14ac:dyDescent="0.25">
      <c r="A7" s="77">
        <v>3</v>
      </c>
      <c r="B7" s="20">
        <v>1</v>
      </c>
      <c r="C7" s="121" t="s">
        <v>833</v>
      </c>
      <c r="D7" s="314" t="str">
        <f>VLOOKUP(C7,Machined!C:X,2,0)</f>
        <v>CUFF GRIPPER, RIGHT HAND CONFIG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45504</v>
      </c>
      <c r="L7" s="44">
        <f>IF(VLOOKUP($C7,Machined!C:Z,20,0) = 0, " ", VLOOKUP($C7,Machined!C:Z,20,0))</f>
        <v>45534</v>
      </c>
      <c r="M7" s="44">
        <f>IF(VLOOKUP($C7,Machined!C:Z,21,0) = 0, " ", VLOOKUP($C7,Machined!C:Z,21,0))</f>
        <v>45534</v>
      </c>
      <c r="N7" s="129">
        <f>IF(VLOOKUP($C7,Machined!C:Z,22,0) = 0, " ", VLOOKUP($C7,Machined!C:Z,22,0))</f>
        <v>55641</v>
      </c>
      <c r="O7" s="45">
        <f t="shared" ca="1" si="0"/>
        <v>2</v>
      </c>
      <c r="P7" s="49">
        <f>VLOOKUP(C7,Machined!C:F,3,0)</f>
        <v>87.6</v>
      </c>
      <c r="Q7" s="50">
        <f t="shared" si="1"/>
        <v>87.6</v>
      </c>
    </row>
    <row r="8" spans="1:17" s="2" customFormat="1" ht="12.75" customHeight="1" x14ac:dyDescent="0.25">
      <c r="A8" s="77">
        <v>4</v>
      </c>
      <c r="B8" s="20">
        <v>1</v>
      </c>
      <c r="C8" s="121" t="s">
        <v>834</v>
      </c>
      <c r="D8" s="314" t="str">
        <f>VLOOKUP(C8,Machined!C:X,2,0)</f>
        <v>CUFF GRIPPER, LEFT HAND 
CONFIG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Frontier Mach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45504</v>
      </c>
      <c r="L8" s="44">
        <f>IF(VLOOKUP($C8,Machined!C:Z,20,0) = 0, " ", VLOOKUP($C8,Machined!C:Z,20,0))</f>
        <v>45534</v>
      </c>
      <c r="M8" s="44">
        <f>IF(VLOOKUP($C8,Machined!C:Z,21,0) = 0, " ", VLOOKUP($C8,Machined!C:Z,21,0))</f>
        <v>45534</v>
      </c>
      <c r="N8" s="129">
        <f>IF(VLOOKUP($C8,Machined!C:Z,22,0) = 0, " ", VLOOKUP($C8,Machined!C:Z,22,0))</f>
        <v>55641</v>
      </c>
      <c r="O8" s="45">
        <f ca="1">B8*$L$2</f>
        <v>2</v>
      </c>
      <c r="P8" s="49">
        <f>VLOOKUP(C8,Machined!C:F,3,0)</f>
        <v>87.6</v>
      </c>
      <c r="Q8" s="50">
        <f>B8*P8</f>
        <v>87.6</v>
      </c>
    </row>
    <row r="9" spans="1:17" s="2" customFormat="1" ht="12.75" customHeight="1" x14ac:dyDescent="0.25">
      <c r="A9" s="77">
        <v>5</v>
      </c>
      <c r="B9" s="20">
        <v>1</v>
      </c>
      <c r="C9" s="121" t="s">
        <v>835</v>
      </c>
      <c r="D9" s="314" t="str">
        <f>VLOOKUP(C9,Machined!C:X,2,0)</f>
        <v>GRIPPER WEB GUARD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Proto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45495</v>
      </c>
      <c r="K9" s="44">
        <f>IF(VLOOKUP($C9,Machined!C:Z,19,0) = 0, " ", VLOOKUP($C9,Machined!C:Z,19,0))</f>
        <v>45510</v>
      </c>
      <c r="L9" s="44">
        <f>IF(VLOOKUP($C9,Machined!C:Z,20,0) = 0, " ", VLOOKUP($C9,Machined!C:Z,20,0))</f>
        <v>45540</v>
      </c>
      <c r="M9" s="44">
        <f>IF(VLOOKUP($C9,Machined!C:Z,21,0) = 0, " ", VLOOKUP($C9,Machined!C:Z,21,0))</f>
        <v>45540</v>
      </c>
      <c r="N9" s="129">
        <f>IF(VLOOKUP($C9,Machined!C:Z,22,0) = 0, " ", VLOOKUP($C9,Machined!C:Z,22,0))</f>
        <v>55658</v>
      </c>
      <c r="O9" s="45">
        <f t="shared" ref="O9" ca="1" si="2">B9*$L$2</f>
        <v>2</v>
      </c>
      <c r="P9" s="49">
        <f>VLOOKUP(C9,Machined!C:F,3,0)</f>
        <v>86.18</v>
      </c>
      <c r="Q9" s="50">
        <f t="shared" ref="Q9" si="3">B9*P9</f>
        <v>86.18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2</v>
      </c>
      <c r="C11" s="135" t="s">
        <v>821</v>
      </c>
      <c r="D11" s="325" t="str">
        <f>VLOOKUP(C11,Purchased!A:B,2,0)</f>
        <v>General Purpose Zinc-Plated Steel Washer for M4 Screw Size, 4.300 mm ID, 8 
mm OD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45482</v>
      </c>
      <c r="K11" s="46">
        <f>IF(VLOOKUP(C11,Purchased!A:R,14,0)=0, " ", VLOOKUP(C11,Purchased!A:R,14,0))</f>
        <v>45482</v>
      </c>
      <c r="L11" s="46">
        <f>IF(VLOOKUP(C11,Purchased!A:R,15,0)=0, " ", VLOOKUP(C11,Purchased!A:R,15,0))</f>
        <v>45482</v>
      </c>
      <c r="M11" s="46">
        <f>IF(VLOOKUP(C11,Purchased!A:R,16,0)=0, " ",VLOOKUP(C11,Purchased!A:R,16,0))</f>
        <v>45483</v>
      </c>
      <c r="N11" s="130">
        <f>IF(VLOOKUP(C11,Purchased!A:R,17,0)=0, " ", VLOOKUP(C11,Purchased!A:R,17,0))</f>
        <v>45483</v>
      </c>
      <c r="O11" s="47">
        <f t="shared" ref="O11:O16" ca="1" si="4">B11*$L$2</f>
        <v>4</v>
      </c>
      <c r="P11" s="51">
        <f>VLOOKUP(C11,Purchased!A:D,3,FALSE)</f>
        <v>3.72</v>
      </c>
      <c r="Q11" s="52">
        <f t="shared" ref="Q11:Q16" si="5">B11*P11</f>
        <v>7.44</v>
      </c>
    </row>
    <row r="12" spans="1:17" s="2" customFormat="1" ht="12" customHeight="1" x14ac:dyDescent="0.25">
      <c r="A12" s="4">
        <v>302</v>
      </c>
      <c r="B12" s="2">
        <v>1</v>
      </c>
      <c r="C12" s="135" t="s">
        <v>836</v>
      </c>
      <c r="D12" s="325" t="str">
        <f>VLOOKUP(C12,Purchased!A:B,2,0)</f>
        <v>2-JAW RADIAL GRIPPER</v>
      </c>
      <c r="E12" s="326"/>
      <c r="F12" s="108" t="str">
        <f>IF(VLOOKUP($C12,Purchased!A:Z,11,0) = 0, " ", VLOOKUP($C12,Purchased!A:Z,11,0))</f>
        <v>Zimmer</v>
      </c>
      <c r="G12" s="108" t="str">
        <f>IF(VLOOKUP($C12,Purchased!A:Z,12,0)=0, " ", VLOOKUP($C12,Purchased!A:Z,12,0))</f>
        <v>Zimmer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45482</v>
      </c>
      <c r="K12" s="46">
        <f>IF(VLOOKUP(C12,Purchased!A:R,14,0)=0, " ", VLOOKUP(C12,Purchased!A:R,14,0))</f>
        <v>45482</v>
      </c>
      <c r="L12" s="46">
        <f>IF(VLOOKUP(C12,Purchased!A:R,15,0)=0, " ", VLOOKUP(C12,Purchased!A:R,15,0))</f>
        <v>45482</v>
      </c>
      <c r="M12" s="46">
        <f>IF(VLOOKUP(C12,Purchased!A:R,16,0)=0, " ",VLOOKUP(C12,Purchased!A:R,16,0))</f>
        <v>45512</v>
      </c>
      <c r="N12" s="130">
        <f>IF(VLOOKUP(C12,Purchased!A:R,17,0)=0, " ", VLOOKUP(C12,Purchased!A:R,17,0))</f>
        <v>45512</v>
      </c>
      <c r="O12" s="47">
        <f t="shared" ca="1" si="4"/>
        <v>2</v>
      </c>
      <c r="P12" s="51">
        <f>VLOOKUP(C12,Purchased!A:D,3,FALSE)</f>
        <v>512.79999999999995</v>
      </c>
      <c r="Q12" s="52">
        <f t="shared" si="5"/>
        <v>512.79999999999995</v>
      </c>
    </row>
    <row r="13" spans="1:17" s="2" customFormat="1" ht="12" customHeight="1" x14ac:dyDescent="0.25">
      <c r="A13" s="4">
        <v>303</v>
      </c>
      <c r="B13" s="2">
        <v>1</v>
      </c>
      <c r="C13" s="135" t="s">
        <v>837</v>
      </c>
      <c r="D13" s="325" t="str">
        <f>VLOOKUP(C13,Purchased!A:B,2,0)</f>
        <v>Magnetic Field Sensor</v>
      </c>
      <c r="E13" s="326"/>
      <c r="F13" s="108" t="str">
        <f>IF(VLOOKUP($C13,Purchased!A:Z,11,0) = 0, " ", VLOOKUP($C13,Purchased!A:Z,11,0))</f>
        <v>Zimmer</v>
      </c>
      <c r="G13" s="108" t="str">
        <f>IF(VLOOKUP($C13,Purchased!A:Z,12,0)=0, " ", VLOOKUP($C13,Purchased!A:Z,12,0))</f>
        <v>Zimmer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45482</v>
      </c>
      <c r="K13" s="46">
        <f>IF(VLOOKUP(C13,Purchased!A:R,14,0)=0, " ", VLOOKUP(C13,Purchased!A:R,14,0))</f>
        <v>45482</v>
      </c>
      <c r="L13" s="46">
        <f>IF(VLOOKUP(C13,Purchased!A:R,15,0)=0, " ", VLOOKUP(C13,Purchased!A:R,15,0))</f>
        <v>45482</v>
      </c>
      <c r="M13" s="46">
        <f>IF(VLOOKUP(C13,Purchased!A:R,16,0)=0, " ",VLOOKUP(C13,Purchased!A:R,16,0))</f>
        <v>45512</v>
      </c>
      <c r="N13" s="130">
        <f>IF(VLOOKUP(C13,Purchased!A:R,17,0)=0, " ", VLOOKUP(C13,Purchased!A:R,17,0))</f>
        <v>45512</v>
      </c>
      <c r="O13" s="47">
        <f t="shared" ca="1" si="4"/>
        <v>2</v>
      </c>
      <c r="P13" s="51">
        <f>VLOOKUP(C13,Purchased!A:D,3,FALSE)</f>
        <v>99.1</v>
      </c>
      <c r="Q13" s="52">
        <f t="shared" si="5"/>
        <v>99.1</v>
      </c>
    </row>
    <row r="14" spans="1:17" s="2" customFormat="1" ht="12" customHeight="1" x14ac:dyDescent="0.25">
      <c r="A14" s="4">
        <v>304</v>
      </c>
      <c r="B14" s="2">
        <v>2</v>
      </c>
      <c r="C14" s="135" t="s">
        <v>657</v>
      </c>
      <c r="D14" s="325" t="str">
        <f>VLOOKUP(C14,Purchased!A:B,2,0)</f>
        <v>KQ2 unifit, elbow, 4mm dia tubing, M5 port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>20 more PO 55692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45491</v>
      </c>
      <c r="M14" s="46">
        <f>IF(VLOOKUP(C14,Purchased!A:R,16,0)=0, " ",VLOOKUP(C14,Purchased!A:R,16,0))</f>
        <v>45520</v>
      </c>
      <c r="N14" s="130">
        <f>IF(VLOOKUP(C14,Purchased!A:R,17,0)=0, " ", VLOOKUP(C14,Purchased!A:R,17,0))</f>
        <v>45511</v>
      </c>
      <c r="O14" s="47">
        <f t="shared" ca="1" si="4"/>
        <v>4</v>
      </c>
      <c r="P14" s="51">
        <f>VLOOKUP(C14,Purchased!A:D,3,FALSE)</f>
        <v>1.43</v>
      </c>
      <c r="Q14" s="52">
        <f t="shared" si="5"/>
        <v>2.86</v>
      </c>
    </row>
    <row r="15" spans="1:17" s="2" customFormat="1" ht="12" customHeight="1" x14ac:dyDescent="0.25">
      <c r="A15" s="4">
        <v>305</v>
      </c>
      <c r="B15" s="2">
        <v>2</v>
      </c>
      <c r="C15" s="135" t="s">
        <v>797</v>
      </c>
      <c r="D15" s="325" t="str">
        <f>VLOOKUP(C15,Purchased!A:B,2,0)</f>
        <v>Speed Controller, 100 series 4mm tubing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45491</v>
      </c>
      <c r="M15" s="46">
        <f>IF(VLOOKUP(C15,Purchased!A:R,16,0)=0, " ",VLOOKUP(C15,Purchased!A:R,16,0))</f>
        <v>45520</v>
      </c>
      <c r="N15" s="130">
        <f>IF(VLOOKUP(C15,Purchased!A:R,17,0)=0, " ", VLOOKUP(C15,Purchased!A:R,17,0))</f>
        <v>45511</v>
      </c>
      <c r="O15" s="47">
        <f t="shared" ca="1" si="4"/>
        <v>4</v>
      </c>
      <c r="P15" s="51">
        <f>VLOOKUP(C15,Purchased!A:D,3,FALSE)</f>
        <v>11.25</v>
      </c>
      <c r="Q15" s="52">
        <f t="shared" si="5"/>
        <v>22.5</v>
      </c>
    </row>
    <row r="16" spans="1:17" s="2" customFormat="1" ht="12" customHeight="1" x14ac:dyDescent="0.25">
      <c r="A16" s="4">
        <v>306</v>
      </c>
      <c r="B16" s="2">
        <v>1</v>
      </c>
      <c r="C16" s="135" t="s">
        <v>798</v>
      </c>
      <c r="D16" s="325" t="str">
        <f>VLOOKUP(C16,Purchased!A:B,2,0)</f>
        <v>Speed controller flange 10 series</v>
      </c>
      <c r="E16" s="326"/>
      <c r="F16" s="108" t="str">
        <f>IF(VLOOKUP($C16,Purchased!A:Z,11,0) = 0, " ", VLOOKUP($C16,Purchased!A:Z,11,0))</f>
        <v>SMC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45489</v>
      </c>
      <c r="K16" s="46">
        <f>IF(VLOOKUP(C16,Purchased!A:R,14,0)=0, " ", VLOOKUP(C16,Purchased!A:R,14,0))</f>
        <v>45489</v>
      </c>
      <c r="L16" s="46">
        <f>IF(VLOOKUP(C16,Purchased!A:R,15,0)=0, " ", VLOOKUP(C16,Purchased!A:R,15,0))</f>
        <v>45491</v>
      </c>
      <c r="M16" s="46">
        <f>IF(VLOOKUP(C16,Purchased!A:R,16,0)=0, " ",VLOOKUP(C16,Purchased!A:R,16,0))</f>
        <v>45520</v>
      </c>
      <c r="N16" s="130">
        <f>IF(VLOOKUP(C16,Purchased!A:R,17,0)=0, " ", VLOOKUP(C16,Purchased!A:R,17,0))</f>
        <v>45511</v>
      </c>
      <c r="O16" s="47">
        <f t="shared" ca="1" si="4"/>
        <v>2</v>
      </c>
      <c r="P16" s="51">
        <f>VLOOKUP(C16,Purchased!A:D,3,FALSE)</f>
        <v>1.65</v>
      </c>
      <c r="Q16" s="52">
        <f t="shared" si="5"/>
        <v>1.65</v>
      </c>
    </row>
    <row r="17" spans="1:17" s="2" customFormat="1" ht="12" customHeight="1" x14ac:dyDescent="0.25">
      <c r="A17" s="4">
        <v>307</v>
      </c>
      <c r="B17" s="2">
        <v>1</v>
      </c>
      <c r="C17" s="135" t="s">
        <v>306</v>
      </c>
      <c r="D17" s="325" t="str">
        <f>VLOOKUP(C17,Purchased!A:B,2,0)</f>
        <v>M8 female 0° A-cod. with cable, PVC 3x0.25 bk UL/CSA 10m</v>
      </c>
      <c r="E17" s="326"/>
      <c r="F17" s="108" t="str">
        <f>IF(VLOOKUP($C17,Purchased!A:Z,11,0) = 0, " ", VLOOKUP($C17,Purchased!A:Z,11,0))</f>
        <v>MURR</v>
      </c>
      <c r="G17" s="108" t="str">
        <f>IF(VLOOKUP($C17,Purchased!A:Z,12,0)=0, " ", VLOOKUP($C17,Purchased!A:Z,12,0))</f>
        <v>MURR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45506</v>
      </c>
      <c r="K17" s="46">
        <f>IF(VLOOKUP(C17,Purchased!A:R,14,0)=0, " ", VLOOKUP(C17,Purchased!A:R,14,0))</f>
        <v>45506</v>
      </c>
      <c r="L17" s="46" t="str">
        <f>IF(VLOOKUP(C17,Purchased!A:R,15,0)=0, " ", VLOOKUP(C17,Purchased!A:R,15,0))</f>
        <v xml:space="preserve"> </v>
      </c>
      <c r="M17" s="46" t="str">
        <f>IF(VLOOKUP(C17,Purchased!A:R,16,0)=0, " ",VLOOKUP(C17,Purchased!A:R,16,0))</f>
        <v xml:space="preserve"> </v>
      </c>
      <c r="N17" s="130" t="str">
        <f>IF(VLOOKUP(C17,Purchased!A:R,17,0)=0, " ", VLOOKUP(C17,Purchased!A:R,17,0))</f>
        <v xml:space="preserve"> </v>
      </c>
      <c r="O17" s="47">
        <f t="shared" ref="O17" ca="1" si="6">B17*$L$2</f>
        <v>2</v>
      </c>
      <c r="P17" s="51">
        <f>VLOOKUP(C17,Purchased!A:D,3,FALSE)</f>
        <v>0</v>
      </c>
      <c r="Q17" s="52">
        <f t="shared" ref="Q17" si="7">B17*P17</f>
        <v>0</v>
      </c>
    </row>
    <row r="18" spans="1:17" s="2" customFormat="1" ht="12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501</v>
      </c>
      <c r="B19" s="2">
        <v>2</v>
      </c>
      <c r="C19" s="122" t="s">
        <v>197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ref="O19:O25" ca="1" si="8">B19*$L$2</f>
        <v>4</v>
      </c>
      <c r="P19" s="51">
        <f>VLOOKUP(C19,Bolts!A:B,2,FALSE)</f>
        <v>0</v>
      </c>
      <c r="Q19" s="52">
        <f t="shared" ref="Q19:Q25" si="9">B19*P19</f>
        <v>0</v>
      </c>
    </row>
    <row r="20" spans="1:17" s="2" customFormat="1" ht="12" customHeight="1" x14ac:dyDescent="0.25">
      <c r="A20" s="4">
        <v>502</v>
      </c>
      <c r="B20" s="2">
        <v>4</v>
      </c>
      <c r="C20" s="122" t="s">
        <v>196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8"/>
        <v>8</v>
      </c>
      <c r="P20" s="51">
        <f>VLOOKUP(C20,Bolts!A:B,2,FALSE)</f>
        <v>0</v>
      </c>
      <c r="Q20" s="52">
        <f t="shared" si="9"/>
        <v>0</v>
      </c>
    </row>
    <row r="21" spans="1:17" s="2" customFormat="1" ht="12" customHeight="1" x14ac:dyDescent="0.25">
      <c r="A21" s="4">
        <v>503</v>
      </c>
      <c r="B21" s="2">
        <v>2</v>
      </c>
      <c r="C21" s="122" t="s">
        <v>806</v>
      </c>
      <c r="D21" s="325"/>
      <c r="E21" s="326"/>
      <c r="F21" s="108">
        <f>VLOOKUP(C21,Bolts!A:L,5,0)</f>
        <v>0</v>
      </c>
      <c r="G21" s="108" t="str">
        <f>VLOOKUP(C21,Bolts!A:L,6,0)</f>
        <v xml:space="preserve"> 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8"/>
        <v>4</v>
      </c>
      <c r="P21" s="51">
        <f>VLOOKUP(C21,Bolts!A:B,2,FALSE)</f>
        <v>0</v>
      </c>
      <c r="Q21" s="52">
        <f t="shared" si="9"/>
        <v>0</v>
      </c>
    </row>
    <row r="22" spans="1:17" s="2" customFormat="1" ht="12" customHeight="1" x14ac:dyDescent="0.25">
      <c r="A22" s="4">
        <v>504</v>
      </c>
      <c r="B22" s="2">
        <v>5</v>
      </c>
      <c r="C22" s="122" t="s">
        <v>809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8"/>
        <v>10</v>
      </c>
      <c r="P22" s="51">
        <f>VLOOKUP(C22,Bolts!A:B,2,FALSE)</f>
        <v>0</v>
      </c>
      <c r="Q22" s="52">
        <f t="shared" si="9"/>
        <v>0</v>
      </c>
    </row>
    <row r="23" spans="1:17" s="2" customFormat="1" ht="12" customHeight="1" x14ac:dyDescent="0.25">
      <c r="A23" s="4">
        <v>505</v>
      </c>
      <c r="B23" s="2">
        <v>4</v>
      </c>
      <c r="C23" s="122" t="s">
        <v>275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8"/>
        <v>8</v>
      </c>
      <c r="P23" s="51">
        <f>VLOOKUP(C23,Bolts!A:B,2,FALSE)</f>
        <v>0</v>
      </c>
      <c r="Q23" s="52">
        <f t="shared" si="9"/>
        <v>0</v>
      </c>
    </row>
    <row r="24" spans="1:17" s="2" customFormat="1" ht="12" customHeight="1" x14ac:dyDescent="0.25">
      <c r="A24" s="4">
        <v>506</v>
      </c>
      <c r="B24" s="2">
        <v>2</v>
      </c>
      <c r="C24" s="122" t="s">
        <v>198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ca="1">B24*$L$2</f>
        <v>4</v>
      </c>
      <c r="P24" s="51">
        <f>VLOOKUP(C24,Bolts!A:B,2,FALSE)</f>
        <v>0</v>
      </c>
      <c r="Q24" s="52">
        <f>B24*P24</f>
        <v>0</v>
      </c>
    </row>
    <row r="25" spans="1:17" s="2" customFormat="1" ht="12" customHeight="1" thickBot="1" x14ac:dyDescent="0.3">
      <c r="A25" s="4">
        <v>507</v>
      </c>
      <c r="B25" s="2">
        <v>2</v>
      </c>
      <c r="C25" s="122" t="s">
        <v>808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8"/>
        <v>4</v>
      </c>
      <c r="P25" s="51">
        <f>VLOOKUP(C25,Bolts!A:B,2,FALSE)</f>
        <v>0</v>
      </c>
      <c r="Q25" s="52">
        <f t="shared" si="9"/>
        <v>0</v>
      </c>
    </row>
    <row r="26" spans="1:17" s="2" customFormat="1" ht="12" customHeight="1" thickBot="1" x14ac:dyDescent="0.3">
      <c r="A26" s="34"/>
      <c r="B26" s="35"/>
      <c r="C26" s="35"/>
      <c r="D26" s="316"/>
      <c r="E26" s="317"/>
      <c r="F26" s="35"/>
      <c r="G26" s="35"/>
      <c r="H26" s="309"/>
      <c r="I26" s="310"/>
      <c r="J26" s="36"/>
      <c r="K26" s="36"/>
      <c r="L26" s="36"/>
      <c r="M26" s="37"/>
      <c r="N26" s="132"/>
      <c r="O26" s="38"/>
      <c r="P26" s="99" t="s">
        <v>43</v>
      </c>
      <c r="Q26" s="104">
        <f>SUM(Q5:Q25)</f>
        <v>1255.9299999999998</v>
      </c>
    </row>
  </sheetData>
  <sheetProtection selectLockedCells="1"/>
  <mergeCells count="40">
    <mergeCell ref="D26:E26"/>
    <mergeCell ref="H26:I26"/>
    <mergeCell ref="D20:E20"/>
    <mergeCell ref="D21:E21"/>
    <mergeCell ref="D22:E22"/>
    <mergeCell ref="D23:E23"/>
    <mergeCell ref="D25:E25"/>
    <mergeCell ref="D24:E24"/>
    <mergeCell ref="D16:E16"/>
    <mergeCell ref="H16:I16"/>
    <mergeCell ref="D18:E18"/>
    <mergeCell ref="H18:I18"/>
    <mergeCell ref="D19:E19"/>
    <mergeCell ref="D17:E17"/>
    <mergeCell ref="H17:I17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10 M18:M25">
    <cfRule type="cellIs" dxfId="1250" priority="15" stopIfTrue="1" operator="lessThanOrEqual">
      <formula>$L10</formula>
    </cfRule>
    <cfRule type="cellIs" dxfId="1249" priority="16" operator="greaterThan">
      <formula>L10</formula>
    </cfRule>
  </conditionalFormatting>
  <conditionalFormatting sqref="M11:M17">
    <cfRule type="cellIs" dxfId="1248" priority="1" stopIfTrue="1" operator="lessThanOrEqual">
      <formula>$L11</formula>
    </cfRule>
    <cfRule type="cellIs" dxfId="1247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907A678-E199-4607-BBFE-D57CD05A94DB}">
          <x14:formula1>
            <xm:f>Bolts!$A:$A</xm:f>
          </x14:formula1>
          <xm:sqref>C18:C25</xm:sqref>
        </x14:dataValidation>
        <x14:dataValidation type="list" allowBlank="1" showInputMessage="1" showErrorMessage="1" xr:uid="{3FE44D1B-1ECA-45B8-9C5D-CFA763825EEB}">
          <x14:formula1>
            <xm:f>Machined!$C:$C</xm:f>
          </x14:formula1>
          <xm:sqref>C5:C9</xm:sqref>
        </x14:dataValidation>
        <x14:dataValidation type="list" allowBlank="1" showInputMessage="1" showErrorMessage="1" xr:uid="{C6DCFE7C-61F6-440B-B5A3-F192CF4A3925}">
          <x14:formula1>
            <xm:f>Purchased!$A:$A</xm:f>
          </x14:formula1>
          <xm:sqref>C10:C17</xm:sqref>
        </x14:dataValidation>
      </x14:dataValidations>
    </ext>
  </extLst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F7B01-B0A5-46CF-8052-D17A396BAA4A}">
  <sheetPr codeName="Sheet131">
    <tabColor theme="6" tint="0.59999389629810485"/>
  </sheetPr>
  <dimension ref="A1:Q15"/>
  <sheetViews>
    <sheetView zoomScale="115" zoomScaleNormal="115" workbookViewId="0">
      <selection activeCell="F10" sqref="F10:N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'5.5'!C7</f>
        <v>PG10.5.5.3.0.A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'5.5'!D7</f>
        <v>Cuff Esc Sensor Assy</v>
      </c>
      <c r="D3" s="85" t="s">
        <v>50</v>
      </c>
      <c r="E3" s="86" t="str">
        <f ca="1">MID(CELL("filename",A1),FIND("]",CELL("filename",A1))+1,256)</f>
        <v>5.5.3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838</v>
      </c>
      <c r="D5" s="314" t="str">
        <f>VLOOKUP(C5,Machined!C:X,2,0)</f>
        <v>Rail Tie 1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45504</v>
      </c>
      <c r="L5" s="44">
        <f>IF(VLOOKUP($C5,Machined!C:Z,20,0) = 0, " ", VLOOKUP($C5,Machined!C:Z,20,0))</f>
        <v>45534</v>
      </c>
      <c r="M5" s="44">
        <f>IF(VLOOKUP($C5,Machined!C:Z,21,0) = 0, " ", VLOOKUP($C5,Machined!C:Z,21,0))</f>
        <v>45534</v>
      </c>
      <c r="N5" s="129">
        <f>IF(VLOOKUP($C5,Machined!C:Z,22,0) = 0, " ", VLOOKUP($C5,Machined!C:Z,22,0))</f>
        <v>55641</v>
      </c>
      <c r="O5" s="45">
        <f ca="1">B5*$L$2</f>
        <v>2</v>
      </c>
      <c r="P5" s="49">
        <f>VLOOKUP(C5,Machined!C:F,3,0)</f>
        <v>104.65</v>
      </c>
      <c r="Q5" s="50">
        <f>B5*P5</f>
        <v>104.65</v>
      </c>
    </row>
    <row r="6" spans="1:17" s="2" customFormat="1" ht="12.75" customHeight="1" x14ac:dyDescent="0.25">
      <c r="A6" s="77">
        <v>2</v>
      </c>
      <c r="B6" s="20">
        <v>1</v>
      </c>
      <c r="C6" s="121" t="s">
        <v>839</v>
      </c>
      <c r="D6" s="314" t="str">
        <f>VLOOKUP(C6,Machined!C:X,2,0)</f>
        <v>Esc Sensor Bracket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Proto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45510</v>
      </c>
      <c r="L6" s="44">
        <f>IF(VLOOKUP($C6,Machined!C:Z,20,0) = 0, " ", VLOOKUP($C6,Machined!C:Z,20,0))</f>
        <v>45540</v>
      </c>
      <c r="M6" s="44">
        <f>IF(VLOOKUP($C6,Machined!C:Z,21,0) = 0, " ", VLOOKUP($C6,Machined!C:Z,21,0))</f>
        <v>45540</v>
      </c>
      <c r="N6" s="129">
        <f>IF(VLOOKUP($C6,Machined!C:Z,22,0) = 0, " ", VLOOKUP($C6,Machined!C:Z,22,0))</f>
        <v>55658</v>
      </c>
      <c r="O6" s="45">
        <f t="shared" ref="O6" ca="1" si="0">B6*$L$2</f>
        <v>2</v>
      </c>
      <c r="P6" s="49">
        <f>VLOOKUP(C6,Machined!C:F,3,0)</f>
        <v>72.12</v>
      </c>
      <c r="Q6" s="50">
        <f t="shared" ref="Q6" si="1">B6*P6</f>
        <v>72.12</v>
      </c>
    </row>
    <row r="7" spans="1:17" s="2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x14ac:dyDescent="0.25">
      <c r="A8" s="4">
        <v>301</v>
      </c>
      <c r="B8" s="2">
        <v>1</v>
      </c>
      <c r="C8" s="135" t="s">
        <v>820</v>
      </c>
      <c r="D8" s="325" t="str">
        <f>VLOOKUP(C8,Purchased!A:B,2,0)</f>
        <v>Keyence COMPACT LASER SENSOR, M8 CONNECTOR, 100MM RANGE</v>
      </c>
      <c r="E8" s="326"/>
      <c r="F8" s="108" t="str">
        <f>IF(VLOOKUP($C8,Purchased!A:Z,11,0) = 0, " ", VLOOKUP($C8,Purchased!A:Z,11,0))</f>
        <v>KEYENCE</v>
      </c>
      <c r="G8" s="108" t="str">
        <f>IF(VLOOKUP($C8,Purchased!A:Z,12,0)=0, " ", VLOOKUP($C8,Purchased!A:Z,12,0))</f>
        <v>KEYENCE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45516</v>
      </c>
      <c r="K8" s="46">
        <f>IF(VLOOKUP(C8,Purchased!A:R,14,0)=0, " ", VLOOKUP(C8,Purchased!A:R,14,0))</f>
        <v>45516</v>
      </c>
      <c r="L8" s="46">
        <f>IF(VLOOKUP(C8,Purchased!A:R,15,0)=0, " ", VLOOKUP(C8,Purchased!A:R,15,0))</f>
        <v>45518</v>
      </c>
      <c r="M8" s="46">
        <f>IF(VLOOKUP(C8,Purchased!A:R,16,0)=0, " ",VLOOKUP(C8,Purchased!A:R,16,0))</f>
        <v>45526</v>
      </c>
      <c r="N8" s="130">
        <f>IF(VLOOKUP(C8,Purchased!A:R,17,0)=0, " ", VLOOKUP(C8,Purchased!A:R,17,0))</f>
        <v>45526</v>
      </c>
      <c r="O8" s="47">
        <f t="shared" ref="O8:O10" ca="1" si="2">B8*$L$2</f>
        <v>2</v>
      </c>
      <c r="P8" s="51">
        <f>VLOOKUP(C8,Purchased!A:D,3,FALSE)</f>
        <v>575</v>
      </c>
      <c r="Q8" s="52">
        <f t="shared" ref="Q8:Q10" si="3">B8*P8</f>
        <v>575</v>
      </c>
    </row>
    <row r="9" spans="1:17" s="2" customFormat="1" ht="12" customHeight="1" x14ac:dyDescent="0.25">
      <c r="A9" s="4">
        <v>302</v>
      </c>
      <c r="B9" s="2">
        <v>2</v>
      </c>
      <c r="C9" s="135" t="s">
        <v>821</v>
      </c>
      <c r="D9" s="325" t="str">
        <f>VLOOKUP(C9,Purchased!A:B,2,0)</f>
        <v>General Purpose Zinc-Plated Steel Washer for M4 Screw Size, 4.300 mm ID, 8 
mm OD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45482</v>
      </c>
      <c r="K9" s="46">
        <f>IF(VLOOKUP(C9,Purchased!A:R,14,0)=0, " ", VLOOKUP(C9,Purchased!A:R,14,0))</f>
        <v>45482</v>
      </c>
      <c r="L9" s="46">
        <f>IF(VLOOKUP(C9,Purchased!A:R,15,0)=0, " ", VLOOKUP(C9,Purchased!A:R,15,0))</f>
        <v>45482</v>
      </c>
      <c r="M9" s="46">
        <f>IF(VLOOKUP(C9,Purchased!A:R,16,0)=0, " ",VLOOKUP(C9,Purchased!A:R,16,0))</f>
        <v>45483</v>
      </c>
      <c r="N9" s="130">
        <f>IF(VLOOKUP(C9,Purchased!A:R,17,0)=0, " ", VLOOKUP(C9,Purchased!A:R,17,0))</f>
        <v>45483</v>
      </c>
      <c r="O9" s="47">
        <f t="shared" ca="1" si="2"/>
        <v>4</v>
      </c>
      <c r="P9" s="51">
        <f>VLOOKUP(C9,Purchased!A:D,3,FALSE)</f>
        <v>3.72</v>
      </c>
      <c r="Q9" s="52">
        <f t="shared" si="3"/>
        <v>7.44</v>
      </c>
    </row>
    <row r="10" spans="1:17" s="2" customFormat="1" ht="12" customHeight="1" x14ac:dyDescent="0.25">
      <c r="A10" s="4">
        <v>303</v>
      </c>
      <c r="B10" s="2">
        <v>1</v>
      </c>
      <c r="C10" s="135" t="s">
        <v>220</v>
      </c>
      <c r="D10" s="325" t="str">
        <f>VLOOKUP(C10,Purchased!A:B,2,0)</f>
        <v>M8 4PIN TO FLYING LEAD 7.5M CABLE</v>
      </c>
      <c r="E10" s="326"/>
      <c r="F10" s="108" t="str">
        <f>IF(VLOOKUP($C10,Purchased!A:Z,11,0) = 0, " ", VLOOKUP($C10,Purchased!A:Z,11,0))</f>
        <v>MURR</v>
      </c>
      <c r="G10" s="108" t="str">
        <f>IF(VLOOKUP($C10,Purchased!A:Z,12,0)=0, " ", VLOOKUP($C10,Purchased!A:Z,12,0))</f>
        <v>MURR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45506</v>
      </c>
      <c r="K10" s="46">
        <f>IF(VLOOKUP(C10,Purchased!A:R,14,0)=0, " ", VLOOKUP(C10,Purchased!A:R,14,0))</f>
        <v>45506</v>
      </c>
      <c r="L10" s="46" t="str">
        <f>IF(VLOOKUP(C10,Purchased!A:R,15,0)=0, " ", VLOOKUP(C10,Purchased!A:R,15,0))</f>
        <v xml:space="preserve"> 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t="shared" ca="1" si="2"/>
        <v>2</v>
      </c>
      <c r="P10" s="51">
        <f>VLOOKUP(C10,Purchased!A:D,3,FALSE)</f>
        <v>0</v>
      </c>
      <c r="Q10" s="52">
        <f t="shared" si="3"/>
        <v>0</v>
      </c>
    </row>
    <row r="11" spans="1:17" s="2" customFormat="1" ht="12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" customHeight="1" x14ac:dyDescent="0.25">
      <c r="A12" s="4">
        <v>501</v>
      </c>
      <c r="B12" s="2">
        <v>2</v>
      </c>
      <c r="C12" s="122" t="s">
        <v>196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t="shared" ref="O12:O14" ca="1" si="4">B12*$L$2</f>
        <v>4</v>
      </c>
      <c r="P12" s="51">
        <f>VLOOKUP(C12,Bolts!A:B,2,FALSE)</f>
        <v>0</v>
      </c>
      <c r="Q12" s="52">
        <f t="shared" ref="Q12:Q14" si="5">B12*P12</f>
        <v>0</v>
      </c>
    </row>
    <row r="13" spans="1:17" s="2" customFormat="1" ht="12" customHeight="1" x14ac:dyDescent="0.25">
      <c r="A13" s="4">
        <v>502</v>
      </c>
      <c r="B13" s="2">
        <v>2</v>
      </c>
      <c r="C13" s="122" t="s">
        <v>275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ca="1" si="4"/>
        <v>4</v>
      </c>
      <c r="P13" s="51">
        <f>VLOOKUP(C13,Bolts!A:B,2,FALSE)</f>
        <v>0</v>
      </c>
      <c r="Q13" s="52">
        <f t="shared" si="5"/>
        <v>0</v>
      </c>
    </row>
    <row r="14" spans="1:17" s="2" customFormat="1" ht="12" customHeight="1" thickBot="1" x14ac:dyDescent="0.3">
      <c r="A14" s="4">
        <v>503</v>
      </c>
      <c r="B14" s="2">
        <v>2</v>
      </c>
      <c r="C14" s="122" t="s">
        <v>830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t="shared" ca="1" si="4"/>
        <v>4</v>
      </c>
      <c r="P14" s="51">
        <f>VLOOKUP(C14,Bolts!A:B,2,FALSE)</f>
        <v>0</v>
      </c>
      <c r="Q14" s="52">
        <f t="shared" si="5"/>
        <v>0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759.21</v>
      </c>
    </row>
  </sheetData>
  <sheetProtection selectLockedCells="1"/>
  <mergeCells count="22">
    <mergeCell ref="D13:E13"/>
    <mergeCell ref="D14:E14"/>
    <mergeCell ref="D15:E15"/>
    <mergeCell ref="H15:I15"/>
    <mergeCell ref="D10:E10"/>
    <mergeCell ref="H10:I10"/>
    <mergeCell ref="D11:E11"/>
    <mergeCell ref="H11:I11"/>
    <mergeCell ref="D12:E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7 M11:M14">
    <cfRule type="cellIs" dxfId="1246" priority="7" stopIfTrue="1" operator="lessThanOrEqual">
      <formula>$L7</formula>
    </cfRule>
    <cfRule type="cellIs" dxfId="1245" priority="8" operator="greaterThan">
      <formula>L7</formula>
    </cfRule>
  </conditionalFormatting>
  <conditionalFormatting sqref="M8">
    <cfRule type="cellIs" dxfId="1244" priority="5" stopIfTrue="1" operator="lessThanOrEqual">
      <formula>$L8</formula>
    </cfRule>
    <cfRule type="cellIs" dxfId="1243" priority="6" operator="greaterThan">
      <formula>L8</formula>
    </cfRule>
  </conditionalFormatting>
  <conditionalFormatting sqref="M9">
    <cfRule type="cellIs" dxfId="1242" priority="3" stopIfTrue="1" operator="lessThanOrEqual">
      <formula>$L9</formula>
    </cfRule>
    <cfRule type="cellIs" dxfId="1241" priority="4" operator="greaterThan">
      <formula>L9</formula>
    </cfRule>
  </conditionalFormatting>
  <conditionalFormatting sqref="M10">
    <cfRule type="cellIs" dxfId="1240" priority="1" stopIfTrue="1" operator="lessThanOrEqual">
      <formula>$L10</formula>
    </cfRule>
    <cfRule type="cellIs" dxfId="1239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4A840ED-3B0F-4D0B-8278-D71D6D0CF554}">
          <x14:formula1>
            <xm:f>Bolts!$A:$A</xm:f>
          </x14:formula1>
          <xm:sqref>C11:C14</xm:sqref>
        </x14:dataValidation>
        <x14:dataValidation type="list" allowBlank="1" showInputMessage="1" showErrorMessage="1" xr:uid="{7317FE09-4F0E-464C-A846-FE91C6DB3850}">
          <x14:formula1>
            <xm:f>Machined!$C:$C</xm:f>
          </x14:formula1>
          <xm:sqref>C5:C6</xm:sqref>
        </x14:dataValidation>
        <x14:dataValidation type="list" allowBlank="1" showInputMessage="1" showErrorMessage="1" xr:uid="{B24DA9F2-220A-4970-B993-9F4EB29D1011}">
          <x14:formula1>
            <xm:f>Purchased!$A:$A</xm:f>
          </x14:formula1>
          <xm:sqref>C7:C10</xm:sqref>
        </x14:dataValidation>
      </x14:dataValidations>
    </ext>
  </extLst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C13EC-101E-4992-A717-32AA867000DF}">
  <sheetPr codeName="Sheet132">
    <tabColor theme="6" tint="0.59999389629810485"/>
  </sheetPr>
  <dimension ref="A1:Q21"/>
  <sheetViews>
    <sheetView zoomScale="115" zoomScaleNormal="115" workbookViewId="0">
      <selection activeCell="E31" sqref="E3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'5.5'!C8</f>
        <v>PG10.5.5.4.0.A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'5.5'!D8</f>
        <v>Cuff Nail Assy</v>
      </c>
      <c r="D3" s="85" t="s">
        <v>50</v>
      </c>
      <c r="E3" s="86" t="str">
        <f ca="1">MID(CELL("filename",A1),FIND("]",CELL("filename",A1))+1,256)</f>
        <v>5.5.4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840</v>
      </c>
      <c r="D5" s="314" t="str">
        <f>VLOOKUP(C5,Machined!C:X,2,0)</f>
        <v>Linear Bearing Block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45504</v>
      </c>
      <c r="L5" s="44">
        <f>IF(VLOOKUP($C5,Machined!C:Z,20,0) = 0, " ", VLOOKUP($C5,Machined!C:Z,20,0))</f>
        <v>45534</v>
      </c>
      <c r="M5" s="44">
        <f>IF(VLOOKUP($C5,Machined!C:Z,21,0) = 0, " ", VLOOKUP($C5,Machined!C:Z,21,0))</f>
        <v>45534</v>
      </c>
      <c r="N5" s="129">
        <f>IF(VLOOKUP($C5,Machined!C:Z,22,0) = 0, " ", VLOOKUP($C5,Machined!C:Z,22,0))</f>
        <v>55641</v>
      </c>
      <c r="O5" s="45">
        <f t="shared" ref="O5:O8" ca="1" si="0">B5*$L$2</f>
        <v>2</v>
      </c>
      <c r="P5" s="49">
        <f>VLOOKUP(C5,Machined!C:F,3,0)</f>
        <v>127.3</v>
      </c>
      <c r="Q5" s="50">
        <f t="shared" ref="Q5:Q8" si="1">B5*P5</f>
        <v>127.3</v>
      </c>
    </row>
    <row r="6" spans="1:17" s="2" customFormat="1" ht="12.75" customHeight="1" x14ac:dyDescent="0.25">
      <c r="A6" s="77">
        <v>2</v>
      </c>
      <c r="B6" s="20">
        <v>1</v>
      </c>
      <c r="C6" s="121" t="s">
        <v>841</v>
      </c>
      <c r="D6" s="314" t="str">
        <f>VLOOKUP(C6,Machined!C:X,2,0)</f>
        <v>Linear Shaft Adapter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45504</v>
      </c>
      <c r="L6" s="44">
        <f>IF(VLOOKUP($C6,Machined!C:Z,20,0) = 0, " ", VLOOKUP($C6,Machined!C:Z,20,0))</f>
        <v>45534</v>
      </c>
      <c r="M6" s="44">
        <f>IF(VLOOKUP($C6,Machined!C:Z,21,0) = 0, " ", VLOOKUP($C6,Machined!C:Z,21,0))</f>
        <v>45534</v>
      </c>
      <c r="N6" s="129">
        <f>IF(VLOOKUP($C6,Machined!C:Z,22,0) = 0, " ", VLOOKUP($C6,Machined!C:Z,22,0))</f>
        <v>55641</v>
      </c>
      <c r="O6" s="45">
        <f t="shared" ca="1" si="0"/>
        <v>2</v>
      </c>
      <c r="P6" s="49">
        <f>VLOOKUP(C6,Machined!C:F,3,0)</f>
        <v>91.45</v>
      </c>
      <c r="Q6" s="50">
        <f t="shared" si="1"/>
        <v>91.45</v>
      </c>
    </row>
    <row r="7" spans="1:17" s="2" customFormat="1" ht="12.75" customHeight="1" x14ac:dyDescent="0.25">
      <c r="A7" s="77">
        <v>3</v>
      </c>
      <c r="B7" s="20">
        <v>1</v>
      </c>
      <c r="C7" s="121" t="s">
        <v>842</v>
      </c>
      <c r="D7" s="314" t="str">
        <f>VLOOKUP(C7,Machined!C:X,2,0)</f>
        <v>Cuff Nail Adapter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45504</v>
      </c>
      <c r="L7" s="44">
        <f>IF(VLOOKUP($C7,Machined!C:Z,20,0) = 0, " ", VLOOKUP($C7,Machined!C:Z,20,0))</f>
        <v>45534</v>
      </c>
      <c r="M7" s="44">
        <f>IF(VLOOKUP($C7,Machined!C:Z,21,0) = 0, " ", VLOOKUP($C7,Machined!C:Z,21,0))</f>
        <v>45534</v>
      </c>
      <c r="N7" s="129">
        <f>IF(VLOOKUP($C7,Machined!C:Z,22,0) = 0, " ", VLOOKUP($C7,Machined!C:Z,22,0))</f>
        <v>55641</v>
      </c>
      <c r="O7" s="45">
        <f t="shared" ca="1" si="0"/>
        <v>2</v>
      </c>
      <c r="P7" s="49">
        <f>VLOOKUP(C7,Machined!C:F,3,0)</f>
        <v>45.8</v>
      </c>
      <c r="Q7" s="50">
        <f t="shared" si="1"/>
        <v>45.8</v>
      </c>
    </row>
    <row r="8" spans="1:17" s="2" customFormat="1" ht="12.75" customHeight="1" x14ac:dyDescent="0.25">
      <c r="A8" s="77">
        <v>4</v>
      </c>
      <c r="B8" s="20">
        <v>1</v>
      </c>
      <c r="C8" s="121" t="s">
        <v>843</v>
      </c>
      <c r="D8" s="314" t="str">
        <f>VLOOKUP(C8,Machined!C:X,2,0)</f>
        <v>Cuff Insert Nail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Frontier Mach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45504</v>
      </c>
      <c r="L8" s="44">
        <f>IF(VLOOKUP($C8,Machined!C:Z,20,0) = 0, " ", VLOOKUP($C8,Machined!C:Z,20,0))</f>
        <v>45534</v>
      </c>
      <c r="M8" s="44">
        <f>IF(VLOOKUP($C8,Machined!C:Z,21,0) = 0, " ", VLOOKUP($C8,Machined!C:Z,21,0))</f>
        <v>45534</v>
      </c>
      <c r="N8" s="129">
        <f>IF(VLOOKUP($C8,Machined!C:Z,22,0) = 0, " ", VLOOKUP($C8,Machined!C:Z,22,0))</f>
        <v>55641</v>
      </c>
      <c r="O8" s="45">
        <f t="shared" ca="1" si="0"/>
        <v>2</v>
      </c>
      <c r="P8" s="49">
        <f>VLOOKUP(C8,Machined!C:F,3,0)</f>
        <v>144.6</v>
      </c>
      <c r="Q8" s="50">
        <f t="shared" si="1"/>
        <v>144.6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4</v>
      </c>
      <c r="C10" s="135" t="s">
        <v>844</v>
      </c>
      <c r="D10" s="325" t="str">
        <f>VLOOKUP(C10,Purchased!A:B,2,0)</f>
        <v>Nickel-Plated Brass Pipe Fitting, Plug with Hex Drive and Viton® O-Ring, 
M5 x 0.8 mm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45526</v>
      </c>
      <c r="K10" s="46">
        <f>IF(VLOOKUP(C10,Purchased!A:R,14,0)=0, " ", VLOOKUP(C10,Purchased!A:R,14,0))</f>
        <v>45526</v>
      </c>
      <c r="L10" s="46">
        <f>IF(VLOOKUP(C10,Purchased!A:R,15,0)=0, " ", VLOOKUP(C10,Purchased!A:R,15,0))</f>
        <v>45526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t="shared" ref="O10:O17" ca="1" si="2">B10*$L$2</f>
        <v>8</v>
      </c>
      <c r="P10" s="51">
        <f>VLOOKUP(C10,Purchased!A:D,3,FALSE)</f>
        <v>2</v>
      </c>
      <c r="Q10" s="52">
        <f t="shared" ref="Q10:Q17" si="3">B10*P10</f>
        <v>8</v>
      </c>
    </row>
    <row r="11" spans="1:17" s="2" customFormat="1" ht="12" customHeight="1" x14ac:dyDescent="0.25">
      <c r="A11" s="4">
        <v>302</v>
      </c>
      <c r="B11" s="2">
        <v>2</v>
      </c>
      <c r="C11" s="135" t="s">
        <v>845</v>
      </c>
      <c r="D11" s="325" t="str">
        <f>VLOOKUP(C11,Purchased!A:B,2,0)</f>
        <v>Dowel Pin 52100 Alloy Steel, 5 mm Diameter, 20 mm Long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45526</v>
      </c>
      <c r="K11" s="46">
        <f>IF(VLOOKUP(C11,Purchased!A:R,14,0)=0, " ", VLOOKUP(C11,Purchased!A:R,14,0))</f>
        <v>45526</v>
      </c>
      <c r="L11" s="46">
        <f>IF(VLOOKUP(C11,Purchased!A:R,15,0)=0, " ", VLOOKUP(C11,Purchased!A:R,15,0))</f>
        <v>45526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2"/>
        <v>4</v>
      </c>
      <c r="P11" s="51">
        <f>VLOOKUP(C11,Purchased!A:D,3,FALSE)</f>
        <v>9.98</v>
      </c>
      <c r="Q11" s="52">
        <f t="shared" si="3"/>
        <v>19.96</v>
      </c>
    </row>
    <row r="12" spans="1:17" s="2" customFormat="1" ht="12" customHeight="1" x14ac:dyDescent="0.25">
      <c r="A12" s="4">
        <v>303</v>
      </c>
      <c r="B12" s="2">
        <v>2</v>
      </c>
      <c r="C12" s="135" t="s">
        <v>846</v>
      </c>
      <c r="D12" s="325" t="str">
        <f>VLOOKUP(C12,Purchased!A:B,2,0)</f>
        <v>Stainless Steel High-Pressure Barbed Tube Fitting for Air and Water, 4mm 
Tube ID, M5 x 0.8 mm Male</v>
      </c>
      <c r="E12" s="326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45526</v>
      </c>
      <c r="K12" s="46">
        <f>IF(VLOOKUP(C12,Purchased!A:R,14,0)=0, " ", VLOOKUP(C12,Purchased!A:R,14,0))</f>
        <v>45526</v>
      </c>
      <c r="L12" s="46">
        <f>IF(VLOOKUP(C12,Purchased!A:R,15,0)=0, " ", VLOOKUP(C12,Purchased!A:R,15,0))</f>
        <v>45526</v>
      </c>
      <c r="M12" s="46" t="str">
        <f>IF(VLOOKUP(C12,Purchased!A:R,16,0)=0, " ",VLOOKUP(C12,Purchased!A:R,16,0))</f>
        <v xml:space="preserve"> </v>
      </c>
      <c r="N12" s="130" t="str">
        <f>IF(VLOOKUP(C12,Purchased!A:R,17,0)=0, " ", VLOOKUP(C12,Purchased!A:R,17,0))</f>
        <v xml:space="preserve"> </v>
      </c>
      <c r="O12" s="47">
        <f t="shared" ca="1" si="2"/>
        <v>4</v>
      </c>
      <c r="P12" s="51">
        <f>VLOOKUP(C12,Purchased!A:D,3,FALSE)</f>
        <v>5.6</v>
      </c>
      <c r="Q12" s="52">
        <f t="shared" si="3"/>
        <v>11.2</v>
      </c>
    </row>
    <row r="13" spans="1:17" s="2" customFormat="1" ht="12" customHeight="1" x14ac:dyDescent="0.25">
      <c r="A13" s="4">
        <v>304</v>
      </c>
      <c r="B13" s="2">
        <v>2</v>
      </c>
      <c r="C13" s="135" t="s">
        <v>770</v>
      </c>
      <c r="D13" s="325" t="str">
        <f>VLOOKUP(C13,Purchased!A:B,2,0)</f>
        <v>18-8 Stainless Steel Hex Drive Flat Head Screw, M4 x 0.7 mm Thread, 12 mm 
Long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45482</v>
      </c>
      <c r="K13" s="46">
        <f>IF(VLOOKUP(C13,Purchased!A:R,14,0)=0, " ", VLOOKUP(C13,Purchased!A:R,14,0))</f>
        <v>45482</v>
      </c>
      <c r="L13" s="46">
        <f>IF(VLOOKUP(C13,Purchased!A:R,15,0)=0, " ", VLOOKUP(C13,Purchased!A:R,15,0))</f>
        <v>45482</v>
      </c>
      <c r="M13" s="46">
        <f>IF(VLOOKUP(C13,Purchased!A:R,16,0)=0, " ",VLOOKUP(C13,Purchased!A:R,16,0))</f>
        <v>45483</v>
      </c>
      <c r="N13" s="130">
        <f>IF(VLOOKUP(C13,Purchased!A:R,17,0)=0, " ", VLOOKUP(C13,Purchased!A:R,17,0))</f>
        <v>45483</v>
      </c>
      <c r="O13" s="47">
        <f t="shared" ca="1" si="2"/>
        <v>4</v>
      </c>
      <c r="P13" s="51">
        <f>VLOOKUP(C13,Purchased!A:D,3,FALSE)</f>
        <v>11.62</v>
      </c>
      <c r="Q13" s="52">
        <f t="shared" si="3"/>
        <v>23.24</v>
      </c>
    </row>
    <row r="14" spans="1:17" s="2" customFormat="1" ht="12" customHeight="1" x14ac:dyDescent="0.25">
      <c r="A14" s="4">
        <v>305</v>
      </c>
      <c r="B14" s="2">
        <v>2</v>
      </c>
      <c r="C14" s="135" t="s">
        <v>847</v>
      </c>
      <c r="D14" s="325" t="str">
        <f>VLOOKUP(C14,Purchased!A:B,2,0)</f>
        <v>EXTERNAL RETAINING RING</v>
      </c>
      <c r="E14" s="326"/>
      <c r="F14" s="108" t="str">
        <f>IF(VLOOKUP($C14,Purchased!A:Z,11,0) = 0, " ", VLOOKUP($C14,Purchased!A:Z,11,0))</f>
        <v>MISUMI</v>
      </c>
      <c r="G14" s="108" t="str">
        <f>IF(VLOOKUP($C14,Purchased!A:Z,12,0)=0, " ", VLOOKUP($C14,Purchased!A:Z,12,0))</f>
        <v>MISUMI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45524</v>
      </c>
      <c r="M14" s="46">
        <f>IF(VLOOKUP(C14,Purchased!A:R,16,0)=0, " ",VLOOKUP(C14,Purchased!A:R,16,0))</f>
        <v>45540</v>
      </c>
      <c r="N14" s="130">
        <f>IF(VLOOKUP(C14,Purchased!A:R,17,0)=0, " ", VLOOKUP(C14,Purchased!A:R,17,0))</f>
        <v>45527</v>
      </c>
      <c r="O14" s="47">
        <f t="shared" ca="1" si="2"/>
        <v>4</v>
      </c>
      <c r="P14" s="51">
        <f>VLOOKUP(C14,Purchased!A:D,3,FALSE)</f>
        <v>1.61</v>
      </c>
      <c r="Q14" s="52">
        <f t="shared" si="3"/>
        <v>3.22</v>
      </c>
    </row>
    <row r="15" spans="1:17" s="2" customFormat="1" ht="12" customHeight="1" x14ac:dyDescent="0.25">
      <c r="A15" s="4">
        <v>306</v>
      </c>
      <c r="B15" s="2">
        <v>1</v>
      </c>
      <c r="C15" s="135" t="s">
        <v>848</v>
      </c>
      <c r="D15" s="325" t="str">
        <f>VLOOKUP(C15,Purchased!A:B,2,0)</f>
        <v>CUSTOM LINEAR MOTION SHAFT, 10MM DIA</v>
      </c>
      <c r="E15" s="326"/>
      <c r="F15" s="108" t="str">
        <f>IF(VLOOKUP($C15,Purchased!A:Z,11,0) = 0, " ", VLOOKUP($C15,Purchased!A:Z,11,0))</f>
        <v>MISUMI</v>
      </c>
      <c r="G15" s="108" t="str">
        <f>IF(VLOOKUP($C15,Purchased!A:Z,12,0)=0, " ", VLOOKUP($C15,Purchased!A:Z,12,0))</f>
        <v>MISUMI</v>
      </c>
      <c r="H15" s="327" t="str">
        <f>IF(VLOOKUP($C15,Purchased!A:Z,13,0)=0, " ", VLOOKUP($C15,Purchased!A:Z,13,0))</f>
        <v xml:space="preserve"> 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45524</v>
      </c>
      <c r="M15" s="46">
        <f>IF(VLOOKUP(C15,Purchased!A:R,16,0)=0, " ",VLOOKUP(C15,Purchased!A:R,16,0))</f>
        <v>45540</v>
      </c>
      <c r="N15" s="130">
        <f>IF(VLOOKUP(C15,Purchased!A:R,17,0)=0, " ", VLOOKUP(C15,Purchased!A:R,17,0))</f>
        <v>45527</v>
      </c>
      <c r="O15" s="47">
        <f t="shared" ca="1" si="2"/>
        <v>2</v>
      </c>
      <c r="P15" s="51">
        <f>VLOOKUP(C15,Purchased!A:D,3,FALSE)</f>
        <v>68.38</v>
      </c>
      <c r="Q15" s="52">
        <f t="shared" si="3"/>
        <v>68.38</v>
      </c>
    </row>
    <row r="16" spans="1:17" s="2" customFormat="1" ht="12" customHeight="1" x14ac:dyDescent="0.25">
      <c r="A16" s="4">
        <v>307</v>
      </c>
      <c r="B16" s="2">
        <v>1</v>
      </c>
      <c r="C16" s="135" t="s">
        <v>849</v>
      </c>
      <c r="D16" s="325" t="str">
        <f>VLOOKUP(C16,Purchased!A:B,2,0)</f>
        <v>DOUBLE LENGHT LINEAR BEARING, 10MM DIA</v>
      </c>
      <c r="E16" s="326"/>
      <c r="F16" s="108" t="str">
        <f>IF(VLOOKUP($C16,Purchased!A:Z,11,0) = 0, " ", VLOOKUP($C16,Purchased!A:Z,11,0))</f>
        <v>MISUMI</v>
      </c>
      <c r="G16" s="108" t="str">
        <f>IF(VLOOKUP($C16,Purchased!A:Z,12,0)=0, " ", VLOOKUP($C16,Purchased!A:Z,12,0))</f>
        <v>MISUMI</v>
      </c>
      <c r="H16" s="327" t="str">
        <f>IF(VLOOKUP($C16,Purchased!A:Z,13,0)=0, " ", VLOOKUP($C16,Purchased!A:Z,13,0))</f>
        <v xml:space="preserve"> 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>
        <f>IF(VLOOKUP(C16,Purchased!A:R,15,0)=0, " ", VLOOKUP(C16,Purchased!A:R,15,0))</f>
        <v>45524</v>
      </c>
      <c r="M16" s="46">
        <f>IF(VLOOKUP(C16,Purchased!A:R,16,0)=0, " ",VLOOKUP(C16,Purchased!A:R,16,0))</f>
        <v>45540</v>
      </c>
      <c r="N16" s="130">
        <f>IF(VLOOKUP(C16,Purchased!A:R,17,0)=0, " ", VLOOKUP(C16,Purchased!A:R,17,0))</f>
        <v>45527</v>
      </c>
      <c r="O16" s="47">
        <f t="shared" ca="1" si="2"/>
        <v>2</v>
      </c>
      <c r="P16" s="51">
        <f>VLOOKUP(C16,Purchased!A:D,3,FALSE)</f>
        <v>60.36</v>
      </c>
      <c r="Q16" s="52">
        <f t="shared" si="3"/>
        <v>60.36</v>
      </c>
    </row>
    <row r="17" spans="1:17" s="2" customFormat="1" ht="12" customHeight="1" x14ac:dyDescent="0.25">
      <c r="A17" s="4">
        <v>308</v>
      </c>
      <c r="B17" s="2">
        <v>1</v>
      </c>
      <c r="C17" s="135" t="s">
        <v>850</v>
      </c>
      <c r="D17" s="325" t="str">
        <f>VLOOKUP(C17,Purchased!A:B,2,0)</f>
        <v>FLOATING JOINT FOR 40MM BORE SIZE, M14X1.5 THREAD</v>
      </c>
      <c r="E17" s="326"/>
      <c r="F17" s="108" t="str">
        <f>IF(VLOOKUP($C17,Purchased!A:Z,11,0) = 0, " ", VLOOKUP($C17,Purchased!A:Z,11,0))</f>
        <v>SMC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 t="str">
        <f>IF(VLOOKUP($C17,Purchased!A:Z,14,0)=0, " ", VLOOKUP($C17,Purchased!A:Z,14,0))</f>
        <v>N/A</v>
      </c>
      <c r="K17" s="46" t="str">
        <f>IF(VLOOKUP(C17,Purchased!A:R,14,0)=0, " ", VLOOKUP(C17,Purchased!A:R,14,0))</f>
        <v>N/A</v>
      </c>
      <c r="L17" s="46">
        <f>IF(VLOOKUP(C17,Purchased!A:R,15,0)=0, " ", VLOOKUP(C17,Purchased!A:R,15,0))</f>
        <v>45524</v>
      </c>
      <c r="M17" s="46">
        <f>IF(VLOOKUP(C17,Purchased!A:R,16,0)=0, " ",VLOOKUP(C17,Purchased!A:R,16,0))</f>
        <v>45547</v>
      </c>
      <c r="N17" s="130">
        <f>IF(VLOOKUP(C17,Purchased!A:R,17,0)=0, " ", VLOOKUP(C17,Purchased!A:R,17,0))</f>
        <v>45530</v>
      </c>
      <c r="O17" s="47">
        <f t="shared" ca="1" si="2"/>
        <v>2</v>
      </c>
      <c r="P17" s="51">
        <f>VLOOKUP(C17,Purchased!A:D,3,FALSE)</f>
        <v>40.08</v>
      </c>
      <c r="Q17" s="52">
        <f t="shared" si="3"/>
        <v>40.08</v>
      </c>
    </row>
    <row r="18" spans="1:17" s="2" customFormat="1" ht="12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501</v>
      </c>
      <c r="B19" s="2">
        <v>2</v>
      </c>
      <c r="C19" s="122" t="s">
        <v>382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ref="O19:O20" ca="1" si="4">B19*$L$2</f>
        <v>4</v>
      </c>
      <c r="P19" s="51">
        <f>VLOOKUP(C19,Bolts!A:B,2,FALSE)</f>
        <v>0</v>
      </c>
      <c r="Q19" s="52">
        <f t="shared" ref="Q19:Q20" si="5">B19*P19</f>
        <v>0</v>
      </c>
    </row>
    <row r="20" spans="1:17" s="2" customFormat="1" ht="12" customHeight="1" thickBot="1" x14ac:dyDescent="0.3">
      <c r="A20" s="4">
        <v>502</v>
      </c>
      <c r="B20" s="2">
        <v>1</v>
      </c>
      <c r="C20" s="122" t="s">
        <v>851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4"/>
        <v>2</v>
      </c>
      <c r="P20" s="51">
        <f>VLOOKUP(C20,Bolts!A:B,2,FALSE)</f>
        <v>0</v>
      </c>
      <c r="Q20" s="52">
        <f t="shared" si="5"/>
        <v>0</v>
      </c>
    </row>
    <row r="21" spans="1:17" s="2" customFormat="1" ht="12" customHeight="1" thickBot="1" x14ac:dyDescent="0.3">
      <c r="A21" s="34"/>
      <c r="B21" s="35"/>
      <c r="C21" s="35"/>
      <c r="D21" s="316"/>
      <c r="E21" s="317"/>
      <c r="F21" s="35"/>
      <c r="G21" s="35"/>
      <c r="H21" s="309"/>
      <c r="I21" s="310"/>
      <c r="J21" s="36"/>
      <c r="K21" s="36"/>
      <c r="L21" s="36"/>
      <c r="M21" s="37"/>
      <c r="N21" s="132"/>
      <c r="O21" s="38"/>
      <c r="P21" s="99" t="s">
        <v>43</v>
      </c>
      <c r="Q21" s="104">
        <f>SUM(Q5:Q20)</f>
        <v>643.59</v>
      </c>
    </row>
  </sheetData>
  <mergeCells count="35">
    <mergeCell ref="D21:E21"/>
    <mergeCell ref="H21:I21"/>
    <mergeCell ref="D18:E18"/>
    <mergeCell ref="H18:I18"/>
    <mergeCell ref="D19:E19"/>
    <mergeCell ref="D20:E20"/>
    <mergeCell ref="D16:E16"/>
    <mergeCell ref="H16:I16"/>
    <mergeCell ref="D17:E17"/>
    <mergeCell ref="H17:I17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5:E5"/>
    <mergeCell ref="H5:I5"/>
    <mergeCell ref="D6:E6"/>
    <mergeCell ref="H6:I6"/>
    <mergeCell ref="D1:E1"/>
    <mergeCell ref="D4:E4"/>
    <mergeCell ref="H4:I4"/>
  </mergeCells>
  <conditionalFormatting sqref="M9 M18:M20">
    <cfRule type="cellIs" dxfId="1238" priority="17" stopIfTrue="1" operator="lessThanOrEqual">
      <formula>$L9</formula>
    </cfRule>
    <cfRule type="cellIs" dxfId="1237" priority="18" operator="greaterThan">
      <formula>L9</formula>
    </cfRule>
  </conditionalFormatting>
  <conditionalFormatting sqref="M10">
    <cfRule type="cellIs" dxfId="1236" priority="15" stopIfTrue="1" operator="lessThanOrEqual">
      <formula>$L10</formula>
    </cfRule>
    <cfRule type="cellIs" dxfId="1235" priority="16" operator="greaterThan">
      <formula>L10</formula>
    </cfRule>
  </conditionalFormatting>
  <conditionalFormatting sqref="M11:M17">
    <cfRule type="cellIs" dxfId="1234" priority="1" stopIfTrue="1" operator="lessThanOrEqual">
      <formula>$L11</formula>
    </cfRule>
    <cfRule type="cellIs" dxfId="1233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F6D65D-8AC1-49EA-89D8-D1BDF7741E2A}">
          <x14:formula1>
            <xm:f>Bolts!$A:$A</xm:f>
          </x14:formula1>
          <xm:sqref>C18:C20</xm:sqref>
        </x14:dataValidation>
        <x14:dataValidation type="list" allowBlank="1" showInputMessage="1" showErrorMessage="1" xr:uid="{6A15FCB3-EABF-4D32-9239-5DD2B616AD38}">
          <x14:formula1>
            <xm:f>Machined!$C:$C</xm:f>
          </x14:formula1>
          <xm:sqref>C5:C8</xm:sqref>
        </x14:dataValidation>
        <x14:dataValidation type="list" allowBlank="1" showInputMessage="1" showErrorMessage="1" xr:uid="{D2374C10-6500-4DB6-9344-EE2039344CB2}">
          <x14:formula1>
            <xm:f>Purchased!$A:$A</xm:f>
          </x14:formula1>
          <xm:sqref>C9:C17</xm:sqref>
        </x14:dataValidation>
      </x14:dataValidations>
    </ext>
  </extLst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8139F-EC7C-4FDE-A3CB-D8ECFA5ECDFA}">
  <sheetPr codeName="Sheet133">
    <tabColor theme="9" tint="0.59999389629810485"/>
  </sheetPr>
  <dimension ref="A1:Q50"/>
  <sheetViews>
    <sheetView topLeftCell="A4" zoomScale="115" zoomScaleNormal="115" workbookViewId="0">
      <selection activeCell="C30" sqref="C3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'5'!C12</f>
        <v>PG10.5.6.0.A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'5'!D12</f>
        <v>Cuft Lift Assy B Side</v>
      </c>
      <c r="D3" s="85" t="s">
        <v>50</v>
      </c>
      <c r="E3" s="86" t="str">
        <f ca="1">MID(CELL("filename",A1),FIND("]",CELL("filename",A1))+1,256)</f>
        <v>5.6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852</v>
      </c>
      <c r="D5" s="336" t="str">
        <f ca="1">VLOOKUP(C5,Assemblies!E:P,2,0)</f>
        <v>Cuff Escpmnt B Side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8" ca="1" si="0">B5*$L$2</f>
        <v>1</v>
      </c>
      <c r="P5" s="117">
        <f>'5.6.1'!Q28</f>
        <v>1866.01</v>
      </c>
      <c r="Q5" s="118">
        <f t="shared" ref="Q5:Q8" si="1">B5*P5</f>
        <v>1866.01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853</v>
      </c>
      <c r="D6" s="314" t="str">
        <f ca="1">VLOOKUP(C6,Assemblies!E:P,2,0)</f>
        <v>Cuff Shuttle B Side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'5.6.2'!Q18</f>
        <v>1993.2600000000002</v>
      </c>
      <c r="Q6" s="103">
        <f t="shared" si="1"/>
        <v>1993.2600000000002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783</v>
      </c>
      <c r="D7" s="314" t="str">
        <f ca="1">VLOOKUP(C7,Assemblies!E:P,2,0)</f>
        <v>Cuff Esc Sensor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'5.5.3'!Q15</f>
        <v>759.21</v>
      </c>
      <c r="Q7" s="103">
        <f t="shared" si="1"/>
        <v>759.21</v>
      </c>
    </row>
    <row r="8" spans="1:17" s="2" customFormat="1" ht="12.75" customHeight="1" x14ac:dyDescent="0.2">
      <c r="A8" s="150" t="s">
        <v>60</v>
      </c>
      <c r="B8" s="1">
        <v>1</v>
      </c>
      <c r="C8" s="145" t="s">
        <v>784</v>
      </c>
      <c r="D8" s="314" t="str">
        <f ca="1">VLOOKUP(C8,Assemblies!E:P,2,0)</f>
        <v>Cuff Nail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'5.5.4'!Q21</f>
        <v>643.59</v>
      </c>
      <c r="Q8" s="103">
        <f t="shared" si="1"/>
        <v>643.59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785</v>
      </c>
      <c r="D10" s="314" t="str">
        <f>VLOOKUP(C10,Machined!C:X,2,0)</f>
        <v>Cuff Lift Bearing Plate</v>
      </c>
      <c r="E10" s="329"/>
      <c r="F10" s="107" t="str">
        <f>VLOOKUP($C10,Machined!C:Z,13,0)</f>
        <v>MIC-6 CAST ALUMINUM</v>
      </c>
      <c r="G10" s="44" t="str">
        <f>IF(VLOOKUP($C10,Machined!C:Z,16,0) = 0, " ", VLOOKUP($C10,Machined!C:Z,16,0))</f>
        <v>MtnStatesAuto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MIC-6 CAST ALUMINUM</v>
      </c>
      <c r="J10" s="44">
        <f>IF(VLOOKUP($C10,Machined!C:Z,18,0) = 0, " ", VLOOKUP($C10,Machined!C:Z,18,0))</f>
        <v>45495</v>
      </c>
      <c r="K10" s="44">
        <f>IF(VLOOKUP($C10,Machined!C:Z,19,0) = 0, " ", VLOOKUP($C10,Machined!C:Z,19,0))</f>
        <v>45505</v>
      </c>
      <c r="L10" s="44">
        <f>IF(VLOOKUP($C10,Machined!C:Z,20,0) = 0, " ", VLOOKUP($C10,Machined!C:Z,20,0))</f>
        <v>45540</v>
      </c>
      <c r="M10" s="44">
        <f>IF(VLOOKUP($C10,Machined!C:Z,21,0) = 0, " ", VLOOKUP($C10,Machined!C:Z,21,0))</f>
        <v>45540</v>
      </c>
      <c r="N10" s="129">
        <f>IF(VLOOKUP($C10,Machined!C:Z,22,0) = 0, " ", VLOOKUP($C10,Machined!C:Z,22,0))</f>
        <v>55644</v>
      </c>
      <c r="O10" s="45">
        <f ca="1">B10*$L$2</f>
        <v>1</v>
      </c>
      <c r="P10" s="49">
        <f>VLOOKUP(C10,Machined!C:F,3,0)</f>
        <v>526</v>
      </c>
      <c r="Q10" s="50">
        <f>B10*P10</f>
        <v>526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854</v>
      </c>
      <c r="D11" s="314" t="str">
        <f>VLOOKUP(C11,Machined!C:X,2,0)</f>
        <v>LIFT MID PLATE B SIDE</v>
      </c>
      <c r="E11" s="329"/>
      <c r="F11" s="107" t="str">
        <f>VLOOKUP($C11,Machined!C:Z,13,0)</f>
        <v>MIC-6 CAST ALUMINUM</v>
      </c>
      <c r="G11" s="44" t="str">
        <f>IF(VLOOKUP($C11,Machined!C:Z,16,0) = 0, " ", VLOOKUP($C11,Machined!C:Z,16,0))</f>
        <v>MtnStatesAuto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MIC-6 CAST ALUMINUM</v>
      </c>
      <c r="J11" s="44">
        <f>IF(VLOOKUP($C11,Machined!C:Z,18,0) = 0, " ", VLOOKUP($C11,Machined!C:Z,18,0))</f>
        <v>45495</v>
      </c>
      <c r="K11" s="44">
        <f>IF(VLOOKUP($C11,Machined!C:Z,19,0) = 0, " ", VLOOKUP($C11,Machined!C:Z,19,0))</f>
        <v>45505</v>
      </c>
      <c r="L11" s="44">
        <f>IF(VLOOKUP($C11,Machined!C:Z,20,0) = 0, " ", VLOOKUP($C11,Machined!C:Z,20,0))</f>
        <v>45540</v>
      </c>
      <c r="M11" s="44">
        <f>IF(VLOOKUP($C11,Machined!C:Z,21,0) = 0, " ", VLOOKUP($C11,Machined!C:Z,21,0))</f>
        <v>45540</v>
      </c>
      <c r="N11" s="129">
        <f>IF(VLOOKUP($C11,Machined!C:Z,22,0) = 0, " ", VLOOKUP($C11,Machined!C:Z,22,0))</f>
        <v>55644</v>
      </c>
      <c r="O11" s="45">
        <f t="shared" ref="O11:O12" ca="1" si="2">B11*$L$2</f>
        <v>1</v>
      </c>
      <c r="P11" s="49">
        <f>VLOOKUP(C11,Machined!C:F,3,0)</f>
        <v>461</v>
      </c>
      <c r="Q11" s="50">
        <f t="shared" ref="Q11:Q12" si="3">B11*P11</f>
        <v>461</v>
      </c>
    </row>
    <row r="12" spans="1:17" s="2" customFormat="1" ht="12.75" customHeight="1" x14ac:dyDescent="0.25">
      <c r="A12" s="77">
        <v>3</v>
      </c>
      <c r="B12" s="20">
        <v>2</v>
      </c>
      <c r="C12" s="121" t="s">
        <v>787</v>
      </c>
      <c r="D12" s="314" t="str">
        <f>VLOOKUP(C12,Machined!C:X,2,0)</f>
        <v>Support Plate</v>
      </c>
      <c r="E12" s="329"/>
      <c r="F12" s="107" t="str">
        <f>VLOOKUP($C12,Machined!C:Z,13,0)</f>
        <v>6061-T6 ALUMINUM</v>
      </c>
      <c r="G12" s="44" t="str">
        <f>IF(VLOOKUP($C12,Machined!C:Z,16,0) = 0, " ", VLOOKUP($C12,Machined!C:Z,16,0))</f>
        <v>MtnStatesAuto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6061-T6 ALUMINUM</v>
      </c>
      <c r="J12" s="44">
        <f>IF(VLOOKUP($C12,Machined!C:Z,18,0) = 0, " ", VLOOKUP($C12,Machined!C:Z,18,0))</f>
        <v>45495</v>
      </c>
      <c r="K12" s="44">
        <f>IF(VLOOKUP($C12,Machined!C:Z,19,0) = 0, " ", VLOOKUP($C12,Machined!C:Z,19,0))</f>
        <v>45505</v>
      </c>
      <c r="L12" s="44">
        <f>IF(VLOOKUP($C12,Machined!C:Z,20,0) = 0, " ", VLOOKUP($C12,Machined!C:Z,20,0))</f>
        <v>45540</v>
      </c>
      <c r="M12" s="44">
        <f>IF(VLOOKUP($C12,Machined!C:Z,21,0) = 0, " ", VLOOKUP($C12,Machined!C:Z,21,0))</f>
        <v>45540</v>
      </c>
      <c r="N12" s="129">
        <f>IF(VLOOKUP($C12,Machined!C:Z,22,0) = 0, " ", VLOOKUP($C12,Machined!C:Z,22,0))</f>
        <v>55644</v>
      </c>
      <c r="O12" s="45">
        <f t="shared" ca="1" si="2"/>
        <v>2</v>
      </c>
      <c r="P12" s="49">
        <f>VLOOKUP(C12,Machined!C:F,3,0)</f>
        <v>196.25</v>
      </c>
      <c r="Q12" s="50">
        <f t="shared" si="3"/>
        <v>392.5</v>
      </c>
    </row>
    <row r="13" spans="1:17" s="2" customFormat="1" ht="12.75" customHeight="1" x14ac:dyDescent="0.25">
      <c r="A13" s="77">
        <v>4</v>
      </c>
      <c r="B13" s="20">
        <v>8</v>
      </c>
      <c r="C13" s="121" t="s">
        <v>788</v>
      </c>
      <c r="D13" s="314" t="str">
        <f>VLOOKUP(C13,Machined!C:X,2,0)</f>
        <v>Cuff Gusset</v>
      </c>
      <c r="E13" s="329"/>
      <c r="F13" s="107" t="str">
        <f>VLOOKUP($C13,Machined!C:Z,13,0)</f>
        <v>304 STAINLESS STEEL</v>
      </c>
      <c r="G13" s="44" t="str">
        <f>IF(VLOOKUP($C13,Machined!C:Z,16,0) = 0, " ", VLOOKUP($C13,Machined!C:Z,16,0))</f>
        <v>Proto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304 STAINLESS STEEL</v>
      </c>
      <c r="J13" s="44">
        <f>IF(VLOOKUP($C13,Machined!C:Z,18,0) = 0, " ", VLOOKUP($C13,Machined!C:Z,18,0))</f>
        <v>45495</v>
      </c>
      <c r="K13" s="44">
        <f>IF(VLOOKUP($C13,Machined!C:Z,19,0) = 0, " ", VLOOKUP($C13,Machined!C:Z,19,0))</f>
        <v>45510</v>
      </c>
      <c r="L13" s="44">
        <f>IF(VLOOKUP($C13,Machined!C:Z,20,0) = 0, " ", VLOOKUP($C13,Machined!C:Z,20,0))</f>
        <v>45540</v>
      </c>
      <c r="M13" s="44">
        <f>IF(VLOOKUP($C13,Machined!C:Z,21,0) = 0, " ", VLOOKUP($C13,Machined!C:Z,21,0))</f>
        <v>45540</v>
      </c>
      <c r="N13" s="129">
        <f>IF(VLOOKUP($C13,Machined!C:Z,22,0) = 0, " ", VLOOKUP($C13,Machined!C:Z,22,0))</f>
        <v>55658</v>
      </c>
      <c r="O13" s="45">
        <f ca="1">B13*$L$2</f>
        <v>8</v>
      </c>
      <c r="P13" s="49">
        <f>VLOOKUP(C13,Machined!C:F,3,0)</f>
        <v>45.94</v>
      </c>
      <c r="Q13" s="50">
        <f>B13*P13</f>
        <v>367.52</v>
      </c>
    </row>
    <row r="14" spans="1:17" s="2" customFormat="1" ht="12.75" customHeight="1" x14ac:dyDescent="0.25">
      <c r="A14" s="77">
        <v>5</v>
      </c>
      <c r="B14" s="20">
        <v>1</v>
      </c>
      <c r="C14" s="121" t="s">
        <v>789</v>
      </c>
      <c r="D14" s="314" t="str">
        <f>VLOOKUP(C14,Machined!C:X,2,0)</f>
        <v>Water Coupling Bracket</v>
      </c>
      <c r="E14" s="329"/>
      <c r="F14" s="107" t="str">
        <f>VLOOKUP($C14,Machined!C:Z,13,0)</f>
        <v>304 STAINLESS STEEL</v>
      </c>
      <c r="G14" s="44" t="str">
        <f>IF(VLOOKUP($C14,Machined!C:Z,16,0) = 0, " ", VLOOKUP($C14,Machined!C:Z,16,0))</f>
        <v>Proto</v>
      </c>
      <c r="H14" s="320" t="str">
        <f>IF(VLOOKUP($C14,Machined!C:Z,17,0) = 0, " ", VLOOKUP($C14,Machined!C:Z,17,0))</f>
        <v xml:space="preserve"> </v>
      </c>
      <c r="I14" s="321" t="str">
        <f>IF(VLOOKUP($C14,Machined!$C:$Y,13,0) = 0, " ", VLOOKUP($C14,Machined!$C:$Y,13,0))</f>
        <v>304 STAINLESS STEEL</v>
      </c>
      <c r="J14" s="44">
        <f>IF(VLOOKUP($C14,Machined!C:Z,18,0) = 0, " ", VLOOKUP($C14,Machined!C:Z,18,0))</f>
        <v>45495</v>
      </c>
      <c r="K14" s="44">
        <f>IF(VLOOKUP($C14,Machined!C:Z,19,0) = 0, " ", VLOOKUP($C14,Machined!C:Z,19,0))</f>
        <v>45510</v>
      </c>
      <c r="L14" s="44">
        <f>IF(VLOOKUP($C14,Machined!C:Z,20,0) = 0, " ", VLOOKUP($C14,Machined!C:Z,20,0))</f>
        <v>45540</v>
      </c>
      <c r="M14" s="44">
        <f>IF(VLOOKUP($C14,Machined!C:Z,21,0) = 0, " ", VLOOKUP($C14,Machined!C:Z,21,0))</f>
        <v>45540</v>
      </c>
      <c r="N14" s="129">
        <f>IF(VLOOKUP($C14,Machined!C:Z,22,0) = 0, " ", VLOOKUP($C14,Machined!C:Z,22,0))</f>
        <v>55658</v>
      </c>
      <c r="O14" s="45">
        <f t="shared" ref="O14:O15" ca="1" si="4">B14*$L$2</f>
        <v>1</v>
      </c>
      <c r="P14" s="49">
        <f>VLOOKUP(C14,Machined!C:F,3,0)</f>
        <v>72.12</v>
      </c>
      <c r="Q14" s="50">
        <f t="shared" ref="Q14:Q15" si="5">B14*P14</f>
        <v>72.12</v>
      </c>
    </row>
    <row r="15" spans="1:17" s="2" customFormat="1" ht="12.75" customHeight="1" x14ac:dyDescent="0.25">
      <c r="A15" s="77">
        <v>6</v>
      </c>
      <c r="B15" s="20">
        <v>2</v>
      </c>
      <c r="C15" s="121" t="s">
        <v>790</v>
      </c>
      <c r="D15" s="314" t="str">
        <f>VLOOKUP(C15,Machined!C:X,2,0)</f>
        <v>Water Hose Weight</v>
      </c>
      <c r="E15" s="329"/>
      <c r="F15" s="107" t="str">
        <f>VLOOKUP($C15,Machined!C:Z,13,0)</f>
        <v>6061-T6 ALUMINUM</v>
      </c>
      <c r="G15" s="44" t="str">
        <f>IF(VLOOKUP($C15,Machined!C:Z,16,0) = 0, " ", VLOOKUP($C15,Machined!C:Z,16,0))</f>
        <v>Frontier Mach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6061-T6 ALUMINUM</v>
      </c>
      <c r="J15" s="44">
        <f>IF(VLOOKUP($C15,Machined!C:Z,18,0) = 0, " ", VLOOKUP($C15,Machined!C:Z,18,0))</f>
        <v>45495</v>
      </c>
      <c r="K15" s="44">
        <f>IF(VLOOKUP($C15,Machined!C:Z,19,0) = 0, " ", VLOOKUP($C15,Machined!C:Z,19,0))</f>
        <v>45504</v>
      </c>
      <c r="L15" s="44">
        <f>IF(VLOOKUP($C15,Machined!C:Z,20,0) = 0, " ", VLOOKUP($C15,Machined!C:Z,20,0))</f>
        <v>45534</v>
      </c>
      <c r="M15" s="44">
        <f>IF(VLOOKUP($C15,Machined!C:Z,21,0) = 0, " ", VLOOKUP($C15,Machined!C:Z,21,0))</f>
        <v>45534</v>
      </c>
      <c r="N15" s="129">
        <f>IF(VLOOKUP($C15,Machined!C:Z,22,0) = 0, " ", VLOOKUP($C15,Machined!C:Z,22,0))</f>
        <v>55641</v>
      </c>
      <c r="O15" s="45">
        <f t="shared" ca="1" si="4"/>
        <v>2</v>
      </c>
      <c r="P15" s="49">
        <f>VLOOKUP(C15,Machined!C:F,3,0)</f>
        <v>63.35</v>
      </c>
      <c r="Q15" s="50">
        <f t="shared" si="5"/>
        <v>126.7</v>
      </c>
    </row>
    <row r="16" spans="1:17" s="2" customFormat="1" ht="12.75" customHeight="1" x14ac:dyDescent="0.25">
      <c r="A16" s="77">
        <v>7</v>
      </c>
      <c r="B16" s="20">
        <v>2</v>
      </c>
      <c r="C16" s="121" t="s">
        <v>791</v>
      </c>
      <c r="D16" s="314" t="str">
        <f>VLOOKUP(C16,Machined!C:X,2,0)</f>
        <v>Lead Screw Mounting Block</v>
      </c>
      <c r="E16" s="329"/>
      <c r="F16" s="107" t="str">
        <f>VLOOKUP($C16,Machined!C:Z,13,0)</f>
        <v>6061-T6 ALUMINUM</v>
      </c>
      <c r="G16" s="44" t="str">
        <f>IF(VLOOKUP($C16,Machined!C:Z,16,0) = 0, " ", VLOOKUP($C16,Machined!C:Z,16,0))</f>
        <v>Craig Miller</v>
      </c>
      <c r="H16" s="320" t="str">
        <f>IF(VLOOKUP($C16,Machined!C:Z,17,0) = 0, " ", VLOOKUP($C16,Machined!C:Z,17,0))</f>
        <v>ordered 8 more 55629</v>
      </c>
      <c r="I16" s="321" t="str">
        <f>IF(VLOOKUP($C16,Machined!$C:$Y,13,0) = 0, " ", VLOOKUP($C16,Machined!$C:$Y,13,0))</f>
        <v>6061-T6 ALUMINUM</v>
      </c>
      <c r="J16" s="44">
        <f>IF(VLOOKUP($C16,Machined!C:Z,18,0) = 0, " ", VLOOKUP($C16,Machined!C:Z,18,0))</f>
        <v>45468</v>
      </c>
      <c r="K16" s="44">
        <f>IF(VLOOKUP($C16,Machined!C:Z,19,0) = 0, " ", VLOOKUP($C16,Machined!C:Z,19,0))</f>
        <v>45470</v>
      </c>
      <c r="L16" s="44">
        <f>IF(VLOOKUP($C16,Machined!C:Z,20,0) = 0, " ", VLOOKUP($C16,Machined!C:Z,20,0))</f>
        <v>45495</v>
      </c>
      <c r="M16" s="44">
        <f>IF(VLOOKUP($C16,Machined!C:Z,21,0) = 0, " ", VLOOKUP($C16,Machined!C:Z,21,0))</f>
        <v>45495</v>
      </c>
      <c r="N16" s="129">
        <f>IF(VLOOKUP($C16,Machined!C:Z,22,0) = 0, " ", VLOOKUP($C16,Machined!C:Z,22,0))</f>
        <v>55576</v>
      </c>
      <c r="O16" s="45">
        <f ca="1">B16*$L$2</f>
        <v>2</v>
      </c>
      <c r="P16" s="49">
        <f>VLOOKUP(C16,Machined!C:F,3,0)</f>
        <v>45.5</v>
      </c>
      <c r="Q16" s="50">
        <f>B16*P16</f>
        <v>91</v>
      </c>
    </row>
    <row r="17" spans="1:17" s="2" customFormat="1" ht="12.75" customHeight="1" x14ac:dyDescent="0.25">
      <c r="A17" s="77">
        <v>8</v>
      </c>
      <c r="B17" s="20">
        <v>1</v>
      </c>
      <c r="C17" s="121" t="s">
        <v>792</v>
      </c>
      <c r="D17" s="314" t="str">
        <f>VLOOKUP(C17,Machined!C:X,2,0)</f>
        <v>Lead Nut Modification</v>
      </c>
      <c r="E17" s="329"/>
      <c r="F17" s="107" t="str">
        <f>VLOOKUP($C17,Machined!C:Z,13,0)</f>
        <v>PURCHASED PART</v>
      </c>
      <c r="G17" s="44" t="str">
        <f>IF(VLOOKUP($C17,Machined!C:Z,16,0) = 0, " ", VLOOKUP($C17,Machined!C:Z,16,0))</f>
        <v xml:space="preserve">Nuline </v>
      </c>
      <c r="H17" s="320" t="str">
        <f>IF(VLOOKUP($C17,Machined!C:Z,17,0) = 0, " ", VLOOKUP($C17,Machined!C:Z,17,0))</f>
        <v>P.O for material</v>
      </c>
      <c r="I17" s="321" t="str">
        <f>IF(VLOOKUP($C17,Machined!$C:$Y,13,0) = 0, " ", VLOOKUP($C17,Machined!$C:$Y,13,0))</f>
        <v>PURCHASED PART</v>
      </c>
      <c r="J17" s="44">
        <f>IF(VLOOKUP($C17,Machined!C:Z,18,0) = 0, " ", VLOOKUP($C17,Machined!C:Z,18,0))</f>
        <v>45496</v>
      </c>
      <c r="K17" s="44">
        <f>IF(VLOOKUP($C17,Machined!C:Z,19,0) = 0, " ", VLOOKUP($C17,Machined!C:Z,19,0))</f>
        <v>45496</v>
      </c>
      <c r="L17" s="44">
        <f>IF(VLOOKUP($C17,Machined!C:Z,20,0) = 0, " ", VLOOKUP($C17,Machined!C:Z,20,0))</f>
        <v>45531</v>
      </c>
      <c r="M17" s="44">
        <f>IF(VLOOKUP($C17,Machined!C:Z,21,0) = 0, " ", VLOOKUP($C17,Machined!C:Z,21,0))</f>
        <v>45531</v>
      </c>
      <c r="N17" s="129">
        <f>IF(VLOOKUP($C17,Machined!C:Z,22,0) = 0, " ", VLOOKUP($C17,Machined!C:Z,22,0))</f>
        <v>55621</v>
      </c>
      <c r="O17" s="45">
        <f t="shared" ref="O17" ca="1" si="6">B17*$L$2</f>
        <v>1</v>
      </c>
      <c r="P17" s="49">
        <f>VLOOKUP(C17,Machined!C:F,3,0)</f>
        <v>23.04</v>
      </c>
      <c r="Q17" s="50">
        <f t="shared" ref="Q17" si="7">B17*P17</f>
        <v>23.04</v>
      </c>
    </row>
    <row r="18" spans="1:17" s="2" customFormat="1" ht="12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301</v>
      </c>
      <c r="B19" s="2">
        <v>4</v>
      </c>
      <c r="C19" s="135" t="s">
        <v>629</v>
      </c>
      <c r="D19" s="325" t="str">
        <f>VLOOKUP(C19,Purchased!A:B,2,0)</f>
        <v>15mm C1 Preload Runner Block</v>
      </c>
      <c r="E19" s="326"/>
      <c r="F19" s="108" t="str">
        <f>IF(VLOOKUP($C19,Purchased!A:Z,11,0) = 0, " ", VLOOKUP($C19,Purchased!A:Z,11,0))</f>
        <v>BRL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>Ordered 24 additional PO 55645</v>
      </c>
      <c r="I19" s="328"/>
      <c r="J19" s="46">
        <f>IF(VLOOKUP($C19,Purchased!A:Z,14,0)=0, " ", VLOOKUP($C19,Purchased!A:Z,14,0))</f>
        <v>45461</v>
      </c>
      <c r="K19" s="46">
        <f>IF(VLOOKUP(C19,Purchased!A:R,14,0)=0, " ", VLOOKUP(C19,Purchased!A:R,14,0))</f>
        <v>45461</v>
      </c>
      <c r="L19" s="46">
        <f>IF(VLOOKUP(C19,Purchased!A:R,15,0)=0, " ", VLOOKUP(C19,Purchased!A:R,15,0))</f>
        <v>45462</v>
      </c>
      <c r="M19" s="46">
        <f>IF(VLOOKUP(C19,Purchased!A:R,16,0)=0, " ",VLOOKUP(C19,Purchased!A:R,16,0))</f>
        <v>45504</v>
      </c>
      <c r="N19" s="130">
        <f>IF(VLOOKUP(C19,Purchased!A:R,17,0)=0, " ", VLOOKUP(C19,Purchased!A:R,17,0))</f>
        <v>45504</v>
      </c>
      <c r="O19" s="47">
        <f t="shared" ref="O19:O30" ca="1" si="8">B19*$L$2</f>
        <v>4</v>
      </c>
      <c r="P19" s="51">
        <f>VLOOKUP(C19,Purchased!A:D,3,FALSE)</f>
        <v>109.2133</v>
      </c>
      <c r="Q19" s="52">
        <f t="shared" ref="Q19:Q30" si="9">B19*P19</f>
        <v>436.85320000000002</v>
      </c>
    </row>
    <row r="20" spans="1:17" s="2" customFormat="1" ht="12" customHeight="1" x14ac:dyDescent="0.25">
      <c r="A20" s="4">
        <v>302</v>
      </c>
      <c r="B20" s="2">
        <v>2</v>
      </c>
      <c r="C20" s="135" t="s">
        <v>793</v>
      </c>
      <c r="D20" s="325" t="str">
        <f>VLOOKUP(C20,Purchased!A:B,2,0)</f>
        <v>Non-spill 1/8 Hose Barb Valved Elbow Coupling Insert</v>
      </c>
      <c r="E20" s="326"/>
      <c r="F20" s="108" t="str">
        <f>IF(VLOOKUP($C20,Purchased!A:Z,11,0) = 0, " ", VLOOKUP($C20,Purchased!A:Z,11,0))</f>
        <v>CPC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>Replaced with MCM 51545K92</v>
      </c>
      <c r="I20" s="328"/>
      <c r="J20" s="46">
        <f>IF(VLOOKUP($C20,Purchased!A:Z,14,0)=0, " ", VLOOKUP($C20,Purchased!A:Z,14,0))</f>
        <v>45527</v>
      </c>
      <c r="K20" s="46">
        <f>IF(VLOOKUP(C20,Purchased!A:R,14,0)=0, " ", VLOOKUP(C20,Purchased!A:R,14,0))</f>
        <v>45527</v>
      </c>
      <c r="L20" s="46">
        <f>IF(VLOOKUP(C20,Purchased!A:R,15,0)=0, " ", VLOOKUP(C20,Purchased!A:R,15,0))</f>
        <v>45527</v>
      </c>
      <c r="M20" s="46">
        <f>IF(VLOOKUP(C20,Purchased!A:R,16,0)=0, " ",VLOOKUP(C20,Purchased!A:R,16,0))</f>
        <v>45530</v>
      </c>
      <c r="N20" s="130" t="str">
        <f>IF(VLOOKUP(C20,Purchased!A:R,17,0)=0, " ", VLOOKUP(C20,Purchased!A:R,17,0))</f>
        <v xml:space="preserve"> </v>
      </c>
      <c r="O20" s="47">
        <f t="shared" ca="1" si="8"/>
        <v>2</v>
      </c>
      <c r="P20" s="51">
        <f>VLOOKUP(C20,Purchased!A:D,3,FALSE)</f>
        <v>10.31</v>
      </c>
      <c r="Q20" s="52">
        <f t="shared" si="9"/>
        <v>20.62</v>
      </c>
    </row>
    <row r="21" spans="1:17" s="2" customFormat="1" ht="12" customHeight="1" x14ac:dyDescent="0.25">
      <c r="A21" s="4">
        <v>303</v>
      </c>
      <c r="B21" s="2">
        <v>2</v>
      </c>
      <c r="C21" s="135" t="s">
        <v>794</v>
      </c>
      <c r="D21" s="325" t="str">
        <f>VLOOKUP(C21,Purchased!A:B,2,0)</f>
        <v>Non-spill 1/8 Hose Barb Valved Panel Mount Coupling Body</v>
      </c>
      <c r="E21" s="326"/>
      <c r="F21" s="108" t="str">
        <f>IF(VLOOKUP($C21,Purchased!A:Z,11,0) = 0, " ", VLOOKUP($C21,Purchased!A:Z,11,0))</f>
        <v>CPC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>Replaced with MCM 5012K34</v>
      </c>
      <c r="I21" s="328"/>
      <c r="J21" s="46">
        <f>IF(VLOOKUP($C21,Purchased!A:Z,14,0)=0, " ", VLOOKUP($C21,Purchased!A:Z,14,0))</f>
        <v>45527</v>
      </c>
      <c r="K21" s="46">
        <f>IF(VLOOKUP(C21,Purchased!A:R,14,0)=0, " ", VLOOKUP(C21,Purchased!A:R,14,0))</f>
        <v>45527</v>
      </c>
      <c r="L21" s="46">
        <f>IF(VLOOKUP(C21,Purchased!A:R,15,0)=0, " ", VLOOKUP(C21,Purchased!A:R,15,0))</f>
        <v>45527</v>
      </c>
      <c r="M21" s="46">
        <f>IF(VLOOKUP(C21,Purchased!A:R,16,0)=0, " ",VLOOKUP(C21,Purchased!A:R,16,0))</f>
        <v>45530</v>
      </c>
      <c r="N21" s="130" t="str">
        <f>IF(VLOOKUP(C21,Purchased!A:R,17,0)=0, " ", VLOOKUP(C21,Purchased!A:R,17,0))</f>
        <v xml:space="preserve"> </v>
      </c>
      <c r="O21" s="47">
        <f t="shared" ca="1" si="8"/>
        <v>2</v>
      </c>
      <c r="P21" s="51">
        <f>VLOOKUP(C21,Purchased!A:D,3,FALSE)</f>
        <v>10.73</v>
      </c>
      <c r="Q21" s="52">
        <f t="shared" si="9"/>
        <v>21.46</v>
      </c>
    </row>
    <row r="22" spans="1:17" s="2" customFormat="1" ht="12" customHeight="1" x14ac:dyDescent="0.25">
      <c r="A22" s="4">
        <v>304</v>
      </c>
      <c r="B22" s="2">
        <v>1</v>
      </c>
      <c r="C22" s="135" t="s">
        <v>795</v>
      </c>
      <c r="D22" s="325" t="str">
        <f>VLOOKUP(C22,Purchased!A:B,2,0)</f>
        <v>IGUS Flanged Lead Screw, 14mm dia</v>
      </c>
      <c r="E22" s="326"/>
      <c r="F22" s="108" t="str">
        <f>IF(VLOOKUP($C22,Purchased!A:Z,11,0) = 0, " ", VLOOKUP($C22,Purchased!A:Z,11,0))</f>
        <v>IGUS</v>
      </c>
      <c r="G22" s="108" t="str">
        <f>IF(VLOOKUP($C22,Purchased!A:Z,12,0)=0, " ", VLOOKUP($C22,Purchased!A:Z,12,0))</f>
        <v>IGUS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45489</v>
      </c>
      <c r="K22" s="46">
        <f>IF(VLOOKUP(C22,Purchased!A:R,14,0)=0, " ", VLOOKUP(C22,Purchased!A:R,14,0))</f>
        <v>45489</v>
      </c>
      <c r="L22" s="46">
        <f>IF(VLOOKUP(C22,Purchased!A:R,15,0)=0, " ", VLOOKUP(C22,Purchased!A:R,15,0))</f>
        <v>45489</v>
      </c>
      <c r="M22" s="46">
        <f>IF(VLOOKUP(C22,Purchased!A:R,16,0)=0, " ",VLOOKUP(C22,Purchased!A:R,16,0))</f>
        <v>45534</v>
      </c>
      <c r="N22" s="130">
        <f>IF(VLOOKUP(C22,Purchased!A:R,17,0)=0, " ", VLOOKUP(C22,Purchased!A:R,17,0))</f>
        <v>45534</v>
      </c>
      <c r="O22" s="47">
        <f t="shared" ca="1" si="8"/>
        <v>1</v>
      </c>
      <c r="P22" s="51">
        <f>VLOOKUP(C22,Purchased!A:D,3,FALSE)</f>
        <v>16.54</v>
      </c>
      <c r="Q22" s="52">
        <f t="shared" si="9"/>
        <v>16.54</v>
      </c>
    </row>
    <row r="23" spans="1:17" s="2" customFormat="1" ht="12" customHeight="1" x14ac:dyDescent="0.25">
      <c r="A23" s="4">
        <v>305</v>
      </c>
      <c r="B23" s="2">
        <v>2</v>
      </c>
      <c r="C23" s="135" t="s">
        <v>796</v>
      </c>
      <c r="D23" s="325" t="str">
        <f>VLOOKUP(C23,Purchased!A:B,2,0)</f>
        <v>Keyence AMPLIFIER BRACKET FOR LR-X100C SENSOR</v>
      </c>
      <c r="E23" s="326"/>
      <c r="F23" s="108" t="str">
        <f>IF(VLOOKUP($C23,Purchased!A:Z,11,0) = 0, " ", VLOOKUP($C23,Purchased!A:Z,11,0))</f>
        <v>KEYENCE</v>
      </c>
      <c r="G23" s="108" t="str">
        <f>IF(VLOOKUP($C23,Purchased!A:Z,12,0)=0, " ", VLOOKUP($C23,Purchased!A:Z,12,0))</f>
        <v>KEYENCE</v>
      </c>
      <c r="H23" s="327" t="str">
        <f>IF(VLOOKUP($C23,Purchased!A:Z,13,0)=0, " ", VLOOKUP($C23,Purchased!A:Z,13,0))</f>
        <v xml:space="preserve"> </v>
      </c>
      <c r="I23" s="328"/>
      <c r="J23" s="46">
        <f>IF(VLOOKUP($C23,Purchased!A:Z,14,0)=0, " ", VLOOKUP($C23,Purchased!A:Z,14,0))</f>
        <v>45516</v>
      </c>
      <c r="K23" s="46">
        <f>IF(VLOOKUP(C23,Purchased!A:R,14,0)=0, " ", VLOOKUP(C23,Purchased!A:R,14,0))</f>
        <v>45516</v>
      </c>
      <c r="L23" s="46">
        <f>IF(VLOOKUP(C23,Purchased!A:R,15,0)=0, " ", VLOOKUP(C23,Purchased!A:R,15,0))</f>
        <v>45518</v>
      </c>
      <c r="M23" s="46">
        <f>IF(VLOOKUP(C23,Purchased!A:R,16,0)=0, " ",VLOOKUP(C23,Purchased!A:R,16,0))</f>
        <v>45526</v>
      </c>
      <c r="N23" s="130">
        <f>IF(VLOOKUP(C23,Purchased!A:R,17,0)=0, " ", VLOOKUP(C23,Purchased!A:R,17,0))</f>
        <v>45526</v>
      </c>
      <c r="O23" s="47">
        <f t="shared" ca="1" si="8"/>
        <v>2</v>
      </c>
      <c r="P23" s="51">
        <f>VLOOKUP(C23,Purchased!A:D,3,FALSE)</f>
        <v>12</v>
      </c>
      <c r="Q23" s="52">
        <f t="shared" si="9"/>
        <v>24</v>
      </c>
    </row>
    <row r="24" spans="1:17" s="2" customFormat="1" ht="12" customHeight="1" x14ac:dyDescent="0.25">
      <c r="A24" s="4">
        <v>306</v>
      </c>
      <c r="B24" s="2">
        <v>3</v>
      </c>
      <c r="C24" s="135" t="s">
        <v>306</v>
      </c>
      <c r="D24" s="325" t="str">
        <f>VLOOKUP(C24,Purchased!A:B,2,0)</f>
        <v>M8 female 0° A-cod. with cable, PVC 3x0.25 bk UL/CSA 10m</v>
      </c>
      <c r="E24" s="326"/>
      <c r="F24" s="108" t="str">
        <f>IF(VLOOKUP($C24,Purchased!A:Z,11,0) = 0, " ", VLOOKUP($C24,Purchased!A:Z,11,0))</f>
        <v>MURR</v>
      </c>
      <c r="G24" s="108" t="str">
        <f>IF(VLOOKUP($C24,Purchased!A:Z,12,0)=0, " ", VLOOKUP($C24,Purchased!A:Z,12,0))</f>
        <v>MURR</v>
      </c>
      <c r="H24" s="327" t="str">
        <f>IF(VLOOKUP($C24,Purchased!A:Z,13,0)=0, " ", VLOOKUP($C24,Purchased!A:Z,13,0))</f>
        <v xml:space="preserve"> </v>
      </c>
      <c r="I24" s="328"/>
      <c r="J24" s="46">
        <f>IF(VLOOKUP($C24,Purchased!A:Z,14,0)=0, " ", VLOOKUP($C24,Purchased!A:Z,14,0))</f>
        <v>45506</v>
      </c>
      <c r="K24" s="46">
        <f>IF(VLOOKUP(C24,Purchased!A:R,14,0)=0, " ", VLOOKUP(C24,Purchased!A:R,14,0))</f>
        <v>45506</v>
      </c>
      <c r="L24" s="46" t="str">
        <f>IF(VLOOKUP(C24,Purchased!A:R,15,0)=0, " ", VLOOKUP(C24,Purchased!A:R,15,0))</f>
        <v xml:space="preserve"> </v>
      </c>
      <c r="M24" s="46" t="str">
        <f>IF(VLOOKUP(C24,Purchased!A:R,16,0)=0, " ",VLOOKUP(C24,Purchased!A:R,16,0))</f>
        <v xml:space="preserve"> </v>
      </c>
      <c r="N24" s="130" t="str">
        <f>IF(VLOOKUP(C24,Purchased!A:R,17,0)=0, " ", VLOOKUP(C24,Purchased!A:R,17,0))</f>
        <v xml:space="preserve"> </v>
      </c>
      <c r="O24" s="47">
        <f t="shared" ca="1" si="8"/>
        <v>3</v>
      </c>
      <c r="P24" s="51">
        <f>VLOOKUP(C24,Purchased!A:D,3,FALSE)</f>
        <v>0</v>
      </c>
      <c r="Q24" s="52">
        <f t="shared" si="9"/>
        <v>0</v>
      </c>
    </row>
    <row r="25" spans="1:17" s="2" customFormat="1" ht="12" customHeight="1" x14ac:dyDescent="0.25">
      <c r="A25" s="4">
        <v>307</v>
      </c>
      <c r="B25" s="2">
        <v>2</v>
      </c>
      <c r="C25" s="135" t="s">
        <v>797</v>
      </c>
      <c r="D25" s="325" t="str">
        <f>VLOOKUP(C25,Purchased!A:B,2,0)</f>
        <v>Speed Controller, 100 series 4mm tubing</v>
      </c>
      <c r="E25" s="326"/>
      <c r="F25" s="108" t="str">
        <f>IF(VLOOKUP($C25,Purchased!A:Z,11,0) = 0, " ", VLOOKUP($C25,Purchased!A:Z,11,0))</f>
        <v>SMC</v>
      </c>
      <c r="G25" s="108" t="str">
        <f>IF(VLOOKUP($C25,Purchased!A:Z,12,0)=0, " ", VLOOKUP($C25,Purchased!A:Z,12,0))</f>
        <v>AAP</v>
      </c>
      <c r="H25" s="327" t="str">
        <f>IF(VLOOKUP($C25,Purchased!A:Z,13,0)=0, " ", VLOOKUP($C25,Purchased!A:Z,13,0))</f>
        <v xml:space="preserve"> </v>
      </c>
      <c r="I25" s="328"/>
      <c r="J25" s="46">
        <f>IF(VLOOKUP($C25,Purchased!A:Z,14,0)=0, " ", VLOOKUP($C25,Purchased!A:Z,14,0))</f>
        <v>45489</v>
      </c>
      <c r="K25" s="46">
        <f>IF(VLOOKUP(C25,Purchased!A:R,14,0)=0, " ", VLOOKUP(C25,Purchased!A:R,14,0))</f>
        <v>45489</v>
      </c>
      <c r="L25" s="46">
        <f>IF(VLOOKUP(C25,Purchased!A:R,15,0)=0, " ", VLOOKUP(C25,Purchased!A:R,15,0))</f>
        <v>45491</v>
      </c>
      <c r="M25" s="46">
        <f>IF(VLOOKUP(C25,Purchased!A:R,16,0)=0, " ",VLOOKUP(C25,Purchased!A:R,16,0))</f>
        <v>45520</v>
      </c>
      <c r="N25" s="130">
        <f>IF(VLOOKUP(C25,Purchased!A:R,17,0)=0, " ", VLOOKUP(C25,Purchased!A:R,17,0))</f>
        <v>45511</v>
      </c>
      <c r="O25" s="47">
        <f t="shared" ca="1" si="8"/>
        <v>2</v>
      </c>
      <c r="P25" s="51">
        <f>VLOOKUP(C25,Purchased!A:D,3,FALSE)</f>
        <v>11.25</v>
      </c>
      <c r="Q25" s="52">
        <f t="shared" si="9"/>
        <v>22.5</v>
      </c>
    </row>
    <row r="26" spans="1:17" s="2" customFormat="1" ht="12" customHeight="1" x14ac:dyDescent="0.25">
      <c r="A26" s="4">
        <v>308</v>
      </c>
      <c r="B26" s="2">
        <v>1</v>
      </c>
      <c r="C26" s="135" t="s">
        <v>798</v>
      </c>
      <c r="D26" s="325" t="str">
        <f>VLOOKUP(C26,Purchased!A:B,2,0)</f>
        <v>Speed controller flange 10 series</v>
      </c>
      <c r="E26" s="326"/>
      <c r="F26" s="108" t="str">
        <f>IF(VLOOKUP($C26,Purchased!A:Z,11,0) = 0, " ", VLOOKUP($C26,Purchased!A:Z,11,0))</f>
        <v>SMC</v>
      </c>
      <c r="G26" s="108" t="str">
        <f>IF(VLOOKUP($C26,Purchased!A:Z,12,0)=0, " ", VLOOKUP($C26,Purchased!A:Z,12,0))</f>
        <v>AAP</v>
      </c>
      <c r="H26" s="327" t="str">
        <f>IF(VLOOKUP($C26,Purchased!A:Z,13,0)=0, " ", VLOOKUP($C26,Purchased!A:Z,13,0))</f>
        <v xml:space="preserve"> </v>
      </c>
      <c r="I26" s="328"/>
      <c r="J26" s="46">
        <f>IF(VLOOKUP($C26,Purchased!A:Z,14,0)=0, " ", VLOOKUP($C26,Purchased!A:Z,14,0))</f>
        <v>45489</v>
      </c>
      <c r="K26" s="46">
        <f>IF(VLOOKUP(C26,Purchased!A:R,14,0)=0, " ", VLOOKUP(C26,Purchased!A:R,14,0))</f>
        <v>45489</v>
      </c>
      <c r="L26" s="46">
        <f>IF(VLOOKUP(C26,Purchased!A:R,15,0)=0, " ", VLOOKUP(C26,Purchased!A:R,15,0))</f>
        <v>45491</v>
      </c>
      <c r="M26" s="46">
        <f>IF(VLOOKUP(C26,Purchased!A:R,16,0)=0, " ",VLOOKUP(C26,Purchased!A:R,16,0))</f>
        <v>45520</v>
      </c>
      <c r="N26" s="130">
        <f>IF(VLOOKUP(C26,Purchased!A:R,17,0)=0, " ", VLOOKUP(C26,Purchased!A:R,17,0))</f>
        <v>45511</v>
      </c>
      <c r="O26" s="47">
        <f t="shared" ca="1" si="8"/>
        <v>1</v>
      </c>
      <c r="P26" s="51">
        <f>VLOOKUP(C26,Purchased!A:D,3,FALSE)</f>
        <v>1.65</v>
      </c>
      <c r="Q26" s="52">
        <f t="shared" si="9"/>
        <v>1.65</v>
      </c>
    </row>
    <row r="27" spans="1:17" s="2" customFormat="1" ht="12" customHeight="1" x14ac:dyDescent="0.25">
      <c r="A27" s="4">
        <v>309</v>
      </c>
      <c r="B27" s="2">
        <v>2</v>
      </c>
      <c r="C27" s="135" t="s">
        <v>799</v>
      </c>
      <c r="D27" s="325" t="str">
        <f>VLOOKUP(C27,Purchased!A:B,2,0)</f>
        <v>Speed Controller One Touch Fitting, 6mm dia tubing</v>
      </c>
      <c r="E27" s="326"/>
      <c r="F27" s="108" t="str">
        <f>IF(VLOOKUP($C27,Purchased!A:Z,11,0) = 0, " ", VLOOKUP($C27,Purchased!A:Z,11,0))</f>
        <v>SMC</v>
      </c>
      <c r="G27" s="108" t="str">
        <f>IF(VLOOKUP($C27,Purchased!A:Z,12,0)=0, " ", VLOOKUP($C27,Purchased!A:Z,12,0))</f>
        <v>AAP</v>
      </c>
      <c r="H27" s="327" t="str">
        <f>IF(VLOOKUP($C27,Purchased!A:Z,13,0)=0, " ", VLOOKUP($C27,Purchased!A:Z,13,0))</f>
        <v>10 more PO 55692</v>
      </c>
      <c r="I27" s="328"/>
      <c r="J27" s="46">
        <f>IF(VLOOKUP($C27,Purchased!A:Z,14,0)=0, " ", VLOOKUP($C27,Purchased!A:Z,14,0))</f>
        <v>45489</v>
      </c>
      <c r="K27" s="46">
        <f>IF(VLOOKUP(C27,Purchased!A:R,14,0)=0, " ", VLOOKUP(C27,Purchased!A:R,14,0))</f>
        <v>45489</v>
      </c>
      <c r="L27" s="46">
        <f>IF(VLOOKUP(C27,Purchased!A:R,15,0)=0, " ", VLOOKUP(C27,Purchased!A:R,15,0))</f>
        <v>45491</v>
      </c>
      <c r="M27" s="46">
        <f>IF(VLOOKUP(C27,Purchased!A:R,16,0)=0, " ",VLOOKUP(C27,Purchased!A:R,16,0))</f>
        <v>45520</v>
      </c>
      <c r="N27" s="130">
        <f>IF(VLOOKUP(C27,Purchased!A:R,17,0)=0, " ", VLOOKUP(C27,Purchased!A:R,17,0))</f>
        <v>45511</v>
      </c>
      <c r="O27" s="47">
        <f t="shared" ca="1" si="8"/>
        <v>2</v>
      </c>
      <c r="P27" s="51">
        <f>VLOOKUP(C27,Purchased!A:D,3,FALSE)</f>
        <v>14.87</v>
      </c>
      <c r="Q27" s="52">
        <f t="shared" si="9"/>
        <v>29.74</v>
      </c>
    </row>
    <row r="28" spans="1:17" s="2" customFormat="1" ht="12" customHeight="1" x14ac:dyDescent="0.25">
      <c r="A28" s="4">
        <v>310</v>
      </c>
      <c r="B28" s="2">
        <v>2</v>
      </c>
      <c r="C28" s="135" t="s">
        <v>800</v>
      </c>
      <c r="D28" s="325" t="str">
        <f>VLOOKUP(C28,Purchased!A:B,2,0)</f>
        <v>Speed controller flange 20 series</v>
      </c>
      <c r="E28" s="326"/>
      <c r="F28" s="108" t="str">
        <f>IF(VLOOKUP($C28,Purchased!A:Z,11,0) = 0, " ", VLOOKUP($C28,Purchased!A:Z,11,0))</f>
        <v>SMC</v>
      </c>
      <c r="G28" s="108" t="str">
        <f>IF(VLOOKUP($C28,Purchased!A:Z,12,0)=0, " ", VLOOKUP($C28,Purchased!A:Z,12,0))</f>
        <v>AAP</v>
      </c>
      <c r="H28" s="327" t="str">
        <f>IF(VLOOKUP($C28,Purchased!A:Z,13,0)=0, " ", VLOOKUP($C28,Purchased!A:Z,13,0))</f>
        <v xml:space="preserve"> </v>
      </c>
      <c r="I28" s="328"/>
      <c r="J28" s="46">
        <f>IF(VLOOKUP($C28,Purchased!A:Z,14,0)=0, " ", VLOOKUP($C28,Purchased!A:Z,14,0))</f>
        <v>45489</v>
      </c>
      <c r="K28" s="46">
        <f>IF(VLOOKUP(C28,Purchased!A:R,14,0)=0, " ", VLOOKUP(C28,Purchased!A:R,14,0))</f>
        <v>45489</v>
      </c>
      <c r="L28" s="46">
        <f>IF(VLOOKUP(C28,Purchased!A:R,15,0)=0, " ", VLOOKUP(C28,Purchased!A:R,15,0))</f>
        <v>45491</v>
      </c>
      <c r="M28" s="46">
        <f>IF(VLOOKUP(C28,Purchased!A:R,16,0)=0, " ",VLOOKUP(C28,Purchased!A:R,16,0))</f>
        <v>45520</v>
      </c>
      <c r="N28" s="130">
        <f>IF(VLOOKUP(C28,Purchased!A:R,17,0)=0, " ", VLOOKUP(C28,Purchased!A:R,17,0))</f>
        <v>45511</v>
      </c>
      <c r="O28" s="47">
        <f t="shared" ca="1" si="8"/>
        <v>2</v>
      </c>
      <c r="P28" s="51">
        <f>VLOOKUP(C28,Purchased!A:D,3,FALSE)</f>
        <v>1.65</v>
      </c>
      <c r="Q28" s="52">
        <f t="shared" si="9"/>
        <v>3.3</v>
      </c>
    </row>
    <row r="29" spans="1:17" s="2" customFormat="1" ht="12" customHeight="1" x14ac:dyDescent="0.25">
      <c r="A29" s="4">
        <v>311</v>
      </c>
      <c r="B29" s="2">
        <v>2</v>
      </c>
      <c r="C29" s="135" t="s">
        <v>801</v>
      </c>
      <c r="D29" s="325" t="str">
        <f>VLOOKUP(C29,Purchased!A:B,2,0)</f>
        <v>KQ2 unifit, elbow, 4mm dia tubing both</v>
      </c>
      <c r="E29" s="326"/>
      <c r="F29" s="108" t="str">
        <f>IF(VLOOKUP($C29,Purchased!A:Z,11,0) = 0, " ", VLOOKUP($C29,Purchased!A:Z,11,0))</f>
        <v>SMC</v>
      </c>
      <c r="G29" s="108" t="str">
        <f>IF(VLOOKUP($C29,Purchased!A:Z,12,0)=0, " ", VLOOKUP($C29,Purchased!A:Z,12,0))</f>
        <v>AAP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45489</v>
      </c>
      <c r="K29" s="46">
        <f>IF(VLOOKUP(C29,Purchased!A:R,14,0)=0, " ", VLOOKUP(C29,Purchased!A:R,14,0))</f>
        <v>45489</v>
      </c>
      <c r="L29" s="46">
        <f>IF(VLOOKUP(C29,Purchased!A:R,15,0)=0, " ", VLOOKUP(C29,Purchased!A:R,15,0))</f>
        <v>45491</v>
      </c>
      <c r="M29" s="46">
        <f>IF(VLOOKUP(C29,Purchased!A:R,16,0)=0, " ",VLOOKUP(C29,Purchased!A:R,16,0))</f>
        <v>45520</v>
      </c>
      <c r="N29" s="130">
        <f>IF(VLOOKUP(C29,Purchased!A:R,17,0)=0, " ", VLOOKUP(C29,Purchased!A:R,17,0))</f>
        <v>45511</v>
      </c>
      <c r="O29" s="47">
        <f t="shared" ca="1" si="8"/>
        <v>2</v>
      </c>
      <c r="P29" s="51">
        <f>VLOOKUP(C29,Purchased!A:D,3,FALSE)</f>
        <v>1.35</v>
      </c>
      <c r="Q29" s="52">
        <f t="shared" si="9"/>
        <v>2.7</v>
      </c>
    </row>
    <row r="30" spans="1:17" s="2" customFormat="1" ht="12" customHeight="1" x14ac:dyDescent="0.25">
      <c r="A30" s="4">
        <v>312</v>
      </c>
      <c r="B30" s="2">
        <v>1</v>
      </c>
      <c r="C30" s="135" t="s">
        <v>802</v>
      </c>
      <c r="D30" s="325" t="str">
        <f>VLOOKUP(C30,Purchased!A:B,2,0)</f>
        <v>Custom Double Acting Single Rod</v>
      </c>
      <c r="E30" s="326"/>
      <c r="F30" s="108" t="str">
        <f>IF(VLOOKUP($C30,Purchased!A:Z,11,0) = 0, " ", VLOOKUP($C30,Purchased!A:Z,11,0))</f>
        <v>SMC</v>
      </c>
      <c r="G30" s="108" t="str">
        <f>IF(VLOOKUP($C30,Purchased!A:Z,12,0)=0, " ", VLOOKUP($C30,Purchased!A:Z,12,0))</f>
        <v>AAP</v>
      </c>
      <c r="H30" s="327" t="str">
        <f>IF(VLOOKUP($C30,Purchased!A:Z,13,0)=0, " ", VLOOKUP($C30,Purchased!A:Z,13,0))</f>
        <v>Cuff 3-Position Actuator EL</v>
      </c>
      <c r="I30" s="328"/>
      <c r="J30" s="46">
        <f>IF(VLOOKUP($C30,Purchased!A:Z,14,0)=0, " ", VLOOKUP($C30,Purchased!A:Z,14,0))</f>
        <v>45510</v>
      </c>
      <c r="K30" s="46">
        <f>IF(VLOOKUP(C30,Purchased!A:R,14,0)=0, " ", VLOOKUP(C30,Purchased!A:R,14,0))</f>
        <v>45510</v>
      </c>
      <c r="L30" s="46">
        <f>IF(VLOOKUP(C30,Purchased!A:R,15,0)=0, " ", VLOOKUP(C30,Purchased!A:R,15,0))</f>
        <v>45517</v>
      </c>
      <c r="M30" s="46">
        <f>IF(VLOOKUP(C30,Purchased!A:R,16,0)=0, " ",VLOOKUP(C30,Purchased!A:R,16,0))</f>
        <v>45548</v>
      </c>
      <c r="N30" s="130">
        <f>IF(VLOOKUP(C30,Purchased!A:R,17,0)=0, " ", VLOOKUP(C30,Purchased!A:R,17,0))</f>
        <v>45561</v>
      </c>
      <c r="O30" s="47">
        <f t="shared" ca="1" si="8"/>
        <v>1</v>
      </c>
      <c r="P30" s="51">
        <f>VLOOKUP(C30,Purchased!A:D,3,FALSE)</f>
        <v>298.10840000000002</v>
      </c>
      <c r="Q30" s="52">
        <f t="shared" si="9"/>
        <v>298.10840000000002</v>
      </c>
    </row>
    <row r="31" spans="1:17" s="2" customFormat="1" ht="12" customHeight="1" x14ac:dyDescent="0.25">
      <c r="A31" s="4">
        <v>313</v>
      </c>
      <c r="B31" s="2">
        <v>3</v>
      </c>
      <c r="C31" s="135" t="s">
        <v>803</v>
      </c>
      <c r="D31" s="325" t="str">
        <f>VLOOKUP(C31,Purchased!A:B,2,0)</f>
        <v>KQ2 unifit, elbow, 8mm dia tubing, 1/8NPT</v>
      </c>
      <c r="E31" s="326"/>
      <c r="F31" s="108" t="str">
        <f>IF(VLOOKUP($C31,Purchased!A:Z,11,0) = 0, " ", VLOOKUP($C31,Purchased!A:Z,11,0))</f>
        <v>SMC</v>
      </c>
      <c r="G31" s="108" t="str">
        <f>IF(VLOOKUP($C31,Purchased!A:Z,12,0)=0, " ", VLOOKUP($C31,Purchased!A:Z,12,0))</f>
        <v>AAP</v>
      </c>
      <c r="H31" s="327" t="str">
        <f>IF(VLOOKUP($C31,Purchased!A:Z,13,0)=0, " ", VLOOKUP($C31,Purchased!A:Z,13,0))</f>
        <v xml:space="preserve"> </v>
      </c>
      <c r="I31" s="328"/>
      <c r="J31" s="46">
        <f>IF(VLOOKUP($C31,Purchased!A:Z,14,0)=0, " ", VLOOKUP($C31,Purchased!A:Z,14,0))</f>
        <v>45489</v>
      </c>
      <c r="K31" s="46">
        <f>IF(VLOOKUP(C31,Purchased!A:R,14,0)=0, " ", VLOOKUP(C31,Purchased!A:R,14,0))</f>
        <v>45489</v>
      </c>
      <c r="L31" s="46">
        <f>IF(VLOOKUP(C31,Purchased!A:R,15,0)=0, " ", VLOOKUP(C31,Purchased!A:R,15,0))</f>
        <v>45491</v>
      </c>
      <c r="M31" s="46">
        <f>IF(VLOOKUP(C31,Purchased!A:R,16,0)=0, " ",VLOOKUP(C31,Purchased!A:R,16,0))</f>
        <v>45520</v>
      </c>
      <c r="N31" s="130">
        <f>IF(VLOOKUP(C31,Purchased!A:R,17,0)=0, " ", VLOOKUP(C31,Purchased!A:R,17,0))</f>
        <v>45511</v>
      </c>
      <c r="O31" s="47">
        <f t="shared" ref="O31:O36" ca="1" si="10">B31*$L$2</f>
        <v>3</v>
      </c>
      <c r="P31" s="51">
        <f>VLOOKUP(C31,Purchased!A:D,3,FALSE)</f>
        <v>2.2000000000000002</v>
      </c>
      <c r="Q31" s="52">
        <f t="shared" ref="Q31:Q36" si="11">B31*P31</f>
        <v>6.6000000000000005</v>
      </c>
    </row>
    <row r="32" spans="1:17" s="2" customFormat="1" ht="12" customHeight="1" x14ac:dyDescent="0.25">
      <c r="A32" s="4">
        <v>314</v>
      </c>
      <c r="B32" s="2">
        <v>3</v>
      </c>
      <c r="C32" s="135" t="s">
        <v>305</v>
      </c>
      <c r="D32" s="325" t="str">
        <f>VLOOKUP(C32,Purchased!A:B,2,0)</f>
        <v>Auto Switch, Solid State, General Purpose, M8-3Pin Connector, 0.5m Cord 
Length</v>
      </c>
      <c r="E32" s="326"/>
      <c r="F32" s="108" t="str">
        <f>IF(VLOOKUP($C32,Purchased!A:Z,11,0) = 0, " ", VLOOKUP($C32,Purchased!A:Z,11,0))</f>
        <v>SMC</v>
      </c>
      <c r="G32" s="108" t="str">
        <f>IF(VLOOKUP($C32,Purchased!A:Z,12,0)=0, " ", VLOOKUP($C32,Purchased!A:Z,12,0))</f>
        <v>AAP</v>
      </c>
      <c r="H32" s="327" t="str">
        <f>IF(VLOOKUP($C32,Purchased!A:Z,13,0)=0, " ", VLOOKUP($C32,Purchased!A:Z,13,0))</f>
        <v>10 more PO 55692</v>
      </c>
      <c r="I32" s="328"/>
      <c r="J32" s="46">
        <f>IF(VLOOKUP($C32,Purchased!A:Z,14,0)=0, " ", VLOOKUP($C32,Purchased!A:Z,14,0))</f>
        <v>45489</v>
      </c>
      <c r="K32" s="46">
        <f>IF(VLOOKUP(C32,Purchased!A:R,14,0)=0, " ", VLOOKUP(C32,Purchased!A:R,14,0))</f>
        <v>45489</v>
      </c>
      <c r="L32" s="46">
        <f>IF(VLOOKUP(C32,Purchased!A:R,15,0)=0, " ", VLOOKUP(C32,Purchased!A:R,15,0))</f>
        <v>45489</v>
      </c>
      <c r="M32" s="46">
        <f>IF(VLOOKUP(C32,Purchased!A:R,16,0)=0, " ",VLOOKUP(C32,Purchased!A:R,16,0))</f>
        <v>45510</v>
      </c>
      <c r="N32" s="130">
        <f>IF(VLOOKUP(C32,Purchased!A:R,17,0)=0, " ", VLOOKUP(C32,Purchased!A:R,17,0))</f>
        <v>45513</v>
      </c>
      <c r="O32" s="47">
        <f t="shared" ca="1" si="10"/>
        <v>3</v>
      </c>
      <c r="P32" s="51">
        <f>VLOOKUP(C32,Purchased!A:D,3,FALSE)</f>
        <v>38.64</v>
      </c>
      <c r="Q32" s="52">
        <f t="shared" si="11"/>
        <v>115.92</v>
      </c>
    </row>
    <row r="33" spans="1:17" s="2" customFormat="1" ht="12" customHeight="1" x14ac:dyDescent="0.25">
      <c r="A33" s="4">
        <v>315</v>
      </c>
      <c r="B33" s="2">
        <v>3</v>
      </c>
      <c r="C33" s="135" t="s">
        <v>672</v>
      </c>
      <c r="D33" s="325" t="str">
        <f>VLOOKUP(C33,Purchased!A:B,2,0)</f>
        <v>8MM Speed controller</v>
      </c>
      <c r="E33" s="326"/>
      <c r="F33" s="108" t="str">
        <f>IF(VLOOKUP($C33,Purchased!A:Z,11,0) = 0, " ", VLOOKUP($C33,Purchased!A:Z,11,0))</f>
        <v>SMC</v>
      </c>
      <c r="G33" s="108" t="str">
        <f>IF(VLOOKUP($C33,Purchased!A:Z,12,0)=0, " ", VLOOKUP($C33,Purchased!A:Z,12,0))</f>
        <v>AAP</v>
      </c>
      <c r="H33" s="327" t="str">
        <f>IF(VLOOKUP($C33,Purchased!A:Z,13,0)=0, " ", VLOOKUP($C33,Purchased!A:Z,13,0))</f>
        <v xml:space="preserve"> </v>
      </c>
      <c r="I33" s="328"/>
      <c r="J33" s="46">
        <f>IF(VLOOKUP($C33,Purchased!A:Z,14,0)=0, " ", VLOOKUP($C33,Purchased!A:Z,14,0))</f>
        <v>45489</v>
      </c>
      <c r="K33" s="46">
        <f>IF(VLOOKUP(C33,Purchased!A:R,14,0)=0, " ", VLOOKUP(C33,Purchased!A:R,14,0))</f>
        <v>45489</v>
      </c>
      <c r="L33" s="46">
        <f>IF(VLOOKUP(C33,Purchased!A:R,15,0)=0, " ", VLOOKUP(C33,Purchased!A:R,15,0))</f>
        <v>45491</v>
      </c>
      <c r="M33" s="46">
        <f>IF(VLOOKUP(C33,Purchased!A:R,16,0)=0, " ",VLOOKUP(C33,Purchased!A:R,16,0))</f>
        <v>45520</v>
      </c>
      <c r="N33" s="130">
        <f>IF(VLOOKUP(C33,Purchased!A:R,17,0)=0, " ", VLOOKUP(C33,Purchased!A:R,17,0))</f>
        <v>45511</v>
      </c>
      <c r="O33" s="47">
        <f t="shared" ca="1" si="10"/>
        <v>3</v>
      </c>
      <c r="P33" s="51">
        <f>VLOOKUP(C33,Purchased!A:D,3,FALSE)</f>
        <v>22.46</v>
      </c>
      <c r="Q33" s="52">
        <f t="shared" si="11"/>
        <v>67.38</v>
      </c>
    </row>
    <row r="34" spans="1:17" s="2" customFormat="1" ht="12" customHeight="1" x14ac:dyDescent="0.25">
      <c r="A34" s="4">
        <v>316</v>
      </c>
      <c r="B34" s="2">
        <v>3</v>
      </c>
      <c r="C34" s="135" t="s">
        <v>804</v>
      </c>
      <c r="D34" s="325" t="str">
        <f>VLOOKUP(C34,Purchased!A:B,2,0)</f>
        <v>KQ2 AIR FITTING, 8MM PLUG-IN ELBOW</v>
      </c>
      <c r="E34" s="326"/>
      <c r="F34" s="108" t="str">
        <f>IF(VLOOKUP($C34,Purchased!A:Z,11,0) = 0, " ", VLOOKUP($C34,Purchased!A:Z,11,0))</f>
        <v>SMC</v>
      </c>
      <c r="G34" s="108" t="str">
        <f>IF(VLOOKUP($C34,Purchased!A:Z,12,0)=0, " ", VLOOKUP($C34,Purchased!A:Z,12,0))</f>
        <v>AAP</v>
      </c>
      <c r="H34" s="327" t="str">
        <f>IF(VLOOKUP($C34,Purchased!A:Z,13,0)=0, " ", VLOOKUP($C34,Purchased!A:Z,13,0))</f>
        <v xml:space="preserve"> </v>
      </c>
      <c r="I34" s="328"/>
      <c r="J34" s="46">
        <f>IF(VLOOKUP($C34,Purchased!A:Z,14,0)=0, " ", VLOOKUP($C34,Purchased!A:Z,14,0))</f>
        <v>45489</v>
      </c>
      <c r="K34" s="46">
        <f>IF(VLOOKUP(C34,Purchased!A:R,14,0)=0, " ", VLOOKUP(C34,Purchased!A:R,14,0))</f>
        <v>45489</v>
      </c>
      <c r="L34" s="46">
        <f>IF(VLOOKUP(C34,Purchased!A:R,15,0)=0, " ", VLOOKUP(C34,Purchased!A:R,15,0))</f>
        <v>45491</v>
      </c>
      <c r="M34" s="46">
        <f>IF(VLOOKUP(C34,Purchased!A:R,16,0)=0, " ",VLOOKUP(C34,Purchased!A:R,16,0))</f>
        <v>45520</v>
      </c>
      <c r="N34" s="130">
        <f>IF(VLOOKUP(C34,Purchased!A:R,17,0)=0, " ", VLOOKUP(C34,Purchased!A:R,17,0))</f>
        <v>45511</v>
      </c>
      <c r="O34" s="47">
        <f t="shared" ca="1" si="10"/>
        <v>3</v>
      </c>
      <c r="P34" s="51">
        <f>VLOOKUP(C34,Purchased!A:D,3,FALSE)</f>
        <v>1.43</v>
      </c>
      <c r="Q34" s="52">
        <f t="shared" si="11"/>
        <v>4.29</v>
      </c>
    </row>
    <row r="35" spans="1:17" s="2" customFormat="1" ht="12" customHeight="1" x14ac:dyDescent="0.25">
      <c r="A35" s="4">
        <v>317</v>
      </c>
      <c r="B35" s="2">
        <v>2</v>
      </c>
      <c r="C35" s="135" t="s">
        <v>805</v>
      </c>
      <c r="D35" s="325" t="str">
        <f>VLOOKUP(C35,Purchased!A:B,2,0)</f>
        <v>BRACKET FOR 30 SERIES SPEED CONTROLLER</v>
      </c>
      <c r="E35" s="326"/>
      <c r="F35" s="108" t="str">
        <f>IF(VLOOKUP($C35,Purchased!A:Z,11,0) = 0, " ", VLOOKUP($C35,Purchased!A:Z,11,0))</f>
        <v>SMC</v>
      </c>
      <c r="G35" s="108" t="str">
        <f>IF(VLOOKUP($C35,Purchased!A:Z,12,0)=0, " ", VLOOKUP($C35,Purchased!A:Z,12,0))</f>
        <v>AAP</v>
      </c>
      <c r="H35" s="327" t="str">
        <f>IF(VLOOKUP($C35,Purchased!A:Z,13,0)=0, " ", VLOOKUP($C35,Purchased!A:Z,13,0))</f>
        <v xml:space="preserve"> </v>
      </c>
      <c r="I35" s="328"/>
      <c r="J35" s="46">
        <f>IF(VLOOKUP($C35,Purchased!A:Z,14,0)=0, " ", VLOOKUP($C35,Purchased!A:Z,14,0))</f>
        <v>45489</v>
      </c>
      <c r="K35" s="46">
        <f>IF(VLOOKUP(C35,Purchased!A:R,14,0)=0, " ", VLOOKUP(C35,Purchased!A:R,14,0))</f>
        <v>45489</v>
      </c>
      <c r="L35" s="46">
        <f>IF(VLOOKUP(C35,Purchased!A:R,15,0)=0, " ", VLOOKUP(C35,Purchased!A:R,15,0))</f>
        <v>45491</v>
      </c>
      <c r="M35" s="46">
        <f>IF(VLOOKUP(C35,Purchased!A:R,16,0)=0, " ",VLOOKUP(C35,Purchased!A:R,16,0))</f>
        <v>45520</v>
      </c>
      <c r="N35" s="130">
        <f>IF(VLOOKUP(C35,Purchased!A:R,17,0)=0, " ", VLOOKUP(C35,Purchased!A:R,17,0))</f>
        <v>45511</v>
      </c>
      <c r="O35" s="47">
        <f t="shared" ca="1" si="10"/>
        <v>2</v>
      </c>
      <c r="P35" s="51">
        <f>VLOOKUP(C35,Purchased!A:D,3,FALSE)</f>
        <v>2.4700000000000002</v>
      </c>
      <c r="Q35" s="52">
        <f t="shared" si="11"/>
        <v>4.9400000000000004</v>
      </c>
    </row>
    <row r="36" spans="1:17" s="2" customFormat="1" ht="12" customHeight="1" x14ac:dyDescent="0.25">
      <c r="A36" s="4">
        <v>318</v>
      </c>
      <c r="B36" s="2">
        <v>3</v>
      </c>
      <c r="C36" s="135" t="s">
        <v>227</v>
      </c>
      <c r="D36" s="325" t="str">
        <f>VLOOKUP(C36,Purchased!A:B,2,0)</f>
        <v>KQ2 one touch fitting, 8mm D elbow</v>
      </c>
      <c r="E36" s="326"/>
      <c r="F36" s="108" t="str">
        <f>IF(VLOOKUP($C36,Purchased!A:Z,11,0) = 0, " ", VLOOKUP($C36,Purchased!A:Z,11,0))</f>
        <v>SMC</v>
      </c>
      <c r="G36" s="108" t="str">
        <f>IF(VLOOKUP($C36,Purchased!A:Z,12,0)=0, " ", VLOOKUP($C36,Purchased!A:Z,12,0))</f>
        <v>AAP</v>
      </c>
      <c r="H36" s="327" t="str">
        <f>IF(VLOOKUP($C36,Purchased!A:Z,13,0)=0, " ", VLOOKUP($C36,Purchased!A:Z,13,0))</f>
        <v xml:space="preserve"> </v>
      </c>
      <c r="I36" s="328"/>
      <c r="J36" s="46">
        <f>IF(VLOOKUP($C36,Purchased!A:Z,14,0)=0, " ", VLOOKUP($C36,Purchased!A:Z,14,0))</f>
        <v>45489</v>
      </c>
      <c r="K36" s="46">
        <f>IF(VLOOKUP(C36,Purchased!A:R,14,0)=0, " ", VLOOKUP(C36,Purchased!A:R,14,0))</f>
        <v>45489</v>
      </c>
      <c r="L36" s="46">
        <f>IF(VLOOKUP(C36,Purchased!A:R,15,0)=0, " ", VLOOKUP(C36,Purchased!A:R,15,0))</f>
        <v>45491</v>
      </c>
      <c r="M36" s="46">
        <f>IF(VLOOKUP(C36,Purchased!A:R,16,0)=0, " ",VLOOKUP(C36,Purchased!A:R,16,0))</f>
        <v>45520</v>
      </c>
      <c r="N36" s="130">
        <f>IF(VLOOKUP(C36,Purchased!A:R,17,0)=0, " ", VLOOKUP(C36,Purchased!A:R,17,0))</f>
        <v>45511</v>
      </c>
      <c r="O36" s="47">
        <f t="shared" ca="1" si="10"/>
        <v>3</v>
      </c>
      <c r="P36" s="51">
        <f>VLOOKUP(C36,Purchased!A:D,3,FALSE)</f>
        <v>1.86</v>
      </c>
      <c r="Q36" s="52">
        <f t="shared" si="11"/>
        <v>5.58</v>
      </c>
    </row>
    <row r="37" spans="1:17" s="2" customFormat="1" ht="12" customHeight="1" x14ac:dyDescent="0.25">
      <c r="A37" s="25"/>
      <c r="B37" s="26"/>
      <c r="C37" s="26"/>
      <c r="D37" s="332"/>
      <c r="E37" s="333"/>
      <c r="F37" s="26"/>
      <c r="G37" s="26"/>
      <c r="H37" s="322"/>
      <c r="I37" s="323"/>
      <c r="J37" s="27"/>
      <c r="K37" s="27"/>
      <c r="L37" s="27"/>
      <c r="M37" s="28"/>
      <c r="N37" s="29"/>
      <c r="O37" s="29"/>
      <c r="P37" s="148"/>
      <c r="Q37" s="149"/>
    </row>
    <row r="38" spans="1:17" s="2" customFormat="1" ht="12" customHeight="1" x14ac:dyDescent="0.25">
      <c r="A38" s="4">
        <v>501</v>
      </c>
      <c r="B38" s="2">
        <v>6</v>
      </c>
      <c r="C38" s="122" t="s">
        <v>197</v>
      </c>
      <c r="D38" s="325"/>
      <c r="E38" s="326"/>
      <c r="F38" s="108">
        <f>VLOOKUP(C38,Bolts!A:L,5,0)</f>
        <v>0</v>
      </c>
      <c r="G38" s="108">
        <f>VLOOKUP(C38,Bolts!A:L,6,0)</f>
        <v>0</v>
      </c>
      <c r="H38" s="108">
        <f>VLOOKUP(C38,Bolts!A:L,7,0)</f>
        <v>0</v>
      </c>
      <c r="I38" s="109"/>
      <c r="J38" s="46">
        <f>VLOOKUP(C38,Bolts!A:L,8,0)</f>
        <v>0</v>
      </c>
      <c r="K38" s="46">
        <f>VLOOKUP(C38,Bolts!A:L,9,0)</f>
        <v>0</v>
      </c>
      <c r="L38" s="46">
        <f>VLOOKUP(C38,Bolts!A:L,10,0)</f>
        <v>0</v>
      </c>
      <c r="M38" s="46">
        <f>VLOOKUP(C38,Bolts!A:L,11,0)</f>
        <v>0</v>
      </c>
      <c r="N38" s="130">
        <f>VLOOKUP(C38,Bolts!A:L,12,0)</f>
        <v>0</v>
      </c>
      <c r="O38" s="47">
        <f t="shared" ref="O38:O48" ca="1" si="12">B38*$L$2</f>
        <v>6</v>
      </c>
      <c r="P38" s="51">
        <f>VLOOKUP(C38,Bolts!A:B,2,FALSE)</f>
        <v>0</v>
      </c>
      <c r="Q38" s="52">
        <f t="shared" ref="Q38:Q48" si="13">B38*P38</f>
        <v>0</v>
      </c>
    </row>
    <row r="39" spans="1:17" s="2" customFormat="1" ht="12" customHeight="1" x14ac:dyDescent="0.25">
      <c r="A39" s="4">
        <v>502</v>
      </c>
      <c r="B39" s="2">
        <v>2</v>
      </c>
      <c r="C39" s="122" t="s">
        <v>806</v>
      </c>
      <c r="D39" s="325"/>
      <c r="E39" s="326"/>
      <c r="F39" s="108">
        <f>VLOOKUP(C39,Bolts!A:L,5,0)</f>
        <v>0</v>
      </c>
      <c r="G39" s="108" t="str">
        <f>VLOOKUP(C39,Bolts!A:L,6,0)</f>
        <v xml:space="preserve"> </v>
      </c>
      <c r="H39" s="108">
        <f>VLOOKUP(C39,Bolts!A:L,7,0)</f>
        <v>0</v>
      </c>
      <c r="I39" s="109"/>
      <c r="J39" s="46">
        <f>VLOOKUP(C39,Bolts!A:L,8,0)</f>
        <v>0</v>
      </c>
      <c r="K39" s="46">
        <f>VLOOKUP(C39,Bolts!A:L,9,0)</f>
        <v>0</v>
      </c>
      <c r="L39" s="46">
        <f>VLOOKUP(C39,Bolts!A:L,10,0)</f>
        <v>0</v>
      </c>
      <c r="M39" s="46">
        <f>VLOOKUP(C39,Bolts!A:L,11,0)</f>
        <v>0</v>
      </c>
      <c r="N39" s="130">
        <f>VLOOKUP(C39,Bolts!A:L,12,0)</f>
        <v>0</v>
      </c>
      <c r="O39" s="47">
        <f t="shared" ca="1" si="12"/>
        <v>2</v>
      </c>
      <c r="P39" s="51">
        <f>VLOOKUP(C39,Bolts!A:B,2,FALSE)</f>
        <v>0</v>
      </c>
      <c r="Q39" s="52">
        <f t="shared" si="13"/>
        <v>0</v>
      </c>
    </row>
    <row r="40" spans="1:17" s="2" customFormat="1" ht="12" customHeight="1" x14ac:dyDescent="0.25">
      <c r="A40" s="4">
        <v>503</v>
      </c>
      <c r="B40" s="2">
        <v>2</v>
      </c>
      <c r="C40" s="122" t="s">
        <v>807</v>
      </c>
      <c r="D40" s="325"/>
      <c r="E40" s="326"/>
      <c r="F40" s="108">
        <f>VLOOKUP(C40,Bolts!A:L,5,0)</f>
        <v>0</v>
      </c>
      <c r="G40" s="108">
        <f>VLOOKUP(C40,Bolts!A:L,6,0)</f>
        <v>0</v>
      </c>
      <c r="H40" s="108">
        <f>VLOOKUP(C40,Bolts!A:L,7,0)</f>
        <v>0</v>
      </c>
      <c r="I40" s="109"/>
      <c r="J40" s="46">
        <f>VLOOKUP(C40,Bolts!A:L,8,0)</f>
        <v>0</v>
      </c>
      <c r="K40" s="46">
        <f>VLOOKUP(C40,Bolts!A:L,9,0)</f>
        <v>0</v>
      </c>
      <c r="L40" s="46">
        <f>VLOOKUP(C40,Bolts!A:L,10,0)</f>
        <v>0</v>
      </c>
      <c r="M40" s="46">
        <f>VLOOKUP(C40,Bolts!A:L,11,0)</f>
        <v>0</v>
      </c>
      <c r="N40" s="130">
        <f>VLOOKUP(C40,Bolts!A:L,12,0)</f>
        <v>0</v>
      </c>
      <c r="O40" s="47">
        <f t="shared" ca="1" si="12"/>
        <v>2</v>
      </c>
      <c r="P40" s="51">
        <f>VLOOKUP(C40,Bolts!A:B,2,FALSE)</f>
        <v>0</v>
      </c>
      <c r="Q40" s="52">
        <f t="shared" si="13"/>
        <v>0</v>
      </c>
    </row>
    <row r="41" spans="1:17" s="2" customFormat="1" ht="12" customHeight="1" x14ac:dyDescent="0.25">
      <c r="A41" s="4">
        <v>504</v>
      </c>
      <c r="B41" s="2">
        <v>4</v>
      </c>
      <c r="C41" s="122" t="s">
        <v>808</v>
      </c>
      <c r="D41" s="325"/>
      <c r="E41" s="326"/>
      <c r="F41" s="108">
        <f>VLOOKUP(C41,Bolts!A:L,5,0)</f>
        <v>0</v>
      </c>
      <c r="G41" s="108">
        <f>VLOOKUP(C41,Bolts!A:L,6,0)</f>
        <v>0</v>
      </c>
      <c r="H41" s="108">
        <f>VLOOKUP(C41,Bolts!A:L,7,0)</f>
        <v>0</v>
      </c>
      <c r="I41" s="109"/>
      <c r="J41" s="46">
        <f>VLOOKUP(C41,Bolts!A:L,8,0)</f>
        <v>0</v>
      </c>
      <c r="K41" s="46">
        <f>VLOOKUP(C41,Bolts!A:L,9,0)</f>
        <v>0</v>
      </c>
      <c r="L41" s="46">
        <f>VLOOKUP(C41,Bolts!A:L,10,0)</f>
        <v>0</v>
      </c>
      <c r="M41" s="46">
        <f>VLOOKUP(C41,Bolts!A:L,11,0)</f>
        <v>0</v>
      </c>
      <c r="N41" s="130">
        <f>VLOOKUP(C41,Bolts!A:L,12,0)</f>
        <v>0</v>
      </c>
      <c r="O41" s="47">
        <f t="shared" ca="1" si="12"/>
        <v>4</v>
      </c>
      <c r="P41" s="51">
        <f>VLOOKUP(C41,Bolts!A:B,2,FALSE)</f>
        <v>0</v>
      </c>
      <c r="Q41" s="52">
        <f t="shared" si="13"/>
        <v>0</v>
      </c>
    </row>
    <row r="42" spans="1:17" s="2" customFormat="1" ht="12" customHeight="1" x14ac:dyDescent="0.25">
      <c r="A42" s="4">
        <v>505</v>
      </c>
      <c r="B42" s="2">
        <v>2</v>
      </c>
      <c r="C42" s="122" t="s">
        <v>809</v>
      </c>
      <c r="D42" s="325"/>
      <c r="E42" s="326"/>
      <c r="F42" s="108">
        <f>VLOOKUP(C42,Bolts!A:L,5,0)</f>
        <v>0</v>
      </c>
      <c r="G42" s="108">
        <f>VLOOKUP(C42,Bolts!A:L,6,0)</f>
        <v>0</v>
      </c>
      <c r="H42" s="108">
        <f>VLOOKUP(C42,Bolts!A:L,7,0)</f>
        <v>0</v>
      </c>
      <c r="I42" s="109"/>
      <c r="J42" s="46">
        <f>VLOOKUP(C42,Bolts!A:L,8,0)</f>
        <v>0</v>
      </c>
      <c r="K42" s="46">
        <f>VLOOKUP(C42,Bolts!A:L,9,0)</f>
        <v>0</v>
      </c>
      <c r="L42" s="46">
        <f>VLOOKUP(C42,Bolts!A:L,10,0)</f>
        <v>0</v>
      </c>
      <c r="M42" s="46">
        <f>VLOOKUP(C42,Bolts!A:L,11,0)</f>
        <v>0</v>
      </c>
      <c r="N42" s="130">
        <f>VLOOKUP(C42,Bolts!A:L,12,0)</f>
        <v>0</v>
      </c>
      <c r="O42" s="47">
        <f t="shared" ca="1" si="12"/>
        <v>2</v>
      </c>
      <c r="P42" s="51">
        <f>VLOOKUP(C42,Bolts!A:B,2,FALSE)</f>
        <v>0</v>
      </c>
      <c r="Q42" s="52">
        <f t="shared" si="13"/>
        <v>0</v>
      </c>
    </row>
    <row r="43" spans="1:17" s="2" customFormat="1" ht="12" customHeight="1" x14ac:dyDescent="0.25">
      <c r="A43" s="4">
        <v>506</v>
      </c>
      <c r="B43" s="2">
        <v>4</v>
      </c>
      <c r="C43" s="122" t="s">
        <v>275</v>
      </c>
      <c r="D43" s="325"/>
      <c r="E43" s="326"/>
      <c r="F43" s="108">
        <f>VLOOKUP(C43,Bolts!A:L,5,0)</f>
        <v>0</v>
      </c>
      <c r="G43" s="108">
        <f>VLOOKUP(C43,Bolts!A:L,6,0)</f>
        <v>0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t="shared" ca="1" si="12"/>
        <v>4</v>
      </c>
      <c r="P43" s="51">
        <f>VLOOKUP(C43,Bolts!A:B,2,FALSE)</f>
        <v>0</v>
      </c>
      <c r="Q43" s="52">
        <f t="shared" si="13"/>
        <v>0</v>
      </c>
    </row>
    <row r="44" spans="1:17" s="2" customFormat="1" ht="12" customHeight="1" x14ac:dyDescent="0.25">
      <c r="A44" s="4">
        <v>507</v>
      </c>
      <c r="B44" s="2">
        <v>2</v>
      </c>
      <c r="C44" s="122" t="s">
        <v>349</v>
      </c>
      <c r="D44" s="325"/>
      <c r="E44" s="326"/>
      <c r="F44" s="108">
        <f>VLOOKUP(C44,Bolts!A:L,5,0)</f>
        <v>0</v>
      </c>
      <c r="G44" s="108">
        <f>VLOOKUP(C44,Bolts!A:L,6,0)</f>
        <v>0</v>
      </c>
      <c r="H44" s="108">
        <f>VLOOKUP(C44,Bolts!A:L,7,0)</f>
        <v>0</v>
      </c>
      <c r="I44" s="109"/>
      <c r="J44" s="46">
        <f>VLOOKUP(C44,Bolts!A:L,8,0)</f>
        <v>0</v>
      </c>
      <c r="K44" s="46">
        <f>VLOOKUP(C44,Bolts!A:L,9,0)</f>
        <v>0</v>
      </c>
      <c r="L44" s="46">
        <f>VLOOKUP(C44,Bolts!A:L,10,0)</f>
        <v>0</v>
      </c>
      <c r="M44" s="46">
        <f>VLOOKUP(C44,Bolts!A:L,11,0)</f>
        <v>0</v>
      </c>
      <c r="N44" s="130">
        <f>VLOOKUP(C44,Bolts!A:L,12,0)</f>
        <v>0</v>
      </c>
      <c r="O44" s="47">
        <f t="shared" ca="1" si="12"/>
        <v>2</v>
      </c>
      <c r="P44" s="51">
        <f>VLOOKUP(C44,Bolts!A:B,2,FALSE)</f>
        <v>0</v>
      </c>
      <c r="Q44" s="52">
        <f t="shared" si="13"/>
        <v>0</v>
      </c>
    </row>
    <row r="45" spans="1:17" s="2" customFormat="1" ht="12" customHeight="1" x14ac:dyDescent="0.25">
      <c r="A45" s="4">
        <v>508</v>
      </c>
      <c r="B45" s="2">
        <v>2</v>
      </c>
      <c r="C45" s="122" t="s">
        <v>810</v>
      </c>
      <c r="D45" s="325"/>
      <c r="E45" s="326"/>
      <c r="F45" s="108">
        <f>VLOOKUP(C45,Bolts!A:L,5,0)</f>
        <v>0</v>
      </c>
      <c r="G45" s="108">
        <f>VLOOKUP(C45,Bolts!A:L,6,0)</f>
        <v>0</v>
      </c>
      <c r="H45" s="108">
        <f>VLOOKUP(C45,Bolts!A:L,7,0)</f>
        <v>0</v>
      </c>
      <c r="I45" s="109"/>
      <c r="J45" s="46">
        <f>VLOOKUP(C45,Bolts!A:L,8,0)</f>
        <v>0</v>
      </c>
      <c r="K45" s="46">
        <f>VLOOKUP(C45,Bolts!A:L,9,0)</f>
        <v>0</v>
      </c>
      <c r="L45" s="46">
        <f>VLOOKUP(C45,Bolts!A:L,10,0)</f>
        <v>0</v>
      </c>
      <c r="M45" s="46">
        <f>VLOOKUP(C45,Bolts!A:L,11,0)</f>
        <v>0</v>
      </c>
      <c r="N45" s="130">
        <f>VLOOKUP(C45,Bolts!A:L,12,0)</f>
        <v>0</v>
      </c>
      <c r="O45" s="47">
        <f t="shared" ca="1" si="12"/>
        <v>2</v>
      </c>
      <c r="P45" s="51">
        <f>VLOOKUP(C45,Bolts!A:B,2,FALSE)</f>
        <v>0</v>
      </c>
      <c r="Q45" s="52">
        <f t="shared" si="13"/>
        <v>0</v>
      </c>
    </row>
    <row r="46" spans="1:17" s="2" customFormat="1" ht="12" customHeight="1" x14ac:dyDescent="0.25">
      <c r="A46" s="4">
        <v>509</v>
      </c>
      <c r="B46" s="2">
        <v>2</v>
      </c>
      <c r="C46" s="122" t="s">
        <v>329</v>
      </c>
      <c r="D46" s="325"/>
      <c r="E46" s="326"/>
      <c r="F46" s="108">
        <f>VLOOKUP(C46,Bolts!A:L,5,0)</f>
        <v>0</v>
      </c>
      <c r="G46" s="108">
        <f>VLOOKUP(C46,Bolts!A:L,6,0)</f>
        <v>0</v>
      </c>
      <c r="H46" s="108">
        <f>VLOOKUP(C46,Bolts!A:L,7,0)</f>
        <v>0</v>
      </c>
      <c r="I46" s="109"/>
      <c r="J46" s="46">
        <f>VLOOKUP(C46,Bolts!A:L,8,0)</f>
        <v>0</v>
      </c>
      <c r="K46" s="46">
        <f>VLOOKUP(C46,Bolts!A:L,9,0)</f>
        <v>0</v>
      </c>
      <c r="L46" s="46">
        <f>VLOOKUP(C46,Bolts!A:L,10,0)</f>
        <v>0</v>
      </c>
      <c r="M46" s="46">
        <f>VLOOKUP(C46,Bolts!A:L,11,0)</f>
        <v>0</v>
      </c>
      <c r="N46" s="130">
        <f>VLOOKUP(C46,Bolts!A:L,12,0)</f>
        <v>0</v>
      </c>
      <c r="O46" s="47">
        <f t="shared" ca="1" si="12"/>
        <v>2</v>
      </c>
      <c r="P46" s="51">
        <f>VLOOKUP(C46,Bolts!A:B,2,FALSE)</f>
        <v>0</v>
      </c>
      <c r="Q46" s="52">
        <f t="shared" si="13"/>
        <v>0</v>
      </c>
    </row>
    <row r="47" spans="1:17" s="2" customFormat="1" ht="12" customHeight="1" x14ac:dyDescent="0.25">
      <c r="A47" s="4">
        <v>510</v>
      </c>
      <c r="B47" s="2">
        <v>40</v>
      </c>
      <c r="C47" s="122" t="s">
        <v>107</v>
      </c>
      <c r="D47" s="325"/>
      <c r="E47" s="326"/>
      <c r="F47" s="108">
        <f>VLOOKUP(C47,Bolts!A:L,5,0)</f>
        <v>0</v>
      </c>
      <c r="G47" s="108">
        <f>VLOOKUP(C47,Bolts!A:L,6,0)</f>
        <v>0</v>
      </c>
      <c r="H47" s="108">
        <f>VLOOKUP(C47,Bolts!A:L,7,0)</f>
        <v>0</v>
      </c>
      <c r="I47" s="109"/>
      <c r="J47" s="46">
        <f>VLOOKUP(C47,Bolts!A:L,8,0)</f>
        <v>0</v>
      </c>
      <c r="K47" s="46">
        <f>VLOOKUP(C47,Bolts!A:L,9,0)</f>
        <v>0</v>
      </c>
      <c r="L47" s="46">
        <f>VLOOKUP(C47,Bolts!A:L,10,0)</f>
        <v>0</v>
      </c>
      <c r="M47" s="46">
        <f>VLOOKUP(C47,Bolts!A:L,11,0)</f>
        <v>0</v>
      </c>
      <c r="N47" s="130">
        <f>VLOOKUP(C47,Bolts!A:L,12,0)</f>
        <v>0</v>
      </c>
      <c r="O47" s="47">
        <f t="shared" ca="1" si="12"/>
        <v>40</v>
      </c>
      <c r="P47" s="51">
        <f>VLOOKUP(C47,Bolts!A:B,2,FALSE)</f>
        <v>0</v>
      </c>
      <c r="Q47" s="52">
        <f t="shared" si="13"/>
        <v>0</v>
      </c>
    </row>
    <row r="48" spans="1:17" s="2" customFormat="1" ht="12" customHeight="1" x14ac:dyDescent="0.25">
      <c r="A48" s="4">
        <v>511</v>
      </c>
      <c r="B48" s="2">
        <v>20</v>
      </c>
      <c r="C48" s="122" t="s">
        <v>811</v>
      </c>
      <c r="D48" s="325"/>
      <c r="E48" s="326"/>
      <c r="F48" s="108">
        <f>VLOOKUP(C48,Bolts!A:L,5,0)</f>
        <v>0</v>
      </c>
      <c r="G48" s="108">
        <f>VLOOKUP(C48,Bolts!A:L,6,0)</f>
        <v>0</v>
      </c>
      <c r="H48" s="108">
        <f>VLOOKUP(C48,Bolts!A:L,7,0)</f>
        <v>0</v>
      </c>
      <c r="I48" s="109"/>
      <c r="J48" s="46">
        <f>VLOOKUP(C48,Bolts!A:L,8,0)</f>
        <v>0</v>
      </c>
      <c r="K48" s="46">
        <f>VLOOKUP(C48,Bolts!A:L,9,0)</f>
        <v>0</v>
      </c>
      <c r="L48" s="46">
        <f>VLOOKUP(C48,Bolts!A:L,10,0)</f>
        <v>0</v>
      </c>
      <c r="M48" s="46">
        <f>VLOOKUP(C48,Bolts!A:L,11,0)</f>
        <v>0</v>
      </c>
      <c r="N48" s="130">
        <f>VLOOKUP(C48,Bolts!A:L,12,0)</f>
        <v>0</v>
      </c>
      <c r="O48" s="47">
        <f t="shared" ca="1" si="12"/>
        <v>20</v>
      </c>
      <c r="P48" s="51">
        <f>VLOOKUP(C48,Bolts!A:B,2,FALSE)</f>
        <v>0</v>
      </c>
      <c r="Q48" s="52">
        <f t="shared" si="13"/>
        <v>0</v>
      </c>
    </row>
    <row r="49" spans="1:17" s="2" customFormat="1" ht="12" customHeight="1" thickBot="1" x14ac:dyDescent="0.3">
      <c r="A49" s="4">
        <v>512</v>
      </c>
      <c r="B49" s="2">
        <v>14</v>
      </c>
      <c r="C49" s="122" t="s">
        <v>310</v>
      </c>
      <c r="D49" s="325"/>
      <c r="E49" s="326"/>
      <c r="F49" s="108">
        <f>VLOOKUP(C49,Bolts!A:L,5,0)</f>
        <v>0</v>
      </c>
      <c r="G49" s="108">
        <f>VLOOKUP(C49,Bolts!A:L,6,0)</f>
        <v>0</v>
      </c>
      <c r="H49" s="108">
        <f>VLOOKUP(C49,Bolts!A:L,7,0)</f>
        <v>0</v>
      </c>
      <c r="I49" s="109"/>
      <c r="J49" s="46">
        <f>VLOOKUP(C49,Bolts!A:L,8,0)</f>
        <v>0</v>
      </c>
      <c r="K49" s="46">
        <f>VLOOKUP(C49,Bolts!A:L,9,0)</f>
        <v>0</v>
      </c>
      <c r="L49" s="46">
        <f>VLOOKUP(C49,Bolts!A:L,10,0)</f>
        <v>0</v>
      </c>
      <c r="M49" s="46">
        <f>VLOOKUP(C49,Bolts!A:L,11,0)</f>
        <v>0</v>
      </c>
      <c r="N49" s="130">
        <f>VLOOKUP(C49,Bolts!A:L,12,0)</f>
        <v>0</v>
      </c>
      <c r="O49" s="47">
        <f ca="1">B49*$L$2</f>
        <v>14</v>
      </c>
      <c r="P49" s="51">
        <f>VLOOKUP(C49,Bolts!A:B,2,FALSE)</f>
        <v>0</v>
      </c>
      <c r="Q49" s="52">
        <f>B49*P49</f>
        <v>0</v>
      </c>
    </row>
    <row r="50" spans="1:17" s="2" customFormat="1" ht="12" customHeight="1" thickBot="1" x14ac:dyDescent="0.3">
      <c r="A50" s="34"/>
      <c r="B50" s="35"/>
      <c r="C50" s="35"/>
      <c r="D50" s="316"/>
      <c r="E50" s="317"/>
      <c r="F50" s="35"/>
      <c r="G50" s="35"/>
      <c r="H50" s="309"/>
      <c r="I50" s="310"/>
      <c r="J50" s="36"/>
      <c r="K50" s="36"/>
      <c r="L50" s="36"/>
      <c r="M50" s="37"/>
      <c r="N50" s="132"/>
      <c r="O50" s="38"/>
      <c r="P50" s="99" t="s">
        <v>43</v>
      </c>
      <c r="Q50" s="104">
        <f>SUM(Q5:Q49)</f>
        <v>8404.1316000000006</v>
      </c>
    </row>
  </sheetData>
  <sheetProtection selectLockedCells="1"/>
  <mergeCells count="83">
    <mergeCell ref="H37:I37"/>
    <mergeCell ref="D38:E38"/>
    <mergeCell ref="D39:E39"/>
    <mergeCell ref="D40:E40"/>
    <mergeCell ref="D50:E50"/>
    <mergeCell ref="H50:I50"/>
    <mergeCell ref="D48:E48"/>
    <mergeCell ref="D49:E49"/>
    <mergeCell ref="D47:E47"/>
    <mergeCell ref="D42:E42"/>
    <mergeCell ref="D43:E43"/>
    <mergeCell ref="D44:E44"/>
    <mergeCell ref="D45:E45"/>
    <mergeCell ref="D37:E37"/>
    <mergeCell ref="D46:E46"/>
    <mergeCell ref="D41:E41"/>
    <mergeCell ref="D30:E30"/>
    <mergeCell ref="H30:I30"/>
    <mergeCell ref="D36:E36"/>
    <mergeCell ref="H36:I36"/>
    <mergeCell ref="D31:E31"/>
    <mergeCell ref="H31:I31"/>
    <mergeCell ref="D32:E32"/>
    <mergeCell ref="H32:I32"/>
    <mergeCell ref="D33:E33"/>
    <mergeCell ref="H33:I33"/>
    <mergeCell ref="D34:E34"/>
    <mergeCell ref="H34:I34"/>
    <mergeCell ref="D35:E35"/>
    <mergeCell ref="H35:I35"/>
    <mergeCell ref="D27:E27"/>
    <mergeCell ref="H27:I27"/>
    <mergeCell ref="D28:E28"/>
    <mergeCell ref="H28:I28"/>
    <mergeCell ref="D29:E29"/>
    <mergeCell ref="H29:I29"/>
    <mergeCell ref="D24:E24"/>
    <mergeCell ref="H24:I24"/>
    <mergeCell ref="D25:E25"/>
    <mergeCell ref="H25:I25"/>
    <mergeCell ref="D26:E26"/>
    <mergeCell ref="H26:I26"/>
    <mergeCell ref="D21:E21"/>
    <mergeCell ref="H21:I21"/>
    <mergeCell ref="D22:E22"/>
    <mergeCell ref="H22:I22"/>
    <mergeCell ref="D23:E23"/>
    <mergeCell ref="H23:I23"/>
    <mergeCell ref="D18:E18"/>
    <mergeCell ref="H18:I18"/>
    <mergeCell ref="D19:E19"/>
    <mergeCell ref="H19:I19"/>
    <mergeCell ref="D20:E20"/>
    <mergeCell ref="H20:I20"/>
    <mergeCell ref="D15:E15"/>
    <mergeCell ref="H15:I15"/>
    <mergeCell ref="D16:E16"/>
    <mergeCell ref="H16:I16"/>
    <mergeCell ref="D17:E17"/>
    <mergeCell ref="H17:I17"/>
    <mergeCell ref="D12:E12"/>
    <mergeCell ref="H12:I12"/>
    <mergeCell ref="D13:E13"/>
    <mergeCell ref="H13:I13"/>
    <mergeCell ref="D14:E14"/>
    <mergeCell ref="H14:I14"/>
    <mergeCell ref="D11:E11"/>
    <mergeCell ref="H11:I11"/>
    <mergeCell ref="D7:E7"/>
    <mergeCell ref="H7:I7"/>
    <mergeCell ref="D8:E8"/>
    <mergeCell ref="H8:I8"/>
    <mergeCell ref="D9:E9"/>
    <mergeCell ref="H9:I9"/>
    <mergeCell ref="D10:E10"/>
    <mergeCell ref="H10:I10"/>
    <mergeCell ref="D6:E6"/>
    <mergeCell ref="H6:I6"/>
    <mergeCell ref="D1:E1"/>
    <mergeCell ref="D4:E4"/>
    <mergeCell ref="H4:I4"/>
    <mergeCell ref="D5:E5"/>
    <mergeCell ref="H5:I5"/>
  </mergeCells>
  <conditionalFormatting sqref="M9 M18 M37:M49">
    <cfRule type="cellIs" dxfId="1232" priority="39" stopIfTrue="1" operator="lessThanOrEqual">
      <formula>$L9</formula>
    </cfRule>
    <cfRule type="cellIs" dxfId="1231" priority="40" operator="greaterThan">
      <formula>L9</formula>
    </cfRule>
  </conditionalFormatting>
  <conditionalFormatting sqref="M19">
    <cfRule type="cellIs" dxfId="1230" priority="35" stopIfTrue="1" operator="lessThanOrEqual">
      <formula>$L19</formula>
    </cfRule>
    <cfRule type="cellIs" dxfId="1229" priority="36" operator="greaterThan">
      <formula>L19</formula>
    </cfRule>
  </conditionalFormatting>
  <conditionalFormatting sqref="M20">
    <cfRule type="cellIs" dxfId="1228" priority="33" stopIfTrue="1" operator="lessThanOrEqual">
      <formula>$L20</formula>
    </cfRule>
    <cfRule type="cellIs" dxfId="1227" priority="34" operator="greaterThan">
      <formula>L20</formula>
    </cfRule>
  </conditionalFormatting>
  <conditionalFormatting sqref="M21">
    <cfRule type="cellIs" dxfId="1226" priority="31" stopIfTrue="1" operator="lessThanOrEqual">
      <formula>$L21</formula>
    </cfRule>
    <cfRule type="cellIs" dxfId="1225" priority="32" operator="greaterThan">
      <formula>L21</formula>
    </cfRule>
  </conditionalFormatting>
  <conditionalFormatting sqref="M22">
    <cfRule type="cellIs" dxfId="1224" priority="29" stopIfTrue="1" operator="lessThanOrEqual">
      <formula>$L22</formula>
    </cfRule>
    <cfRule type="cellIs" dxfId="1223" priority="30" operator="greaterThan">
      <formula>L22</formula>
    </cfRule>
  </conditionalFormatting>
  <conditionalFormatting sqref="M23">
    <cfRule type="cellIs" dxfId="1222" priority="27" stopIfTrue="1" operator="lessThanOrEqual">
      <formula>$L23</formula>
    </cfRule>
    <cfRule type="cellIs" dxfId="1221" priority="28" operator="greaterThan">
      <formula>L23</formula>
    </cfRule>
  </conditionalFormatting>
  <conditionalFormatting sqref="M35 M24:M33">
    <cfRule type="cellIs" dxfId="1220" priority="5" stopIfTrue="1" operator="lessThanOrEqual">
      <formula>$L24</formula>
    </cfRule>
    <cfRule type="cellIs" dxfId="1219" priority="6" operator="greaterThan">
      <formula>L24</formula>
    </cfRule>
  </conditionalFormatting>
  <conditionalFormatting sqref="M34">
    <cfRule type="cellIs" dxfId="1218" priority="3" stopIfTrue="1" operator="lessThanOrEqual">
      <formula>$L34</formula>
    </cfRule>
    <cfRule type="cellIs" dxfId="1217" priority="4" operator="greaterThan">
      <formula>L34</formula>
    </cfRule>
  </conditionalFormatting>
  <conditionalFormatting sqref="M36">
    <cfRule type="cellIs" dxfId="1216" priority="1" stopIfTrue="1" operator="lessThanOrEqual">
      <formula>$L36</formula>
    </cfRule>
    <cfRule type="cellIs" dxfId="1215" priority="2" operator="greaterThan">
      <formula>L36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541EB7-7224-4FED-8081-D3E9438FA506}">
          <x14:formula1>
            <xm:f>Bolts!$A:$A</xm:f>
          </x14:formula1>
          <xm:sqref>C37:C49</xm:sqref>
        </x14:dataValidation>
        <x14:dataValidation type="list" allowBlank="1" showInputMessage="1" showErrorMessage="1" xr:uid="{19738A79-A9E4-4127-BCED-59FF98B5AC2B}">
          <x14:formula1>
            <xm:f>Assemblies!$E:$E</xm:f>
          </x14:formula1>
          <xm:sqref>C5:C8</xm:sqref>
        </x14:dataValidation>
        <x14:dataValidation type="list" allowBlank="1" showInputMessage="1" showErrorMessage="1" xr:uid="{DA912A36-4B3B-4533-AD63-11DFEE8A124B}">
          <x14:formula1>
            <xm:f>Machined!$C:$C</xm:f>
          </x14:formula1>
          <xm:sqref>C9:C17</xm:sqref>
        </x14:dataValidation>
        <x14:dataValidation type="list" allowBlank="1" showInputMessage="1" showErrorMessage="1" xr:uid="{F46226E6-9D22-4D30-8464-47E215A02221}">
          <x14:formula1>
            <xm:f>Purchased!$A:$A</xm:f>
          </x14:formula1>
          <xm:sqref>C18:C36</xm:sqref>
        </x14:dataValidation>
      </x14:dataValidations>
    </ext>
  </extLst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6544D-663E-40F5-8F9D-F470991DC8A3}">
  <sheetPr codeName="Sheet134">
    <tabColor theme="6" tint="0.59999389629810485"/>
  </sheetPr>
  <dimension ref="A1:Q28"/>
  <sheetViews>
    <sheetView zoomScale="115" zoomScaleNormal="115" workbookViewId="0">
      <selection activeCell="F20" sqref="A1:Q2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'5.6'!C5</f>
        <v>PG10.5.6.1.0.A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'5.6'!D5</f>
        <v>Cuff Escpmnt B Side Assy</v>
      </c>
      <c r="D3" s="85" t="s">
        <v>50</v>
      </c>
      <c r="E3" s="86" t="str">
        <f ca="1">MID(CELL("filename",A1),FIND("]",CELL("filename",A1))+1,256)</f>
        <v>5.6.1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855</v>
      </c>
      <c r="D5" s="314" t="str">
        <f>VLOOKUP(C5,Machined!C:X,2,0)</f>
        <v>ESC MOUNT B SIDE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45504</v>
      </c>
      <c r="L5" s="44">
        <f>IF(VLOOKUP($C5,Machined!C:Z,20,0) = 0, " ", VLOOKUP($C5,Machined!C:Z,20,0))</f>
        <v>45534</v>
      </c>
      <c r="M5" s="44">
        <f>IF(VLOOKUP($C5,Machined!C:Z,21,0) = 0, " ", VLOOKUP($C5,Machined!C:Z,21,0))</f>
        <v>45534</v>
      </c>
      <c r="N5" s="129">
        <f>IF(VLOOKUP($C5,Machined!C:Z,22,0) = 0, " ", VLOOKUP($C5,Machined!C:Z,22,0))</f>
        <v>55641</v>
      </c>
      <c r="O5" s="45">
        <f ca="1">B5*$L$2</f>
        <v>1</v>
      </c>
      <c r="P5" s="49">
        <f>VLOOKUP(C5,Machined!C:F,3,0)</f>
        <v>160.5</v>
      </c>
      <c r="Q5" s="50">
        <f>B5*P5</f>
        <v>160.5</v>
      </c>
    </row>
    <row r="6" spans="1:17" s="2" customFormat="1" ht="12.75" customHeight="1" x14ac:dyDescent="0.25">
      <c r="A6" s="77">
        <v>2</v>
      </c>
      <c r="B6" s="20">
        <v>1</v>
      </c>
      <c r="C6" s="121" t="s">
        <v>856</v>
      </c>
      <c r="D6" s="314" t="str">
        <f>VLOOKUP(C6,Machined!C:X,2,0)</f>
        <v>ESC PLATE B SIDE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45504</v>
      </c>
      <c r="L6" s="44">
        <f>IF(VLOOKUP($C6,Machined!C:Z,20,0) = 0, " ", VLOOKUP($C6,Machined!C:Z,20,0))</f>
        <v>45534</v>
      </c>
      <c r="M6" s="44">
        <f>IF(VLOOKUP($C6,Machined!C:Z,21,0) = 0, " ", VLOOKUP($C6,Machined!C:Z,21,0))</f>
        <v>45534</v>
      </c>
      <c r="N6" s="129">
        <f>IF(VLOOKUP($C6,Machined!C:Z,22,0) = 0, " ", VLOOKUP($C6,Machined!C:Z,22,0))</f>
        <v>55641</v>
      </c>
      <c r="O6" s="45">
        <f t="shared" ref="O6:O7" ca="1" si="0">B6*$L$2</f>
        <v>1</v>
      </c>
      <c r="P6" s="49">
        <f>VLOOKUP(C6,Machined!C:F,3,0)</f>
        <v>129.35</v>
      </c>
      <c r="Q6" s="50">
        <f t="shared" ref="Q6:Q7" si="1">B6*P6</f>
        <v>129.35</v>
      </c>
    </row>
    <row r="7" spans="1:17" s="2" customFormat="1" ht="12.75" customHeight="1" x14ac:dyDescent="0.25">
      <c r="A7" s="77">
        <v>3</v>
      </c>
      <c r="B7" s="20">
        <v>1</v>
      </c>
      <c r="C7" s="121" t="s">
        <v>857</v>
      </c>
      <c r="D7" s="314" t="str">
        <f>VLOOKUP(C7,Machined!C:X,2,0)</f>
        <v>CUFF DEADNEST B SIDE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45504</v>
      </c>
      <c r="L7" s="44">
        <f>IF(VLOOKUP($C7,Machined!C:Z,20,0) = 0, " ", VLOOKUP($C7,Machined!C:Z,20,0))</f>
        <v>45534</v>
      </c>
      <c r="M7" s="44">
        <f>IF(VLOOKUP($C7,Machined!C:Z,21,0) = 0, " ", VLOOKUP($C7,Machined!C:Z,21,0))</f>
        <v>45534</v>
      </c>
      <c r="N7" s="129">
        <f>IF(VLOOKUP($C7,Machined!C:Z,22,0) = 0, " ", VLOOKUP($C7,Machined!C:Z,22,0))</f>
        <v>55641</v>
      </c>
      <c r="O7" s="45">
        <f t="shared" ca="1" si="0"/>
        <v>1</v>
      </c>
      <c r="P7" s="49">
        <f>VLOOKUP(C7,Machined!C:F,3,0)</f>
        <v>328.5</v>
      </c>
      <c r="Q7" s="50">
        <f t="shared" si="1"/>
        <v>328.5</v>
      </c>
    </row>
    <row r="8" spans="1:17" s="2" customFormat="1" ht="12.75" customHeight="1" x14ac:dyDescent="0.25">
      <c r="A8" s="77">
        <v>4</v>
      </c>
      <c r="B8" s="20">
        <v>1</v>
      </c>
      <c r="C8" s="121" t="s">
        <v>858</v>
      </c>
      <c r="D8" s="314" t="str">
        <f>VLOOKUP(C8,Machined!C:X,2,0)</f>
        <v>ESC FINGER 1 B SIDE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>Proto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304 STAINLESS STEEL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45510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55658</v>
      </c>
      <c r="O8" s="45">
        <f ca="1">B8*$L$2</f>
        <v>1</v>
      </c>
      <c r="P8" s="49">
        <f>VLOOKUP(C8,Machined!C:F,3,0)</f>
        <v>52.07</v>
      </c>
      <c r="Q8" s="50">
        <f>B8*P8</f>
        <v>52.07</v>
      </c>
    </row>
    <row r="9" spans="1:17" s="2" customFormat="1" ht="12.75" customHeight="1" x14ac:dyDescent="0.25">
      <c r="A9" s="77">
        <v>5</v>
      </c>
      <c r="B9" s="20">
        <v>1</v>
      </c>
      <c r="C9" s="121" t="s">
        <v>859</v>
      </c>
      <c r="D9" s="314" t="str">
        <f>VLOOKUP(C9,Machined!C:X,2,0)</f>
        <v>ESC FINGER 2 B SIDE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Proto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45495</v>
      </c>
      <c r="K9" s="44">
        <f>IF(VLOOKUP($C9,Machined!C:Z,19,0) = 0, " ", VLOOKUP($C9,Machined!C:Z,19,0))</f>
        <v>45510</v>
      </c>
      <c r="L9" s="44">
        <f>IF(VLOOKUP($C9,Machined!C:Z,20,0) = 0, " ", VLOOKUP($C9,Machined!C:Z,20,0))</f>
        <v>45540</v>
      </c>
      <c r="M9" s="44">
        <f>IF(VLOOKUP($C9,Machined!C:Z,21,0) = 0, " ", VLOOKUP($C9,Machined!C:Z,21,0))</f>
        <v>45540</v>
      </c>
      <c r="N9" s="129">
        <f>IF(VLOOKUP($C9,Machined!C:Z,22,0) = 0, " ", VLOOKUP($C9,Machined!C:Z,22,0))</f>
        <v>55658</v>
      </c>
      <c r="O9" s="45">
        <f t="shared" ref="O9:O10" ca="1" si="2">B9*$L$2</f>
        <v>1</v>
      </c>
      <c r="P9" s="49">
        <f>VLOOKUP(C9,Machined!C:F,3,0)</f>
        <v>80.87</v>
      </c>
      <c r="Q9" s="50">
        <f t="shared" ref="Q9:Q10" si="3">B9*P9</f>
        <v>80.87</v>
      </c>
    </row>
    <row r="10" spans="1:17" s="2" customFormat="1" ht="12.75" customHeight="1" x14ac:dyDescent="0.25">
      <c r="A10" s="77">
        <v>6</v>
      </c>
      <c r="B10" s="20">
        <v>1</v>
      </c>
      <c r="C10" s="121" t="s">
        <v>860</v>
      </c>
      <c r="D10" s="314" t="str">
        <f>VLOOKUP(C10,Machined!C:X,2,0)</f>
        <v>ESC GUIDE B SIDE</v>
      </c>
      <c r="E10" s="329"/>
      <c r="F10" s="107" t="str">
        <f>VLOOKUP($C10,Machined!C:Z,13,0)</f>
        <v>304 STAINLESS STEEL</v>
      </c>
      <c r="G10" s="44" t="str">
        <f>IF(VLOOKUP($C10,Machined!C:Z,16,0) = 0, " ", VLOOKUP($C10,Machined!C:Z,16,0))</f>
        <v>Proto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304 STAINLESS STEEL</v>
      </c>
      <c r="J10" s="44">
        <f>IF(VLOOKUP($C10,Machined!C:Z,18,0) = 0, " ", VLOOKUP($C10,Machined!C:Z,18,0))</f>
        <v>45495</v>
      </c>
      <c r="K10" s="44">
        <f>IF(VLOOKUP($C10,Machined!C:Z,19,0) = 0, " ", VLOOKUP($C10,Machined!C:Z,19,0))</f>
        <v>45510</v>
      </c>
      <c r="L10" s="44">
        <f>IF(VLOOKUP($C10,Machined!C:Z,20,0) = 0, " ", VLOOKUP($C10,Machined!C:Z,20,0))</f>
        <v>45540</v>
      </c>
      <c r="M10" s="44">
        <f>IF(VLOOKUP($C10,Machined!C:Z,21,0) = 0, " ", VLOOKUP($C10,Machined!C:Z,21,0))</f>
        <v>45540</v>
      </c>
      <c r="N10" s="129">
        <f>IF(VLOOKUP($C10,Machined!C:Z,22,0) = 0, " ", VLOOKUP($C10,Machined!C:Z,22,0))</f>
        <v>55658</v>
      </c>
      <c r="O10" s="45">
        <f t="shared" ca="1" si="2"/>
        <v>1</v>
      </c>
      <c r="P10" s="49">
        <f>VLOOKUP(C10,Machined!C:F,3,0)</f>
        <v>156.76</v>
      </c>
      <c r="Q10" s="50">
        <f t="shared" si="3"/>
        <v>156.76</v>
      </c>
    </row>
    <row r="11" spans="1:17" s="2" customFormat="1" ht="12.75" customHeight="1" x14ac:dyDescent="0.25">
      <c r="A11" s="77">
        <v>7</v>
      </c>
      <c r="B11" s="20">
        <v>1</v>
      </c>
      <c r="C11" s="121" t="s">
        <v>818</v>
      </c>
      <c r="D11" s="314" t="str">
        <f>VLOOKUP(C11,Machined!C:X,2,0)</f>
        <v>DEADNEST SENSOR BRACKET</v>
      </c>
      <c r="E11" s="329"/>
      <c r="F11" s="107" t="str">
        <f>VLOOKUP($C11,Machined!C:Z,13,0)</f>
        <v>304 STAINLESS STEEL</v>
      </c>
      <c r="G11" s="44" t="str">
        <f>IF(VLOOKUP($C11,Machined!C:Z,16,0) = 0, " ", VLOOKUP($C11,Machined!C:Z,16,0))</f>
        <v>Proto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304 STAINLESS STEEL</v>
      </c>
      <c r="J11" s="44">
        <f>IF(VLOOKUP($C11,Machined!C:Z,18,0) = 0, " ", VLOOKUP($C11,Machined!C:Z,18,0))</f>
        <v>45495</v>
      </c>
      <c r="K11" s="44">
        <f>IF(VLOOKUP($C11,Machined!C:Z,19,0) = 0, " ", VLOOKUP($C11,Machined!C:Z,19,0))</f>
        <v>45510</v>
      </c>
      <c r="L11" s="44">
        <f>IF(VLOOKUP($C11,Machined!C:Z,20,0) = 0, " ", VLOOKUP($C11,Machined!C:Z,20,0))</f>
        <v>45540</v>
      </c>
      <c r="M11" s="44">
        <f>IF(VLOOKUP($C11,Machined!C:Z,21,0) = 0, " ", VLOOKUP($C11,Machined!C:Z,21,0))</f>
        <v>45540</v>
      </c>
      <c r="N11" s="129">
        <f>IF(VLOOKUP($C11,Machined!C:Z,22,0) = 0, " ", VLOOKUP($C11,Machined!C:Z,22,0))</f>
        <v>55658</v>
      </c>
      <c r="O11" s="45">
        <f ca="1">B11*$L$2</f>
        <v>1</v>
      </c>
      <c r="P11" s="49">
        <f>VLOOKUP(C11,Machined!C:F,3,0)</f>
        <v>51.84</v>
      </c>
      <c r="Q11" s="50">
        <f>B11*P11</f>
        <v>51.84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301</v>
      </c>
      <c r="B13" s="2">
        <v>1</v>
      </c>
      <c r="C13" s="135" t="s">
        <v>820</v>
      </c>
      <c r="D13" s="325" t="str">
        <f>VLOOKUP(C13,Purchased!A:B,2,0)</f>
        <v>Keyence COMPACT LASER SENSOR, M8 CONNECTOR, 100MM RANGE</v>
      </c>
      <c r="E13" s="326"/>
      <c r="F13" s="108" t="str">
        <f>IF(VLOOKUP($C13,Purchased!A:Z,11,0) = 0, " ", VLOOKUP($C13,Purchased!A:Z,11,0))</f>
        <v>KEYENCE</v>
      </c>
      <c r="G13" s="108" t="str">
        <f>IF(VLOOKUP($C13,Purchased!A:Z,12,0)=0, " ", VLOOKUP($C13,Purchased!A:Z,12,0))</f>
        <v>KEYENCE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45516</v>
      </c>
      <c r="K13" s="46">
        <f>IF(VLOOKUP(C13,Purchased!A:R,14,0)=0, " ", VLOOKUP(C13,Purchased!A:R,14,0))</f>
        <v>45516</v>
      </c>
      <c r="L13" s="46">
        <f>IF(VLOOKUP(C13,Purchased!A:R,15,0)=0, " ", VLOOKUP(C13,Purchased!A:R,15,0))</f>
        <v>45518</v>
      </c>
      <c r="M13" s="46">
        <f>IF(VLOOKUP(C13,Purchased!A:R,16,0)=0, " ",VLOOKUP(C13,Purchased!A:R,16,0))</f>
        <v>45526</v>
      </c>
      <c r="N13" s="130">
        <f>IF(VLOOKUP(C13,Purchased!A:R,17,0)=0, " ", VLOOKUP(C13,Purchased!A:R,17,0))</f>
        <v>45526</v>
      </c>
      <c r="O13" s="47">
        <f t="shared" ref="O13:O20" ca="1" si="4">B13*$L$2</f>
        <v>1</v>
      </c>
      <c r="P13" s="51">
        <f>VLOOKUP(C13,Purchased!A:D,3,FALSE)</f>
        <v>575</v>
      </c>
      <c r="Q13" s="52">
        <f t="shared" ref="Q13:Q20" si="5">B13*P13</f>
        <v>575</v>
      </c>
    </row>
    <row r="14" spans="1:17" s="2" customFormat="1" ht="12" customHeight="1" x14ac:dyDescent="0.25">
      <c r="A14" s="4">
        <v>302</v>
      </c>
      <c r="B14" s="2">
        <v>6</v>
      </c>
      <c r="C14" s="135" t="s">
        <v>821</v>
      </c>
      <c r="D14" s="325" t="str">
        <f>VLOOKUP(C14,Purchased!A:B,2,0)</f>
        <v>General Purpose Zinc-Plated Steel Washer for M4 Screw Size, 4.300 mm ID, 8 
mm OD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45482</v>
      </c>
      <c r="K14" s="46">
        <f>IF(VLOOKUP(C14,Purchased!A:R,14,0)=0, " ", VLOOKUP(C14,Purchased!A:R,14,0))</f>
        <v>45482</v>
      </c>
      <c r="L14" s="46">
        <f>IF(VLOOKUP(C14,Purchased!A:R,15,0)=0, " ", VLOOKUP(C14,Purchased!A:R,15,0))</f>
        <v>45482</v>
      </c>
      <c r="M14" s="46">
        <f>IF(VLOOKUP(C14,Purchased!A:R,16,0)=0, " ",VLOOKUP(C14,Purchased!A:R,16,0))</f>
        <v>45483</v>
      </c>
      <c r="N14" s="130">
        <f>IF(VLOOKUP(C14,Purchased!A:R,17,0)=0, " ", VLOOKUP(C14,Purchased!A:R,17,0))</f>
        <v>45483</v>
      </c>
      <c r="O14" s="47">
        <f t="shared" ca="1" si="4"/>
        <v>6</v>
      </c>
      <c r="P14" s="51">
        <f>VLOOKUP(C14,Purchased!A:D,3,FALSE)</f>
        <v>3.72</v>
      </c>
      <c r="Q14" s="52">
        <f t="shared" si="5"/>
        <v>22.32</v>
      </c>
    </row>
    <row r="15" spans="1:17" s="2" customFormat="1" ht="12" customHeight="1" x14ac:dyDescent="0.25">
      <c r="A15" s="4">
        <v>303</v>
      </c>
      <c r="B15" s="2">
        <v>2</v>
      </c>
      <c r="C15" s="135" t="s">
        <v>745</v>
      </c>
      <c r="D15" s="325" t="str">
        <f>VLOOKUP(C15,Purchased!A:B,2,0)</f>
        <v>General Purpose Zinc-Plated Steel Washer for M5 Screw Size, 5.300 mm ID, 
9.000 mm OD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45482</v>
      </c>
      <c r="K15" s="46">
        <f>IF(VLOOKUP(C15,Purchased!A:R,14,0)=0, " ", VLOOKUP(C15,Purchased!A:R,14,0))</f>
        <v>45482</v>
      </c>
      <c r="L15" s="46">
        <f>IF(VLOOKUP(C15,Purchased!A:R,15,0)=0, " ", VLOOKUP(C15,Purchased!A:R,15,0))</f>
        <v>45482</v>
      </c>
      <c r="M15" s="46">
        <f>IF(VLOOKUP(C15,Purchased!A:R,16,0)=0, " ",VLOOKUP(C15,Purchased!A:R,16,0))</f>
        <v>45483</v>
      </c>
      <c r="N15" s="130">
        <f>IF(VLOOKUP(C15,Purchased!A:R,17,0)=0, " ", VLOOKUP(C15,Purchased!A:R,17,0))</f>
        <v>45483</v>
      </c>
      <c r="O15" s="47">
        <f t="shared" ca="1" si="4"/>
        <v>2</v>
      </c>
      <c r="P15" s="51">
        <f>VLOOKUP(C15,Purchased!A:D,3,FALSE)</f>
        <v>4</v>
      </c>
      <c r="Q15" s="52">
        <f t="shared" si="5"/>
        <v>8</v>
      </c>
    </row>
    <row r="16" spans="1:17" s="2" customFormat="1" ht="12" customHeight="1" x14ac:dyDescent="0.25">
      <c r="A16" s="4">
        <v>304</v>
      </c>
      <c r="B16" s="2">
        <v>2</v>
      </c>
      <c r="C16" s="135" t="s">
        <v>306</v>
      </c>
      <c r="D16" s="325" t="str">
        <f>VLOOKUP(C16,Purchased!A:B,2,0)</f>
        <v>M8 female 0° A-cod. with cable, PVC 3x0.25 bk UL/CSA 10m</v>
      </c>
      <c r="E16" s="326"/>
      <c r="F16" s="108" t="str">
        <f>IF(VLOOKUP($C16,Purchased!A:Z,11,0) = 0, " ", VLOOKUP($C16,Purchased!A:Z,11,0))</f>
        <v>MURR</v>
      </c>
      <c r="G16" s="108" t="str">
        <f>IF(VLOOKUP($C16,Purchased!A:Z,12,0)=0, " ", VLOOKUP($C16,Purchased!A:Z,12,0))</f>
        <v>MURR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45506</v>
      </c>
      <c r="K16" s="46">
        <f>IF(VLOOKUP(C16,Purchased!A:R,14,0)=0, " ", VLOOKUP(C16,Purchased!A:R,14,0))</f>
        <v>45506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4"/>
        <v>2</v>
      </c>
      <c r="P16" s="51">
        <f>VLOOKUP(C16,Purchased!A:D,3,FALSE)</f>
        <v>0</v>
      </c>
      <c r="Q16" s="52">
        <f t="shared" si="5"/>
        <v>0</v>
      </c>
    </row>
    <row r="17" spans="1:17" s="2" customFormat="1" ht="12" customHeight="1" x14ac:dyDescent="0.25">
      <c r="A17" s="4">
        <v>305</v>
      </c>
      <c r="B17" s="2">
        <v>1</v>
      </c>
      <c r="C17" s="135" t="s">
        <v>220</v>
      </c>
      <c r="D17" s="325" t="str">
        <f>VLOOKUP(C17,Purchased!A:B,2,0)</f>
        <v>M8 4PIN TO FLYING LEAD 7.5M CABLE</v>
      </c>
      <c r="E17" s="326"/>
      <c r="F17" s="108" t="str">
        <f>IF(VLOOKUP($C17,Purchased!A:Z,11,0) = 0, " ", VLOOKUP($C17,Purchased!A:Z,11,0))</f>
        <v>MURR</v>
      </c>
      <c r="G17" s="108" t="str">
        <f>IF(VLOOKUP($C17,Purchased!A:Z,12,0)=0, " ", VLOOKUP($C17,Purchased!A:Z,12,0))</f>
        <v>MURR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45506</v>
      </c>
      <c r="K17" s="46">
        <f>IF(VLOOKUP(C17,Purchased!A:R,14,0)=0, " ", VLOOKUP(C17,Purchased!A:R,14,0))</f>
        <v>45506</v>
      </c>
      <c r="L17" s="46" t="str">
        <f>IF(VLOOKUP(C17,Purchased!A:R,15,0)=0, " ", VLOOKUP(C17,Purchased!A:R,15,0))</f>
        <v xml:space="preserve"> </v>
      </c>
      <c r="M17" s="46" t="str">
        <f>IF(VLOOKUP(C17,Purchased!A:R,16,0)=0, " ",VLOOKUP(C17,Purchased!A:R,16,0))</f>
        <v xml:space="preserve"> </v>
      </c>
      <c r="N17" s="130" t="str">
        <f>IF(VLOOKUP(C17,Purchased!A:R,17,0)=0, " ", VLOOKUP(C17,Purchased!A:R,17,0))</f>
        <v xml:space="preserve"> </v>
      </c>
      <c r="O17" s="47">
        <f t="shared" ca="1" si="4"/>
        <v>1</v>
      </c>
      <c r="P17" s="51">
        <f>VLOOKUP(C17,Purchased!A:D,3,FALSE)</f>
        <v>0</v>
      </c>
      <c r="Q17" s="52">
        <f t="shared" si="5"/>
        <v>0</v>
      </c>
    </row>
    <row r="18" spans="1:17" s="2" customFormat="1" ht="12" customHeight="1" x14ac:dyDescent="0.25">
      <c r="A18" s="4">
        <v>306</v>
      </c>
      <c r="B18" s="2">
        <v>1</v>
      </c>
      <c r="C18" s="135" t="s">
        <v>822</v>
      </c>
      <c r="D18" s="325" t="str">
        <f>VLOOKUP(C18,Purchased!A:B,2,0)</f>
        <v>2-FINGER ESCAPEMENT, 12MM BORE, 12MM STROKE</v>
      </c>
      <c r="E18" s="326"/>
      <c r="F18" s="108" t="str">
        <f>IF(VLOOKUP($C18,Purchased!A:Z,11,0) = 0, " ", VLOOKUP($C18,Purchased!A:Z,11,0))</f>
        <v>SMC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45489</v>
      </c>
      <c r="M18" s="46">
        <f>IF(VLOOKUP(C18,Purchased!A:R,16,0)=0, " ",VLOOKUP(C18,Purchased!A:R,16,0))</f>
        <v>45510</v>
      </c>
      <c r="N18" s="130">
        <f>IF(VLOOKUP(C18,Purchased!A:R,17,0)=0, " ", VLOOKUP(C18,Purchased!A:R,17,0))</f>
        <v>45513</v>
      </c>
      <c r="O18" s="47">
        <f t="shared" ca="1" si="4"/>
        <v>1</v>
      </c>
      <c r="P18" s="51">
        <f>VLOOKUP(C18,Purchased!A:D,3,FALSE)</f>
        <v>220.66</v>
      </c>
      <c r="Q18" s="52">
        <f t="shared" si="5"/>
        <v>220.66</v>
      </c>
    </row>
    <row r="19" spans="1:17" s="2" customFormat="1" ht="12" customHeight="1" x14ac:dyDescent="0.25">
      <c r="A19" s="4">
        <v>307</v>
      </c>
      <c r="B19" s="2">
        <v>2</v>
      </c>
      <c r="C19" s="135" t="s">
        <v>305</v>
      </c>
      <c r="D19" s="325" t="str">
        <f>VLOOKUP(C19,Purchased!A:B,2,0)</f>
        <v>Auto Switch, Solid State, General Purpose, M8-3Pin Connector, 0.5m Cord 
Length</v>
      </c>
      <c r="E19" s="326"/>
      <c r="F19" s="108" t="str">
        <f>IF(VLOOKUP($C19,Purchased!A:Z,11,0) = 0, " ", VLOOKUP($C19,Purchased!A:Z,11,0))</f>
        <v>SMC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>10 more PO 55692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45489</v>
      </c>
      <c r="M19" s="46">
        <f>IF(VLOOKUP(C19,Purchased!A:R,16,0)=0, " ",VLOOKUP(C19,Purchased!A:R,16,0))</f>
        <v>45510</v>
      </c>
      <c r="N19" s="130">
        <f>IF(VLOOKUP(C19,Purchased!A:R,17,0)=0, " ", VLOOKUP(C19,Purchased!A:R,17,0))</f>
        <v>45513</v>
      </c>
      <c r="O19" s="47">
        <f t="shared" ca="1" si="4"/>
        <v>2</v>
      </c>
      <c r="P19" s="51">
        <f>VLOOKUP(C19,Purchased!A:D,3,FALSE)</f>
        <v>38.64</v>
      </c>
      <c r="Q19" s="52">
        <f t="shared" si="5"/>
        <v>77.28</v>
      </c>
    </row>
    <row r="20" spans="1:17" s="2" customFormat="1" ht="12" customHeight="1" x14ac:dyDescent="0.25">
      <c r="A20" s="4">
        <v>308</v>
      </c>
      <c r="B20" s="2">
        <v>2</v>
      </c>
      <c r="C20" s="135" t="s">
        <v>657</v>
      </c>
      <c r="D20" s="325" t="str">
        <f>VLOOKUP(C20,Purchased!A:B,2,0)</f>
        <v>KQ2 unifit, elbow, 4mm dia tubing, M5 port</v>
      </c>
      <c r="E20" s="326"/>
      <c r="F20" s="108" t="str">
        <f>IF(VLOOKUP($C20,Purchased!A:Z,11,0) = 0, " ", VLOOKUP($C20,Purchased!A:Z,11,0))</f>
        <v>SMC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>20 more PO 55692</v>
      </c>
      <c r="I20" s="328"/>
      <c r="J20" s="46">
        <f>IF(VLOOKUP($C20,Purchased!A:Z,14,0)=0, " ", VLOOKUP($C20,Purchased!A:Z,14,0))</f>
        <v>45489</v>
      </c>
      <c r="K20" s="46">
        <f>IF(VLOOKUP(C20,Purchased!A:R,14,0)=0, " ", VLOOKUP(C20,Purchased!A:R,14,0))</f>
        <v>45489</v>
      </c>
      <c r="L20" s="46">
        <f>IF(VLOOKUP(C20,Purchased!A:R,15,0)=0, " ", VLOOKUP(C20,Purchased!A:R,15,0))</f>
        <v>45491</v>
      </c>
      <c r="M20" s="46">
        <f>IF(VLOOKUP(C20,Purchased!A:R,16,0)=0, " ",VLOOKUP(C20,Purchased!A:R,16,0))</f>
        <v>45520</v>
      </c>
      <c r="N20" s="130">
        <f>IF(VLOOKUP(C20,Purchased!A:R,17,0)=0, " ", VLOOKUP(C20,Purchased!A:R,17,0))</f>
        <v>45511</v>
      </c>
      <c r="O20" s="47">
        <f t="shared" ca="1" si="4"/>
        <v>2</v>
      </c>
      <c r="P20" s="51">
        <f>VLOOKUP(C20,Purchased!A:D,3,FALSE)</f>
        <v>1.43</v>
      </c>
      <c r="Q20" s="52">
        <f t="shared" si="5"/>
        <v>2.86</v>
      </c>
    </row>
    <row r="21" spans="1:17" s="2" customFormat="1" ht="12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" customHeight="1" x14ac:dyDescent="0.25">
      <c r="A22" s="4">
        <v>501</v>
      </c>
      <c r="B22" s="2">
        <v>4</v>
      </c>
      <c r="C22" s="122" t="s">
        <v>196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ref="O22:O27" ca="1" si="6">B22*$L$2</f>
        <v>4</v>
      </c>
      <c r="P22" s="51">
        <f>VLOOKUP(C22,Bolts!A:B,2,FALSE)</f>
        <v>0</v>
      </c>
      <c r="Q22" s="52">
        <f t="shared" ref="Q22:Q27" si="7">B22*P22</f>
        <v>0</v>
      </c>
    </row>
    <row r="23" spans="1:17" s="2" customFormat="1" ht="12" customHeight="1" x14ac:dyDescent="0.25">
      <c r="A23" s="4">
        <v>502</v>
      </c>
      <c r="B23" s="2">
        <v>2</v>
      </c>
      <c r="C23" s="122" t="s">
        <v>823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6"/>
        <v>2</v>
      </c>
      <c r="P23" s="51">
        <f>VLOOKUP(C23,Bolts!A:B,2,FALSE)</f>
        <v>0</v>
      </c>
      <c r="Q23" s="52">
        <f t="shared" si="7"/>
        <v>0</v>
      </c>
    </row>
    <row r="24" spans="1:17" s="2" customFormat="1" ht="12" customHeight="1" x14ac:dyDescent="0.25">
      <c r="A24" s="4">
        <v>503</v>
      </c>
      <c r="B24" s="2">
        <v>2</v>
      </c>
      <c r="C24" s="122" t="s">
        <v>275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6"/>
        <v>2</v>
      </c>
      <c r="P24" s="51">
        <f>VLOOKUP(C24,Bolts!A:B,2,FALSE)</f>
        <v>0</v>
      </c>
      <c r="Q24" s="52">
        <f t="shared" si="7"/>
        <v>0</v>
      </c>
    </row>
    <row r="25" spans="1:17" s="2" customFormat="1" ht="12" customHeight="1" x14ac:dyDescent="0.25">
      <c r="A25" s="4">
        <v>504</v>
      </c>
      <c r="B25" s="2">
        <v>6</v>
      </c>
      <c r="C25" s="122" t="s">
        <v>198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6"/>
        <v>6</v>
      </c>
      <c r="P25" s="51">
        <f>VLOOKUP(C25,Bolts!A:B,2,FALSE)</f>
        <v>0</v>
      </c>
      <c r="Q25" s="52">
        <f t="shared" si="7"/>
        <v>0</v>
      </c>
    </row>
    <row r="26" spans="1:17" s="2" customFormat="1" ht="12" customHeight="1" x14ac:dyDescent="0.25">
      <c r="A26" s="4">
        <v>505</v>
      </c>
      <c r="B26" s="2">
        <v>2</v>
      </c>
      <c r="C26" s="122" t="s">
        <v>95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6"/>
        <v>2</v>
      </c>
      <c r="P26" s="51">
        <f>VLOOKUP(C26,Bolts!A:B,2,FALSE)</f>
        <v>0</v>
      </c>
      <c r="Q26" s="52">
        <f t="shared" si="7"/>
        <v>0</v>
      </c>
    </row>
    <row r="27" spans="1:17" s="2" customFormat="1" ht="12" customHeight="1" thickBot="1" x14ac:dyDescent="0.3">
      <c r="A27" s="4">
        <v>506</v>
      </c>
      <c r="B27" s="2">
        <v>2</v>
      </c>
      <c r="C27" s="122" t="s">
        <v>808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6"/>
        <v>2</v>
      </c>
      <c r="P27" s="51">
        <f>VLOOKUP(C27,Bolts!A:B,2,FALSE)</f>
        <v>0</v>
      </c>
      <c r="Q27" s="52">
        <f t="shared" si="7"/>
        <v>0</v>
      </c>
    </row>
    <row r="28" spans="1:17" s="2" customFormat="1" ht="12" customHeight="1" thickBot="1" x14ac:dyDescent="0.3">
      <c r="A28" s="34"/>
      <c r="B28" s="35"/>
      <c r="C28" s="35"/>
      <c r="D28" s="316"/>
      <c r="E28" s="317"/>
      <c r="F28" s="35"/>
      <c r="G28" s="35"/>
      <c r="H28" s="309"/>
      <c r="I28" s="310"/>
      <c r="J28" s="36"/>
      <c r="K28" s="36"/>
      <c r="L28" s="36"/>
      <c r="M28" s="37"/>
      <c r="N28" s="132"/>
      <c r="O28" s="38"/>
      <c r="P28" s="99" t="s">
        <v>43</v>
      </c>
      <c r="Q28" s="104">
        <f>SUM(Q5:Q27)</f>
        <v>1866.01</v>
      </c>
    </row>
  </sheetData>
  <sheetProtection selectLockedCells="1"/>
  <mergeCells count="45">
    <mergeCell ref="D1:E1"/>
    <mergeCell ref="D4:E4"/>
    <mergeCell ref="H4:I4"/>
    <mergeCell ref="D6:E6"/>
    <mergeCell ref="H6:I6"/>
    <mergeCell ref="D5:E5"/>
    <mergeCell ref="H5:I5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19:E19"/>
    <mergeCell ref="H19:I19"/>
    <mergeCell ref="D20:E20"/>
    <mergeCell ref="H20:I20"/>
    <mergeCell ref="D21:E21"/>
    <mergeCell ref="H21:I21"/>
    <mergeCell ref="D27:E27"/>
    <mergeCell ref="D28:E28"/>
    <mergeCell ref="H28:I28"/>
    <mergeCell ref="D22:E22"/>
    <mergeCell ref="D23:E23"/>
    <mergeCell ref="D24:E24"/>
    <mergeCell ref="D25:E25"/>
    <mergeCell ref="D26:E26"/>
  </mergeCells>
  <conditionalFormatting sqref="M12 M21:M27">
    <cfRule type="cellIs" dxfId="1214" priority="17" stopIfTrue="1" operator="lessThanOrEqual">
      <formula>$L12</formula>
    </cfRule>
    <cfRule type="cellIs" dxfId="1213" priority="18" operator="greaterThan">
      <formula>L12</formula>
    </cfRule>
  </conditionalFormatting>
  <conditionalFormatting sqref="M13">
    <cfRule type="cellIs" dxfId="1212" priority="15" stopIfTrue="1" operator="lessThanOrEqual">
      <formula>$L13</formula>
    </cfRule>
    <cfRule type="cellIs" dxfId="1211" priority="16" operator="greaterThan">
      <formula>L13</formula>
    </cfRule>
  </conditionalFormatting>
  <conditionalFormatting sqref="M14">
    <cfRule type="cellIs" dxfId="1210" priority="13" stopIfTrue="1" operator="lessThanOrEqual">
      <formula>$L14</formula>
    </cfRule>
    <cfRule type="cellIs" dxfId="1209" priority="14" operator="greaterThan">
      <formula>L14</formula>
    </cfRule>
  </conditionalFormatting>
  <conditionalFormatting sqref="M15:M20">
    <cfRule type="cellIs" dxfId="1208" priority="1" stopIfTrue="1" operator="lessThanOrEqual">
      <formula>$L15</formula>
    </cfRule>
    <cfRule type="cellIs" dxfId="1207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29F7650-9382-467B-A8B2-2CB9667483FA}">
          <x14:formula1>
            <xm:f>Bolts!$A:$A</xm:f>
          </x14:formula1>
          <xm:sqref>C21:C27</xm:sqref>
        </x14:dataValidation>
        <x14:dataValidation type="list" allowBlank="1" showInputMessage="1" showErrorMessage="1" xr:uid="{44D28E6C-2F8F-4F89-B28A-EB3369AE0066}">
          <x14:formula1>
            <xm:f>Machined!$C:$C</xm:f>
          </x14:formula1>
          <xm:sqref>C5:C11</xm:sqref>
        </x14:dataValidation>
        <x14:dataValidation type="list" allowBlank="1" showInputMessage="1" showErrorMessage="1" xr:uid="{B1D9BE6D-C995-4484-BE7E-312D8D0668A3}">
          <x14:formula1>
            <xm:f>Purchased!$A:$A</xm:f>
          </x14:formula1>
          <xm:sqref>C12:C20</xm:sqref>
        </x14:dataValidation>
      </x14:dataValidations>
    </ext>
  </extLst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14239-BE74-492B-BA68-F5908C5DB35E}">
  <sheetPr codeName="Sheet135">
    <tabColor theme="6" tint="0.59999389629810485"/>
  </sheetPr>
  <dimension ref="A1:Q18"/>
  <sheetViews>
    <sheetView zoomScale="115" zoomScaleNormal="115" workbookViewId="0">
      <selection activeCell="F13" sqref="A1:Q1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'5.6'!C6</f>
        <v>PG10.5.6.2.0.A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'5.6'!D6</f>
        <v>Cuff Shuttle B Side Assy</v>
      </c>
      <c r="D3" s="85" t="s">
        <v>50</v>
      </c>
      <c r="E3" s="86" t="str">
        <f ca="1">MID(CELL("filename",A1),FIND("]",CELL("filename",A1))+1,256)</f>
        <v>5.6.2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824</v>
      </c>
      <c r="D5" s="336" t="str">
        <f ca="1">VLOOKUP(C5,Assemblies!E:P,2,0)</f>
        <v>Cuff Gripper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1</v>
      </c>
      <c r="P5" s="117">
        <f>'5.5.2.1'!Q26</f>
        <v>1255.9299999999998</v>
      </c>
      <c r="Q5" s="118">
        <f t="shared" ref="Q5" si="1">B5*P5</f>
        <v>1255.9299999999998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1</v>
      </c>
      <c r="C7" s="121" t="s">
        <v>861</v>
      </c>
      <c r="D7" s="314" t="str">
        <f>VLOOKUP(C7,Machined!C:X,2,0)</f>
        <v>SHUTTLE TABLE PLATE B SIDE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45504</v>
      </c>
      <c r="L7" s="44">
        <f>IF(VLOOKUP($C7,Machined!C:Z,20,0) = 0, " ", VLOOKUP($C7,Machined!C:Z,20,0))</f>
        <v>45534</v>
      </c>
      <c r="M7" s="44">
        <f>IF(VLOOKUP($C7,Machined!C:Z,21,0) = 0, " ", VLOOKUP($C7,Machined!C:Z,21,0))</f>
        <v>45534</v>
      </c>
      <c r="N7" s="129">
        <f>IF(VLOOKUP($C7,Machined!C:Z,22,0) = 0, " ", VLOOKUP($C7,Machined!C:Z,22,0))</f>
        <v>55641</v>
      </c>
      <c r="O7" s="45">
        <f ca="1">B7*$L$2</f>
        <v>1</v>
      </c>
      <c r="P7" s="49">
        <f>VLOOKUP(C7,Machined!C:F,3,0)</f>
        <v>93.4</v>
      </c>
      <c r="Q7" s="50">
        <f>B7*P7</f>
        <v>93.4</v>
      </c>
    </row>
    <row r="8" spans="1:17" s="2" customFormat="1" ht="12.75" customHeight="1" x14ac:dyDescent="0.25">
      <c r="A8" s="77">
        <v>2</v>
      </c>
      <c r="B8" s="20">
        <v>1</v>
      </c>
      <c r="C8" s="121" t="s">
        <v>862</v>
      </c>
      <c r="D8" s="314" t="str">
        <f>VLOOKUP(C8,Machined!C:X,2,0)</f>
        <v>SHUTTLE BRACKET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Frontier Mach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45504</v>
      </c>
      <c r="L8" s="44">
        <f>IF(VLOOKUP($C8,Machined!C:Z,20,0) = 0, " ", VLOOKUP($C8,Machined!C:Z,20,0))</f>
        <v>45534</v>
      </c>
      <c r="M8" s="44">
        <f>IF(VLOOKUP($C8,Machined!C:Z,21,0) = 0, " ", VLOOKUP($C8,Machined!C:Z,21,0))</f>
        <v>45534</v>
      </c>
      <c r="N8" s="129">
        <f>IF(VLOOKUP($C8,Machined!C:Z,22,0) = 0, " ", VLOOKUP($C8,Machined!C:Z,22,0))</f>
        <v>55641</v>
      </c>
      <c r="O8" s="45">
        <f t="shared" ref="O8" ca="1" si="2">B8*$L$2</f>
        <v>1</v>
      </c>
      <c r="P8" s="49">
        <f>VLOOKUP(C8,Machined!C:F,3,0)</f>
        <v>114.15</v>
      </c>
      <c r="Q8" s="50">
        <f t="shared" ref="Q8" si="3">B8*P8</f>
        <v>114.15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3</v>
      </c>
      <c r="C10" s="135" t="s">
        <v>306</v>
      </c>
      <c r="D10" s="325" t="str">
        <f>VLOOKUP(C10,Purchased!A:B,2,0)</f>
        <v>M8 female 0° A-cod. with cable, PVC 3x0.25 bk UL/CSA 10m</v>
      </c>
      <c r="E10" s="326"/>
      <c r="F10" s="108" t="str">
        <f>IF(VLOOKUP($C10,Purchased!A:Z,11,0) = 0, " ", VLOOKUP($C10,Purchased!A:Z,11,0))</f>
        <v>MURR</v>
      </c>
      <c r="G10" s="108" t="str">
        <f>IF(VLOOKUP($C10,Purchased!A:Z,12,0)=0, " ", VLOOKUP($C10,Purchased!A:Z,12,0))</f>
        <v>MURR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45506</v>
      </c>
      <c r="K10" s="46">
        <f>IF(VLOOKUP(C10,Purchased!A:R,14,0)=0, " ", VLOOKUP(C10,Purchased!A:R,14,0))</f>
        <v>45506</v>
      </c>
      <c r="L10" s="46" t="str">
        <f>IF(VLOOKUP(C10,Purchased!A:R,15,0)=0, " ", VLOOKUP(C10,Purchased!A:R,15,0))</f>
        <v xml:space="preserve"> 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t="shared" ref="O10:O13" ca="1" si="4">B10*$L$2</f>
        <v>3</v>
      </c>
      <c r="P10" s="51">
        <f>VLOOKUP(C10,Purchased!A:D,3,FALSE)</f>
        <v>0</v>
      </c>
      <c r="Q10" s="52">
        <f t="shared" ref="Q10:Q13" si="5">B10*P10</f>
        <v>0</v>
      </c>
    </row>
    <row r="11" spans="1:17" s="2" customFormat="1" ht="12" customHeight="1" x14ac:dyDescent="0.25">
      <c r="A11" s="4">
        <v>302</v>
      </c>
      <c r="B11" s="2">
        <v>3</v>
      </c>
      <c r="C11" s="135" t="s">
        <v>305</v>
      </c>
      <c r="D11" s="325" t="str">
        <f>VLOOKUP(C11,Purchased!A:B,2,0)</f>
        <v>Auto Switch, Solid State, General Purpose, M8-3Pin Connector, 0.5m Cord 
Length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10 more PO 55692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45489</v>
      </c>
      <c r="M11" s="46">
        <f>IF(VLOOKUP(C11,Purchased!A:R,16,0)=0, " ",VLOOKUP(C11,Purchased!A:R,16,0))</f>
        <v>45510</v>
      </c>
      <c r="N11" s="130">
        <f>IF(VLOOKUP(C11,Purchased!A:R,17,0)=0, " ", VLOOKUP(C11,Purchased!A:R,17,0))</f>
        <v>45513</v>
      </c>
      <c r="O11" s="47">
        <f t="shared" ca="1" si="4"/>
        <v>3</v>
      </c>
      <c r="P11" s="51">
        <f>VLOOKUP(C11,Purchased!A:D,3,FALSE)</f>
        <v>38.64</v>
      </c>
      <c r="Q11" s="52">
        <f t="shared" si="5"/>
        <v>115.92</v>
      </c>
    </row>
    <row r="12" spans="1:17" s="2" customFormat="1" ht="12" customHeight="1" x14ac:dyDescent="0.25">
      <c r="A12" s="4">
        <v>303</v>
      </c>
      <c r="B12" s="2">
        <v>2</v>
      </c>
      <c r="C12" s="135" t="s">
        <v>826</v>
      </c>
      <c r="D12" s="325" t="str">
        <f>VLOOKUP(C12,Purchased!A:B,2,0)</f>
        <v>KQ2, elbow fitting, 6mm dia, M5 port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45491</v>
      </c>
      <c r="M12" s="46">
        <f>IF(VLOOKUP(C12,Purchased!A:R,16,0)=0, " ",VLOOKUP(C12,Purchased!A:R,16,0))</f>
        <v>45520</v>
      </c>
      <c r="N12" s="130">
        <f>IF(VLOOKUP(C12,Purchased!A:R,17,0)=0, " ", VLOOKUP(C12,Purchased!A:R,17,0))</f>
        <v>45511</v>
      </c>
      <c r="O12" s="47">
        <f t="shared" ca="1" si="4"/>
        <v>2</v>
      </c>
      <c r="P12" s="51">
        <f>VLOOKUP(C12,Purchased!A:D,3,FALSE)</f>
        <v>1.74</v>
      </c>
      <c r="Q12" s="52">
        <f t="shared" si="5"/>
        <v>3.48</v>
      </c>
    </row>
    <row r="13" spans="1:17" s="2" customFormat="1" ht="12" customHeight="1" x14ac:dyDescent="0.25">
      <c r="A13" s="4">
        <v>304</v>
      </c>
      <c r="B13" s="2">
        <v>1</v>
      </c>
      <c r="C13" s="135" t="s">
        <v>827</v>
      </c>
      <c r="D13" s="325" t="str">
        <f>VLOOKUP(C13,Purchased!A:B,2,0)</f>
        <v>RODLESS ACTUATOR, MECHANICALLY COUPLED, CAM FOLLOWER TYPE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45489</v>
      </c>
      <c r="M13" s="46">
        <f>IF(VLOOKUP(C13,Purchased!A:R,16,0)=0, " ",VLOOKUP(C13,Purchased!A:R,16,0))</f>
        <v>45510</v>
      </c>
      <c r="N13" s="130">
        <f>IF(VLOOKUP(C13,Purchased!A:R,17,0)=0, " ", VLOOKUP(C13,Purchased!A:R,17,0))</f>
        <v>45541</v>
      </c>
      <c r="O13" s="47">
        <f t="shared" ca="1" si="4"/>
        <v>1</v>
      </c>
      <c r="P13" s="51">
        <f>VLOOKUP(C13,Purchased!A:D,3,FALSE)</f>
        <v>410.38</v>
      </c>
      <c r="Q13" s="52">
        <f t="shared" si="5"/>
        <v>410.38</v>
      </c>
    </row>
    <row r="14" spans="1:17" s="2" customFormat="1" ht="12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" customHeight="1" x14ac:dyDescent="0.25">
      <c r="A15" s="4">
        <v>501</v>
      </c>
      <c r="B15" s="2">
        <v>4</v>
      </c>
      <c r="C15" s="122" t="s">
        <v>829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ref="O15:O17" ca="1" si="6">B15*$L$2</f>
        <v>4</v>
      </c>
      <c r="P15" s="51">
        <f>VLOOKUP(C15,Bolts!A:B,2,FALSE)</f>
        <v>0</v>
      </c>
      <c r="Q15" s="52">
        <f t="shared" ref="Q15:Q17" si="7">B15*P15</f>
        <v>0</v>
      </c>
    </row>
    <row r="16" spans="1:17" s="2" customFormat="1" ht="12" customHeight="1" x14ac:dyDescent="0.25">
      <c r="A16" s="4">
        <v>502</v>
      </c>
      <c r="B16" s="2">
        <v>2</v>
      </c>
      <c r="C16" s="122" t="s">
        <v>660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ca="1" si="6"/>
        <v>2</v>
      </c>
      <c r="P16" s="51">
        <f>VLOOKUP(C16,Bolts!A:B,2,FALSE)</f>
        <v>0</v>
      </c>
      <c r="Q16" s="52">
        <f t="shared" si="7"/>
        <v>0</v>
      </c>
    </row>
    <row r="17" spans="1:17" s="2" customFormat="1" ht="12" customHeight="1" thickBot="1" x14ac:dyDescent="0.3">
      <c r="A17" s="4">
        <v>503</v>
      </c>
      <c r="B17" s="2">
        <v>4</v>
      </c>
      <c r="C17" s="122" t="s">
        <v>107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6"/>
        <v>4</v>
      </c>
      <c r="P17" s="51">
        <f>VLOOKUP(C17,Bolts!A:B,2,FALSE)</f>
        <v>0</v>
      </c>
      <c r="Q17" s="52">
        <f t="shared" si="7"/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SUM(Q5:Q17)</f>
        <v>1993.2600000000002</v>
      </c>
    </row>
  </sheetData>
  <sheetProtection selectLockedCells="1"/>
  <mergeCells count="28">
    <mergeCell ref="D1:E1"/>
    <mergeCell ref="D4:E4"/>
    <mergeCell ref="H4:I4"/>
    <mergeCell ref="D5:E5"/>
    <mergeCell ref="H5:I5"/>
    <mergeCell ref="D8:E8"/>
    <mergeCell ref="H8:I8"/>
    <mergeCell ref="D6:E6"/>
    <mergeCell ref="H6:I6"/>
    <mergeCell ref="D7:E7"/>
    <mergeCell ref="H7:I7"/>
    <mergeCell ref="D9:E9"/>
    <mergeCell ref="H9:I9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D16:E16"/>
    <mergeCell ref="D17:E17"/>
    <mergeCell ref="D18:E18"/>
    <mergeCell ref="H18:I18"/>
  </mergeCells>
  <conditionalFormatting sqref="M6 M9 M14:M17">
    <cfRule type="cellIs" dxfId="1206" priority="11" stopIfTrue="1" operator="lessThanOrEqual">
      <formula>$L6</formula>
    </cfRule>
    <cfRule type="cellIs" dxfId="1205" priority="12" operator="greaterThan">
      <formula>L6</formula>
    </cfRule>
  </conditionalFormatting>
  <conditionalFormatting sqref="M10">
    <cfRule type="cellIs" dxfId="1204" priority="7" stopIfTrue="1" operator="lessThanOrEqual">
      <formula>$L10</formula>
    </cfRule>
    <cfRule type="cellIs" dxfId="1203" priority="8" operator="greaterThan">
      <formula>L10</formula>
    </cfRule>
  </conditionalFormatting>
  <conditionalFormatting sqref="M11:M13">
    <cfRule type="cellIs" dxfId="1202" priority="1" stopIfTrue="1" operator="lessThanOrEqual">
      <formula>$L11</formula>
    </cfRule>
    <cfRule type="cellIs" dxfId="1201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87BD74-B122-452E-BE7A-5405DA3EE4F1}">
          <x14:formula1>
            <xm:f>Bolts!$A:$A</xm:f>
          </x14:formula1>
          <xm:sqref>C14:C17</xm:sqref>
        </x14:dataValidation>
        <x14:dataValidation type="list" allowBlank="1" showInputMessage="1" showErrorMessage="1" xr:uid="{4AE35BBB-12D2-4A9F-A3C5-59DDA4ADFEA2}">
          <x14:formula1>
            <xm:f>Assemblies!$E:$E</xm:f>
          </x14:formula1>
          <xm:sqref>C5</xm:sqref>
        </x14:dataValidation>
        <x14:dataValidation type="list" allowBlank="1" showInputMessage="1" showErrorMessage="1" xr:uid="{B242F162-FFCD-4C78-9239-9888590BC2E5}">
          <x14:formula1>
            <xm:f>Machined!$C:$C</xm:f>
          </x14:formula1>
          <xm:sqref>C6:C8</xm:sqref>
        </x14:dataValidation>
        <x14:dataValidation type="list" allowBlank="1" showInputMessage="1" showErrorMessage="1" xr:uid="{1DAA0733-D387-41EE-917D-68ACD0D75BA8}">
          <x14:formula1>
            <xm:f>Purchased!$A:$A</xm:f>
          </x14:formula1>
          <xm:sqref>C9:C13</xm:sqref>
        </x14:dataValidation>
      </x14:dataValidations>
    </ext>
  </extLst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4233A-18B8-4F75-BEAB-1603D87304A1}">
  <sheetPr codeName="Sheet136">
    <tabColor theme="9" tint="0.59999389629810485"/>
  </sheetPr>
  <dimension ref="A1:Q34"/>
  <sheetViews>
    <sheetView zoomScale="115" zoomScaleNormal="115" workbookViewId="0">
      <selection activeCell="F24" sqref="A1:Q3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'5'!C13</f>
        <v>PG10.5.7.0.A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'5'!D13</f>
        <v>Cuff Seal Assy</v>
      </c>
      <c r="D3" s="85" t="s">
        <v>50</v>
      </c>
      <c r="E3" s="86" t="str">
        <f ca="1">MID(CELL("filename",A1),FIND("]",CELL("filename",A1))+1,256)</f>
        <v>5.7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863</v>
      </c>
      <c r="D5" s="314" t="str">
        <f>VLOOKUP(C5,Machined!C:X,2,0)</f>
        <v>CUFF SEAL PLATE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MtnStatesAuto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45505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55644</v>
      </c>
      <c r="O5" s="45">
        <f ca="1">B5*$L$2</f>
        <v>2</v>
      </c>
      <c r="P5" s="49">
        <f>VLOOKUP(C5,Machined!C:F,3,0)</f>
        <v>267.5</v>
      </c>
      <c r="Q5" s="50">
        <f>B5*P5</f>
        <v>267.5</v>
      </c>
    </row>
    <row r="6" spans="1:17" s="2" customFormat="1" ht="12.75" customHeight="1" x14ac:dyDescent="0.25">
      <c r="A6" s="77">
        <v>2</v>
      </c>
      <c r="B6" s="20">
        <v>1</v>
      </c>
      <c r="C6" s="121" t="s">
        <v>864</v>
      </c>
      <c r="D6" s="314" t="str">
        <f>VLOOKUP(C6,Machined!C:X,2,0)</f>
        <v>SEAL ALIGNMENT PLATE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45504</v>
      </c>
      <c r="L6" s="44">
        <f>IF(VLOOKUP($C6,Machined!C:Z,20,0) = 0, " ", VLOOKUP($C6,Machined!C:Z,20,0))</f>
        <v>45534</v>
      </c>
      <c r="M6" s="44">
        <f>IF(VLOOKUP($C6,Machined!C:Z,21,0) = 0, " ", VLOOKUP($C6,Machined!C:Z,21,0))</f>
        <v>45534</v>
      </c>
      <c r="N6" s="129">
        <f>IF(VLOOKUP($C6,Machined!C:Z,22,0) = 0, " ", VLOOKUP($C6,Machined!C:Z,22,0))</f>
        <v>55641</v>
      </c>
      <c r="O6" s="45">
        <f t="shared" ref="O6:O7" ca="1" si="0">B6*$L$2</f>
        <v>2</v>
      </c>
      <c r="P6" s="49">
        <f>VLOOKUP(C6,Machined!C:F,3,0)</f>
        <v>82.5</v>
      </c>
      <c r="Q6" s="50">
        <f t="shared" ref="Q6:Q7" si="1">B6*P6</f>
        <v>82.5</v>
      </c>
    </row>
    <row r="7" spans="1:17" s="2" customFormat="1" ht="12.75" customHeight="1" x14ac:dyDescent="0.25">
      <c r="A7" s="77">
        <v>3</v>
      </c>
      <c r="B7" s="20">
        <v>1</v>
      </c>
      <c r="C7" s="121" t="s">
        <v>865</v>
      </c>
      <c r="D7" s="314" t="str">
        <f>VLOOKUP(C7,Machined!C:X,2,0)</f>
        <v>SEAL THREAD ADAPTER</v>
      </c>
      <c r="E7" s="329"/>
      <c r="F7" s="107" t="str">
        <f>VLOOKUP($C7,Machined!C:Z,13,0)</f>
        <v>1018 COLD ROLLED STEEL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1018 COLD ROLLED STEEL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45504</v>
      </c>
      <c r="L7" s="44">
        <f>IF(VLOOKUP($C7,Machined!C:Z,20,0) = 0, " ", VLOOKUP($C7,Machined!C:Z,20,0))</f>
        <v>45534</v>
      </c>
      <c r="M7" s="44">
        <f>IF(VLOOKUP($C7,Machined!C:Z,21,0) = 0, " ", VLOOKUP($C7,Machined!C:Z,21,0))</f>
        <v>45534</v>
      </c>
      <c r="N7" s="129">
        <f>IF(VLOOKUP($C7,Machined!C:Z,22,0) = 0, " ", VLOOKUP($C7,Machined!C:Z,22,0))</f>
        <v>55641</v>
      </c>
      <c r="O7" s="45">
        <f t="shared" ca="1" si="0"/>
        <v>2</v>
      </c>
      <c r="P7" s="49">
        <f>VLOOKUP(C7,Machined!C:F,3,0)</f>
        <v>117.7</v>
      </c>
      <c r="Q7" s="50">
        <f t="shared" si="1"/>
        <v>117.7</v>
      </c>
    </row>
    <row r="8" spans="1:17" s="2" customFormat="1" ht="12.75" customHeight="1" x14ac:dyDescent="0.25">
      <c r="A8" s="77">
        <v>4</v>
      </c>
      <c r="B8" s="20">
        <v>2</v>
      </c>
      <c r="C8" s="121" t="s">
        <v>791</v>
      </c>
      <c r="D8" s="314" t="str">
        <f>VLOOKUP(C8,Machined!C:X,2,0)</f>
        <v>Lead Screw Mounting Block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Craig Miller</v>
      </c>
      <c r="H8" s="320" t="str">
        <f>IF(VLOOKUP($C8,Machined!C:Z,17,0) = 0, " ", VLOOKUP($C8,Machined!C:Z,17,0))</f>
        <v>ordered 8 more 55629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45468</v>
      </c>
      <c r="K8" s="44">
        <f>IF(VLOOKUP($C8,Machined!C:Z,19,0) = 0, " ", VLOOKUP($C8,Machined!C:Z,19,0))</f>
        <v>45470</v>
      </c>
      <c r="L8" s="44">
        <f>IF(VLOOKUP($C8,Machined!C:Z,20,0) = 0, " ", VLOOKUP($C8,Machined!C:Z,20,0))</f>
        <v>45495</v>
      </c>
      <c r="M8" s="44">
        <f>IF(VLOOKUP($C8,Machined!C:Z,21,0) = 0, " ", VLOOKUP($C8,Machined!C:Z,21,0))</f>
        <v>45495</v>
      </c>
      <c r="N8" s="129">
        <f>IF(VLOOKUP($C8,Machined!C:Z,22,0) = 0, " ", VLOOKUP($C8,Machined!C:Z,22,0))</f>
        <v>55576</v>
      </c>
      <c r="O8" s="45">
        <f ca="1">B8*$L$2</f>
        <v>4</v>
      </c>
      <c r="P8" s="49">
        <f>VLOOKUP(C8,Machined!C:F,3,0)</f>
        <v>45.5</v>
      </c>
      <c r="Q8" s="50">
        <f>B8*P8</f>
        <v>91</v>
      </c>
    </row>
    <row r="9" spans="1:17" s="2" customFormat="1" ht="12.75" customHeight="1" x14ac:dyDescent="0.25">
      <c r="A9" s="77">
        <v>5</v>
      </c>
      <c r="B9" s="20">
        <v>1</v>
      </c>
      <c r="C9" s="121" t="s">
        <v>792</v>
      </c>
      <c r="D9" s="314" t="str">
        <f>VLOOKUP(C9,Machined!C:X,2,0)</f>
        <v>Lead Nut Modification</v>
      </c>
      <c r="E9" s="329"/>
      <c r="F9" s="107" t="str">
        <f>VLOOKUP($C9,Machined!C:Z,13,0)</f>
        <v>PURCHASED PART</v>
      </c>
      <c r="G9" s="44" t="str">
        <f>IF(VLOOKUP($C9,Machined!C:Z,16,0) = 0, " ", VLOOKUP($C9,Machined!C:Z,16,0))</f>
        <v xml:space="preserve">Nuline </v>
      </c>
      <c r="H9" s="320" t="str">
        <f>IF(VLOOKUP($C9,Machined!C:Z,17,0) = 0, " ", VLOOKUP($C9,Machined!C:Z,17,0))</f>
        <v>P.O for material</v>
      </c>
      <c r="I9" s="321" t="str">
        <f>IF(VLOOKUP($C9,Machined!$C:$Y,13,0) = 0, " ", VLOOKUP($C9,Machined!$C:$Y,13,0))</f>
        <v>PURCHASED PART</v>
      </c>
      <c r="J9" s="44">
        <f>IF(VLOOKUP($C9,Machined!C:Z,18,0) = 0, " ", VLOOKUP($C9,Machined!C:Z,18,0))</f>
        <v>45496</v>
      </c>
      <c r="K9" s="44">
        <f>IF(VLOOKUP($C9,Machined!C:Z,19,0) = 0, " ", VLOOKUP($C9,Machined!C:Z,19,0))</f>
        <v>45496</v>
      </c>
      <c r="L9" s="44">
        <f>IF(VLOOKUP($C9,Machined!C:Z,20,0) = 0, " ", VLOOKUP($C9,Machined!C:Z,20,0))</f>
        <v>45531</v>
      </c>
      <c r="M9" s="44">
        <f>IF(VLOOKUP($C9,Machined!C:Z,21,0) = 0, " ", VLOOKUP($C9,Machined!C:Z,21,0))</f>
        <v>45531</v>
      </c>
      <c r="N9" s="129">
        <f>IF(VLOOKUP($C9,Machined!C:Z,22,0) = 0, " ", VLOOKUP($C9,Machined!C:Z,22,0))</f>
        <v>55621</v>
      </c>
      <c r="O9" s="45">
        <f t="shared" ref="O9" ca="1" si="2">B9*$L$2</f>
        <v>2</v>
      </c>
      <c r="P9" s="49">
        <f>VLOOKUP(C9,Machined!C:F,3,0)</f>
        <v>23.04</v>
      </c>
      <c r="Q9" s="50">
        <f t="shared" ref="Q9" si="3">B9*P9</f>
        <v>23.04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2</v>
      </c>
      <c r="C11" s="135" t="s">
        <v>629</v>
      </c>
      <c r="D11" s="325" t="str">
        <f>VLOOKUP(C11,Purchased!A:B,2,0)</f>
        <v>15mm C1 Preload Runner Block</v>
      </c>
      <c r="E11" s="326"/>
      <c r="F11" s="108" t="str">
        <f>IF(VLOOKUP($C11,Purchased!A:Z,11,0) = 0, " ", VLOOKUP($C11,Purchased!A:Z,11,0))</f>
        <v>BRL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Ordered 24 additional PO 55645</v>
      </c>
      <c r="I11" s="328"/>
      <c r="J11" s="46">
        <f>IF(VLOOKUP($C11,Purchased!A:Z,14,0)=0, " ", VLOOKUP($C11,Purchased!A:Z,14,0))</f>
        <v>45461</v>
      </c>
      <c r="K11" s="46">
        <f>IF(VLOOKUP(C11,Purchased!A:R,14,0)=0, " ", VLOOKUP(C11,Purchased!A:R,14,0))</f>
        <v>45461</v>
      </c>
      <c r="L11" s="46">
        <f>IF(VLOOKUP(C11,Purchased!A:R,15,0)=0, " ", VLOOKUP(C11,Purchased!A:R,15,0))</f>
        <v>45462</v>
      </c>
      <c r="M11" s="46">
        <f>IF(VLOOKUP(C11,Purchased!A:R,16,0)=0, " ",VLOOKUP(C11,Purchased!A:R,16,0))</f>
        <v>45504</v>
      </c>
      <c r="N11" s="130">
        <f>IF(VLOOKUP(C11,Purchased!A:R,17,0)=0, " ", VLOOKUP(C11,Purchased!A:R,17,0))</f>
        <v>45504</v>
      </c>
      <c r="O11" s="47">
        <f t="shared" ref="O11:O24" ca="1" si="4">B11*$L$2</f>
        <v>4</v>
      </c>
      <c r="P11" s="51">
        <f>VLOOKUP(C11,Purchased!A:D,3,FALSE)</f>
        <v>109.2133</v>
      </c>
      <c r="Q11" s="52">
        <f t="shared" ref="Q11:Q24" si="5">B11*P11</f>
        <v>218.42660000000001</v>
      </c>
    </row>
    <row r="12" spans="1:17" s="2" customFormat="1" ht="12" customHeight="1" x14ac:dyDescent="0.25">
      <c r="A12" s="4">
        <v>302</v>
      </c>
      <c r="B12" s="2">
        <v>1</v>
      </c>
      <c r="C12" s="135" t="s">
        <v>795</v>
      </c>
      <c r="D12" s="325" t="str">
        <f>VLOOKUP(C12,Purchased!A:B,2,0)</f>
        <v>IGUS Flanged Lead Screw, 14mm dia</v>
      </c>
      <c r="E12" s="326"/>
      <c r="F12" s="108" t="str">
        <f>IF(VLOOKUP($C12,Purchased!A:Z,11,0) = 0, " ", VLOOKUP($C12,Purchased!A:Z,11,0))</f>
        <v>IGUS</v>
      </c>
      <c r="G12" s="108" t="str">
        <f>IF(VLOOKUP($C12,Purchased!A:Z,12,0)=0, " ", VLOOKUP($C12,Purchased!A:Z,12,0))</f>
        <v>IGUS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45489</v>
      </c>
      <c r="M12" s="46">
        <f>IF(VLOOKUP(C12,Purchased!A:R,16,0)=0, " ",VLOOKUP(C12,Purchased!A:R,16,0))</f>
        <v>45534</v>
      </c>
      <c r="N12" s="130">
        <f>IF(VLOOKUP(C12,Purchased!A:R,17,0)=0, " ", VLOOKUP(C12,Purchased!A:R,17,0))</f>
        <v>45534</v>
      </c>
      <c r="O12" s="47">
        <f t="shared" ca="1" si="4"/>
        <v>2</v>
      </c>
      <c r="P12" s="51">
        <f>VLOOKUP(C12,Purchased!A:D,3,FALSE)</f>
        <v>16.54</v>
      </c>
      <c r="Q12" s="52">
        <f t="shared" si="5"/>
        <v>16.54</v>
      </c>
    </row>
    <row r="13" spans="1:17" s="2" customFormat="1" ht="12" customHeight="1" x14ac:dyDescent="0.25">
      <c r="A13" s="4">
        <v>303</v>
      </c>
      <c r="B13" s="2">
        <v>2</v>
      </c>
      <c r="C13" s="135" t="s">
        <v>866</v>
      </c>
      <c r="D13" s="325" t="str">
        <f>VLOOKUP(C13,Purchased!A:B,2,0)</f>
        <v>Alloy Steel Extended-Tip Set Screw, M6 x 1 mm Thread, 14 mm Long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45482</v>
      </c>
      <c r="K13" s="46">
        <f>IF(VLOOKUP(C13,Purchased!A:R,14,0)=0, " ", VLOOKUP(C13,Purchased!A:R,14,0))</f>
        <v>45482</v>
      </c>
      <c r="L13" s="46">
        <f>IF(VLOOKUP(C13,Purchased!A:R,15,0)=0, " ", VLOOKUP(C13,Purchased!A:R,15,0))</f>
        <v>45482</v>
      </c>
      <c r="M13" s="46">
        <f>IF(VLOOKUP(C13,Purchased!A:R,16,0)=0, " ",VLOOKUP(C13,Purchased!A:R,16,0))</f>
        <v>45483</v>
      </c>
      <c r="N13" s="130">
        <f>IF(VLOOKUP(C13,Purchased!A:R,17,0)=0, " ", VLOOKUP(C13,Purchased!A:R,17,0))</f>
        <v>45483</v>
      </c>
      <c r="O13" s="47">
        <f t="shared" ca="1" si="4"/>
        <v>4</v>
      </c>
      <c r="P13" s="51">
        <f>VLOOKUP(C13,Purchased!A:D,3,FALSE)</f>
        <v>8.24</v>
      </c>
      <c r="Q13" s="52">
        <f t="shared" si="5"/>
        <v>16.48</v>
      </c>
    </row>
    <row r="14" spans="1:17" s="2" customFormat="1" ht="12" customHeight="1" x14ac:dyDescent="0.25">
      <c r="A14" s="4">
        <v>304</v>
      </c>
      <c r="B14" s="2">
        <v>2</v>
      </c>
      <c r="C14" s="135" t="s">
        <v>306</v>
      </c>
      <c r="D14" s="325" t="str">
        <f>VLOOKUP(C14,Purchased!A:B,2,0)</f>
        <v>M8 female 0° A-cod. with cable, PVC 3x0.25 bk UL/CSA 10m</v>
      </c>
      <c r="E14" s="326"/>
      <c r="F14" s="108" t="str">
        <f>IF(VLOOKUP($C14,Purchased!A:Z,11,0) = 0, " ", VLOOKUP($C14,Purchased!A:Z,11,0))</f>
        <v>MURR</v>
      </c>
      <c r="G14" s="108" t="str">
        <f>IF(VLOOKUP($C14,Purchased!A:Z,12,0)=0, " ", VLOOKUP($C14,Purchased!A:Z,12,0))</f>
        <v>MURR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45506</v>
      </c>
      <c r="K14" s="46">
        <f>IF(VLOOKUP(C14,Purchased!A:R,14,0)=0, " ", VLOOKUP(C14,Purchased!A:R,14,0))</f>
        <v>45506</v>
      </c>
      <c r="L14" s="46" t="str">
        <f>IF(VLOOKUP(C14,Purchased!A:R,15,0)=0, " ", VLOOKUP(C14,Purchased!A:R,15,0))</f>
        <v xml:space="preserve"> 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4"/>
        <v>4</v>
      </c>
      <c r="P14" s="51">
        <f>VLOOKUP(C14,Purchased!A:D,3,FALSE)</f>
        <v>0</v>
      </c>
      <c r="Q14" s="52">
        <f t="shared" si="5"/>
        <v>0</v>
      </c>
    </row>
    <row r="15" spans="1:17" s="2" customFormat="1" ht="12" customHeight="1" x14ac:dyDescent="0.25">
      <c r="A15" s="4">
        <v>305</v>
      </c>
      <c r="B15" s="2">
        <v>1</v>
      </c>
      <c r="C15" s="135" t="s">
        <v>867</v>
      </c>
      <c r="D15" s="325" t="str">
        <f>VLOOKUP(C15,Purchased!A:B,2,0)</f>
        <v>PG10 CUFF IMPULSE SEAL HEAD</v>
      </c>
      <c r="E15" s="326"/>
      <c r="F15" s="108" t="str">
        <f>IF(VLOOKUP($C15,Purchased!A:Z,11,0) = 0, " ", VLOOKUP($C15,Purchased!A:Z,11,0))</f>
        <v>ROPEX</v>
      </c>
      <c r="G15" s="108" t="str">
        <f>IF(VLOOKUP($C15,Purchased!A:Z,12,0)=0, " ", VLOOKUP($C15,Purchased!A:Z,12,0))</f>
        <v>ROPEX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45427</v>
      </c>
      <c r="K15" s="46">
        <f>IF(VLOOKUP(C15,Purchased!A:R,14,0)=0, " ", VLOOKUP(C15,Purchased!A:R,14,0))</f>
        <v>45427</v>
      </c>
      <c r="L15" s="46">
        <f>IF(VLOOKUP(C15,Purchased!A:R,15,0)=0, " ", VLOOKUP(C15,Purchased!A:R,15,0))</f>
        <v>45427</v>
      </c>
      <c r="M15" s="46">
        <f>IF(VLOOKUP(C15,Purchased!A:R,16,0)=0, " ",VLOOKUP(C15,Purchased!A:R,16,0))</f>
        <v>45488</v>
      </c>
      <c r="N15" s="130">
        <f>IF(VLOOKUP(C15,Purchased!A:R,17,0)=0, " ", VLOOKUP(C15,Purchased!A:R,17,0))</f>
        <v>45488</v>
      </c>
      <c r="O15" s="47">
        <f t="shared" ca="1" si="4"/>
        <v>2</v>
      </c>
      <c r="P15" s="51">
        <f>VLOOKUP(C15,Purchased!A:D,3,FALSE)</f>
        <v>4575.4799999999996</v>
      </c>
      <c r="Q15" s="52">
        <f t="shared" si="5"/>
        <v>4575.4799999999996</v>
      </c>
    </row>
    <row r="16" spans="1:17" s="2" customFormat="1" ht="12" customHeight="1" x14ac:dyDescent="0.25">
      <c r="A16" s="4">
        <v>306</v>
      </c>
      <c r="B16" s="2">
        <v>1</v>
      </c>
      <c r="C16" s="135" t="s">
        <v>868</v>
      </c>
      <c r="D16" s="325" t="str">
        <f>VLOOKUP(C16,Purchased!A:B,2,0)</f>
        <v>Impulse seal head tooling</v>
      </c>
      <c r="E16" s="326"/>
      <c r="F16" s="108" t="str">
        <f>IF(VLOOKUP($C16,Purchased!A:Z,11,0) = 0, " ", VLOOKUP($C16,Purchased!A:Z,11,0))</f>
        <v>ROPEX</v>
      </c>
      <c r="G16" s="108" t="str">
        <f>IF(VLOOKUP($C16,Purchased!A:Z,12,0)=0, " ", VLOOKUP($C16,Purchased!A:Z,12,0))</f>
        <v>ROPEX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45427</v>
      </c>
      <c r="K16" s="46">
        <f>IF(VLOOKUP(C16,Purchased!A:R,14,0)=0, " ", VLOOKUP(C16,Purchased!A:R,14,0))</f>
        <v>45427</v>
      </c>
      <c r="L16" s="46">
        <f>IF(VLOOKUP(C16,Purchased!A:R,15,0)=0, " ", VLOOKUP(C16,Purchased!A:R,15,0))</f>
        <v>45427</v>
      </c>
      <c r="M16" s="46">
        <f>IF(VLOOKUP(C16,Purchased!A:R,16,0)=0, " ",VLOOKUP(C16,Purchased!A:R,16,0))</f>
        <v>45488</v>
      </c>
      <c r="N16" s="130">
        <f>IF(VLOOKUP(C16,Purchased!A:R,17,0)=0, " ", VLOOKUP(C16,Purchased!A:R,17,0))</f>
        <v>45488</v>
      </c>
      <c r="O16" s="47">
        <f ca="1">B16*$L$2</f>
        <v>2</v>
      </c>
      <c r="P16" s="51">
        <f>VLOOKUP(C16,Purchased!A:D,3,FALSE)</f>
        <v>487</v>
      </c>
      <c r="Q16" s="52">
        <f>B16*P16</f>
        <v>487</v>
      </c>
    </row>
    <row r="17" spans="1:17" s="2" customFormat="1" ht="12" customHeight="1" x14ac:dyDescent="0.25">
      <c r="A17" s="4">
        <v>307</v>
      </c>
      <c r="B17" s="2">
        <v>4</v>
      </c>
      <c r="C17" s="135" t="s">
        <v>869</v>
      </c>
      <c r="D17" s="325" t="str">
        <f>VLOOKUP(C17,Purchased!A:B,2,0)</f>
        <v>Cuff Heat Seal Band</v>
      </c>
      <c r="E17" s="326"/>
      <c r="F17" s="108" t="str">
        <f>IF(VLOOKUP($C17,Purchased!A:Z,11,0) = 0, " ", VLOOKUP($C17,Purchased!A:Z,11,0))</f>
        <v>ROPEX</v>
      </c>
      <c r="G17" s="108" t="str">
        <f>IF(VLOOKUP($C17,Purchased!A:Z,12,0)=0, " ", VLOOKUP($C17,Purchased!A:Z,12,0))</f>
        <v>ROPEX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45427</v>
      </c>
      <c r="K17" s="46">
        <f>IF(VLOOKUP(C17,Purchased!A:R,14,0)=0, " ", VLOOKUP(C17,Purchased!A:R,14,0))</f>
        <v>45427</v>
      </c>
      <c r="L17" s="46">
        <f>IF(VLOOKUP(C17,Purchased!A:R,15,0)=0, " ", VLOOKUP(C17,Purchased!A:R,15,0))</f>
        <v>45427</v>
      </c>
      <c r="M17" s="46">
        <f>IF(VLOOKUP(C17,Purchased!A:R,16,0)=0, " ",VLOOKUP(C17,Purchased!A:R,16,0))</f>
        <v>45488</v>
      </c>
      <c r="N17" s="130">
        <f>IF(VLOOKUP(C17,Purchased!A:R,17,0)=0, " ", VLOOKUP(C17,Purchased!A:R,17,0))</f>
        <v>45488</v>
      </c>
      <c r="O17" s="47">
        <f ca="1">B17*$L$2</f>
        <v>8</v>
      </c>
      <c r="P17" s="51">
        <f>VLOOKUP(C17,Purchased!A:D,3,FALSE)</f>
        <v>244.58</v>
      </c>
      <c r="Q17" s="52">
        <f>B17*P17</f>
        <v>978.32</v>
      </c>
    </row>
    <row r="18" spans="1:17" s="2" customFormat="1" ht="12" customHeight="1" x14ac:dyDescent="0.25">
      <c r="A18" s="4">
        <v>308</v>
      </c>
      <c r="B18" s="2">
        <v>1</v>
      </c>
      <c r="C18" s="135" t="s">
        <v>870</v>
      </c>
      <c r="D18" s="325" t="str">
        <f>VLOOKUP(C18,Purchased!A:B,2,0)</f>
        <v>CDQ2 ACTUATOR, ANTI-ROTATION, 50MM BORE, 50MM STROKE, BOTH ENDS 
TAPPED</v>
      </c>
      <c r="E18" s="326"/>
      <c r="F18" s="108" t="str">
        <f>IF(VLOOKUP($C18,Purchased!A:Z,11,0) = 0, " ", VLOOKUP($C18,Purchased!A:Z,11,0))</f>
        <v>SMC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45489</v>
      </c>
      <c r="M18" s="46">
        <f>IF(VLOOKUP(C18,Purchased!A:R,16,0)=0, " ",VLOOKUP(C18,Purchased!A:R,16,0))</f>
        <v>45510</v>
      </c>
      <c r="N18" s="130">
        <f>IF(VLOOKUP(C18,Purchased!A:R,17,0)=0, " ", VLOOKUP(C18,Purchased!A:R,17,0))</f>
        <v>45513</v>
      </c>
      <c r="O18" s="47">
        <f t="shared" ca="1" si="4"/>
        <v>2</v>
      </c>
      <c r="P18" s="51">
        <f>VLOOKUP(C18,Purchased!A:D,3,FALSE)</f>
        <v>112.45</v>
      </c>
      <c r="Q18" s="52">
        <f t="shared" si="5"/>
        <v>112.45</v>
      </c>
    </row>
    <row r="19" spans="1:17" s="2" customFormat="1" ht="12" customHeight="1" x14ac:dyDescent="0.25">
      <c r="A19" s="4">
        <v>309</v>
      </c>
      <c r="B19" s="2">
        <v>2</v>
      </c>
      <c r="C19" s="135" t="s">
        <v>103</v>
      </c>
      <c r="D19" s="325" t="str">
        <f>VLOOKUP(C19,Purchased!A:B,2,0)</f>
        <v>KQ2 elbow fitting 1/4in port to 8mm tubing</v>
      </c>
      <c r="E19" s="326"/>
      <c r="F19" s="108" t="str">
        <f>IF(VLOOKUP($C19,Purchased!A:Z,11,0) = 0, " ", VLOOKUP($C19,Purchased!A:Z,11,0))</f>
        <v>SMC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45491</v>
      </c>
      <c r="M19" s="46">
        <f>IF(VLOOKUP(C19,Purchased!A:R,16,0)=0, " ",VLOOKUP(C19,Purchased!A:R,16,0))</f>
        <v>45520</v>
      </c>
      <c r="N19" s="130">
        <f>IF(VLOOKUP(C19,Purchased!A:R,17,0)=0, " ", VLOOKUP(C19,Purchased!A:R,17,0))</f>
        <v>45511</v>
      </c>
      <c r="O19" s="47">
        <f t="shared" ca="1" si="4"/>
        <v>4</v>
      </c>
      <c r="P19" s="51">
        <f>VLOOKUP(C19,Purchased!A:D,3,FALSE)</f>
        <v>2.2999999999999998</v>
      </c>
      <c r="Q19" s="52">
        <f t="shared" si="5"/>
        <v>4.5999999999999996</v>
      </c>
    </row>
    <row r="20" spans="1:17" s="2" customFormat="1" ht="12" customHeight="1" x14ac:dyDescent="0.25">
      <c r="A20" s="4">
        <v>310</v>
      </c>
      <c r="B20" s="2">
        <v>2</v>
      </c>
      <c r="C20" s="135" t="s">
        <v>672</v>
      </c>
      <c r="D20" s="325" t="str">
        <f>VLOOKUP(C20,Purchased!A:B,2,0)</f>
        <v>8MM Speed controller</v>
      </c>
      <c r="E20" s="326"/>
      <c r="F20" s="108" t="str">
        <f>IF(VLOOKUP($C20,Purchased!A:Z,11,0) = 0, " ", VLOOKUP($C20,Purchased!A:Z,11,0))</f>
        <v>SMC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45489</v>
      </c>
      <c r="K20" s="46">
        <f>IF(VLOOKUP(C20,Purchased!A:R,14,0)=0, " ", VLOOKUP(C20,Purchased!A:R,14,0))</f>
        <v>45489</v>
      </c>
      <c r="L20" s="46">
        <f>IF(VLOOKUP(C20,Purchased!A:R,15,0)=0, " ", VLOOKUP(C20,Purchased!A:R,15,0))</f>
        <v>45491</v>
      </c>
      <c r="M20" s="46">
        <f>IF(VLOOKUP(C20,Purchased!A:R,16,0)=0, " ",VLOOKUP(C20,Purchased!A:R,16,0))</f>
        <v>45520</v>
      </c>
      <c r="N20" s="130">
        <f>IF(VLOOKUP(C20,Purchased!A:R,17,0)=0, " ", VLOOKUP(C20,Purchased!A:R,17,0))</f>
        <v>45511</v>
      </c>
      <c r="O20" s="47">
        <f t="shared" ca="1" si="4"/>
        <v>4</v>
      </c>
      <c r="P20" s="51">
        <f>VLOOKUP(C20,Purchased!A:D,3,FALSE)</f>
        <v>22.46</v>
      </c>
      <c r="Q20" s="52">
        <f t="shared" si="5"/>
        <v>44.92</v>
      </c>
    </row>
    <row r="21" spans="1:17" s="2" customFormat="1" ht="12" customHeight="1" x14ac:dyDescent="0.25">
      <c r="A21" s="4">
        <v>311</v>
      </c>
      <c r="B21" s="2">
        <v>2</v>
      </c>
      <c r="C21" s="135" t="s">
        <v>805</v>
      </c>
      <c r="D21" s="325" t="str">
        <f>VLOOKUP(C21,Purchased!A:B,2,0)</f>
        <v>BRACKET FOR 30 SERIES SPEED CONTROLLER</v>
      </c>
      <c r="E21" s="326"/>
      <c r="F21" s="108" t="str">
        <f>IF(VLOOKUP($C21,Purchased!A:Z,11,0) = 0, " ", VLOOKUP($C21,Purchased!A:Z,11,0))</f>
        <v>SMC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45489</v>
      </c>
      <c r="K21" s="46">
        <f>IF(VLOOKUP(C21,Purchased!A:R,14,0)=0, " ", VLOOKUP(C21,Purchased!A:R,14,0))</f>
        <v>45489</v>
      </c>
      <c r="L21" s="46">
        <f>IF(VLOOKUP(C21,Purchased!A:R,15,0)=0, " ", VLOOKUP(C21,Purchased!A:R,15,0))</f>
        <v>45491</v>
      </c>
      <c r="M21" s="46">
        <f>IF(VLOOKUP(C21,Purchased!A:R,16,0)=0, " ",VLOOKUP(C21,Purchased!A:R,16,0))</f>
        <v>45520</v>
      </c>
      <c r="N21" s="130">
        <f>IF(VLOOKUP(C21,Purchased!A:R,17,0)=0, " ", VLOOKUP(C21,Purchased!A:R,17,0))</f>
        <v>45511</v>
      </c>
      <c r="O21" s="47">
        <f t="shared" ca="1" si="4"/>
        <v>4</v>
      </c>
      <c r="P21" s="51">
        <f>VLOOKUP(C21,Purchased!A:D,3,FALSE)</f>
        <v>2.4700000000000002</v>
      </c>
      <c r="Q21" s="52">
        <f t="shared" si="5"/>
        <v>4.9400000000000004</v>
      </c>
    </row>
    <row r="22" spans="1:17" s="2" customFormat="1" ht="12" customHeight="1" x14ac:dyDescent="0.25">
      <c r="A22" s="4">
        <v>312</v>
      </c>
      <c r="B22" s="2">
        <v>2</v>
      </c>
      <c r="C22" s="135" t="s">
        <v>305</v>
      </c>
      <c r="D22" s="325" t="str">
        <f>VLOOKUP(C22,Purchased!A:B,2,0)</f>
        <v>Auto Switch, Solid State, General Purpose, M8-3Pin Connector, 0.5m Cord 
Length</v>
      </c>
      <c r="E22" s="326"/>
      <c r="F22" s="108" t="str">
        <f>IF(VLOOKUP($C22,Purchased!A:Z,11,0) = 0, " ", VLOOKUP($C22,Purchased!A:Z,11,0))</f>
        <v>SMC</v>
      </c>
      <c r="G22" s="108" t="str">
        <f>IF(VLOOKUP($C22,Purchased!A:Z,12,0)=0, " ", VLOOKUP($C22,Purchased!A:Z,12,0))</f>
        <v>AAP</v>
      </c>
      <c r="H22" s="327" t="str">
        <f>IF(VLOOKUP($C22,Purchased!A:Z,13,0)=0, " ", VLOOKUP($C22,Purchased!A:Z,13,0))</f>
        <v>10 more PO 55692</v>
      </c>
      <c r="I22" s="328"/>
      <c r="J22" s="46">
        <f>IF(VLOOKUP($C22,Purchased!A:Z,14,0)=0, " ", VLOOKUP($C22,Purchased!A:Z,14,0))</f>
        <v>45489</v>
      </c>
      <c r="K22" s="46">
        <f>IF(VLOOKUP(C22,Purchased!A:R,14,0)=0, " ", VLOOKUP(C22,Purchased!A:R,14,0))</f>
        <v>45489</v>
      </c>
      <c r="L22" s="46">
        <f>IF(VLOOKUP(C22,Purchased!A:R,15,0)=0, " ", VLOOKUP(C22,Purchased!A:R,15,0))</f>
        <v>45489</v>
      </c>
      <c r="M22" s="46">
        <f>IF(VLOOKUP(C22,Purchased!A:R,16,0)=0, " ",VLOOKUP(C22,Purchased!A:R,16,0))</f>
        <v>45510</v>
      </c>
      <c r="N22" s="130">
        <f>IF(VLOOKUP(C22,Purchased!A:R,17,0)=0, " ", VLOOKUP(C22,Purchased!A:R,17,0))</f>
        <v>45513</v>
      </c>
      <c r="O22" s="47">
        <f t="shared" ca="1" si="4"/>
        <v>4</v>
      </c>
      <c r="P22" s="51">
        <f>VLOOKUP(C22,Purchased!A:D,3,FALSE)</f>
        <v>38.64</v>
      </c>
      <c r="Q22" s="52">
        <f t="shared" si="5"/>
        <v>77.28</v>
      </c>
    </row>
    <row r="23" spans="1:17" s="2" customFormat="1" ht="12" customHeight="1" x14ac:dyDescent="0.25">
      <c r="A23" s="4">
        <v>313</v>
      </c>
      <c r="B23" s="2">
        <v>2</v>
      </c>
      <c r="C23" s="135" t="s">
        <v>804</v>
      </c>
      <c r="D23" s="325" t="str">
        <f>VLOOKUP(C23,Purchased!A:B,2,0)</f>
        <v>KQ2 AIR FITTING, 8MM PLUG-IN ELBOW</v>
      </c>
      <c r="E23" s="326"/>
      <c r="F23" s="108" t="str">
        <f>IF(VLOOKUP($C23,Purchased!A:Z,11,0) = 0, " ", VLOOKUP($C23,Purchased!A:Z,11,0))</f>
        <v>SMC</v>
      </c>
      <c r="G23" s="108" t="str">
        <f>IF(VLOOKUP($C23,Purchased!A:Z,12,0)=0, " ", VLOOKUP($C23,Purchased!A:Z,12,0))</f>
        <v>AAP</v>
      </c>
      <c r="H23" s="327" t="str">
        <f>IF(VLOOKUP($C23,Purchased!A:Z,13,0)=0, " ", VLOOKUP($C23,Purchased!A:Z,13,0))</f>
        <v xml:space="preserve"> </v>
      </c>
      <c r="I23" s="328"/>
      <c r="J23" s="46">
        <f>IF(VLOOKUP($C23,Purchased!A:Z,14,0)=0, " ", VLOOKUP($C23,Purchased!A:Z,14,0))</f>
        <v>45489</v>
      </c>
      <c r="K23" s="46">
        <f>IF(VLOOKUP(C23,Purchased!A:R,14,0)=0, " ", VLOOKUP(C23,Purchased!A:R,14,0))</f>
        <v>45489</v>
      </c>
      <c r="L23" s="46">
        <f>IF(VLOOKUP(C23,Purchased!A:R,15,0)=0, " ", VLOOKUP(C23,Purchased!A:R,15,0))</f>
        <v>45491</v>
      </c>
      <c r="M23" s="46">
        <f>IF(VLOOKUP(C23,Purchased!A:R,16,0)=0, " ",VLOOKUP(C23,Purchased!A:R,16,0))</f>
        <v>45520</v>
      </c>
      <c r="N23" s="130">
        <f>IF(VLOOKUP(C23,Purchased!A:R,17,0)=0, " ", VLOOKUP(C23,Purchased!A:R,17,0))</f>
        <v>45511</v>
      </c>
      <c r="O23" s="47">
        <f t="shared" ca="1" si="4"/>
        <v>4</v>
      </c>
      <c r="P23" s="51">
        <f>VLOOKUP(C23,Purchased!A:D,3,FALSE)</f>
        <v>1.43</v>
      </c>
      <c r="Q23" s="52">
        <f t="shared" si="5"/>
        <v>2.86</v>
      </c>
    </row>
    <row r="24" spans="1:17" s="2" customFormat="1" ht="12" customHeight="1" x14ac:dyDescent="0.25">
      <c r="A24" s="4">
        <v>314</v>
      </c>
      <c r="B24" s="2">
        <v>2</v>
      </c>
      <c r="C24" s="135" t="s">
        <v>227</v>
      </c>
      <c r="D24" s="325" t="str">
        <f>VLOOKUP(C24,Purchased!A:B,2,0)</f>
        <v>KQ2 one touch fitting, 8mm D elbow</v>
      </c>
      <c r="E24" s="326"/>
      <c r="F24" s="108" t="str">
        <f>IF(VLOOKUP($C24,Purchased!A:Z,11,0) = 0, " ", VLOOKUP($C24,Purchased!A:Z,11,0))</f>
        <v>SMC</v>
      </c>
      <c r="G24" s="108" t="str">
        <f>IF(VLOOKUP($C24,Purchased!A:Z,12,0)=0, " ", VLOOKUP($C24,Purchased!A:Z,12,0))</f>
        <v>AAP</v>
      </c>
      <c r="H24" s="327" t="str">
        <f>IF(VLOOKUP($C24,Purchased!A:Z,13,0)=0, " ", VLOOKUP($C24,Purchased!A:Z,13,0))</f>
        <v xml:space="preserve"> </v>
      </c>
      <c r="I24" s="328"/>
      <c r="J24" s="46">
        <f>IF(VLOOKUP($C24,Purchased!A:Z,14,0)=0, " ", VLOOKUP($C24,Purchased!A:Z,14,0))</f>
        <v>45489</v>
      </c>
      <c r="K24" s="46">
        <f>IF(VLOOKUP(C24,Purchased!A:R,14,0)=0, " ", VLOOKUP(C24,Purchased!A:R,14,0))</f>
        <v>45489</v>
      </c>
      <c r="L24" s="46">
        <f>IF(VLOOKUP(C24,Purchased!A:R,15,0)=0, " ", VLOOKUP(C24,Purchased!A:R,15,0))</f>
        <v>45491</v>
      </c>
      <c r="M24" s="46">
        <f>IF(VLOOKUP(C24,Purchased!A:R,16,0)=0, " ",VLOOKUP(C24,Purchased!A:R,16,0))</f>
        <v>45520</v>
      </c>
      <c r="N24" s="130">
        <f>IF(VLOOKUP(C24,Purchased!A:R,17,0)=0, " ", VLOOKUP(C24,Purchased!A:R,17,0))</f>
        <v>45511</v>
      </c>
      <c r="O24" s="47">
        <f t="shared" ca="1" si="4"/>
        <v>4</v>
      </c>
      <c r="P24" s="51">
        <f>VLOOKUP(C24,Purchased!A:D,3,FALSE)</f>
        <v>1.86</v>
      </c>
      <c r="Q24" s="52">
        <f t="shared" si="5"/>
        <v>3.72</v>
      </c>
    </row>
    <row r="25" spans="1:17" s="2" customFormat="1" ht="12" customHeight="1" x14ac:dyDescent="0.25">
      <c r="A25" s="25"/>
      <c r="B25" s="26"/>
      <c r="C25" s="26"/>
      <c r="D25" s="332"/>
      <c r="E25" s="333"/>
      <c r="F25" s="26"/>
      <c r="G25" s="26"/>
      <c r="H25" s="322"/>
      <c r="I25" s="323"/>
      <c r="J25" s="27"/>
      <c r="K25" s="27"/>
      <c r="L25" s="27"/>
      <c r="M25" s="28"/>
      <c r="N25" s="29"/>
      <c r="O25" s="29"/>
      <c r="P25" s="148"/>
      <c r="Q25" s="149"/>
    </row>
    <row r="26" spans="1:17" s="2" customFormat="1" ht="12" customHeight="1" x14ac:dyDescent="0.25">
      <c r="A26" s="4">
        <v>501</v>
      </c>
      <c r="B26" s="2">
        <v>4</v>
      </c>
      <c r="C26" s="122" t="s">
        <v>809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ref="O26:O33" ca="1" si="6">B26*$L$2</f>
        <v>8</v>
      </c>
      <c r="P26" s="51">
        <f>VLOOKUP(C26,Bolts!A:B,2,FALSE)</f>
        <v>0</v>
      </c>
      <c r="Q26" s="52">
        <f t="shared" ref="Q26:Q33" si="7">B26*P26</f>
        <v>0</v>
      </c>
    </row>
    <row r="27" spans="1:17" s="2" customFormat="1" ht="12" customHeight="1" x14ac:dyDescent="0.25">
      <c r="A27" s="4">
        <v>502</v>
      </c>
      <c r="B27" s="2">
        <v>2</v>
      </c>
      <c r="C27" s="122" t="s">
        <v>871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6"/>
        <v>4</v>
      </c>
      <c r="P27" s="51">
        <f>VLOOKUP(C27,Bolts!A:B,2,FALSE)</f>
        <v>0</v>
      </c>
      <c r="Q27" s="52">
        <f t="shared" si="7"/>
        <v>0</v>
      </c>
    </row>
    <row r="28" spans="1:17" s="2" customFormat="1" ht="12" customHeight="1" x14ac:dyDescent="0.25">
      <c r="A28" s="4">
        <v>503</v>
      </c>
      <c r="B28" s="2">
        <v>8</v>
      </c>
      <c r="C28" s="122" t="s">
        <v>107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6"/>
        <v>16</v>
      </c>
      <c r="P28" s="51">
        <f>VLOOKUP(C28,Bolts!A:B,2,FALSE)</f>
        <v>0</v>
      </c>
      <c r="Q28" s="52">
        <f t="shared" si="7"/>
        <v>0</v>
      </c>
    </row>
    <row r="29" spans="1:17" s="2" customFormat="1" ht="12" customHeight="1" x14ac:dyDescent="0.25">
      <c r="A29" s="4">
        <v>504</v>
      </c>
      <c r="B29" s="2">
        <v>4</v>
      </c>
      <c r="C29" s="122" t="s">
        <v>811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6"/>
        <v>8</v>
      </c>
      <c r="P29" s="51">
        <f>VLOOKUP(C29,Bolts!A:B,2,FALSE)</f>
        <v>0</v>
      </c>
      <c r="Q29" s="52">
        <f t="shared" si="7"/>
        <v>0</v>
      </c>
    </row>
    <row r="30" spans="1:17" s="2" customFormat="1" ht="12" customHeight="1" x14ac:dyDescent="0.25">
      <c r="A30" s="4">
        <v>505</v>
      </c>
      <c r="B30" s="2">
        <v>8</v>
      </c>
      <c r="C30" s="122" t="s">
        <v>830</v>
      </c>
      <c r="D30" s="325"/>
      <c r="E30" s="326"/>
      <c r="F30" s="108">
        <f>VLOOKUP(C30,Bolts!A:L,5,0)</f>
        <v>0</v>
      </c>
      <c r="G30" s="108">
        <f>VLOOKUP(C30,Bolts!A:L,6,0)</f>
        <v>0</v>
      </c>
      <c r="H30" s="108">
        <f>VLOOKUP(C30,Bolts!A:L,7,0)</f>
        <v>0</v>
      </c>
      <c r="I30" s="109"/>
      <c r="J30" s="46">
        <f>VLOOKUP(C30,Bolts!A:L,8,0)</f>
        <v>0</v>
      </c>
      <c r="K30" s="46">
        <f>VLOOKUP(C30,Bolts!A:L,9,0)</f>
        <v>0</v>
      </c>
      <c r="L30" s="46">
        <f>VLOOKUP(C30,Bolts!A:L,10,0)</f>
        <v>0</v>
      </c>
      <c r="M30" s="46">
        <f>VLOOKUP(C30,Bolts!A:L,11,0)</f>
        <v>0</v>
      </c>
      <c r="N30" s="130">
        <f>VLOOKUP(C30,Bolts!A:L,12,0)</f>
        <v>0</v>
      </c>
      <c r="O30" s="47">
        <f t="shared" ca="1" si="6"/>
        <v>16</v>
      </c>
      <c r="P30" s="51">
        <f>VLOOKUP(C30,Bolts!A:B,2,FALSE)</f>
        <v>0</v>
      </c>
      <c r="Q30" s="52">
        <f t="shared" si="7"/>
        <v>0</v>
      </c>
    </row>
    <row r="31" spans="1:17" s="2" customFormat="1" ht="12" customHeight="1" x14ac:dyDescent="0.25">
      <c r="A31" s="4">
        <v>506</v>
      </c>
      <c r="B31" s="2">
        <v>4</v>
      </c>
      <c r="C31" s="122" t="s">
        <v>872</v>
      </c>
      <c r="D31" s="325"/>
      <c r="E31" s="326"/>
      <c r="F31" s="108">
        <f>VLOOKUP(C31,Bolts!A:L,5,0)</f>
        <v>0</v>
      </c>
      <c r="G31" s="108">
        <f>VLOOKUP(C31,Bolts!A:L,6,0)</f>
        <v>0</v>
      </c>
      <c r="H31" s="108">
        <f>VLOOKUP(C31,Bolts!A:L,7,0)</f>
        <v>0</v>
      </c>
      <c r="I31" s="109"/>
      <c r="J31" s="46">
        <f>VLOOKUP(C31,Bolts!A:L,8,0)</f>
        <v>0</v>
      </c>
      <c r="K31" s="46">
        <f>VLOOKUP(C31,Bolts!A:L,9,0)</f>
        <v>0</v>
      </c>
      <c r="L31" s="46">
        <f>VLOOKUP(C31,Bolts!A:L,10,0)</f>
        <v>0</v>
      </c>
      <c r="M31" s="46">
        <f>VLOOKUP(C31,Bolts!A:L,11,0)</f>
        <v>0</v>
      </c>
      <c r="N31" s="130">
        <f>VLOOKUP(C31,Bolts!A:L,12,0)</f>
        <v>0</v>
      </c>
      <c r="O31" s="47">
        <f t="shared" ca="1" si="6"/>
        <v>8</v>
      </c>
      <c r="P31" s="51">
        <f>VLOOKUP(C31,Bolts!A:B,2,FALSE)</f>
        <v>0</v>
      </c>
      <c r="Q31" s="52">
        <f t="shared" si="7"/>
        <v>0</v>
      </c>
    </row>
    <row r="32" spans="1:17" s="2" customFormat="1" ht="12" customHeight="1" x14ac:dyDescent="0.25">
      <c r="A32" s="4">
        <v>507</v>
      </c>
      <c r="B32" s="2">
        <v>2</v>
      </c>
      <c r="C32" s="122" t="s">
        <v>329</v>
      </c>
      <c r="D32" s="325"/>
      <c r="E32" s="326"/>
      <c r="F32" s="108">
        <f>VLOOKUP(C32,Bolts!A:L,5,0)</f>
        <v>0</v>
      </c>
      <c r="G32" s="108">
        <f>VLOOKUP(C32,Bolts!A:L,6,0)</f>
        <v>0</v>
      </c>
      <c r="H32" s="108">
        <f>VLOOKUP(C32,Bolts!A:L,7,0)</f>
        <v>0</v>
      </c>
      <c r="I32" s="109"/>
      <c r="J32" s="46">
        <f>VLOOKUP(C32,Bolts!A:L,8,0)</f>
        <v>0</v>
      </c>
      <c r="K32" s="46">
        <f>VLOOKUP(C32,Bolts!A:L,9,0)</f>
        <v>0</v>
      </c>
      <c r="L32" s="46">
        <f>VLOOKUP(C32,Bolts!A:L,10,0)</f>
        <v>0</v>
      </c>
      <c r="M32" s="46">
        <f>VLOOKUP(C32,Bolts!A:L,11,0)</f>
        <v>0</v>
      </c>
      <c r="N32" s="130">
        <f>VLOOKUP(C32,Bolts!A:L,12,0)</f>
        <v>0</v>
      </c>
      <c r="O32" s="47">
        <f t="shared" ca="1" si="6"/>
        <v>4</v>
      </c>
      <c r="P32" s="51">
        <f>VLOOKUP(C32,Bolts!A:B,2,FALSE)</f>
        <v>0</v>
      </c>
      <c r="Q32" s="52">
        <f t="shared" si="7"/>
        <v>0</v>
      </c>
    </row>
    <row r="33" spans="1:17" s="2" customFormat="1" ht="12" customHeight="1" thickBot="1" x14ac:dyDescent="0.3">
      <c r="A33" s="4">
        <v>508</v>
      </c>
      <c r="B33" s="2">
        <v>10</v>
      </c>
      <c r="C33" s="122" t="s">
        <v>274</v>
      </c>
      <c r="D33" s="325"/>
      <c r="E33" s="326"/>
      <c r="F33" s="108">
        <f>VLOOKUP(C33,Bolts!A:L,5,0)</f>
        <v>0</v>
      </c>
      <c r="G33" s="108">
        <f>VLOOKUP(C33,Bolts!A:L,6,0)</f>
        <v>0</v>
      </c>
      <c r="H33" s="108">
        <f>VLOOKUP(C33,Bolts!A:L,7,0)</f>
        <v>0</v>
      </c>
      <c r="I33" s="109"/>
      <c r="J33" s="46">
        <f>VLOOKUP(C33,Bolts!A:L,8,0)</f>
        <v>0</v>
      </c>
      <c r="K33" s="46">
        <f>VLOOKUP(C33,Bolts!A:L,9,0)</f>
        <v>0</v>
      </c>
      <c r="L33" s="46">
        <f>VLOOKUP(C33,Bolts!A:L,10,0)</f>
        <v>0</v>
      </c>
      <c r="M33" s="46">
        <f>VLOOKUP(C33,Bolts!A:L,11,0)</f>
        <v>0</v>
      </c>
      <c r="N33" s="130">
        <f>VLOOKUP(C33,Bolts!A:L,12,0)</f>
        <v>0</v>
      </c>
      <c r="O33" s="47">
        <f t="shared" ca="1" si="6"/>
        <v>20</v>
      </c>
      <c r="P33" s="51">
        <f>VLOOKUP(C33,Bolts!A:B,2,FALSE)</f>
        <v>0</v>
      </c>
      <c r="Q33" s="52">
        <f t="shared" si="7"/>
        <v>0</v>
      </c>
    </row>
    <row r="34" spans="1:17" s="2" customFormat="1" ht="12" customHeight="1" thickBot="1" x14ac:dyDescent="0.3">
      <c r="A34" s="34"/>
      <c r="B34" s="35"/>
      <c r="C34" s="35"/>
      <c r="D34" s="316"/>
      <c r="E34" s="317"/>
      <c r="F34" s="35"/>
      <c r="G34" s="35"/>
      <c r="H34" s="309"/>
      <c r="I34" s="310"/>
      <c r="J34" s="36"/>
      <c r="K34" s="36"/>
      <c r="L34" s="36"/>
      <c r="M34" s="37"/>
      <c r="N34" s="132"/>
      <c r="O34" s="38"/>
      <c r="P34" s="99" t="s">
        <v>43</v>
      </c>
      <c r="Q34" s="104">
        <f>SUM(Q5:Q33)</f>
        <v>7124.7565999999988</v>
      </c>
    </row>
  </sheetData>
  <sheetProtection selectLockedCells="1"/>
  <mergeCells count="55">
    <mergeCell ref="D34:E34"/>
    <mergeCell ref="H34:I34"/>
    <mergeCell ref="D30:E30"/>
    <mergeCell ref="D31:E31"/>
    <mergeCell ref="D32:E32"/>
    <mergeCell ref="D33:E33"/>
    <mergeCell ref="D29:E29"/>
    <mergeCell ref="D23:E23"/>
    <mergeCell ref="H23:I23"/>
    <mergeCell ref="D24:E24"/>
    <mergeCell ref="H24:I24"/>
    <mergeCell ref="D25:E25"/>
    <mergeCell ref="H25:I25"/>
    <mergeCell ref="D26:E26"/>
    <mergeCell ref="D27:E27"/>
    <mergeCell ref="D28:E28"/>
    <mergeCell ref="D20:E20"/>
    <mergeCell ref="H20:I20"/>
    <mergeCell ref="D21:E21"/>
    <mergeCell ref="H21:I21"/>
    <mergeCell ref="D22:E22"/>
    <mergeCell ref="H22:I22"/>
    <mergeCell ref="D15:E15"/>
    <mergeCell ref="H15:I15"/>
    <mergeCell ref="D18:E18"/>
    <mergeCell ref="H18:I18"/>
    <mergeCell ref="D19:E19"/>
    <mergeCell ref="H19:I19"/>
    <mergeCell ref="D16:E16"/>
    <mergeCell ref="H16:I16"/>
    <mergeCell ref="D17:E17"/>
    <mergeCell ref="H17:I17"/>
    <mergeCell ref="D12:E12"/>
    <mergeCell ref="H12:I12"/>
    <mergeCell ref="D13:E13"/>
    <mergeCell ref="H13:I13"/>
    <mergeCell ref="D14:E14"/>
    <mergeCell ref="H14:I14"/>
    <mergeCell ref="D10:E10"/>
    <mergeCell ref="H10:I10"/>
    <mergeCell ref="D11:E11"/>
    <mergeCell ref="H11:I11"/>
    <mergeCell ref="D7:E7"/>
    <mergeCell ref="H7:I7"/>
    <mergeCell ref="D8:E8"/>
    <mergeCell ref="H8:I8"/>
    <mergeCell ref="D9:E9"/>
    <mergeCell ref="H9:I9"/>
    <mergeCell ref="D5:E5"/>
    <mergeCell ref="H5:I5"/>
    <mergeCell ref="D6:E6"/>
    <mergeCell ref="H6:I6"/>
    <mergeCell ref="D1:E1"/>
    <mergeCell ref="D4:E4"/>
    <mergeCell ref="H4:I4"/>
  </mergeCells>
  <conditionalFormatting sqref="M10 M25:M33">
    <cfRule type="cellIs" dxfId="1200" priority="29" stopIfTrue="1" operator="lessThanOrEqual">
      <formula>$L10</formula>
    </cfRule>
    <cfRule type="cellIs" dxfId="1199" priority="30" operator="greaterThan">
      <formula>L10</formula>
    </cfRule>
  </conditionalFormatting>
  <conditionalFormatting sqref="M11">
    <cfRule type="cellIs" dxfId="1198" priority="27" stopIfTrue="1" operator="lessThanOrEqual">
      <formula>$L11</formula>
    </cfRule>
    <cfRule type="cellIs" dxfId="1197" priority="28" operator="greaterThan">
      <formula>L11</formula>
    </cfRule>
  </conditionalFormatting>
  <conditionalFormatting sqref="M12">
    <cfRule type="cellIs" dxfId="1196" priority="25" stopIfTrue="1" operator="lessThanOrEqual">
      <formula>$L12</formula>
    </cfRule>
    <cfRule type="cellIs" dxfId="1195" priority="26" operator="greaterThan">
      <formula>L12</formula>
    </cfRule>
  </conditionalFormatting>
  <conditionalFormatting sqref="M13">
    <cfRule type="cellIs" dxfId="1194" priority="23" stopIfTrue="1" operator="lessThanOrEqual">
      <formula>$L13</formula>
    </cfRule>
    <cfRule type="cellIs" dxfId="1193" priority="24" operator="greaterThan">
      <formula>L13</formula>
    </cfRule>
  </conditionalFormatting>
  <conditionalFormatting sqref="M14">
    <cfRule type="cellIs" dxfId="1192" priority="21" stopIfTrue="1" operator="lessThanOrEqual">
      <formula>$L14</formula>
    </cfRule>
    <cfRule type="cellIs" dxfId="1191" priority="22" operator="greaterThan">
      <formula>L14</formula>
    </cfRule>
  </conditionalFormatting>
  <conditionalFormatting sqref="M15">
    <cfRule type="cellIs" dxfId="1190" priority="19" stopIfTrue="1" operator="lessThanOrEqual">
      <formula>$L15</formula>
    </cfRule>
    <cfRule type="cellIs" dxfId="1189" priority="20" operator="greaterThan">
      <formula>L15</formula>
    </cfRule>
  </conditionalFormatting>
  <conditionalFormatting sqref="M16">
    <cfRule type="cellIs" dxfId="1188" priority="17" stopIfTrue="1" operator="lessThanOrEqual">
      <formula>$L16</formula>
    </cfRule>
    <cfRule type="cellIs" dxfId="1187" priority="18" operator="greaterThan">
      <formula>L16</formula>
    </cfRule>
  </conditionalFormatting>
  <conditionalFormatting sqref="M17:M24">
    <cfRule type="cellIs" dxfId="1186" priority="1" stopIfTrue="1" operator="lessThanOrEqual">
      <formula>$L17</formula>
    </cfRule>
    <cfRule type="cellIs" dxfId="1185" priority="2" operator="greaterThan">
      <formula>L17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8D38082-393F-4FA2-9906-F00B67DDED3B}">
          <x14:formula1>
            <xm:f>Bolts!$A:$A</xm:f>
          </x14:formula1>
          <xm:sqref>C25:C33</xm:sqref>
        </x14:dataValidation>
        <x14:dataValidation type="list" allowBlank="1" showInputMessage="1" showErrorMessage="1" xr:uid="{B5E0E19B-87C7-4A77-9213-C92298AFF8DC}">
          <x14:formula1>
            <xm:f>Machined!$C:$C</xm:f>
          </x14:formula1>
          <xm:sqref>C5:C9</xm:sqref>
        </x14:dataValidation>
        <x14:dataValidation type="list" allowBlank="1" showInputMessage="1" showErrorMessage="1" xr:uid="{279D388B-DE35-4026-9AB7-0A05AAC93708}">
          <x14:formula1>
            <xm:f>Purchased!$A:$A</xm:f>
          </x14:formula1>
          <xm:sqref>C10:C24</xm:sqref>
        </x14:dataValidation>
      </x14:dataValidations>
    </ext>
  </extLst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02623-EFB7-4EC0-9D7B-F5EEBFED7DC8}">
  <sheetPr codeName="Sheet137">
    <tabColor theme="5" tint="0.59999389629810485"/>
  </sheetPr>
  <dimension ref="A1:Q26"/>
  <sheetViews>
    <sheetView view="pageBreakPreview" zoomScale="60" zoomScaleNormal="114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'0'!C10</f>
        <v>PG10.6.0.A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'0'!D10</f>
        <v>Tube Insert Assy</v>
      </c>
      <c r="D3" s="85" t="s">
        <v>50</v>
      </c>
      <c r="E3" s="86" t="str">
        <f ca="1">MID(CELL("filename",A1),FIND("]",CELL("filename",A1))+1,256)</f>
        <v>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45" t="s">
        <v>873</v>
      </c>
      <c r="D5" s="336" t="str">
        <f ca="1">VLOOKUP(C5,Assemblies!E:P,2,0)</f>
        <v>Tube IO Enclosure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9" ca="1" si="0">B5*$L$2</f>
        <v>1</v>
      </c>
      <c r="P5" s="117">
        <f>'0.6'!Q19</f>
        <v>884.7</v>
      </c>
      <c r="Q5" s="118">
        <f t="shared" ref="Q5:Q9" si="1">B5*P5</f>
        <v>884.7</v>
      </c>
    </row>
    <row r="6" spans="1:17" s="2" customFormat="1" ht="12.75" x14ac:dyDescent="0.2">
      <c r="A6" s="150" t="s">
        <v>56</v>
      </c>
      <c r="B6" s="1">
        <v>1</v>
      </c>
      <c r="C6" s="145" t="s">
        <v>874</v>
      </c>
      <c r="D6" s="314" t="str">
        <f ca="1">VLOOKUP(C6,Assemblies!E:P,2,0)</f>
        <v>Tube Hopper Enclosure A Side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'0.7'!Q15</f>
        <v>601.24</v>
      </c>
      <c r="Q6" s="103">
        <f t="shared" si="1"/>
        <v>601.24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875</v>
      </c>
      <c r="D7" s="314" t="str">
        <f ca="1">VLOOKUP(C7,Assemblies!E:P,2,0)</f>
        <v>Tube Hopper Enclosure B Side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'0.8'!Q15</f>
        <v>601.24</v>
      </c>
      <c r="Q7" s="103">
        <f t="shared" si="1"/>
        <v>601.24</v>
      </c>
    </row>
    <row r="8" spans="1:17" s="2" customFormat="1" ht="12.75" customHeight="1" x14ac:dyDescent="0.2">
      <c r="A8" s="150" t="s">
        <v>60</v>
      </c>
      <c r="B8" s="1">
        <v>1</v>
      </c>
      <c r="C8" s="145" t="s">
        <v>876</v>
      </c>
      <c r="D8" s="314" t="str">
        <f ca="1">VLOOKUP(C8,Assemblies!E:P,2,0)</f>
        <v>Tube Inserter Frame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'6.1'!Q99</f>
        <v>13021.927600000003</v>
      </c>
      <c r="Q8" s="103">
        <f t="shared" si="1"/>
        <v>13021.927600000003</v>
      </c>
    </row>
    <row r="9" spans="1:17" s="2" customFormat="1" ht="12.75" customHeight="1" x14ac:dyDescent="0.2">
      <c r="A9" s="150" t="s">
        <v>62</v>
      </c>
      <c r="B9" s="1">
        <v>1</v>
      </c>
      <c r="C9" s="145" t="s">
        <v>877</v>
      </c>
      <c r="D9" s="314" t="str">
        <f ca="1">VLOOKUP(C9,Assemblies!E:P,2,0)</f>
        <v>Tube Insert Assy A Side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1</v>
      </c>
      <c r="P9" s="147">
        <f>'6.2'!Q8</f>
        <v>10588.2163</v>
      </c>
      <c r="Q9" s="103">
        <f t="shared" si="1"/>
        <v>10588.2163</v>
      </c>
    </row>
    <row r="10" spans="1:17" s="2" customFormat="1" ht="12.75" customHeight="1" x14ac:dyDescent="0.2">
      <c r="A10" s="150" t="s">
        <v>64</v>
      </c>
      <c r="B10" s="1">
        <v>1</v>
      </c>
      <c r="C10" s="145" t="s">
        <v>878</v>
      </c>
      <c r="D10" s="314" t="str">
        <f ca="1">VLOOKUP(C10,Assemblies!E:P,2,0)</f>
        <v>Tube Insert Assy B Side</v>
      </c>
      <c r="E10" s="315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ref="O10:O17" ca="1" si="2">B10*$L$2</f>
        <v>1</v>
      </c>
      <c r="P10" s="147">
        <f>'6.3'!Q8</f>
        <v>10568.996299999999</v>
      </c>
      <c r="Q10" s="103">
        <f t="shared" ref="Q10:Q17" si="3">B10*P10</f>
        <v>10568.996299999999</v>
      </c>
    </row>
    <row r="11" spans="1:17" s="2" customFormat="1" ht="12.75" x14ac:dyDescent="0.2">
      <c r="A11" s="150" t="s">
        <v>66</v>
      </c>
      <c r="B11" s="1">
        <v>1</v>
      </c>
      <c r="C11" s="145" t="s">
        <v>879</v>
      </c>
      <c r="D11" s="314" t="str">
        <f ca="1">VLOOKUP(C11,Assemblies!E:P,2,0)</f>
        <v>Cuff Support Assy A Side</v>
      </c>
      <c r="E11" s="315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ca="1" si="2"/>
        <v>1</v>
      </c>
      <c r="P11" s="147">
        <f>'6.4'!Q30</f>
        <v>1038.7965999999999</v>
      </c>
      <c r="Q11" s="103">
        <f t="shared" si="3"/>
        <v>1038.7965999999999</v>
      </c>
    </row>
    <row r="12" spans="1:17" s="2" customFormat="1" ht="12.75" x14ac:dyDescent="0.2">
      <c r="A12" s="150" t="s">
        <v>68</v>
      </c>
      <c r="B12" s="1">
        <v>1</v>
      </c>
      <c r="C12" s="145" t="s">
        <v>880</v>
      </c>
      <c r="D12" s="314" t="str">
        <f ca="1">VLOOKUP(C12,Assemblies!E:P,2,0)</f>
        <v>Cuff Support Assy B Side</v>
      </c>
      <c r="E12" s="315"/>
      <c r="F12" s="32"/>
      <c r="G12" s="32"/>
      <c r="H12" s="303"/>
      <c r="I12" s="303"/>
      <c r="J12" s="28"/>
      <c r="K12" s="28"/>
      <c r="L12" s="28"/>
      <c r="M12" s="28"/>
      <c r="N12" s="33"/>
      <c r="O12" s="146">
        <f t="shared" ca="1" si="2"/>
        <v>1</v>
      </c>
      <c r="P12" s="147">
        <f>'6.5'!Q30</f>
        <v>1038.7965999999999</v>
      </c>
      <c r="Q12" s="103">
        <f t="shared" si="3"/>
        <v>1038.7965999999999</v>
      </c>
    </row>
    <row r="13" spans="1:17" s="2" customFormat="1" ht="12.75" customHeight="1" x14ac:dyDescent="0.2">
      <c r="A13" s="150" t="s">
        <v>70</v>
      </c>
      <c r="B13" s="1">
        <v>1</v>
      </c>
      <c r="C13" s="145" t="s">
        <v>881</v>
      </c>
      <c r="D13" s="314" t="str">
        <f ca="1">VLOOKUP(C13,Assemblies!E:P,2,0)</f>
        <v>Pocket Conveyor Assy A Side</v>
      </c>
      <c r="E13" s="315"/>
      <c r="F13" s="32"/>
      <c r="G13" s="32"/>
      <c r="H13" s="303"/>
      <c r="I13" s="303"/>
      <c r="J13" s="28"/>
      <c r="K13" s="28"/>
      <c r="L13" s="28"/>
      <c r="M13" s="28"/>
      <c r="N13" s="33"/>
      <c r="O13" s="146">
        <f t="shared" ca="1" si="2"/>
        <v>1</v>
      </c>
      <c r="P13" s="147">
        <f>'6.6'!Q22</f>
        <v>18850.61</v>
      </c>
      <c r="Q13" s="103">
        <f t="shared" si="3"/>
        <v>18850.61</v>
      </c>
    </row>
    <row r="14" spans="1:17" s="2" customFormat="1" ht="12.75" customHeight="1" x14ac:dyDescent="0.2">
      <c r="A14" s="150" t="s">
        <v>72</v>
      </c>
      <c r="B14" s="1">
        <v>1</v>
      </c>
      <c r="C14" s="145" t="s">
        <v>882</v>
      </c>
      <c r="D14" s="314" t="str">
        <f ca="1">VLOOKUP(C14,Assemblies!E:P,2,0)</f>
        <v>Pocket Conveyor Assy B Side</v>
      </c>
      <c r="E14" s="315"/>
      <c r="F14" s="32"/>
      <c r="G14" s="32"/>
      <c r="H14" s="303"/>
      <c r="I14" s="303"/>
      <c r="J14" s="28"/>
      <c r="K14" s="28"/>
      <c r="L14" s="28"/>
      <c r="M14" s="28"/>
      <c r="N14" s="33"/>
      <c r="O14" s="146">
        <f t="shared" ca="1" si="2"/>
        <v>1</v>
      </c>
      <c r="P14" s="147">
        <f>'6.7'!Q22</f>
        <v>18850.61</v>
      </c>
      <c r="Q14" s="103">
        <f t="shared" si="3"/>
        <v>18850.61</v>
      </c>
    </row>
    <row r="15" spans="1:17" s="2" customFormat="1" ht="12.75" x14ac:dyDescent="0.2">
      <c r="A15" s="150" t="s">
        <v>74</v>
      </c>
      <c r="B15" s="1">
        <v>2</v>
      </c>
      <c r="C15" s="145" t="s">
        <v>883</v>
      </c>
      <c r="D15" s="314" t="str">
        <f ca="1">VLOOKUP(C15,Assemblies!E:P,2,0)</f>
        <v>Tube Hopper Frame</v>
      </c>
      <c r="E15" s="315"/>
      <c r="F15" s="32"/>
      <c r="G15" s="32"/>
      <c r="H15" s="303"/>
      <c r="I15" s="303"/>
      <c r="J15" s="28"/>
      <c r="K15" s="28"/>
      <c r="L15" s="28"/>
      <c r="M15" s="28"/>
      <c r="N15" s="33"/>
      <c r="O15" s="146">
        <f t="shared" ca="1" si="2"/>
        <v>2</v>
      </c>
      <c r="P15" s="147">
        <f>'6.8'!Q26</f>
        <v>2356.828</v>
      </c>
      <c r="Q15" s="103">
        <f t="shared" si="3"/>
        <v>4713.6559999999999</v>
      </c>
    </row>
    <row r="16" spans="1:17" s="2" customFormat="1" ht="12.75" x14ac:dyDescent="0.2">
      <c r="A16" s="150" t="s">
        <v>76</v>
      </c>
      <c r="B16" s="1">
        <v>2</v>
      </c>
      <c r="C16" s="145" t="s">
        <v>884</v>
      </c>
      <c r="D16" s="314" t="str">
        <f ca="1">VLOOKUP(C16,Assemblies!E:P,2,0)</f>
        <v>Tube Hopper Assy</v>
      </c>
      <c r="E16" s="315"/>
      <c r="F16" s="32"/>
      <c r="G16" s="32"/>
      <c r="H16" s="303"/>
      <c r="I16" s="303"/>
      <c r="J16" s="28"/>
      <c r="K16" s="28"/>
      <c r="L16" s="28"/>
      <c r="M16" s="28"/>
      <c r="N16" s="33"/>
      <c r="O16" s="146">
        <f t="shared" ca="1" si="2"/>
        <v>2</v>
      </c>
      <c r="P16" s="147">
        <f>'6.9'!Q38</f>
        <v>29968.926000000003</v>
      </c>
      <c r="Q16" s="103">
        <f t="shared" si="3"/>
        <v>59937.852000000006</v>
      </c>
    </row>
    <row r="17" spans="1:17" s="2" customFormat="1" ht="12.75" x14ac:dyDescent="0.2">
      <c r="A17" s="150" t="s">
        <v>78</v>
      </c>
      <c r="B17" s="1">
        <v>2</v>
      </c>
      <c r="C17" s="145" t="s">
        <v>885</v>
      </c>
      <c r="D17" s="314" t="str">
        <f ca="1">VLOOKUP(C17,Assemblies!E:P,2,0)</f>
        <v>Tube Singulator Assy</v>
      </c>
      <c r="E17" s="315"/>
      <c r="F17" s="32"/>
      <c r="G17" s="32"/>
      <c r="H17" s="303"/>
      <c r="I17" s="303"/>
      <c r="J17" s="28"/>
      <c r="K17" s="28"/>
      <c r="L17" s="28"/>
      <c r="M17" s="28"/>
      <c r="N17" s="33"/>
      <c r="O17" s="146">
        <f t="shared" ca="1" si="2"/>
        <v>2</v>
      </c>
      <c r="P17" s="147">
        <f>'6.10'!Q57</f>
        <v>4427.7299999999987</v>
      </c>
      <c r="Q17" s="103">
        <f t="shared" si="3"/>
        <v>8855.4599999999973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.75" customHeight="1" x14ac:dyDescent="0.25">
      <c r="A19" s="77">
        <v>1</v>
      </c>
      <c r="B19" s="20"/>
      <c r="C19" s="121"/>
      <c r="D19" s="314" t="e">
        <f>VLOOKUP(C19,Machined!C:X,2,0)</f>
        <v>#N/A</v>
      </c>
      <c r="E19" s="329"/>
      <c r="F19" s="107" t="e">
        <f>VLOOKUP($C19,Machined!C:Z,13,0)</f>
        <v>#N/A</v>
      </c>
      <c r="G19" s="44" t="e">
        <f>IF(VLOOKUP($C19,Machined!C:Z,16,0) = 0, " ", VLOOKUP($C19,Machined!C:Z,16,0))</f>
        <v>#N/A</v>
      </c>
      <c r="H19" s="320" t="e">
        <f>IF(VLOOKUP($C19,Machined!C:Z,17,0) = 0, " ", VLOOKUP($C19,Machined!C:Z,17,0))</f>
        <v>#N/A</v>
      </c>
      <c r="I19" s="321" t="e">
        <f>IF(VLOOKUP($C19,Machined!$C:$Y,13,0) = 0, " ", VLOOKUP($C19,Machined!$C:$Y,13,0))</f>
        <v>#N/A</v>
      </c>
      <c r="J19" s="44" t="e">
        <f>IF(VLOOKUP($C19,Machined!C:Z,18,0) = 0, " ", VLOOKUP($C19,Machined!C:Z,18,0))</f>
        <v>#N/A</v>
      </c>
      <c r="K19" s="44" t="e">
        <f>IF(VLOOKUP($C19,Machined!C:Z,19,0) = 0, " ", VLOOKUP($C19,Machined!C:Z,19,0))</f>
        <v>#N/A</v>
      </c>
      <c r="L19" s="44" t="e">
        <f>IF(VLOOKUP($C19,Machined!C:Z,20,0) = 0, " ", VLOOKUP($C19,Machined!C:Z,20,0))</f>
        <v>#N/A</v>
      </c>
      <c r="M19" s="44" t="e">
        <f>IF(VLOOKUP($C19,Machined!C:Z,21,0) = 0, " ", VLOOKUP($C19,Machined!C:Z,21,0))</f>
        <v>#N/A</v>
      </c>
      <c r="N19" s="129" t="e">
        <f>IF(VLOOKUP($C19,Machined!C:Z,22,0) = 0, " ", VLOOKUP($C19,Machined!C:Z,22,0))</f>
        <v>#N/A</v>
      </c>
      <c r="O19" s="45">
        <f t="shared" ref="O19" ca="1" si="4">B19*$L$2</f>
        <v>0</v>
      </c>
      <c r="P19" s="49" t="e">
        <f>VLOOKUP(C19,Machined!C:F,3,0)</f>
        <v>#N/A</v>
      </c>
      <c r="Q19" s="50" t="e">
        <f t="shared" ref="Q19" si="5">B19*P19</f>
        <v>#N/A</v>
      </c>
    </row>
    <row r="20" spans="1:17" s="2" customFormat="1" ht="12" customHeight="1" x14ac:dyDescent="0.25">
      <c r="A20" s="25"/>
      <c r="B20" s="26"/>
      <c r="C20" s="26"/>
      <c r="D20" s="332"/>
      <c r="E20" s="333"/>
      <c r="F20" s="26"/>
      <c r="G20" s="26"/>
      <c r="H20" s="322"/>
      <c r="I20" s="323"/>
      <c r="J20" s="27"/>
      <c r="K20" s="27"/>
      <c r="L20" s="27"/>
      <c r="M20" s="28"/>
      <c r="N20" s="29"/>
      <c r="O20" s="29"/>
      <c r="P20" s="148"/>
      <c r="Q20" s="149"/>
    </row>
    <row r="21" spans="1:17" s="2" customFormat="1" ht="12" customHeight="1" x14ac:dyDescent="0.25">
      <c r="A21" s="4">
        <v>301</v>
      </c>
      <c r="C21" s="135"/>
      <c r="D21" s="325" t="e">
        <f>VLOOKUP(C21,Purchased!A:B,2,0)</f>
        <v>#N/A</v>
      </c>
      <c r="E21" s="326"/>
      <c r="F21" s="108" t="e">
        <f>IF(VLOOKUP($C21,Purchased!A:Z,11,0) = 0, " ", VLOOKUP($C21,Purchased!A:Z,11,0))</f>
        <v>#N/A</v>
      </c>
      <c r="G21" s="108" t="e">
        <f>IF(VLOOKUP($C21,Purchased!A:Z,12,0)=0, " ", VLOOKUP($C21,Purchased!A:Z,12,0))</f>
        <v>#N/A</v>
      </c>
      <c r="H21" s="327" t="e">
        <f>IF(VLOOKUP($C21,Purchased!A:Z,13,0)=0, " ", VLOOKUP($C21,Purchased!A:Z,13,0))</f>
        <v>#N/A</v>
      </c>
      <c r="I21" s="328"/>
      <c r="J21" s="46" t="e">
        <f>IF(VLOOKUP($C21,Purchased!A:Z,14,0)=0, " ", VLOOKUP($C21,Purchased!A:Z,14,0))</f>
        <v>#N/A</v>
      </c>
      <c r="K21" s="46" t="e">
        <f>IF(VLOOKUP(C21,Purchased!A:R,14,0)=0, " ", VLOOKUP(C21,Purchased!A:R,14,0))</f>
        <v>#N/A</v>
      </c>
      <c r="L21" s="46" t="e">
        <f>IF(VLOOKUP(C21,Purchased!A:R,15,0)=0, " ", VLOOKUP(C21,Purchased!A:R,15,0))</f>
        <v>#N/A</v>
      </c>
      <c r="M21" s="46" t="e">
        <f>IF(VLOOKUP(C21,Purchased!A:R,16,0)=0, " ",VLOOKUP(C21,Purchased!A:R,16,0))</f>
        <v>#N/A</v>
      </c>
      <c r="N21" s="130" t="e">
        <f>IF(VLOOKUP(C21,Purchased!A:R,17,0)=0, " ", VLOOKUP(C21,Purchased!A:R,17,0))</f>
        <v>#N/A</v>
      </c>
      <c r="O21" s="47">
        <f t="shared" ref="O21" ca="1" si="6">B21*$L$2</f>
        <v>0</v>
      </c>
      <c r="P21" s="51" t="e">
        <f>VLOOKUP(C21,Purchased!A:D,3,FALSE)</f>
        <v>#N/A</v>
      </c>
      <c r="Q21" s="52" t="e">
        <f t="shared" ref="Q21" si="7">B21*P21</f>
        <v>#N/A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501</v>
      </c>
      <c r="C23" s="122"/>
      <c r="D23" s="325"/>
      <c r="E23" s="326"/>
      <c r="F23" s="108" t="e">
        <f>VLOOKUP(C23,Bolts!A:L,5,0)</f>
        <v>#N/A</v>
      </c>
      <c r="G23" s="108" t="e">
        <f>VLOOKUP(C23,Bolts!A:L,6,0)</f>
        <v>#N/A</v>
      </c>
      <c r="H23" s="108" t="e">
        <f>VLOOKUP(C23,Bolts!A:L,7,0)</f>
        <v>#N/A</v>
      </c>
      <c r="I23" s="109"/>
      <c r="J23" s="46" t="e">
        <f>VLOOKUP(C23,Bolts!A:L,8,0)</f>
        <v>#N/A</v>
      </c>
      <c r="K23" s="46" t="e">
        <f>VLOOKUP(C23,Bolts!A:L,9,0)</f>
        <v>#N/A</v>
      </c>
      <c r="L23" s="46" t="e">
        <f>VLOOKUP(C23,Bolts!A:L,10,0)</f>
        <v>#N/A</v>
      </c>
      <c r="M23" s="46" t="e">
        <f>VLOOKUP(C23,Bolts!A:L,11,0)</f>
        <v>#N/A</v>
      </c>
      <c r="N23" s="130" t="e">
        <f>VLOOKUP(C23,Bolts!A:L,12,0)</f>
        <v>#N/A</v>
      </c>
      <c r="O23" s="47">
        <f t="shared" ref="O23" ca="1" si="8">B23*$L$2</f>
        <v>0</v>
      </c>
      <c r="P23" s="51" t="e">
        <f>VLOOKUP(C23,Bolts!A:B,2,FALSE)</f>
        <v>#N/A</v>
      </c>
      <c r="Q23" s="52" t="e">
        <f t="shared" ref="Q23" si="9">B23*P23</f>
        <v>#N/A</v>
      </c>
    </row>
    <row r="24" spans="1:17" s="2" customFormat="1" ht="12" customHeight="1" x14ac:dyDescent="0.25">
      <c r="A24" s="25"/>
      <c r="B24" s="26"/>
      <c r="C24" s="26"/>
      <c r="D24" s="332"/>
      <c r="E24" s="333"/>
      <c r="F24" s="26"/>
      <c r="G24" s="26"/>
      <c r="H24" s="322"/>
      <c r="I24" s="323"/>
      <c r="J24" s="27"/>
      <c r="K24" s="27"/>
      <c r="L24" s="27"/>
      <c r="M24" s="28"/>
      <c r="N24" s="29"/>
      <c r="O24" s="29"/>
      <c r="P24" s="148"/>
      <c r="Q24" s="149"/>
    </row>
    <row r="25" spans="1:17" s="2" customFormat="1" ht="12" customHeight="1" thickBot="1" x14ac:dyDescent="0.3">
      <c r="A25" s="4">
        <v>701</v>
      </c>
      <c r="C25" s="123"/>
      <c r="D25" s="325" t="e">
        <f>VLOOKUP(C25,Extrusion!B:C,2,0)</f>
        <v>#N/A</v>
      </c>
      <c r="E25" s="326"/>
      <c r="F25" s="108" t="e">
        <f>VLOOKUP(C25,Extrusion!B:N,5,0)</f>
        <v>#N/A</v>
      </c>
      <c r="G25" s="108" t="e">
        <f>VLOOKUP(C25,Extrusion!B:N,6,0)</f>
        <v>#N/A</v>
      </c>
      <c r="H25" s="108" t="e">
        <f>VLOOKUP(C25,Extrusion!B:N,7,0)</f>
        <v>#N/A</v>
      </c>
      <c r="I25" s="109"/>
      <c r="J25" s="46" t="e">
        <f>VLOOKUP(C25,Extrusion!B:N,8,0)</f>
        <v>#N/A</v>
      </c>
      <c r="K25" s="46" t="e">
        <f>VLOOKUP(C25,Extrusion!B:N,9,0)</f>
        <v>#N/A</v>
      </c>
      <c r="L25" s="46" t="e">
        <f>VLOOKUP(C25,Extrusion!B:N,10,0)</f>
        <v>#N/A</v>
      </c>
      <c r="M25" s="46" t="e">
        <f>VLOOKUP(C25,Extrusion!B:N,11,0)</f>
        <v>#N/A</v>
      </c>
      <c r="N25" s="47" t="e">
        <f>VLOOKUP(C25,Extrusion!B:O,12,0)</f>
        <v>#N/A</v>
      </c>
      <c r="O25" s="47">
        <f t="shared" ref="O25" ca="1" si="10">B25*$L$2</f>
        <v>0</v>
      </c>
      <c r="P25" s="51" t="e">
        <f>VLOOKUP(C25,Extrusion!B:G,4,0)</f>
        <v>#N/A</v>
      </c>
      <c r="Q25" s="52" t="e">
        <f t="shared" ref="Q25" si="11">B25*P25</f>
        <v>#N/A</v>
      </c>
    </row>
    <row r="26" spans="1:17" s="2" customFormat="1" ht="12" customHeight="1" thickBot="1" x14ac:dyDescent="0.3">
      <c r="A26" s="34"/>
      <c r="B26" s="35"/>
      <c r="C26" s="35"/>
      <c r="D26" s="316"/>
      <c r="E26" s="317"/>
      <c r="F26" s="35"/>
      <c r="G26" s="35"/>
      <c r="H26" s="309"/>
      <c r="I26" s="310"/>
      <c r="J26" s="36"/>
      <c r="K26" s="36"/>
      <c r="L26" s="36"/>
      <c r="M26" s="37"/>
      <c r="N26" s="132"/>
      <c r="O26" s="38"/>
      <c r="P26" s="99" t="s">
        <v>43</v>
      </c>
      <c r="Q26" s="104">
        <f>SUM(Q5:Q17)</f>
        <v>149552.10140000001</v>
      </c>
    </row>
  </sheetData>
  <mergeCells count="45">
    <mergeCell ref="D10:E10"/>
    <mergeCell ref="D18:E18"/>
    <mergeCell ref="H18:I18"/>
    <mergeCell ref="D19:E19"/>
    <mergeCell ref="H19:I19"/>
    <mergeCell ref="D11:E11"/>
    <mergeCell ref="H11:I11"/>
    <mergeCell ref="D12:E12"/>
    <mergeCell ref="H10:I10"/>
    <mergeCell ref="D15:E15"/>
    <mergeCell ref="H15:I15"/>
    <mergeCell ref="D16:E16"/>
    <mergeCell ref="H16:I16"/>
    <mergeCell ref="D17:E17"/>
    <mergeCell ref="H17:I17"/>
    <mergeCell ref="H12:I12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  <mergeCell ref="D13:E13"/>
    <mergeCell ref="H13:I13"/>
    <mergeCell ref="D14:E14"/>
    <mergeCell ref="H14:I14"/>
    <mergeCell ref="D26:E26"/>
    <mergeCell ref="H26:I26"/>
    <mergeCell ref="D24:E24"/>
    <mergeCell ref="H24:I24"/>
    <mergeCell ref="D25:E25"/>
    <mergeCell ref="D22:E22"/>
    <mergeCell ref="H22:I22"/>
    <mergeCell ref="D23:E23"/>
    <mergeCell ref="D20:E20"/>
    <mergeCell ref="H20:I20"/>
    <mergeCell ref="D21:E21"/>
    <mergeCell ref="H21:I21"/>
  </mergeCells>
  <conditionalFormatting sqref="M18 M20 M22:M25">
    <cfRule type="cellIs" dxfId="1184" priority="5" stopIfTrue="1" operator="lessThanOrEqual">
      <formula>$L18</formula>
    </cfRule>
    <cfRule type="cellIs" dxfId="1183" priority="6" operator="greaterThan">
      <formula>L18</formula>
    </cfRule>
  </conditionalFormatting>
  <conditionalFormatting sqref="M21">
    <cfRule type="cellIs" dxfId="1182" priority="1" stopIfTrue="1" operator="lessThanOrEqual">
      <formula>$L21</formula>
    </cfRule>
    <cfRule type="cellIs" dxfId="1181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CCF5D2A-FD78-4626-87B3-94DE0B33E197}">
          <x14:formula1>
            <xm:f>Extrusion!$B:$B</xm:f>
          </x14:formula1>
          <xm:sqref>C25</xm:sqref>
        </x14:dataValidation>
        <x14:dataValidation type="list" allowBlank="1" showInputMessage="1" showErrorMessage="1" xr:uid="{E2A4B635-468B-4D80-8BCC-0DB70D37CB62}">
          <x14:formula1>
            <xm:f>Bolts!$A:$A</xm:f>
          </x14:formula1>
          <xm:sqref>C22:C23</xm:sqref>
        </x14:dataValidation>
        <x14:dataValidation type="list" allowBlank="1" showInputMessage="1" showErrorMessage="1" xr:uid="{934FD9B4-995E-4D1E-8BC9-E2D6144A6F1E}">
          <x14:formula1>
            <xm:f>Assemblies!$E:$E</xm:f>
          </x14:formula1>
          <xm:sqref>C5:C17</xm:sqref>
        </x14:dataValidation>
        <x14:dataValidation type="list" allowBlank="1" showInputMessage="1" showErrorMessage="1" xr:uid="{52C916DE-5E04-45CE-9254-41848C2A67DA}">
          <x14:formula1>
            <xm:f>Machined!$C:$C</xm:f>
          </x14:formula1>
          <xm:sqref>C18:C19</xm:sqref>
        </x14:dataValidation>
        <x14:dataValidation type="list" allowBlank="1" showInputMessage="1" showErrorMessage="1" xr:uid="{5BCFB2FC-7B33-4A3B-9708-EF69C53C5684}">
          <x14:formula1>
            <xm:f>Purchased!$A:$A</xm:f>
          </x14:formula1>
          <xm:sqref>C20:C21</xm:sqref>
        </x14:dataValidation>
      </x14:dataValidations>
    </ext>
  </extLst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CFA68-FD27-43A7-9A4F-ACB61E4506F2}">
  <sheetPr codeName="Sheet138">
    <tabColor theme="9" tint="0.59999389629810485"/>
  </sheetPr>
  <dimension ref="A1:T99"/>
  <sheetViews>
    <sheetView view="pageBreakPreview" zoomScale="60" zoomScaleNormal="100" workbookViewId="0">
      <selection activeCell="H54" sqref="H54:I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6" width="13.5703125" customWidth="1"/>
    <col min="7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20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20" s="62" customFormat="1" ht="12" customHeight="1" x14ac:dyDescent="0.25">
      <c r="A2" s="84" t="s">
        <v>48</v>
      </c>
      <c r="B2" s="65"/>
      <c r="C2" s="64" t="str">
        <f>'6'!C8</f>
        <v>PG10.6.1.0.A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20" s="62" customFormat="1" ht="12" customHeight="1" thickBot="1" x14ac:dyDescent="0.3">
      <c r="A3" s="84" t="s">
        <v>8</v>
      </c>
      <c r="B3" s="65"/>
      <c r="C3" s="64" t="str">
        <f ca="1">'6'!D8</f>
        <v>Tube Inserter Frame Assy</v>
      </c>
      <c r="D3" s="85" t="s">
        <v>50</v>
      </c>
      <c r="E3" s="86" t="str">
        <f ca="1">MID(CELL("filename",A1),FIND("]",CELL("filename",A1))+1,256)</f>
        <v>6.1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20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20" s="1" customFormat="1" ht="12.75" customHeight="1" x14ac:dyDescent="0.2">
      <c r="A5" s="110" t="s">
        <v>54</v>
      </c>
      <c r="B5" s="111">
        <v>2</v>
      </c>
      <c r="C5" s="112" t="s">
        <v>702</v>
      </c>
      <c r="D5" s="336" t="str">
        <f ca="1">VLOOKUP(C5,Assemblies!E:P,2,0)</f>
        <v>Belt Tensioner 1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6" ca="1" si="0">B5*$L$2</f>
        <v>2</v>
      </c>
      <c r="P5" s="117">
        <f>'6.1.1'!Q13</f>
        <v>109.24</v>
      </c>
      <c r="Q5" s="118">
        <f t="shared" ref="Q5:Q6" si="1">B5*P5</f>
        <v>218.48</v>
      </c>
    </row>
    <row r="6" spans="1:20" s="2" customFormat="1" ht="12.75" customHeight="1" x14ac:dyDescent="0.2">
      <c r="A6" s="150" t="s">
        <v>56</v>
      </c>
      <c r="B6" s="1">
        <v>4</v>
      </c>
      <c r="C6" s="145" t="s">
        <v>886</v>
      </c>
      <c r="D6" s="314" t="str">
        <f ca="1">VLOOKUP(C6,Assemblies!E:P,2,0)</f>
        <v>Belt Tensioner 2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4</v>
      </c>
      <c r="P6" s="147">
        <f>'6.1.2'!Q13</f>
        <v>118.21000000000001</v>
      </c>
      <c r="Q6" s="103">
        <f t="shared" si="1"/>
        <v>472.84000000000003</v>
      </c>
    </row>
    <row r="7" spans="1:20" s="2" customFormat="1" ht="12.75" customHeight="1" x14ac:dyDescent="0.2">
      <c r="A7" s="150" t="s">
        <v>58</v>
      </c>
      <c r="B7" s="1">
        <v>1</v>
      </c>
      <c r="C7" s="145" t="s">
        <v>622</v>
      </c>
      <c r="D7" s="314" t="str">
        <f ca="1">VLOOKUP(C7,Assemblies!E:P,2,0)</f>
        <v>TOE ROLLER ASSEMBLY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1</v>
      </c>
      <c r="P7" s="147">
        <f>'8.4'!Q23</f>
        <v>624.98</v>
      </c>
      <c r="Q7" s="103">
        <f>B7*P7</f>
        <v>624.98</v>
      </c>
    </row>
    <row r="8" spans="1:20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20" s="2" customFormat="1" ht="12.75" customHeight="1" x14ac:dyDescent="0.25">
      <c r="A9" s="77">
        <v>1</v>
      </c>
      <c r="B9" s="20">
        <v>2</v>
      </c>
      <c r="C9" s="121" t="s">
        <v>3861</v>
      </c>
      <c r="D9" s="314" t="str">
        <f>VLOOKUP(C9,Machined!C:X,2,0)</f>
        <v>SIDE PLATE</v>
      </c>
      <c r="E9" s="329"/>
      <c r="F9" s="107" t="str">
        <f>VLOOKUP($C9,Machined!C:Z,13,0)</f>
        <v>MIC-6 CAST ALUMINUM</v>
      </c>
      <c r="G9" s="44" t="str">
        <f>IF(VLOOKUP($C9,Machined!C:Z,16,0) = 0, " ", VLOOKUP($C9,Machined!C:Z,16,0))</f>
        <v>Bemox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MIC-6 CAST ALUMINUM</v>
      </c>
      <c r="J9" s="44">
        <f>IF(VLOOKUP($C9,Machined!C:Z,18,0) = 0, " ", VLOOKUP($C9,Machined!C:Z,18,0))</f>
        <v>45489</v>
      </c>
      <c r="K9" s="44">
        <f>IF(VLOOKUP($C9,Machined!C:Z,19,0) = 0, " ", VLOOKUP($C9,Machined!C:Z,19,0))</f>
        <v>45513</v>
      </c>
      <c r="L9" s="44">
        <f>IF(VLOOKUP($C9,Machined!C:Z,20,0) = 0, " ", VLOOKUP($C9,Machined!C:Z,20,0))</f>
        <v>45551</v>
      </c>
      <c r="M9" s="44">
        <f>IF(VLOOKUP($C9,Machined!C:Z,21,0) = 0, " ", VLOOKUP($C9,Machined!C:Z,21,0))</f>
        <v>45566</v>
      </c>
      <c r="N9" s="129">
        <f>IF(VLOOKUP($C9,Machined!C:Z,22,0) = 0, " ", VLOOKUP($C9,Machined!C:Z,22,0))</f>
        <v>55676</v>
      </c>
      <c r="O9" s="45">
        <f t="shared" ref="O9:O20" ca="1" si="2">B9*$L$2</f>
        <v>2</v>
      </c>
      <c r="P9" s="49">
        <f>VLOOKUP(C9,Machined!C:F,3,0)</f>
        <v>610.1</v>
      </c>
      <c r="Q9" s="50">
        <f t="shared" ref="Q9:Q20" si="3">B9*P9</f>
        <v>1220.2</v>
      </c>
      <c r="T9" s="44"/>
    </row>
    <row r="10" spans="1:20" s="2" customFormat="1" ht="12.75" customHeight="1" x14ac:dyDescent="0.25">
      <c r="A10" s="77">
        <v>2</v>
      </c>
      <c r="B10" s="20">
        <v>2</v>
      </c>
      <c r="C10" s="121" t="s">
        <v>707</v>
      </c>
      <c r="D10" s="314" t="str">
        <f>VLOOKUP(C10,Machined!C:X,2,0)</f>
        <v>CROSSWEB RAIL PLATE</v>
      </c>
      <c r="E10" s="329"/>
      <c r="F10" s="107" t="str">
        <f>VLOOKUP($C10,Machined!C:Z,13,0)</f>
        <v>MIC-6 CAST ALUMINUM</v>
      </c>
      <c r="G10" s="44" t="str">
        <f>IF(VLOOKUP($C10,Machined!C:Z,16,0) = 0, " ", VLOOKUP($C10,Machined!C:Z,16,0))</f>
        <v>Bemox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MIC-6 CAST ALUMINUM</v>
      </c>
      <c r="J10" s="44">
        <f>IF(VLOOKUP($C10,Machined!C:Z,18,0) = 0, " ", VLOOKUP($C10,Machined!C:Z,18,0))</f>
        <v>45489</v>
      </c>
      <c r="K10" s="44">
        <f>IF(VLOOKUP($C10,Machined!C:Z,19,0) = 0, " ", VLOOKUP($C10,Machined!C:Z,19,0))</f>
        <v>45513</v>
      </c>
      <c r="L10" s="44">
        <f>IF(VLOOKUP($C10,Machined!C:Z,20,0) = 0, " ", VLOOKUP($C10,Machined!C:Z,20,0))</f>
        <v>45551</v>
      </c>
      <c r="M10" s="44">
        <f>IF(VLOOKUP($C10,Machined!C:Z,21,0) = 0, " ", VLOOKUP($C10,Machined!C:Z,21,0))</f>
        <v>45566</v>
      </c>
      <c r="N10" s="129">
        <f>IF(VLOOKUP($C10,Machined!C:Z,22,0) = 0, " ", VLOOKUP($C10,Machined!C:Z,22,0))</f>
        <v>55676</v>
      </c>
      <c r="O10" s="45">
        <f t="shared" ca="1" si="2"/>
        <v>2</v>
      </c>
      <c r="P10" s="49">
        <f>VLOOKUP(C10,Machined!C:F,3,0)</f>
        <v>201.85</v>
      </c>
      <c r="Q10" s="50">
        <f t="shared" si="3"/>
        <v>403.7</v>
      </c>
    </row>
    <row r="11" spans="1:20" s="2" customFormat="1" ht="12.75" customHeight="1" x14ac:dyDescent="0.25">
      <c r="A11" s="77">
        <v>3</v>
      </c>
      <c r="B11" s="20">
        <v>2</v>
      </c>
      <c r="C11" s="121" t="s">
        <v>887</v>
      </c>
      <c r="D11" s="314" t="str">
        <f>VLOOKUP(C11,Machined!C:X,2,0)</f>
        <v>LINEAR SHAFT PLATE-DUAL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Frontier Mach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45489</v>
      </c>
      <c r="K11" s="44">
        <f>IF(VLOOKUP($C11,Machined!C:Z,19,0) = 0, " ", VLOOKUP($C11,Machined!C:Z,19,0))</f>
        <v>45490</v>
      </c>
      <c r="L11" s="44">
        <f>IF(VLOOKUP($C11,Machined!C:Z,20,0) = 0, " ", VLOOKUP($C11,Machined!C:Z,20,0))</f>
        <v>45512</v>
      </c>
      <c r="M11" s="44">
        <f>IF(VLOOKUP($C11,Machined!C:Z,21,0) = 0, " ", VLOOKUP($C11,Machined!C:Z,21,0))</f>
        <v>45512</v>
      </c>
      <c r="N11" s="129">
        <f>IF(VLOOKUP($C11,Machined!C:Z,22,0) = 0, " ", VLOOKUP($C11,Machined!C:Z,22,0))</f>
        <v>55607</v>
      </c>
      <c r="O11" s="45">
        <f t="shared" ca="1" si="2"/>
        <v>2</v>
      </c>
      <c r="P11" s="49">
        <f>VLOOKUP(C11,Machined!C:F,3,0)</f>
        <v>158.94999999999999</v>
      </c>
      <c r="Q11" s="50">
        <f t="shared" si="3"/>
        <v>317.89999999999998</v>
      </c>
    </row>
    <row r="12" spans="1:20" s="2" customFormat="1" ht="12.75" customHeight="1" x14ac:dyDescent="0.25">
      <c r="A12" s="77">
        <v>4</v>
      </c>
      <c r="B12" s="20">
        <v>6</v>
      </c>
      <c r="C12" s="121" t="s">
        <v>888</v>
      </c>
      <c r="D12" s="314" t="str">
        <f>VLOOKUP(C12,Machined!C:X,2,0)</f>
        <v>LINEAR SHAFT CLAMP</v>
      </c>
      <c r="E12" s="329"/>
      <c r="F12" s="107" t="str">
        <f>VLOOKUP($C12,Machined!C:Z,13,0)</f>
        <v>1018 COLD ROLLED STEEL</v>
      </c>
      <c r="G12" s="44" t="str">
        <f>IF(VLOOKUP($C12,Machined!C:Z,16,0) = 0, " ", VLOOKUP($C12,Machined!C:Z,16,0))</f>
        <v>Craig Miller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1018 COLD ROLLED STEEL</v>
      </c>
      <c r="J12" s="44">
        <f>IF(VLOOKUP($C12,Machined!C:Z,18,0) = 0, " ", VLOOKUP($C12,Machined!C:Z,18,0))</f>
        <v>45489</v>
      </c>
      <c r="K12" s="44">
        <f>IF(VLOOKUP($C12,Machined!C:Z,19,0) = 0, " ", VLOOKUP($C12,Machined!C:Z,19,0))</f>
        <v>45490</v>
      </c>
      <c r="L12" s="44">
        <f>IF(VLOOKUP($C12,Machined!C:Z,20,0) = 0, " ", VLOOKUP($C12,Machined!C:Z,20,0))</f>
        <v>45522</v>
      </c>
      <c r="M12" s="44">
        <f>IF(VLOOKUP($C12,Machined!C:Z,21,0) = 0, " ", VLOOKUP($C12,Machined!C:Z,21,0))</f>
        <v>45522</v>
      </c>
      <c r="N12" s="129">
        <f>IF(VLOOKUP($C12,Machined!C:Z,22,0) = 0, " ", VLOOKUP($C12,Machined!C:Z,22,0))</f>
        <v>55609</v>
      </c>
      <c r="O12" s="45">
        <f t="shared" ca="1" si="2"/>
        <v>6</v>
      </c>
      <c r="P12" s="49">
        <f>VLOOKUP(C12,Machined!C:F,3,0)</f>
        <v>17.760000000000002</v>
      </c>
      <c r="Q12" s="50">
        <f t="shared" si="3"/>
        <v>106.56</v>
      </c>
    </row>
    <row r="13" spans="1:20" s="2" customFormat="1" ht="12.75" customHeight="1" x14ac:dyDescent="0.25">
      <c r="A13" s="77">
        <v>5</v>
      </c>
      <c r="B13" s="20">
        <v>2</v>
      </c>
      <c r="C13" s="121" t="s">
        <v>889</v>
      </c>
      <c r="D13" s="314" t="str">
        <f>VLOOKUP(C13,Machined!C:X,2,0)</f>
        <v>BEARING PLATE</v>
      </c>
      <c r="E13" s="329"/>
      <c r="F13" s="107" t="str">
        <f>VLOOKUP($C13,Machined!C:Z,13,0)</f>
        <v>6061-T6 ALUMINUM</v>
      </c>
      <c r="G13" s="44" t="str">
        <f>IF(VLOOKUP($C13,Machined!C:Z,16,0) = 0, " ", VLOOKUP($C13,Machined!C:Z,16,0))</f>
        <v>Bemox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6061-T6 ALUMINUM</v>
      </c>
      <c r="J13" s="44">
        <f>IF(VLOOKUP($C13,Machined!C:Z,18,0) = 0, " ", VLOOKUP($C13,Machined!C:Z,18,0))</f>
        <v>45489</v>
      </c>
      <c r="K13" s="44">
        <f>IF(VLOOKUP($C13,Machined!C:Z,19,0) = 0, " ", VLOOKUP($C13,Machined!C:Z,19,0))</f>
        <v>45513</v>
      </c>
      <c r="L13" s="44">
        <f>IF(VLOOKUP($C13,Machined!C:Z,20,0) = 0, " ", VLOOKUP($C13,Machined!C:Z,20,0))</f>
        <v>45551</v>
      </c>
      <c r="M13" s="44">
        <f>IF(VLOOKUP($C13,Machined!C:Z,21,0) = 0, " ", VLOOKUP($C13,Machined!C:Z,21,0))</f>
        <v>45566</v>
      </c>
      <c r="N13" s="129">
        <f>IF(VLOOKUP($C13,Machined!C:Z,22,0) = 0, " ", VLOOKUP($C13,Machined!C:Z,22,0))</f>
        <v>55676</v>
      </c>
      <c r="O13" s="45">
        <f t="shared" ca="1" si="2"/>
        <v>2</v>
      </c>
      <c r="P13" s="49">
        <f>VLOOKUP(C13,Machined!C:F,3,0)</f>
        <v>421.98</v>
      </c>
      <c r="Q13" s="50">
        <f t="shared" si="3"/>
        <v>843.96</v>
      </c>
    </row>
    <row r="14" spans="1:20" s="2" customFormat="1" ht="12.75" customHeight="1" x14ac:dyDescent="0.25">
      <c r="A14" s="77">
        <v>6</v>
      </c>
      <c r="B14" s="20">
        <v>1</v>
      </c>
      <c r="C14" s="121" t="s">
        <v>663</v>
      </c>
      <c r="D14" s="314" t="str">
        <f>VLOOKUP(C14,Machined!C:X,2,0)</f>
        <v>Geared Handwheel Plate</v>
      </c>
      <c r="E14" s="329"/>
      <c r="F14" s="107" t="str">
        <f>VLOOKUP($C14,Machined!C:Z,13,0)</f>
        <v>6061-T6 ALUMINUM</v>
      </c>
      <c r="G14" s="44" t="str">
        <f>IF(VLOOKUP($C14,Machined!C:Z,16,0) = 0, " ", VLOOKUP($C14,Machined!C:Z,16,0))</f>
        <v>Frontier Mach, Xometry</v>
      </c>
      <c r="H14" s="320" t="str">
        <f>IF(VLOOKUP($C14,Machined!C:Z,17,0) = 0, " ", VLOOKUP($C14,Machined!C:Z,17,0))</f>
        <v>1 more on PO 55762</v>
      </c>
      <c r="I14" s="321" t="str">
        <f>IF(VLOOKUP($C14,Machined!$C:$Y,13,0) = 0, " ", VLOOKUP($C14,Machined!$C:$Y,13,0))</f>
        <v>6061-T6 ALUMINUM</v>
      </c>
      <c r="J14" s="44">
        <f>IF(VLOOKUP($C14,Machined!C:Z,18,0) = 0, " ", VLOOKUP($C14,Machined!C:Z,18,0))</f>
        <v>45489</v>
      </c>
      <c r="K14" s="44">
        <f>IF(VLOOKUP($C14,Machined!C:Z,19,0) = 0, " ", VLOOKUP($C14,Machined!C:Z,19,0))</f>
        <v>45490</v>
      </c>
      <c r="L14" s="44">
        <f>IF(VLOOKUP($C14,Machined!C:Z,20,0) = 0, " ", VLOOKUP($C14,Machined!C:Z,20,0))</f>
        <v>45512</v>
      </c>
      <c r="M14" s="44">
        <f>IF(VLOOKUP($C14,Machined!C:Z,21,0) = 0, " ", VLOOKUP($C14,Machined!C:Z,21,0))</f>
        <v>45512</v>
      </c>
      <c r="N14" s="129">
        <f>IF(VLOOKUP($C14,Machined!C:Z,22,0) = 0, " ", VLOOKUP($C14,Machined!C:Z,22,0))</f>
        <v>55607</v>
      </c>
      <c r="O14" s="45">
        <f t="shared" ca="1" si="2"/>
        <v>1</v>
      </c>
      <c r="P14" s="49">
        <f>VLOOKUP(C14,Machined!C:F,3,0)</f>
        <v>107.1</v>
      </c>
      <c r="Q14" s="50">
        <f t="shared" si="3"/>
        <v>107.1</v>
      </c>
    </row>
    <row r="15" spans="1:20" s="2" customFormat="1" ht="12.75" customHeight="1" x14ac:dyDescent="0.25">
      <c r="A15" s="77">
        <v>7</v>
      </c>
      <c r="B15" s="20">
        <v>8</v>
      </c>
      <c r="C15" s="121" t="s">
        <v>708</v>
      </c>
      <c r="D15" s="314" t="str">
        <f>VLOOKUP(C15,Machined!C:X,2,0)</f>
        <v>Bearing Axel</v>
      </c>
      <c r="E15" s="329"/>
      <c r="F15" s="107" t="str">
        <f>VLOOKUP($C15,Machined!C:Z,13,0)</f>
        <v>1018 COLD ROLLED STEEL</v>
      </c>
      <c r="G15" s="44" t="str">
        <f>IF(VLOOKUP($C15,Machined!C:Z,16,0) = 0, " ", VLOOKUP($C15,Machined!C:Z,16,0))</f>
        <v>Dodd Mfg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1018 COLD ROLLED STEEL</v>
      </c>
      <c r="J15" s="44">
        <f>IF(VLOOKUP($C15,Machined!C:Z,18,0) = 0, " ", VLOOKUP($C15,Machined!C:Z,18,0))</f>
        <v>45468</v>
      </c>
      <c r="K15" s="44">
        <f>IF(VLOOKUP($C15,Machined!C:Z,19,0) = 0, " ", VLOOKUP($C15,Machined!C:Z,19,0))</f>
        <v>45483</v>
      </c>
      <c r="L15" s="44">
        <f>IF(VLOOKUP($C15,Machined!C:Z,20,0) = 0, " ", VLOOKUP($C15,Machined!C:Z,20,0))</f>
        <v>45502</v>
      </c>
      <c r="M15" s="44">
        <f>IF(VLOOKUP($C15,Machined!C:Z,21,0) = 0, " ", VLOOKUP($C15,Machined!C:Z,21,0))</f>
        <v>45502</v>
      </c>
      <c r="N15" s="129">
        <f>IF(VLOOKUP($C15,Machined!C:Z,22,0) = 0, " ", VLOOKUP($C15,Machined!C:Z,22,0))</f>
        <v>55595</v>
      </c>
      <c r="O15" s="45">
        <f t="shared" ca="1" si="2"/>
        <v>8</v>
      </c>
      <c r="P15" s="49">
        <f>VLOOKUP(C15,Machined!C:F,3,0)</f>
        <v>27.5</v>
      </c>
      <c r="Q15" s="50">
        <f t="shared" si="3"/>
        <v>220</v>
      </c>
    </row>
    <row r="16" spans="1:20" s="2" customFormat="1" ht="12.75" customHeight="1" x14ac:dyDescent="0.25">
      <c r="A16" s="77">
        <v>8</v>
      </c>
      <c r="B16" s="20">
        <v>1</v>
      </c>
      <c r="C16" s="121" t="s">
        <v>709</v>
      </c>
      <c r="D16" s="314" t="str">
        <f>VLOOKUP(C16,Machined!C:X,2,0)</f>
        <v>DUAL HANDWHEEL PLATE</v>
      </c>
      <c r="E16" s="329"/>
      <c r="F16" s="107" t="str">
        <f>VLOOKUP($C16,Machined!C:Z,13,0)</f>
        <v>6061-T6 ALUMINUM</v>
      </c>
      <c r="G16" s="44" t="str">
        <f>IF(VLOOKUP($C16,Machined!C:Z,16,0) = 0, " ", VLOOKUP($C16,Machined!C:Z,16,0))</f>
        <v>Frontier Mach</v>
      </c>
      <c r="H16" s="320" t="str">
        <f>IF(VLOOKUP($C16,Machined!C:Z,17,0) = 0, " ", VLOOKUP($C16,Machined!C:Z,17,0))</f>
        <v xml:space="preserve"> </v>
      </c>
      <c r="I16" s="321" t="str">
        <f>IF(VLOOKUP($C16,Machined!$C:$Y,13,0) = 0, " ", VLOOKUP($C16,Machined!$C:$Y,13,0))</f>
        <v>6061-T6 ALUMINUM</v>
      </c>
      <c r="J16" s="44">
        <f>IF(VLOOKUP($C16,Machined!C:Z,18,0) = 0, " ", VLOOKUP($C16,Machined!C:Z,18,0))</f>
        <v>45489</v>
      </c>
      <c r="K16" s="44">
        <f>IF(VLOOKUP($C16,Machined!C:Z,19,0) = 0, " ", VLOOKUP($C16,Machined!C:Z,19,0))</f>
        <v>45490</v>
      </c>
      <c r="L16" s="44">
        <f>IF(VLOOKUP($C16,Machined!C:Z,20,0) = 0, " ", VLOOKUP($C16,Machined!C:Z,20,0))</f>
        <v>45512</v>
      </c>
      <c r="M16" s="44">
        <f>IF(VLOOKUP($C16,Machined!C:Z,21,0) = 0, " ", VLOOKUP($C16,Machined!C:Z,21,0))</f>
        <v>45512</v>
      </c>
      <c r="N16" s="129">
        <f>IF(VLOOKUP($C16,Machined!C:Z,22,0) = 0, " ", VLOOKUP($C16,Machined!C:Z,22,0))</f>
        <v>55607</v>
      </c>
      <c r="O16" s="45">
        <f t="shared" ca="1" si="2"/>
        <v>1</v>
      </c>
      <c r="P16" s="49">
        <f>VLOOKUP(C16,Machined!C:F,3,0)</f>
        <v>119.15</v>
      </c>
      <c r="Q16" s="50">
        <f t="shared" si="3"/>
        <v>119.15</v>
      </c>
    </row>
    <row r="17" spans="1:17" s="2" customFormat="1" ht="12.75" customHeight="1" x14ac:dyDescent="0.25">
      <c r="A17" s="77">
        <v>9</v>
      </c>
      <c r="B17" s="20">
        <v>2</v>
      </c>
      <c r="C17" s="121" t="s">
        <v>710</v>
      </c>
      <c r="D17" s="314" t="str">
        <f>VLOOKUP(C17,Machined!C:X,2,0)</f>
        <v>Brake Mounting Plate</v>
      </c>
      <c r="E17" s="329"/>
      <c r="F17" s="107" t="str">
        <f>VLOOKUP($C17,Machined!C:Z,13,0)</f>
        <v>6061-T6 ALUMINUM</v>
      </c>
      <c r="G17" s="44" t="str">
        <f>IF(VLOOKUP($C17,Machined!C:Z,16,0) = 0, " ", VLOOKUP($C17,Machined!C:Z,16,0))</f>
        <v>Dodd Mfg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6061-T6 ALUMINUM</v>
      </c>
      <c r="J17" s="44">
        <f>IF(VLOOKUP($C17,Machined!C:Z,18,0) = 0, " ", VLOOKUP($C17,Machined!C:Z,18,0))</f>
        <v>45468</v>
      </c>
      <c r="K17" s="44">
        <f>IF(VLOOKUP($C17,Machined!C:Z,19,0) = 0, " ", VLOOKUP($C17,Machined!C:Z,19,0))</f>
        <v>45483</v>
      </c>
      <c r="L17" s="44">
        <f>IF(VLOOKUP($C17,Machined!C:Z,20,0) = 0, " ", VLOOKUP($C17,Machined!C:Z,20,0))</f>
        <v>45502</v>
      </c>
      <c r="M17" s="44">
        <f>IF(VLOOKUP($C17,Machined!C:Z,21,0) = 0, " ", VLOOKUP($C17,Machined!C:Z,21,0))</f>
        <v>45502</v>
      </c>
      <c r="N17" s="129">
        <f>IF(VLOOKUP($C17,Machined!C:Z,22,0) = 0, " ", VLOOKUP($C17,Machined!C:Z,22,0))</f>
        <v>55595</v>
      </c>
      <c r="O17" s="45">
        <f t="shared" ca="1" si="2"/>
        <v>2</v>
      </c>
      <c r="P17" s="49">
        <f>VLOOKUP(C17,Machined!C:F,3,0)</f>
        <v>45</v>
      </c>
      <c r="Q17" s="50">
        <f t="shared" si="3"/>
        <v>90</v>
      </c>
    </row>
    <row r="18" spans="1:17" s="2" customFormat="1" ht="12.75" customHeight="1" x14ac:dyDescent="0.25">
      <c r="A18" s="77">
        <v>10</v>
      </c>
      <c r="B18" s="20">
        <v>2</v>
      </c>
      <c r="C18" s="121" t="s">
        <v>711</v>
      </c>
      <c r="D18" s="314" t="str">
        <f>VLOOKUP(C18,Machined!C:X,2,0)</f>
        <v>BRAKE SPACER</v>
      </c>
      <c r="E18" s="329"/>
      <c r="F18" s="107" t="str">
        <f>VLOOKUP($C18,Machined!C:Z,13,0)</f>
        <v>6061-T6 ALUMINUM</v>
      </c>
      <c r="G18" s="44" t="str">
        <f>IF(VLOOKUP($C18,Machined!C:Z,16,0) = 0, " ", VLOOKUP($C18,Machined!C:Z,16,0))</f>
        <v>Xometry</v>
      </c>
      <c r="H18" s="320" t="str">
        <f>IF(VLOOKUP($C18,Machined!C:Z,17,0) = 0, " ", VLOOKUP($C18,Machined!C:Z,17,0))</f>
        <v xml:space="preserve"> </v>
      </c>
      <c r="I18" s="321" t="str">
        <f>IF(VLOOKUP($C18,Machined!$C:$Y,13,0) = 0, " ", VLOOKUP($C18,Machined!$C:$Y,13,0))</f>
        <v>6061-T6 ALUMINUM</v>
      </c>
      <c r="J18" s="44">
        <f>IF(VLOOKUP($C18,Machined!C:Z,18,0) = 0, " ", VLOOKUP($C18,Machined!C:Z,18,0))</f>
        <v>45527</v>
      </c>
      <c r="K18" s="44">
        <f>IF(VLOOKUP($C18,Machined!C:Z,19,0) = 0, " ", VLOOKUP($C18,Machined!C:Z,19,0))</f>
        <v>45530</v>
      </c>
      <c r="L18" s="44">
        <f>IF(VLOOKUP($C18,Machined!C:Z,20,0) = 0, " ", VLOOKUP($C18,Machined!C:Z,20,0))</f>
        <v>45560</v>
      </c>
      <c r="M18" s="44">
        <f>IF(VLOOKUP($C18,Machined!C:Z,21,0) = 0, " ", VLOOKUP($C18,Machined!C:Z,21,0))</f>
        <v>45560</v>
      </c>
      <c r="N18" s="129">
        <f>IF(VLOOKUP($C18,Machined!C:Z,22,0) = 0, " ", VLOOKUP($C18,Machined!C:Z,22,0))</f>
        <v>55706</v>
      </c>
      <c r="O18" s="45">
        <f t="shared" ca="1" si="2"/>
        <v>2</v>
      </c>
      <c r="P18" s="49">
        <f>VLOOKUP(C18,Machined!C:F,3,0)</f>
        <v>60.17</v>
      </c>
      <c r="Q18" s="50">
        <f t="shared" si="3"/>
        <v>120.34</v>
      </c>
    </row>
    <row r="19" spans="1:17" s="2" customFormat="1" ht="12" customHeight="1" x14ac:dyDescent="0.25">
      <c r="A19" s="77">
        <v>11</v>
      </c>
      <c r="B19" s="20">
        <v>2</v>
      </c>
      <c r="C19" s="121" t="s">
        <v>890</v>
      </c>
      <c r="D19" s="314" t="str">
        <f>VLOOKUP(C19,Machined!C:X,2,0)</f>
        <v>LINEAR SHAFT BRACKET</v>
      </c>
      <c r="E19" s="329"/>
      <c r="F19" s="107" t="str">
        <f>VLOOKUP($C19,Machined!C:Z,13,0)</f>
        <v>6061-T6 ALUMINUM</v>
      </c>
      <c r="G19" s="44" t="str">
        <f>IF(VLOOKUP($C19,Machined!C:Z,16,0) = 0, " ", VLOOKUP($C19,Machined!C:Z,16,0))</f>
        <v>Dodd Mfg</v>
      </c>
      <c r="H19" s="320" t="str">
        <f>IF(VLOOKUP($C19,Machined!C:Z,17,0) = 0, " ", VLOOKUP($C19,Machined!C:Z,17,0))</f>
        <v xml:space="preserve"> </v>
      </c>
      <c r="I19" s="321" t="str">
        <f>IF(VLOOKUP($C19,Machined!$C:$Y,13,0) = 0, " ", VLOOKUP($C19,Machined!$C:$Y,13,0))</f>
        <v>6061-T6 ALUMINUM</v>
      </c>
      <c r="J19" s="44">
        <f>IF(VLOOKUP($C19,Machined!C:Z,18,0) = 0, " ", VLOOKUP($C19,Machined!C:Z,18,0))</f>
        <v>45489</v>
      </c>
      <c r="K19" s="44">
        <f>IF(VLOOKUP($C19,Machined!C:Z,19,0) = 0, " ", VLOOKUP($C19,Machined!C:Z,19,0))</f>
        <v>45490</v>
      </c>
      <c r="L19" s="44">
        <f>IF(VLOOKUP($C19,Machined!C:Z,20,0) = 0, " ", VLOOKUP($C19,Machined!C:Z,20,0))</f>
        <v>45522</v>
      </c>
      <c r="M19" s="44">
        <f>IF(VLOOKUP($C19,Machined!C:Z,21,0) = 0, " ", VLOOKUP($C19,Machined!C:Z,21,0))</f>
        <v>45522</v>
      </c>
      <c r="N19" s="129">
        <f>IF(VLOOKUP($C19,Machined!C:Z,22,0) = 0, " ", VLOOKUP($C19,Machined!C:Z,22,0))</f>
        <v>55608</v>
      </c>
      <c r="O19" s="45">
        <f t="shared" ca="1" si="2"/>
        <v>2</v>
      </c>
      <c r="P19" s="49">
        <f>VLOOKUP(C19,Machined!C:F,3,0)</f>
        <v>47.5</v>
      </c>
      <c r="Q19" s="50">
        <f t="shared" si="3"/>
        <v>95</v>
      </c>
    </row>
    <row r="20" spans="1:17" s="2" customFormat="1" ht="12" customHeight="1" x14ac:dyDescent="0.25">
      <c r="A20" s="77">
        <v>12</v>
      </c>
      <c r="B20" s="20">
        <v>2</v>
      </c>
      <c r="C20" s="121" t="s">
        <v>891</v>
      </c>
      <c r="D20" s="314" t="str">
        <f>VLOOKUP(C20,Machined!C:X,2,0)</f>
        <v>LINEAR SHAFT SUPPORT</v>
      </c>
      <c r="E20" s="329"/>
      <c r="F20" s="107" t="str">
        <f>VLOOKUP($C20,Machined!C:Z,13,0)</f>
        <v>6061-T6 ALUMINUM</v>
      </c>
      <c r="G20" s="44" t="str">
        <f>IF(VLOOKUP($C20,Machined!C:Z,16,0) = 0, " ", VLOOKUP($C20,Machined!C:Z,16,0))</f>
        <v>Frontier Mach</v>
      </c>
      <c r="H20" s="320" t="str">
        <f>IF(VLOOKUP($C20,Machined!C:Z,17,0) = 0, " ", VLOOKUP($C20,Machined!C:Z,17,0))</f>
        <v xml:space="preserve"> </v>
      </c>
      <c r="I20" s="321" t="str">
        <f>IF(VLOOKUP($C20,Machined!$C:$Y,13,0) = 0, " ", VLOOKUP($C20,Machined!$C:$Y,13,0))</f>
        <v>6061-T6 ALUMINUM</v>
      </c>
      <c r="J20" s="44">
        <f>IF(VLOOKUP($C20,Machined!C:Z,18,0) = 0, " ", VLOOKUP($C20,Machined!C:Z,18,0))</f>
        <v>45495</v>
      </c>
      <c r="K20" s="44">
        <f>IF(VLOOKUP($C20,Machined!C:Z,19,0) = 0, " ", VLOOKUP($C20,Machined!C:Z,19,0))</f>
        <v>45504</v>
      </c>
      <c r="L20" s="44">
        <f>IF(VLOOKUP($C20,Machined!C:Z,20,0) = 0, " ", VLOOKUP($C20,Machined!C:Z,20,0))</f>
        <v>45534</v>
      </c>
      <c r="M20" s="44">
        <f>IF(VLOOKUP($C20,Machined!C:Z,21,0) = 0, " ", VLOOKUP($C20,Machined!C:Z,21,0))</f>
        <v>45534</v>
      </c>
      <c r="N20" s="129">
        <f>IF(VLOOKUP($C20,Machined!C:Z,22,0) = 0, " ", VLOOKUP($C20,Machined!C:Z,22,0))</f>
        <v>55641</v>
      </c>
      <c r="O20" s="45">
        <f t="shared" ca="1" si="2"/>
        <v>2</v>
      </c>
      <c r="P20" s="49">
        <f>VLOOKUP(C20,Machined!C:F,3,0)</f>
        <v>111.1</v>
      </c>
      <c r="Q20" s="50">
        <f t="shared" si="3"/>
        <v>222.2</v>
      </c>
    </row>
    <row r="21" spans="1:17" s="2" customFormat="1" ht="12" customHeight="1" x14ac:dyDescent="0.25">
      <c r="A21" s="77">
        <v>13</v>
      </c>
      <c r="B21" s="20">
        <v>1</v>
      </c>
      <c r="C21" s="121" t="s">
        <v>712</v>
      </c>
      <c r="D21" s="314" t="str">
        <f>VLOOKUP(C21,Machined!C:X,2,0)</f>
        <v>Adjustment Shaft-Long</v>
      </c>
      <c r="E21" s="329"/>
      <c r="F21" s="107" t="str">
        <f>VLOOKUP($C21,Machined!C:Z,13,0)</f>
        <v>303 TG&amp;P, Round Stock, -0.0005</v>
      </c>
      <c r="G21" s="44" t="str">
        <f>IF(VLOOKUP($C21,Machined!C:Z,16,0) = 0, " ", VLOOKUP($C21,Machined!C:Z,16,0))</f>
        <v>Nuline</v>
      </c>
      <c r="H21" s="320" t="str">
        <f>IF(VLOOKUP($C21,Machined!C:Z,17,0) = 0, " ", VLOOKUP($C21,Machined!C:Z,17,0))</f>
        <v xml:space="preserve"> </v>
      </c>
      <c r="I21" s="321" t="str">
        <f>IF(VLOOKUP($C21,Machined!$C:$Y,13,0) = 0, " ", VLOOKUP($C21,Machined!$C:$Y,13,0))</f>
        <v>303 TG&amp;P, Round Stock, -0.0005</v>
      </c>
      <c r="J21" s="44" t="str">
        <f>IF(VLOOKUP($C21,Machined!C:Z,18,0) = 0, " ", VLOOKUP($C21,Machined!C:Z,18,0))</f>
        <v xml:space="preserve"> </v>
      </c>
      <c r="K21" s="44" t="str">
        <f>IF(VLOOKUP($C21,Machined!C:Z,19,0) = 0, " ", VLOOKUP($C21,Machined!C:Z,19,0))</f>
        <v xml:space="preserve"> </v>
      </c>
      <c r="L21" s="44" t="str">
        <f>IF(VLOOKUP($C21,Machined!C:Z,20,0) = 0, " ", VLOOKUP($C21,Machined!C:Z,20,0))</f>
        <v xml:space="preserve"> </v>
      </c>
      <c r="M21" s="44" t="str">
        <f>IF(VLOOKUP($C21,Machined!C:Z,21,0) = 0, " ", VLOOKUP($C21,Machined!C:Z,21,0))</f>
        <v xml:space="preserve"> </v>
      </c>
      <c r="N21" s="129" t="str">
        <f>IF(VLOOKUP($C21,Machined!C:Z,22,0) = 0, " ", VLOOKUP($C21,Machined!C:Z,22,0))</f>
        <v xml:space="preserve"> </v>
      </c>
      <c r="O21" s="45">
        <f t="shared" ref="O21:O24" ca="1" si="4">B21*$L$2</f>
        <v>1</v>
      </c>
      <c r="P21" s="49">
        <f>VLOOKUP(C21,Machined!C:F,3,0)</f>
        <v>0</v>
      </c>
      <c r="Q21" s="50">
        <f t="shared" ref="Q21:Q24" si="5">B21*P21</f>
        <v>0</v>
      </c>
    </row>
    <row r="22" spans="1:17" s="2" customFormat="1" ht="12" customHeight="1" x14ac:dyDescent="0.25">
      <c r="A22" s="77">
        <v>14</v>
      </c>
      <c r="B22" s="20">
        <v>1</v>
      </c>
      <c r="C22" s="121" t="s">
        <v>713</v>
      </c>
      <c r="D22" s="314" t="str">
        <f>VLOOKUP(C22,Machined!C:X,2,0)</f>
        <v>Adjustment Shaft-Short</v>
      </c>
      <c r="E22" s="329"/>
      <c r="F22" s="107" t="str">
        <f>VLOOKUP($C22,Machined!C:Z,13,0)</f>
        <v>303 TG&amp;P, Round Stock, -0.0005</v>
      </c>
      <c r="G22" s="44" t="str">
        <f>IF(VLOOKUP($C22,Machined!C:Z,16,0) = 0, " ", VLOOKUP($C22,Machined!C:Z,16,0))</f>
        <v>Frontier Mach</v>
      </c>
      <c r="H22" s="320" t="str">
        <f>IF(VLOOKUP($C22,Machined!C:Z,17,0) = 0, " ", VLOOKUP($C22,Machined!C:Z,17,0))</f>
        <v>Material by Nuline</v>
      </c>
      <c r="I22" s="321" t="str">
        <f>IF(VLOOKUP($C22,Machined!$C:$Y,13,0) = 0, " ", VLOOKUP($C22,Machined!$C:$Y,13,0))</f>
        <v>303 TG&amp;P, Round Stock, -0.0005</v>
      </c>
      <c r="J22" s="44">
        <f>IF(VLOOKUP($C22,Machined!C:Z,18,0) = 0, " ", VLOOKUP($C22,Machined!C:Z,18,0))</f>
        <v>45524</v>
      </c>
      <c r="K22" s="44">
        <f>IF(VLOOKUP($C22,Machined!C:Z,19,0) = 0, " ", VLOOKUP($C22,Machined!C:Z,19,0))</f>
        <v>45527</v>
      </c>
      <c r="L22" s="44">
        <f>IF(VLOOKUP($C22,Machined!C:Z,20,0) = 0, " ", VLOOKUP($C22,Machined!C:Z,20,0))</f>
        <v>45555</v>
      </c>
      <c r="M22" s="44">
        <f>IF(VLOOKUP($C22,Machined!C:Z,21,0) = 0, " ", VLOOKUP($C22,Machined!C:Z,21,0))</f>
        <v>45527</v>
      </c>
      <c r="N22" s="129">
        <f>IF(VLOOKUP($C22,Machined!C:Z,22,0) = 0, " ", VLOOKUP($C22,Machined!C:Z,22,0))</f>
        <v>55699</v>
      </c>
      <c r="O22" s="45">
        <f t="shared" ca="1" si="4"/>
        <v>1</v>
      </c>
      <c r="P22" s="49">
        <f>VLOOKUP(C22,Machined!C:F,3,0)</f>
        <v>60.9</v>
      </c>
      <c r="Q22" s="50">
        <f t="shared" si="5"/>
        <v>60.9</v>
      </c>
    </row>
    <row r="23" spans="1:17" s="2" customFormat="1" ht="12" customHeight="1" x14ac:dyDescent="0.25">
      <c r="A23" s="77">
        <v>15</v>
      </c>
      <c r="B23" s="20">
        <v>2</v>
      </c>
      <c r="C23" s="121" t="s">
        <v>714</v>
      </c>
      <c r="D23" s="314" t="str">
        <f>VLOOKUP(C23,Machined!C:X,2,0)</f>
        <v>CROSSWEB ADJUST SHAFT</v>
      </c>
      <c r="E23" s="329"/>
      <c r="F23" s="107" t="str">
        <f>VLOOKUP($C23,Machined!C:Z,13,0)</f>
        <v>303 TG&amp;P, Round Stock, -0.0005</v>
      </c>
      <c r="G23" s="44" t="str">
        <f>IF(VLOOKUP($C23,Machined!C:Z,16,0) = 0, " ", VLOOKUP($C23,Machined!C:Z,16,0))</f>
        <v>Frontier Mach</v>
      </c>
      <c r="H23" s="320" t="str">
        <f>IF(VLOOKUP($C23,Machined!C:Z,17,0) = 0, " ", VLOOKUP($C23,Machined!C:Z,17,0))</f>
        <v>Material by Nuline</v>
      </c>
      <c r="I23" s="321" t="str">
        <f>IF(VLOOKUP($C23,Machined!$C:$Y,13,0) = 0, " ", VLOOKUP($C23,Machined!$C:$Y,13,0))</f>
        <v>303 TG&amp;P, Round Stock, -0.0005</v>
      </c>
      <c r="J23" s="44">
        <f>IF(VLOOKUP($C23,Machined!C:Z,18,0) = 0, " ", VLOOKUP($C23,Machined!C:Z,18,0))</f>
        <v>45524</v>
      </c>
      <c r="K23" s="44">
        <f>IF(VLOOKUP($C23,Machined!C:Z,19,0) = 0, " ", VLOOKUP($C23,Machined!C:Z,19,0))</f>
        <v>45527</v>
      </c>
      <c r="L23" s="44">
        <f>IF(VLOOKUP($C23,Machined!C:Z,20,0) = 0, " ", VLOOKUP($C23,Machined!C:Z,20,0))</f>
        <v>45555</v>
      </c>
      <c r="M23" s="44">
        <f>IF(VLOOKUP($C23,Machined!C:Z,21,0) = 0, " ", VLOOKUP($C23,Machined!C:Z,21,0))</f>
        <v>45527</v>
      </c>
      <c r="N23" s="129">
        <f>IF(VLOOKUP($C23,Machined!C:Z,22,0) = 0, " ", VLOOKUP($C23,Machined!C:Z,22,0))</f>
        <v>55699</v>
      </c>
      <c r="O23" s="45">
        <f t="shared" ca="1" si="4"/>
        <v>2</v>
      </c>
      <c r="P23" s="49">
        <f>VLOOKUP(C23,Machined!C:F,3,0)</f>
        <v>85.55</v>
      </c>
      <c r="Q23" s="50">
        <f t="shared" si="5"/>
        <v>171.1</v>
      </c>
    </row>
    <row r="24" spans="1:17" s="2" customFormat="1" ht="12" customHeight="1" x14ac:dyDescent="0.25">
      <c r="A24" s="77">
        <v>16</v>
      </c>
      <c r="B24" s="20">
        <v>1</v>
      </c>
      <c r="C24" s="121" t="s">
        <v>664</v>
      </c>
      <c r="D24" s="314" t="str">
        <f>VLOOKUP(C24,Machined!C:X,2,0)</f>
        <v>MODIFIED MCM 7758K31 Pushbutton Enclosure</v>
      </c>
      <c r="E24" s="329"/>
      <c r="F24" s="107" t="str">
        <f>VLOOKUP($C24,Machined!C:Z,13,0)</f>
        <v>PURCHASED PART</v>
      </c>
      <c r="G24" s="44" t="str">
        <f>IF(VLOOKUP($C24,Machined!C:Z,16,0) = 0, " ", VLOOKUP($C24,Machined!C:Z,16,0))</f>
        <v xml:space="preserve">Nuline </v>
      </c>
      <c r="H24" s="320" t="str">
        <f>IF(VLOOKUP($C24,Machined!C:Z,17,0) = 0, " ", VLOOKUP($C24,Machined!C:Z,17,0))</f>
        <v xml:space="preserve"> </v>
      </c>
      <c r="I24" s="321" t="str">
        <f>IF(VLOOKUP($C24,Machined!$C:$Y,13,0) = 0, " ", VLOOKUP($C24,Machined!$C:$Y,13,0))</f>
        <v>PURCHASED PART</v>
      </c>
      <c r="J24" s="44">
        <f>IF(VLOOKUP($C24,Machined!C:Z,18,0) = 0, " ", VLOOKUP($C24,Machined!C:Z,18,0))</f>
        <v>45497</v>
      </c>
      <c r="K24" s="44">
        <f>IF(VLOOKUP($C24,Machined!C:Z,19,0) = 0, " ", VLOOKUP($C24,Machined!C:Z,19,0))</f>
        <v>45497</v>
      </c>
      <c r="L24" s="44">
        <f>IF(VLOOKUP($C24,Machined!C:Z,20,0) = 0, " ", VLOOKUP($C24,Machined!C:Z,20,0))</f>
        <v>45499</v>
      </c>
      <c r="M24" s="44">
        <f>IF(VLOOKUP($C24,Machined!C:Z,21,0) = 0, " ", VLOOKUP($C24,Machined!C:Z,21,0))</f>
        <v>45499</v>
      </c>
      <c r="N24" s="129">
        <f>IF(VLOOKUP($C24,Machined!C:Z,22,0) = 0, " ", VLOOKUP($C24,Machined!C:Z,22,0))</f>
        <v>55640</v>
      </c>
      <c r="O24" s="45">
        <f t="shared" ca="1" si="4"/>
        <v>1</v>
      </c>
      <c r="P24" s="49">
        <f>VLOOKUP(C24,Machined!C:F,3,0)</f>
        <v>36.28</v>
      </c>
      <c r="Q24" s="50">
        <f t="shared" si="5"/>
        <v>36.28</v>
      </c>
    </row>
    <row r="25" spans="1:17" s="2" customFormat="1" ht="12" customHeight="1" x14ac:dyDescent="0.25">
      <c r="A25" s="77">
        <v>17</v>
      </c>
      <c r="B25" s="20">
        <v>1</v>
      </c>
      <c r="C25" s="121" t="s">
        <v>892</v>
      </c>
      <c r="D25" s="314" t="str">
        <f>VLOOKUP(C25,Machined!C:X,2,0)</f>
        <v>ONBOARD TUBE GUARD L A Side</v>
      </c>
      <c r="E25" s="329"/>
      <c r="F25" s="107" t="str">
        <f>VLOOKUP($C25,Machined!C:Z,13,0)</f>
        <v>POLYCARBONITE-CLEAR</v>
      </c>
      <c r="G25" s="44" t="str">
        <f>IF(VLOOKUP($C25,Machined!C:Z,16,0) = 0, " ", VLOOKUP($C25,Machined!C:Z,16,0))</f>
        <v>Port Plastics</v>
      </c>
      <c r="H25" s="320" t="str">
        <f>IF(VLOOKUP($C25,Machined!C:Z,17,0) = 0, " ", VLOOKUP($C25,Machined!C:Z,17,0))</f>
        <v xml:space="preserve"> </v>
      </c>
      <c r="I25" s="321" t="str">
        <f>IF(VLOOKUP($C25,Machined!$C:$Y,13,0) = 0, " ", VLOOKUP($C25,Machined!$C:$Y,13,0))</f>
        <v>POLYCARBONITE-CLEAR</v>
      </c>
      <c r="J25" s="44" t="str">
        <f>IF(VLOOKUP($C25,Machined!C:Z,18,0) = 0, " ", VLOOKUP($C25,Machined!C:Z,18,0))</f>
        <v>(TJ) 8/8/2024</v>
      </c>
      <c r="K25" s="44">
        <f>IF(VLOOKUP($C25,Machined!C:Z,19,0) = 0, " ", VLOOKUP($C25,Machined!C:Z,19,0))</f>
        <v>45530</v>
      </c>
      <c r="L25" s="44">
        <f>IF(VLOOKUP($C25,Machined!C:Z,20,0) = 0, " ", VLOOKUP($C25,Machined!C:Z,20,0))</f>
        <v>45561</v>
      </c>
      <c r="M25" s="44" t="str">
        <f>IF(VLOOKUP($C25,Machined!C:Z,21,0) = 0, " ", VLOOKUP($C25,Machined!C:Z,21,0))</f>
        <v xml:space="preserve"> </v>
      </c>
      <c r="N25" s="129">
        <f>IF(VLOOKUP($C25,Machined!C:Z,22,0) = 0, " ", VLOOKUP($C25,Machined!C:Z,22,0))</f>
        <v>55708</v>
      </c>
      <c r="O25" s="45">
        <f ca="1">B25*$L$2</f>
        <v>1</v>
      </c>
      <c r="P25" s="49">
        <f>VLOOKUP(C25,Machined!C:F,3,0)</f>
        <v>75</v>
      </c>
      <c r="Q25" s="50">
        <f>B25*P25</f>
        <v>75</v>
      </c>
    </row>
    <row r="26" spans="1:17" s="2" customFormat="1" ht="12" customHeight="1" x14ac:dyDescent="0.25">
      <c r="A26" s="77">
        <v>18</v>
      </c>
      <c r="B26" s="20">
        <v>1</v>
      </c>
      <c r="C26" s="121" t="s">
        <v>893</v>
      </c>
      <c r="D26" s="314" t="str">
        <f>VLOOKUP(C26,Machined!C:X,2,0)</f>
        <v>ONBOARD TUBE GUARD R A Side</v>
      </c>
      <c r="E26" s="329"/>
      <c r="F26" s="107" t="str">
        <f>VLOOKUP($C26,Machined!C:Z,13,0)</f>
        <v>POLYCARBONITE-CLEAR</v>
      </c>
      <c r="G26" s="44" t="str">
        <f>IF(VLOOKUP($C26,Machined!C:Z,16,0) = 0, " ", VLOOKUP($C26,Machined!C:Z,16,0))</f>
        <v>Port Plastics</v>
      </c>
      <c r="H26" s="320" t="str">
        <f>IF(VLOOKUP($C26,Machined!C:Z,17,0) = 0, " ", VLOOKUP($C26,Machined!C:Z,17,0))</f>
        <v xml:space="preserve"> </v>
      </c>
      <c r="I26" s="321" t="str">
        <f>IF(VLOOKUP($C26,Machined!$C:$Y,13,0) = 0, " ", VLOOKUP($C26,Machined!$C:$Y,13,0))</f>
        <v>POLYCARBONITE-CLEAR</v>
      </c>
      <c r="J26" s="44" t="str">
        <f>IF(VLOOKUP($C26,Machined!C:Z,18,0) = 0, " ", VLOOKUP($C26,Machined!C:Z,18,0))</f>
        <v>(TJ) 8/8/2024</v>
      </c>
      <c r="K26" s="44">
        <f>IF(VLOOKUP($C26,Machined!C:Z,19,0) = 0, " ", VLOOKUP($C26,Machined!C:Z,19,0))</f>
        <v>45530</v>
      </c>
      <c r="L26" s="44">
        <f>IF(VLOOKUP($C26,Machined!C:Z,20,0) = 0, " ", VLOOKUP($C26,Machined!C:Z,20,0))</f>
        <v>45561</v>
      </c>
      <c r="M26" s="44" t="str">
        <f>IF(VLOOKUP($C26,Machined!C:Z,21,0) = 0, " ", VLOOKUP($C26,Machined!C:Z,21,0))</f>
        <v xml:space="preserve"> </v>
      </c>
      <c r="N26" s="129">
        <f>IF(VLOOKUP($C26,Machined!C:Z,22,0) = 0, " ", VLOOKUP($C26,Machined!C:Z,22,0))</f>
        <v>55708</v>
      </c>
      <c r="O26" s="45">
        <f ca="1">B26*$L$2</f>
        <v>1</v>
      </c>
      <c r="P26" s="49">
        <f>VLOOKUP(C26,Machined!C:F,3,0)</f>
        <v>75</v>
      </c>
      <c r="Q26" s="50">
        <f>B26*P26</f>
        <v>75</v>
      </c>
    </row>
    <row r="27" spans="1:17" s="2" customFormat="1" ht="12" customHeight="1" x14ac:dyDescent="0.25">
      <c r="A27" s="77">
        <v>19</v>
      </c>
      <c r="B27" s="20">
        <v>2</v>
      </c>
      <c r="C27" s="121" t="s">
        <v>717</v>
      </c>
      <c r="D27" s="314" t="str">
        <f>VLOOKUP(C27,Machined!C:X,2,0)</f>
        <v>SPUR GEAR GUARD</v>
      </c>
      <c r="E27" s="329"/>
      <c r="F27" s="107" t="str">
        <f>VLOOKUP($C27,Machined!C:Z,13,0)</f>
        <v>304 STAINLESS STEEL</v>
      </c>
      <c r="G27" s="44" t="str">
        <f>IF(VLOOKUP($C27,Machined!C:Z,16,0) = 0, " ", VLOOKUP($C27,Machined!C:Z,16,0))</f>
        <v>Proto</v>
      </c>
      <c r="H27" s="320" t="str">
        <f>IF(VLOOKUP($C27,Machined!C:Z,17,0) = 0, " ", VLOOKUP($C27,Machined!C:Z,17,0))</f>
        <v xml:space="preserve"> </v>
      </c>
      <c r="I27" s="321" t="str">
        <f>IF(VLOOKUP($C27,Machined!$C:$Y,13,0) = 0, " ", VLOOKUP($C27,Machined!$C:$Y,13,0))</f>
        <v>304 STAINLESS STEEL</v>
      </c>
      <c r="J27" s="44">
        <f>IF(VLOOKUP($C27,Machined!C:Z,18,0) = 0, " ", VLOOKUP($C27,Machined!C:Z,18,0))</f>
        <v>45526</v>
      </c>
      <c r="K27" s="44">
        <f>IF(VLOOKUP($C27,Machined!C:Z,19,0) = 0, " ", VLOOKUP($C27,Machined!C:Z,19,0))</f>
        <v>45527</v>
      </c>
      <c r="L27" s="44">
        <f>IF(VLOOKUP($C27,Machined!C:Z,20,0) = 0, " ", VLOOKUP($C27,Machined!C:Z,20,0))</f>
        <v>45548</v>
      </c>
      <c r="M27" s="44">
        <f>IF(VLOOKUP($C27,Machined!C:Z,21,0) = 0, " ", VLOOKUP($C27,Machined!C:Z,21,0))</f>
        <v>45548</v>
      </c>
      <c r="N27" s="129">
        <f>IF(VLOOKUP($C27,Machined!C:Z,22,0) = 0, " ", VLOOKUP($C27,Machined!C:Z,22,0))</f>
        <v>55702</v>
      </c>
      <c r="O27" s="45">
        <f ca="1">B27*$L$2</f>
        <v>2</v>
      </c>
      <c r="P27" s="49">
        <f>VLOOKUP(C27,Machined!C:F,3,0)</f>
        <v>0</v>
      </c>
      <c r="Q27" s="50">
        <f>B27*P27</f>
        <v>0</v>
      </c>
    </row>
    <row r="28" spans="1:17" s="2" customFormat="1" ht="12" customHeight="1" x14ac:dyDescent="0.25">
      <c r="A28" s="77">
        <v>20</v>
      </c>
      <c r="B28" s="20">
        <v>1</v>
      </c>
      <c r="C28" s="121" t="s">
        <v>894</v>
      </c>
      <c r="D28" s="314" t="str">
        <f>VLOOKUP(C28,Machined!C:X,2,0)</f>
        <v>ONBOARD TUBE GUARD R B Side</v>
      </c>
      <c r="E28" s="329"/>
      <c r="F28" s="107" t="str">
        <f>VLOOKUP($C28,Machined!C:Z,13,0)</f>
        <v>POLYCARBONITE-CLEAR</v>
      </c>
      <c r="G28" s="44" t="str">
        <f>IF(VLOOKUP($C28,Machined!C:Z,16,0) = 0, " ", VLOOKUP($C28,Machined!C:Z,16,0))</f>
        <v>Port Plastics</v>
      </c>
      <c r="H28" s="320" t="str">
        <f>IF(VLOOKUP($C28,Machined!C:Z,17,0) = 0, " ", VLOOKUP($C28,Machined!C:Z,17,0))</f>
        <v xml:space="preserve"> </v>
      </c>
      <c r="I28" s="321" t="str">
        <f>IF(VLOOKUP($C28,Machined!$C:$Y,13,0) = 0, " ", VLOOKUP($C28,Machined!$C:$Y,13,0))</f>
        <v>POLYCARBONITE-CLEAR</v>
      </c>
      <c r="J28" s="44" t="str">
        <f>IF(VLOOKUP($C28,Machined!C:Z,18,0) = 0, " ", VLOOKUP($C28,Machined!C:Z,18,0))</f>
        <v>(TJ) 8/8/2024</v>
      </c>
      <c r="K28" s="44">
        <f>IF(VLOOKUP($C28,Machined!C:Z,19,0) = 0, " ", VLOOKUP($C28,Machined!C:Z,19,0))</f>
        <v>45530</v>
      </c>
      <c r="L28" s="44">
        <f>IF(VLOOKUP($C28,Machined!C:Z,20,0) = 0, " ", VLOOKUP($C28,Machined!C:Z,20,0))</f>
        <v>45561</v>
      </c>
      <c r="M28" s="44" t="str">
        <f>IF(VLOOKUP($C28,Machined!C:Z,21,0) = 0, " ", VLOOKUP($C28,Machined!C:Z,21,0))</f>
        <v xml:space="preserve"> </v>
      </c>
      <c r="N28" s="129">
        <f>IF(VLOOKUP($C28,Machined!C:Z,22,0) = 0, " ", VLOOKUP($C28,Machined!C:Z,22,0))</f>
        <v>55708</v>
      </c>
      <c r="O28" s="45">
        <f ca="1">B28*$L$2</f>
        <v>1</v>
      </c>
      <c r="P28" s="49">
        <f>VLOOKUP(C28,Machined!C:F,3,0)</f>
        <v>75</v>
      </c>
      <c r="Q28" s="50">
        <f>B28*P28</f>
        <v>75</v>
      </c>
    </row>
    <row r="29" spans="1:17" s="2" customFormat="1" ht="12" customHeight="1" x14ac:dyDescent="0.25">
      <c r="A29" s="77">
        <v>21</v>
      </c>
      <c r="B29" s="20">
        <v>1</v>
      </c>
      <c r="C29" s="121" t="s">
        <v>895</v>
      </c>
      <c r="D29" s="314" t="str">
        <f>VLOOKUP(C29,Machined!C:X,2,0)</f>
        <v>ONBOARD TUBE GUARD L B Side</v>
      </c>
      <c r="E29" s="329"/>
      <c r="F29" s="107" t="str">
        <f>VLOOKUP($C29,Machined!C:Z,13,0)</f>
        <v>POLYCARBONITE-CLEAR</v>
      </c>
      <c r="G29" s="44" t="str">
        <f>IF(VLOOKUP($C29,Machined!C:Z,16,0) = 0, " ", VLOOKUP($C29,Machined!C:Z,16,0))</f>
        <v>Port Plastics</v>
      </c>
      <c r="H29" s="320" t="str">
        <f>IF(VLOOKUP($C29,Machined!C:Z,17,0) = 0, " ", VLOOKUP($C29,Machined!C:Z,17,0))</f>
        <v xml:space="preserve"> </v>
      </c>
      <c r="I29" s="321" t="str">
        <f>IF(VLOOKUP($C29,Machined!$C:$Y,13,0) = 0, " ", VLOOKUP($C29,Machined!$C:$Y,13,0))</f>
        <v>POLYCARBONITE-CLEAR</v>
      </c>
      <c r="J29" s="44" t="str">
        <f>IF(VLOOKUP($C29,Machined!C:Z,18,0) = 0, " ", VLOOKUP($C29,Machined!C:Z,18,0))</f>
        <v>(TJ) 8/8/2024</v>
      </c>
      <c r="K29" s="44">
        <f>IF(VLOOKUP($C29,Machined!C:Z,19,0) = 0, " ", VLOOKUP($C29,Machined!C:Z,19,0))</f>
        <v>45530</v>
      </c>
      <c r="L29" s="44">
        <f>IF(VLOOKUP($C29,Machined!C:Z,20,0) = 0, " ", VLOOKUP($C29,Machined!C:Z,20,0))</f>
        <v>45561</v>
      </c>
      <c r="M29" s="44" t="str">
        <f>IF(VLOOKUP($C29,Machined!C:Z,21,0) = 0, " ", VLOOKUP($C29,Machined!C:Z,21,0))</f>
        <v xml:space="preserve"> </v>
      </c>
      <c r="N29" s="129">
        <f>IF(VLOOKUP($C29,Machined!C:Z,22,0) = 0, " ", VLOOKUP($C29,Machined!C:Z,22,0))</f>
        <v>55708</v>
      </c>
      <c r="O29" s="45">
        <f ca="1">B29*$L$2</f>
        <v>1</v>
      </c>
      <c r="P29" s="49">
        <f>VLOOKUP(C29,Machined!C:F,3,0)</f>
        <v>75</v>
      </c>
      <c r="Q29" s="50">
        <f>B29*P29</f>
        <v>75</v>
      </c>
    </row>
    <row r="30" spans="1:17" s="2" customFormat="1" ht="12" customHeight="1" x14ac:dyDescent="0.25">
      <c r="A30" s="25"/>
      <c r="B30" s="26"/>
      <c r="C30" s="26"/>
      <c r="D30" s="332"/>
      <c r="E30" s="333"/>
      <c r="F30" s="26"/>
      <c r="G30" s="26"/>
      <c r="H30" s="322"/>
      <c r="I30" s="323"/>
      <c r="J30" s="27"/>
      <c r="K30" s="27"/>
      <c r="L30" s="27"/>
      <c r="M30" s="28"/>
      <c r="N30" s="29"/>
      <c r="O30" s="29"/>
      <c r="P30" s="148"/>
      <c r="Q30" s="149"/>
    </row>
    <row r="31" spans="1:17" s="2" customFormat="1" ht="12" customHeight="1" x14ac:dyDescent="0.25">
      <c r="A31" s="4">
        <v>301</v>
      </c>
      <c r="B31" s="2">
        <v>28</v>
      </c>
      <c r="C31" s="135">
        <v>3842530283</v>
      </c>
      <c r="D31" s="325" t="str">
        <f>VLOOKUP(C31,Purchased!A:B,2,0)</f>
        <v>BRX GOTO T-NUT 10 M5</v>
      </c>
      <c r="E31" s="326"/>
      <c r="F31" s="108" t="str">
        <f>IF(VLOOKUP($C31,Purchased!A:Z,11,0) = 0, " ", VLOOKUP($C31,Purchased!A:Z,11,0))</f>
        <v>BRX</v>
      </c>
      <c r="G31" s="108" t="str">
        <f>IF(VLOOKUP($C31,Purchased!A:Z,12,0)=0, " ", VLOOKUP($C31,Purchased!A:Z,12,0))</f>
        <v>AAP</v>
      </c>
      <c r="H31" s="327" t="str">
        <f>IF(VLOOKUP($C31,Purchased!A:Z,13,0)=0, " ", VLOOKUP($C31,Purchased!A:Z,13,0))</f>
        <v>100 additional quantity added to 55710</v>
      </c>
      <c r="I31" s="328"/>
      <c r="J31" s="46">
        <f>IF(VLOOKUP($C31,Purchased!A:Z,14,0)=0, " ", VLOOKUP($C31,Purchased!A:Z,14,0))</f>
        <v>45463</v>
      </c>
      <c r="K31" s="46">
        <f>IF(VLOOKUP(C31,Purchased!A:R,14,0)=0, " ", VLOOKUP(C31,Purchased!A:R,14,0))</f>
        <v>45463</v>
      </c>
      <c r="L31" s="46">
        <f>IF(VLOOKUP(C31,Purchased!A:R,15,0)=0, " ", VLOOKUP(C31,Purchased!A:R,15,0))</f>
        <v>45463</v>
      </c>
      <c r="M31" s="46">
        <f>IF(VLOOKUP(C31,Purchased!A:R,16,0)=0, " ",VLOOKUP(C31,Purchased!A:R,16,0))</f>
        <v>45481</v>
      </c>
      <c r="N31" s="130">
        <f>IF(VLOOKUP(C31,Purchased!A:R,17,0)=0, " ", VLOOKUP(C31,Purchased!A:R,17,0))</f>
        <v>45481</v>
      </c>
      <c r="O31" s="47">
        <f t="shared" ref="O31:O43" ca="1" si="6">B31*$L$2</f>
        <v>28</v>
      </c>
      <c r="P31" s="51">
        <f>VLOOKUP(C31,Purchased!A:D,3,FALSE)</f>
        <v>0.56000000000000005</v>
      </c>
      <c r="Q31" s="52">
        <f t="shared" ref="Q31:Q43" si="7">B31*P31</f>
        <v>15.680000000000001</v>
      </c>
    </row>
    <row r="32" spans="1:17" s="2" customFormat="1" ht="12" customHeight="1" x14ac:dyDescent="0.25">
      <c r="A32" s="4">
        <v>302</v>
      </c>
      <c r="B32" s="2">
        <v>44</v>
      </c>
      <c r="C32" s="135" t="s">
        <v>104</v>
      </c>
      <c r="D32" s="325" t="str">
        <f>VLOOKUP(C32,Purchased!A:B,2,0)</f>
        <v>BRX GOTO T-NUT 10 M8</v>
      </c>
      <c r="E32" s="326"/>
      <c r="F32" s="108" t="str">
        <f>IF(VLOOKUP($C32,Purchased!A:Z,11,0) = 0, " ", VLOOKUP($C32,Purchased!A:Z,11,0))</f>
        <v>BRX</v>
      </c>
      <c r="G32" s="108" t="str">
        <f>IF(VLOOKUP($C32,Purchased!A:Z,12,0)=0, " ", VLOOKUP($C32,Purchased!A:Z,12,0))</f>
        <v>AAP</v>
      </c>
      <c r="H32" s="327" t="str">
        <f>IF(VLOOKUP($C32,Purchased!A:Z,13,0)=0, " ", VLOOKUP($C32,Purchased!A:Z,13,0))</f>
        <v>400 additional quantity added to 55710</v>
      </c>
      <c r="I32" s="328"/>
      <c r="J32" s="46">
        <f>IF(VLOOKUP($C32,Purchased!A:Z,14,0)=0, " ", VLOOKUP($C32,Purchased!A:Z,14,0))</f>
        <v>45463</v>
      </c>
      <c r="K32" s="46">
        <f>IF(VLOOKUP(C32,Purchased!A:R,14,0)=0, " ", VLOOKUP(C32,Purchased!A:R,14,0))</f>
        <v>45463</v>
      </c>
      <c r="L32" s="46">
        <f>IF(VLOOKUP(C32,Purchased!A:R,15,0)=0, " ", VLOOKUP(C32,Purchased!A:R,15,0))</f>
        <v>45463</v>
      </c>
      <c r="M32" s="46">
        <f>IF(VLOOKUP(C32,Purchased!A:R,16,0)=0, " ",VLOOKUP(C32,Purchased!A:R,16,0))</f>
        <v>45481</v>
      </c>
      <c r="N32" s="130">
        <f>IF(VLOOKUP(C32,Purchased!A:R,17,0)=0, " ", VLOOKUP(C32,Purchased!A:R,17,0))</f>
        <v>45481</v>
      </c>
      <c r="O32" s="47">
        <f t="shared" ref="O32:O40" ca="1" si="8">B32*$L$2</f>
        <v>44</v>
      </c>
      <c r="P32" s="51">
        <f>VLOOKUP(C32,Purchased!A:D,3,FALSE)</f>
        <v>0.56000000000000005</v>
      </c>
      <c r="Q32" s="52">
        <f t="shared" ref="Q32:Q34" si="9">B32*P32</f>
        <v>24.64</v>
      </c>
    </row>
    <row r="33" spans="1:17" s="2" customFormat="1" ht="12" customHeight="1" x14ac:dyDescent="0.25">
      <c r="A33" s="4">
        <v>303</v>
      </c>
      <c r="B33" s="2">
        <v>116</v>
      </c>
      <c r="C33" s="135" t="s">
        <v>149</v>
      </c>
      <c r="D33" s="325" t="str">
        <f>VLOOKUP(C33,Purchased!A:B,2,0)</f>
        <v>BRX GOTO QUICK CONNECTOR N10 0°</v>
      </c>
      <c r="E33" s="326"/>
      <c r="F33" s="108" t="str">
        <f>IF(VLOOKUP($C33,Purchased!A:Z,11,0) = 0, " ", VLOOKUP($C33,Purchased!A:Z,11,0))</f>
        <v>T-SLOTS</v>
      </c>
      <c r="G33" s="108" t="str">
        <f>IF(VLOOKUP($C33,Purchased!A:Z,12,0)=0, " ", VLOOKUP($C33,Purchased!A:Z,12,0))</f>
        <v>Process Tech</v>
      </c>
      <c r="H33" s="327" t="str">
        <f>IF(VLOOKUP($C33,Purchased!A:Z,13,0)=0, " ", VLOOKUP($C33,Purchased!A:Z,13,0))</f>
        <v>500 More on P.O. #55639 Part# 659730</v>
      </c>
      <c r="I33" s="328"/>
      <c r="J33" s="46" t="str">
        <f>IF(VLOOKUP($C33,Purchased!A:Z,14,0)=0, " ", VLOOKUP($C33,Purchased!A:Z,14,0))</f>
        <v>N/A</v>
      </c>
      <c r="K33" s="46" t="str">
        <f>IF(VLOOKUP(C33,Purchased!A:R,14,0)=0, " ", VLOOKUP(C33,Purchased!A:R,14,0))</f>
        <v>N/A</v>
      </c>
      <c r="L33" s="46">
        <f>IF(VLOOKUP(C33,Purchased!A:R,15,0)=0, " ", VLOOKUP(C33,Purchased!A:R,15,0))</f>
        <v>45362</v>
      </c>
      <c r="M33" s="46">
        <f>IF(VLOOKUP(C33,Purchased!A:R,16,0)=0, " ",VLOOKUP(C33,Purchased!A:R,16,0))</f>
        <v>45378</v>
      </c>
      <c r="N33" s="130">
        <f>IF(VLOOKUP(C33,Purchased!A:R,17,0)=0, " ", VLOOKUP(C33,Purchased!A:R,17,0))</f>
        <v>45378</v>
      </c>
      <c r="O33" s="47">
        <f t="shared" ca="1" si="8"/>
        <v>116</v>
      </c>
      <c r="P33" s="51">
        <f>VLOOKUP(C33,Purchased!A:D,3,FALSE)</f>
        <v>4.17</v>
      </c>
      <c r="Q33" s="52">
        <f t="shared" si="9"/>
        <v>483.71999999999997</v>
      </c>
    </row>
    <row r="34" spans="1:17" s="2" customFormat="1" ht="12" customHeight="1" x14ac:dyDescent="0.25">
      <c r="A34" s="4">
        <v>304</v>
      </c>
      <c r="B34" s="2">
        <v>8</v>
      </c>
      <c r="C34" s="135">
        <v>3842548758</v>
      </c>
      <c r="D34" s="325" t="str">
        <f>VLOOKUP(C34,Purchased!A:B,2,0)</f>
        <v>BRX 3842548758 Cover Cap 90x90 Grey</v>
      </c>
      <c r="E34" s="326"/>
      <c r="F34" s="108" t="str">
        <f>IF(VLOOKUP($C34,Purchased!A:Z,11,0) = 0, " ", VLOOKUP($C34,Purchased!A:Z,11,0))</f>
        <v>BRX</v>
      </c>
      <c r="G34" s="108" t="str">
        <f>IF(VLOOKUP($C34,Purchased!A:Z,12,0)=0, " ", VLOOKUP($C34,Purchased!A:Z,12,0))</f>
        <v>AAP</v>
      </c>
      <c r="H34" s="327" t="str">
        <f>IF(VLOOKUP($C34,Purchased!A:Z,13,0)=0, " ", VLOOKUP($C34,Purchased!A:Z,13,0))</f>
        <v xml:space="preserve"> </v>
      </c>
      <c r="I34" s="328"/>
      <c r="J34" s="46" t="str">
        <f>IF(VLOOKUP($C34,Purchased!A:Z,14,0)=0, " ", VLOOKUP($C34,Purchased!A:Z,14,0))</f>
        <v>N/A</v>
      </c>
      <c r="K34" s="46" t="str">
        <f>IF(VLOOKUP(C34,Purchased!A:R,14,0)=0, " ", VLOOKUP(C34,Purchased!A:R,14,0))</f>
        <v>N/A</v>
      </c>
      <c r="L34" s="46">
        <f>IF(VLOOKUP(C34,Purchased!A:R,15,0)=0, " ", VLOOKUP(C34,Purchased!A:R,15,0))</f>
        <v>45524</v>
      </c>
      <c r="M34" s="46">
        <f>IF(VLOOKUP(C34,Purchased!A:R,16,0)=0, " ",VLOOKUP(C34,Purchased!A:R,16,0))</f>
        <v>45547</v>
      </c>
      <c r="N34" s="130" t="str">
        <f>IF(VLOOKUP(C34,Purchased!A:R,17,0)=0, " ", VLOOKUP(C34,Purchased!A:R,17,0))</f>
        <v xml:space="preserve"> </v>
      </c>
      <c r="O34" s="47">
        <f t="shared" ca="1" si="8"/>
        <v>8</v>
      </c>
      <c r="P34" s="51">
        <f>VLOOKUP(C34,Purchased!A:D,3,FALSE)</f>
        <v>2.83</v>
      </c>
      <c r="Q34" s="52">
        <f t="shared" si="9"/>
        <v>22.64</v>
      </c>
    </row>
    <row r="35" spans="1:17" s="2" customFormat="1" ht="12" customHeight="1" x14ac:dyDescent="0.25">
      <c r="A35" s="4">
        <v>305</v>
      </c>
      <c r="B35" s="2">
        <v>2</v>
      </c>
      <c r="C35" s="135" t="s">
        <v>718</v>
      </c>
      <c r="D35" s="325" t="str">
        <f>VLOOKUP(C35,Purchased!A:B,2,0)</f>
        <v>15MM BALL RAIL, 1140MM LENGTH, T-30MM</v>
      </c>
      <c r="E35" s="326"/>
      <c r="F35" s="108" t="str">
        <f>IF(VLOOKUP($C35,Purchased!A:Z,11,0) = 0, " ", VLOOKUP($C35,Purchased!A:Z,11,0))</f>
        <v>BRL</v>
      </c>
      <c r="G35" s="108" t="str">
        <f>IF(VLOOKUP($C35,Purchased!A:Z,12,0)=0, " ", VLOOKUP($C35,Purchased!A:Z,12,0))</f>
        <v>AAP</v>
      </c>
      <c r="H35" s="327" t="str">
        <f>IF(VLOOKUP($C35,Purchased!A:Z,13,0)=0, " ", VLOOKUP($C35,Purchased!A:Z,13,0))</f>
        <v xml:space="preserve"> </v>
      </c>
      <c r="I35" s="328"/>
      <c r="J35" s="46">
        <f>IF(VLOOKUP($C35,Purchased!A:Z,14,0)=0, " ", VLOOKUP($C35,Purchased!A:Z,14,0))</f>
        <v>45502</v>
      </c>
      <c r="K35" s="46">
        <f>IF(VLOOKUP(C35,Purchased!A:R,14,0)=0, " ", VLOOKUP(C35,Purchased!A:R,14,0))</f>
        <v>45502</v>
      </c>
      <c r="L35" s="46">
        <f>IF(VLOOKUP(C35,Purchased!A:R,15,0)=0, " ", VLOOKUP(C35,Purchased!A:R,15,0))</f>
        <v>45506</v>
      </c>
      <c r="M35" s="46">
        <f>IF(VLOOKUP(C35,Purchased!A:R,16,0)=0, " ",VLOOKUP(C35,Purchased!A:R,16,0))</f>
        <v>45547</v>
      </c>
      <c r="N35" s="130">
        <f>IF(VLOOKUP(C35,Purchased!A:R,17,0)=0, " ", VLOOKUP(C35,Purchased!A:R,17,0))</f>
        <v>45552</v>
      </c>
      <c r="O35" s="47">
        <f t="shared" ca="1" si="8"/>
        <v>2</v>
      </c>
      <c r="P35" s="51">
        <f>VLOOKUP(C35,Purchased!A:D,3,FALSE)</f>
        <v>466.8888</v>
      </c>
      <c r="Q35" s="52">
        <f t="shared" si="7"/>
        <v>933.77760000000001</v>
      </c>
    </row>
    <row r="36" spans="1:17" s="2" customFormat="1" ht="12" customHeight="1" x14ac:dyDescent="0.25">
      <c r="A36" s="4">
        <v>306</v>
      </c>
      <c r="B36" s="2">
        <v>2</v>
      </c>
      <c r="C36" s="135" t="s">
        <v>719</v>
      </c>
      <c r="D36" s="325" t="str">
        <f>VLOOKUP(C36,Purchased!A:B,2,0)</f>
        <v>RB51-12 REDUCTION SLEEVE, 14MM TO 12MM</v>
      </c>
      <c r="E36" s="326"/>
      <c r="F36" s="108" t="str">
        <f>IF(VLOOKUP($C36,Purchased!A:Z,11,0) = 0, " ", VLOOKUP($C36,Purchased!A:Z,11,0))</f>
        <v>ELESA</v>
      </c>
      <c r="G36" s="108" t="str">
        <f>IF(VLOOKUP($C36,Purchased!A:Z,12,0)=0, " ", VLOOKUP($C36,Purchased!A:Z,12,0))</f>
        <v>ELESA</v>
      </c>
      <c r="H36" s="327" t="str">
        <f>IF(VLOOKUP($C36,Purchased!A:Z,13,0)=0, " ", VLOOKUP($C36,Purchased!A:Z,13,0))</f>
        <v xml:space="preserve"> </v>
      </c>
      <c r="I36" s="328"/>
      <c r="J36" s="46">
        <f>IF(VLOOKUP($C36,Purchased!A:Z,14,0)=0, " ", VLOOKUP($C36,Purchased!A:Z,14,0))</f>
        <v>45506</v>
      </c>
      <c r="K36" s="46">
        <f>IF(VLOOKUP(C36,Purchased!A:R,14,0)=0, " ", VLOOKUP(C36,Purchased!A:R,14,0))</f>
        <v>45506</v>
      </c>
      <c r="L36" s="46">
        <f>IF(VLOOKUP(C36,Purchased!A:R,15,0)=0, " ", VLOOKUP(C36,Purchased!A:R,15,0))</f>
        <v>45526</v>
      </c>
      <c r="M36" s="46">
        <f>IF(VLOOKUP(C36,Purchased!A:R,16,0)=0, " ",VLOOKUP(C36,Purchased!A:R,16,0))</f>
        <v>45551</v>
      </c>
      <c r="N36" s="130">
        <f>IF(VLOOKUP(C36,Purchased!A:R,17,0)=0, " ", VLOOKUP(C36,Purchased!A:R,17,0))</f>
        <v>45551</v>
      </c>
      <c r="O36" s="47">
        <f t="shared" ca="1" si="8"/>
        <v>2</v>
      </c>
      <c r="P36" s="51">
        <f>VLOOKUP(C36,Purchased!A:D,3,FALSE)</f>
        <v>9.19</v>
      </c>
      <c r="Q36" s="52">
        <f t="shared" si="7"/>
        <v>18.38</v>
      </c>
    </row>
    <row r="37" spans="1:17" s="2" customFormat="1" ht="12" customHeight="1" x14ac:dyDescent="0.25">
      <c r="A37" s="4">
        <v>307</v>
      </c>
      <c r="B37" s="2">
        <v>2</v>
      </c>
      <c r="C37" s="135" t="s">
        <v>720</v>
      </c>
      <c r="D37" s="325" t="str">
        <f>VLOOKUP(C37,Purchased!A:B,2,0)</f>
        <v>GN 322.3-125-B12-R FOLDING ALUMINUM HANDWHEEL</v>
      </c>
      <c r="E37" s="326"/>
      <c r="F37" s="108" t="str">
        <f>IF(VLOOKUP($C37,Purchased!A:Z,11,0) = 0, " ", VLOOKUP($C37,Purchased!A:Z,11,0))</f>
        <v>ELESA</v>
      </c>
      <c r="G37" s="108" t="str">
        <f>IF(VLOOKUP($C37,Purchased!A:Z,12,0)=0, " ", VLOOKUP($C37,Purchased!A:Z,12,0))</f>
        <v>ELESA</v>
      </c>
      <c r="H37" s="327" t="str">
        <f>IF(VLOOKUP($C37,Purchased!A:Z,13,0)=0, " ", VLOOKUP($C37,Purchased!A:Z,13,0))</f>
        <v xml:space="preserve"> </v>
      </c>
      <c r="I37" s="328"/>
      <c r="J37" s="46">
        <f>IF(VLOOKUP($C37,Purchased!A:Z,14,0)=0, " ", VLOOKUP($C37,Purchased!A:Z,14,0))</f>
        <v>45506</v>
      </c>
      <c r="K37" s="46">
        <f>IF(VLOOKUP(C37,Purchased!A:R,14,0)=0, " ", VLOOKUP(C37,Purchased!A:R,14,0))</f>
        <v>45506</v>
      </c>
      <c r="L37" s="46">
        <f>IF(VLOOKUP(C37,Purchased!A:R,15,0)=0, " ", VLOOKUP(C37,Purchased!A:R,15,0))</f>
        <v>45526</v>
      </c>
      <c r="M37" s="46">
        <f>IF(VLOOKUP(C37,Purchased!A:R,16,0)=0, " ",VLOOKUP(C37,Purchased!A:R,16,0))</f>
        <v>45551</v>
      </c>
      <c r="N37" s="130">
        <f>IF(VLOOKUP(C37,Purchased!A:R,17,0)=0, " ", VLOOKUP(C37,Purchased!A:R,17,0))</f>
        <v>45551</v>
      </c>
      <c r="O37" s="47">
        <f t="shared" ca="1" si="8"/>
        <v>2</v>
      </c>
      <c r="P37" s="51">
        <f>VLOOKUP(C37,Purchased!A:D,3,FALSE)</f>
        <v>72.47</v>
      </c>
      <c r="Q37" s="52">
        <f t="shared" si="7"/>
        <v>144.94</v>
      </c>
    </row>
    <row r="38" spans="1:17" s="2" customFormat="1" ht="12" customHeight="1" x14ac:dyDescent="0.25">
      <c r="A38" s="4">
        <v>308</v>
      </c>
      <c r="B38" s="2">
        <v>2</v>
      </c>
      <c r="C38" s="135" t="s">
        <v>721</v>
      </c>
      <c r="D38" s="325" t="str">
        <f>VLOOKUP(C38,Purchased!A:B,2,0)</f>
        <v>BSA-N51-12 SINDLE LOCKING BASE, 12MM SHAFT DIA</v>
      </c>
      <c r="E38" s="326"/>
      <c r="F38" s="108" t="str">
        <f>IF(VLOOKUP($C38,Purchased!A:Z,11,0) = 0, " ", VLOOKUP($C38,Purchased!A:Z,11,0))</f>
        <v>ELESA</v>
      </c>
      <c r="G38" s="108" t="str">
        <f>IF(VLOOKUP($C38,Purchased!A:Z,12,0)=0, " ", VLOOKUP($C38,Purchased!A:Z,12,0))</f>
        <v>ELESA</v>
      </c>
      <c r="H38" s="327" t="str">
        <f>IF(VLOOKUP($C38,Purchased!A:Z,13,0)=0, " ", VLOOKUP($C38,Purchased!A:Z,13,0))</f>
        <v xml:space="preserve"> </v>
      </c>
      <c r="I38" s="328"/>
      <c r="J38" s="46">
        <f>IF(VLOOKUP($C38,Purchased!A:Z,14,0)=0, " ", VLOOKUP($C38,Purchased!A:Z,14,0))</f>
        <v>45506</v>
      </c>
      <c r="K38" s="46">
        <f>IF(VLOOKUP(C38,Purchased!A:R,14,0)=0, " ", VLOOKUP(C38,Purchased!A:R,14,0))</f>
        <v>45506</v>
      </c>
      <c r="L38" s="46">
        <f>IF(VLOOKUP(C38,Purchased!A:R,15,0)=0, " ", VLOOKUP(C38,Purchased!A:R,15,0))</f>
        <v>45526</v>
      </c>
      <c r="M38" s="46">
        <f>IF(VLOOKUP(C38,Purchased!A:R,16,0)=0, " ",VLOOKUP(C38,Purchased!A:R,16,0))</f>
        <v>45551</v>
      </c>
      <c r="N38" s="130">
        <f>IF(VLOOKUP(C38,Purchased!A:R,17,0)=0, " ", VLOOKUP(C38,Purchased!A:R,17,0))</f>
        <v>45551</v>
      </c>
      <c r="O38" s="47">
        <f t="shared" ca="1" si="8"/>
        <v>2</v>
      </c>
      <c r="P38" s="51">
        <f>VLOOKUP(C38,Purchased!A:D,3,FALSE)</f>
        <v>45.32</v>
      </c>
      <c r="Q38" s="52">
        <f t="shared" si="7"/>
        <v>90.64</v>
      </c>
    </row>
    <row r="39" spans="1:17" s="2" customFormat="1" ht="12" customHeight="1" x14ac:dyDescent="0.25">
      <c r="A39" s="4">
        <v>309</v>
      </c>
      <c r="B39" s="2">
        <v>3</v>
      </c>
      <c r="C39" s="135" t="s">
        <v>501</v>
      </c>
      <c r="D39" s="325" t="str">
        <f>VLOOKUP(C39,Purchased!A:B,2,0)</f>
        <v>Digital Position Indicator DD51-E-SST-IP65-C2</v>
      </c>
      <c r="E39" s="326"/>
      <c r="F39" s="108" t="str">
        <f>IF(VLOOKUP($C39,Purchased!A:Z,11,0) = 0, " ", VLOOKUP($C39,Purchased!A:Z,11,0))</f>
        <v>ELESA</v>
      </c>
      <c r="G39" s="108" t="str">
        <f>IF(VLOOKUP($C39,Purchased!A:Z,12,0)=0, " ", VLOOKUP($C39,Purchased!A:Z,12,0))</f>
        <v>ELESA</v>
      </c>
      <c r="H39" s="327" t="str">
        <f>IF(VLOOKUP($C39,Purchased!A:Z,13,0)=0, " ", VLOOKUP($C39,Purchased!A:Z,13,0))</f>
        <v xml:space="preserve"> </v>
      </c>
      <c r="I39" s="328"/>
      <c r="J39" s="46">
        <f>IF(VLOOKUP($C39,Purchased!A:Z,14,0)=0, " ", VLOOKUP($C39,Purchased!A:Z,14,0))</f>
        <v>45506</v>
      </c>
      <c r="K39" s="46">
        <f>IF(VLOOKUP(C39,Purchased!A:R,14,0)=0, " ", VLOOKUP(C39,Purchased!A:R,14,0))</f>
        <v>45506</v>
      </c>
      <c r="L39" s="46">
        <f>IF(VLOOKUP(C39,Purchased!A:R,15,0)=0, " ", VLOOKUP(C39,Purchased!A:R,15,0))</f>
        <v>45526</v>
      </c>
      <c r="M39" s="46">
        <f>IF(VLOOKUP(C39,Purchased!A:R,16,0)=0, " ",VLOOKUP(C39,Purchased!A:R,16,0))</f>
        <v>45551</v>
      </c>
      <c r="N39" s="130">
        <f>IF(VLOOKUP(C39,Purchased!A:R,17,0)=0, " ", VLOOKUP(C39,Purchased!A:R,17,0))</f>
        <v>45551</v>
      </c>
      <c r="O39" s="47">
        <f t="shared" ca="1" si="8"/>
        <v>3</v>
      </c>
      <c r="P39" s="51">
        <f>VLOOKUP(C39,Purchased!A:D,3,FALSE)</f>
        <v>258</v>
      </c>
      <c r="Q39" s="52">
        <f t="shared" si="7"/>
        <v>774</v>
      </c>
    </row>
    <row r="40" spans="1:17" s="2" customFormat="1" ht="12" customHeight="1" x14ac:dyDescent="0.25">
      <c r="A40" s="4">
        <v>310</v>
      </c>
      <c r="B40" s="2">
        <v>1</v>
      </c>
      <c r="C40" s="135" t="s">
        <v>500</v>
      </c>
      <c r="D40" s="325" t="str">
        <f>VLOOKUP(C40,Purchased!A:B,2,0)</f>
        <v>Aluminum Handwheel GN 322.3-160-B14-R</v>
      </c>
      <c r="E40" s="326"/>
      <c r="F40" s="108" t="str">
        <f>IF(VLOOKUP($C40,Purchased!A:Z,11,0) = 0, " ", VLOOKUP($C40,Purchased!A:Z,11,0))</f>
        <v>ELESA</v>
      </c>
      <c r="G40" s="108" t="str">
        <f>IF(VLOOKUP($C40,Purchased!A:Z,12,0)=0, " ", VLOOKUP($C40,Purchased!A:Z,12,0))</f>
        <v>ELESA</v>
      </c>
      <c r="H40" s="327" t="str">
        <f>IF(VLOOKUP($C40,Purchased!A:Z,13,0)=0, " ", VLOOKUP($C40,Purchased!A:Z,13,0))</f>
        <v xml:space="preserve"> </v>
      </c>
      <c r="I40" s="328"/>
      <c r="J40" s="46">
        <f>IF(VLOOKUP($C40,Purchased!A:Z,14,0)=0, " ", VLOOKUP($C40,Purchased!A:Z,14,0))</f>
        <v>45506</v>
      </c>
      <c r="K40" s="46">
        <f>IF(VLOOKUP(C40,Purchased!A:R,14,0)=0, " ", VLOOKUP(C40,Purchased!A:R,14,0))</f>
        <v>45506</v>
      </c>
      <c r="L40" s="46">
        <f>IF(VLOOKUP(C40,Purchased!A:R,15,0)=0, " ", VLOOKUP(C40,Purchased!A:R,15,0))</f>
        <v>45526</v>
      </c>
      <c r="M40" s="46">
        <f>IF(VLOOKUP(C40,Purchased!A:R,16,0)=0, " ",VLOOKUP(C40,Purchased!A:R,16,0))</f>
        <v>45551</v>
      </c>
      <c r="N40" s="130">
        <f>IF(VLOOKUP(C40,Purchased!A:R,17,0)=0, " ", VLOOKUP(C40,Purchased!A:R,17,0))</f>
        <v>45551</v>
      </c>
      <c r="O40" s="47">
        <f t="shared" ca="1" si="8"/>
        <v>1</v>
      </c>
      <c r="P40" s="51">
        <f>VLOOKUP(C40,Purchased!A:D,3,FALSE)</f>
        <v>87.05</v>
      </c>
      <c r="Q40" s="52">
        <f t="shared" si="7"/>
        <v>87.05</v>
      </c>
    </row>
    <row r="41" spans="1:17" s="2" customFormat="1" ht="12" customHeight="1" x14ac:dyDescent="0.25">
      <c r="A41" s="4">
        <v>311</v>
      </c>
      <c r="B41" s="2">
        <v>2</v>
      </c>
      <c r="C41" s="135" t="s">
        <v>896</v>
      </c>
      <c r="D41" s="325" t="str">
        <f>VLOOKUP(C41,Purchased!A:B,2,0)</f>
        <v>STRAIGHT LINEAR SHAFT, 25MM DIA, 1355MM L</v>
      </c>
      <c r="E41" s="326"/>
      <c r="F41" s="108" t="str">
        <f>IF(VLOOKUP($C41,Purchased!A:Z,11,0) = 0, " ", VLOOKUP($C41,Purchased!A:Z,11,0))</f>
        <v>MISUMI</v>
      </c>
      <c r="G41" s="108" t="str">
        <f>IF(VLOOKUP($C41,Purchased!A:Z,12,0)=0, " ", VLOOKUP($C41,Purchased!A:Z,12,0))</f>
        <v>MISUMI</v>
      </c>
      <c r="H41" s="327" t="str">
        <f>IF(VLOOKUP($C41,Purchased!A:Z,13,0)=0, " ", VLOOKUP($C41,Purchased!A:Z,13,0))</f>
        <v xml:space="preserve"> </v>
      </c>
      <c r="I41" s="328"/>
      <c r="J41" s="46">
        <f>IF(VLOOKUP($C41,Purchased!A:Z,14,0)=0, " ", VLOOKUP($C41,Purchased!A:Z,14,0))</f>
        <v>45483</v>
      </c>
      <c r="K41" s="46">
        <f>IF(VLOOKUP(C41,Purchased!A:R,14,0)=0, " ", VLOOKUP(C41,Purchased!A:R,14,0))</f>
        <v>45483</v>
      </c>
      <c r="L41" s="46">
        <f>IF(VLOOKUP(C41,Purchased!A:R,15,0)=0, " ", VLOOKUP(C41,Purchased!A:R,15,0))</f>
        <v>45483</v>
      </c>
      <c r="M41" s="46">
        <f>IF(VLOOKUP(C41,Purchased!A:R,16,0)=0, " ",VLOOKUP(C41,Purchased!A:R,16,0))</f>
        <v>45512</v>
      </c>
      <c r="N41" s="130">
        <f>IF(VLOOKUP(C41,Purchased!A:R,17,0)=0, " ", VLOOKUP(C41,Purchased!A:R,17,0))</f>
        <v>45512</v>
      </c>
      <c r="O41" s="47">
        <f t="shared" ca="1" si="6"/>
        <v>2</v>
      </c>
      <c r="P41" s="51">
        <f>VLOOKUP(C41,Purchased!A:D,3,FALSE)</f>
        <v>112.81</v>
      </c>
      <c r="Q41" s="52">
        <f t="shared" si="7"/>
        <v>225.62</v>
      </c>
    </row>
    <row r="42" spans="1:17" s="2" customFormat="1" ht="12" customHeight="1" x14ac:dyDescent="0.25">
      <c r="A42" s="4">
        <v>312</v>
      </c>
      <c r="B42" s="2">
        <v>1</v>
      </c>
      <c r="C42" s="135" t="s">
        <v>897</v>
      </c>
      <c r="D42" s="325" t="str">
        <f>VLOOKUP(C42,Purchased!A:B,2,0)</f>
        <v>STRAIGHT LINEAR SHAFT, 25MM DIA, 1560.4MM L</v>
      </c>
      <c r="E42" s="326"/>
      <c r="F42" s="108" t="str">
        <f>IF(VLOOKUP($C42,Purchased!A:Z,11,0) = 0, " ", VLOOKUP($C42,Purchased!A:Z,11,0))</f>
        <v>MISUMI</v>
      </c>
      <c r="G42" s="108" t="str">
        <f>IF(VLOOKUP($C42,Purchased!A:Z,12,0)=0, " ", VLOOKUP($C42,Purchased!A:Z,12,0))</f>
        <v>MISUMI</v>
      </c>
      <c r="H42" s="327" t="str">
        <f>IF(VLOOKUP($C42,Purchased!A:Z,13,0)=0, " ", VLOOKUP($C42,Purchased!A:Z,13,0))</f>
        <v xml:space="preserve"> </v>
      </c>
      <c r="I42" s="328"/>
      <c r="J42" s="46">
        <f>IF(VLOOKUP($C42,Purchased!A:Z,14,0)=0, " ", VLOOKUP($C42,Purchased!A:Z,14,0))</f>
        <v>45483</v>
      </c>
      <c r="K42" s="46">
        <f>IF(VLOOKUP(C42,Purchased!A:R,14,0)=0, " ", VLOOKUP(C42,Purchased!A:R,14,0))</f>
        <v>45483</v>
      </c>
      <c r="L42" s="46">
        <f>IF(VLOOKUP(C42,Purchased!A:R,15,0)=0, " ", VLOOKUP(C42,Purchased!A:R,15,0))</f>
        <v>45483</v>
      </c>
      <c r="M42" s="46">
        <f>IF(VLOOKUP(C42,Purchased!A:R,16,0)=0, " ",VLOOKUP(C42,Purchased!A:R,16,0))</f>
        <v>45512</v>
      </c>
      <c r="N42" s="130">
        <f>IF(VLOOKUP(C42,Purchased!A:R,17,0)=0, " ", VLOOKUP(C42,Purchased!A:R,17,0))</f>
        <v>45512</v>
      </c>
      <c r="O42" s="47">
        <f t="shared" ca="1" si="6"/>
        <v>1</v>
      </c>
      <c r="P42" s="51">
        <f>VLOOKUP(C42,Purchased!A:D,3,FALSE)</f>
        <v>129.91</v>
      </c>
      <c r="Q42" s="52">
        <f t="shared" si="7"/>
        <v>129.91</v>
      </c>
    </row>
    <row r="43" spans="1:17" s="2" customFormat="1" ht="12" customHeight="1" x14ac:dyDescent="0.25">
      <c r="A43" s="4">
        <v>313</v>
      </c>
      <c r="B43" s="2">
        <v>4</v>
      </c>
      <c r="C43" s="135" t="s">
        <v>614</v>
      </c>
      <c r="D43" s="325" t="str">
        <f>VLOOKUP(C43,Purchased!A:B,2,0)</f>
        <v>CAPTURED BEARING, 20MM ID</v>
      </c>
      <c r="E43" s="326"/>
      <c r="F43" s="108" t="str">
        <f>IF(VLOOKUP($C43,Purchased!A:Z,11,0) = 0, " ", VLOOKUP($C43,Purchased!A:Z,11,0))</f>
        <v>MISUMI</v>
      </c>
      <c r="G43" s="108" t="str">
        <f>IF(VLOOKUP($C43,Purchased!A:Z,12,0)=0, " ", VLOOKUP($C43,Purchased!A:Z,12,0))</f>
        <v>MISUMI</v>
      </c>
      <c r="H43" s="327" t="str">
        <f>IF(VLOOKUP($C43,Purchased!A:Z,13,0)=0, " ", VLOOKUP($C43,Purchased!A:Z,13,0))</f>
        <v xml:space="preserve"> </v>
      </c>
      <c r="I43" s="328"/>
      <c r="J43" s="46">
        <f>IF(VLOOKUP($C43,Purchased!A:Z,14,0)=0, " ", VLOOKUP($C43,Purchased!A:Z,14,0))</f>
        <v>45483</v>
      </c>
      <c r="K43" s="46">
        <f>IF(VLOOKUP(C43,Purchased!A:R,14,0)=0, " ", VLOOKUP(C43,Purchased!A:R,14,0))</f>
        <v>45483</v>
      </c>
      <c r="L43" s="46">
        <f>IF(VLOOKUP(C43,Purchased!A:R,15,0)=0, " ", VLOOKUP(C43,Purchased!A:R,15,0))</f>
        <v>45483</v>
      </c>
      <c r="M43" s="46">
        <f>IF(VLOOKUP(C43,Purchased!A:R,16,0)=0, " ",VLOOKUP(C43,Purchased!A:R,16,0))</f>
        <v>45512</v>
      </c>
      <c r="N43" s="130">
        <f>IF(VLOOKUP(C43,Purchased!A:R,17,0)=0, " ", VLOOKUP(C43,Purchased!A:R,17,0))</f>
        <v>45512</v>
      </c>
      <c r="O43" s="47">
        <f t="shared" ca="1" si="6"/>
        <v>4</v>
      </c>
      <c r="P43" s="51">
        <f>VLOOKUP(C43,Purchased!A:D,3,FALSE)</f>
        <v>57.16</v>
      </c>
      <c r="Q43" s="52">
        <f t="shared" si="7"/>
        <v>228.64</v>
      </c>
    </row>
    <row r="44" spans="1:17" s="2" customFormat="1" ht="12" customHeight="1" x14ac:dyDescent="0.25">
      <c r="A44" s="4">
        <v>314</v>
      </c>
      <c r="B44" s="2">
        <v>4</v>
      </c>
      <c r="C44" s="135" t="s">
        <v>728</v>
      </c>
      <c r="D44" s="325" t="str">
        <f>VLOOKUP(C44,Purchased!A:B,2,0)</f>
        <v>Long Threaded Rod Spacer</v>
      </c>
      <c r="E44" s="326"/>
      <c r="F44" s="108" t="str">
        <f>IF(VLOOKUP($C44,Purchased!A:Z,11,0) = 0, " ", VLOOKUP($C44,Purchased!A:Z,11,0))</f>
        <v>MISUMI</v>
      </c>
      <c r="G44" s="108" t="str">
        <f>IF(VLOOKUP($C44,Purchased!A:Z,12,0)=0, " ", VLOOKUP($C44,Purchased!A:Z,12,0))</f>
        <v>MISUMI</v>
      </c>
      <c r="H44" s="327" t="str">
        <f>IF(VLOOKUP($C44,Purchased!A:Z,13,0)=0, " ", VLOOKUP($C44,Purchased!A:Z,13,0))</f>
        <v xml:space="preserve"> </v>
      </c>
      <c r="I44" s="328"/>
      <c r="J44" s="46">
        <f>IF(VLOOKUP($C44,Purchased!A:Z,14,0)=0, " ", VLOOKUP($C44,Purchased!A:Z,14,0))</f>
        <v>45483</v>
      </c>
      <c r="K44" s="46">
        <f>IF(VLOOKUP(C44,Purchased!A:R,14,0)=0, " ", VLOOKUP(C44,Purchased!A:R,14,0))</f>
        <v>45483</v>
      </c>
      <c r="L44" s="46">
        <f>IF(VLOOKUP(C44,Purchased!A:R,15,0)=0, " ", VLOOKUP(C44,Purchased!A:R,15,0))</f>
        <v>45483</v>
      </c>
      <c r="M44" s="46">
        <f>IF(VLOOKUP(C44,Purchased!A:R,16,0)=0, " ",VLOOKUP(C44,Purchased!A:R,16,0))</f>
        <v>45512</v>
      </c>
      <c r="N44" s="130">
        <f>IF(VLOOKUP(C44,Purchased!A:R,17,0)=0, " ", VLOOKUP(C44,Purchased!A:R,17,0))</f>
        <v>45512</v>
      </c>
      <c r="O44" s="47">
        <f t="shared" ref="O44:O71" ca="1" si="10">B44*$L$2</f>
        <v>4</v>
      </c>
      <c r="P44" s="51">
        <f>VLOOKUP(C44,Purchased!A:D,3,FALSE)</f>
        <v>42.73</v>
      </c>
      <c r="Q44" s="52">
        <f t="shared" ref="Q44:Q71" si="11">B44*P44</f>
        <v>170.92</v>
      </c>
    </row>
    <row r="45" spans="1:17" s="2" customFormat="1" ht="12" customHeight="1" x14ac:dyDescent="0.25">
      <c r="A45" s="4">
        <v>315</v>
      </c>
      <c r="B45" s="2">
        <v>8</v>
      </c>
      <c r="C45" s="135" t="s">
        <v>727</v>
      </c>
      <c r="D45" s="325" t="str">
        <f>VLOOKUP(C45,Purchased!A:B,2,0)</f>
        <v>CAPTURED BEARING, 12MM ID</v>
      </c>
      <c r="E45" s="326"/>
      <c r="F45" s="108" t="str">
        <f>IF(VLOOKUP($C45,Purchased!A:Z,11,0) = 0, " ", VLOOKUP($C45,Purchased!A:Z,11,0))</f>
        <v>MISUMI</v>
      </c>
      <c r="G45" s="108" t="str">
        <f>IF(VLOOKUP($C45,Purchased!A:Z,12,0)=0, " ", VLOOKUP($C45,Purchased!A:Z,12,0))</f>
        <v>MISUMI</v>
      </c>
      <c r="H45" s="327" t="str">
        <f>IF(VLOOKUP($C45,Purchased!A:Z,13,0)=0, " ", VLOOKUP($C45,Purchased!A:Z,13,0))</f>
        <v xml:space="preserve"> </v>
      </c>
      <c r="I45" s="328"/>
      <c r="J45" s="46">
        <f>IF(VLOOKUP($C45,Purchased!A:Z,14,0)=0, " ", VLOOKUP($C45,Purchased!A:Z,14,0))</f>
        <v>45483</v>
      </c>
      <c r="K45" s="46">
        <f>IF(VLOOKUP(C45,Purchased!A:R,14,0)=0, " ", VLOOKUP(C45,Purchased!A:R,14,0))</f>
        <v>45483</v>
      </c>
      <c r="L45" s="46">
        <f>IF(VLOOKUP(C45,Purchased!A:R,15,0)=0, " ", VLOOKUP(C45,Purchased!A:R,15,0))</f>
        <v>45483</v>
      </c>
      <c r="M45" s="46">
        <f>IF(VLOOKUP(C45,Purchased!A:R,16,0)=0, " ",VLOOKUP(C45,Purchased!A:R,16,0))</f>
        <v>45512</v>
      </c>
      <c r="N45" s="130">
        <f>IF(VLOOKUP(C45,Purchased!A:R,17,0)=0, " ", VLOOKUP(C45,Purchased!A:R,17,0))</f>
        <v>45512</v>
      </c>
      <c r="O45" s="47">
        <f t="shared" ca="1" si="10"/>
        <v>8</v>
      </c>
      <c r="P45" s="51">
        <f>VLOOKUP(C45,Purchased!A:D,3,FALSE)</f>
        <v>46.49</v>
      </c>
      <c r="Q45" s="52">
        <f t="shared" si="11"/>
        <v>371.92</v>
      </c>
    </row>
    <row r="46" spans="1:17" s="2" customFormat="1" ht="12" customHeight="1" x14ac:dyDescent="0.25">
      <c r="A46" s="4">
        <v>316</v>
      </c>
      <c r="B46" s="2">
        <v>6</v>
      </c>
      <c r="C46" s="135" t="s">
        <v>729</v>
      </c>
      <c r="D46" s="325" t="str">
        <f>VLOOKUP(C46,Purchased!A:B,2,0)</f>
        <v>Spacer 28OD 20ID 6Thick</v>
      </c>
      <c r="E46" s="326"/>
      <c r="F46" s="108" t="str">
        <f>IF(VLOOKUP($C46,Purchased!A:Z,11,0) = 0, " ", VLOOKUP($C46,Purchased!A:Z,11,0))</f>
        <v>MISUMI</v>
      </c>
      <c r="G46" s="108" t="str">
        <f>IF(VLOOKUP($C46,Purchased!A:Z,12,0)=0, " ", VLOOKUP($C46,Purchased!A:Z,12,0))</f>
        <v>MISUMI</v>
      </c>
      <c r="H46" s="327" t="str">
        <f>IF(VLOOKUP($C46,Purchased!A:Z,13,0)=0, " ", VLOOKUP($C46,Purchased!A:Z,13,0))</f>
        <v xml:space="preserve"> </v>
      </c>
      <c r="I46" s="328"/>
      <c r="J46" s="46">
        <f>IF(VLOOKUP($C46,Purchased!A:Z,14,0)=0, " ", VLOOKUP($C46,Purchased!A:Z,14,0))</f>
        <v>45483</v>
      </c>
      <c r="K46" s="46">
        <f>IF(VLOOKUP(C46,Purchased!A:R,14,0)=0, " ", VLOOKUP(C46,Purchased!A:R,14,0))</f>
        <v>45483</v>
      </c>
      <c r="L46" s="46">
        <f>IF(VLOOKUP(C46,Purchased!A:R,15,0)=0, " ", VLOOKUP(C46,Purchased!A:R,15,0))</f>
        <v>45483</v>
      </c>
      <c r="M46" s="46">
        <f>IF(VLOOKUP(C46,Purchased!A:R,16,0)=0, " ",VLOOKUP(C46,Purchased!A:R,16,0))</f>
        <v>45512</v>
      </c>
      <c r="N46" s="130">
        <f>IF(VLOOKUP(C46,Purchased!A:R,17,0)=0, " ", VLOOKUP(C46,Purchased!A:R,17,0))</f>
        <v>45512</v>
      </c>
      <c r="O46" s="47">
        <f t="shared" ca="1" si="10"/>
        <v>6</v>
      </c>
      <c r="P46" s="51">
        <f>VLOOKUP(C46,Purchased!A:D,3,FALSE)</f>
        <v>12.5</v>
      </c>
      <c r="Q46" s="52">
        <f t="shared" si="11"/>
        <v>75</v>
      </c>
    </row>
    <row r="47" spans="1:17" s="2" customFormat="1" ht="12" customHeight="1" x14ac:dyDescent="0.25">
      <c r="A47" s="4">
        <v>317</v>
      </c>
      <c r="B47" s="2">
        <v>2</v>
      </c>
      <c r="C47" s="135" t="s">
        <v>730</v>
      </c>
      <c r="D47" s="325" t="str">
        <f>VLOOKUP(C47,Purchased!A:B,2,0)</f>
        <v>Eccentric Cam Follower</v>
      </c>
      <c r="E47" s="326"/>
      <c r="F47" s="108" t="str">
        <f>IF(VLOOKUP($C47,Purchased!A:Z,11,0) = 0, " ", VLOOKUP($C47,Purchased!A:Z,11,0))</f>
        <v>MISUMI</v>
      </c>
      <c r="G47" s="108" t="str">
        <f>IF(VLOOKUP($C47,Purchased!A:Z,12,0)=0, " ", VLOOKUP($C47,Purchased!A:Z,12,0))</f>
        <v>MISUMI</v>
      </c>
      <c r="H47" s="327" t="str">
        <f>IF(VLOOKUP($C47,Purchased!A:Z,13,0)=0, " ", VLOOKUP($C47,Purchased!A:Z,13,0))</f>
        <v xml:space="preserve"> </v>
      </c>
      <c r="I47" s="328"/>
      <c r="J47" s="46">
        <f>IF(VLOOKUP($C47,Purchased!A:Z,14,0)=0, " ", VLOOKUP($C47,Purchased!A:Z,14,0))</f>
        <v>45483</v>
      </c>
      <c r="K47" s="46">
        <f>IF(VLOOKUP(C47,Purchased!A:R,14,0)=0, " ", VLOOKUP(C47,Purchased!A:R,14,0))</f>
        <v>45483</v>
      </c>
      <c r="L47" s="46">
        <f>IF(VLOOKUP(C47,Purchased!A:R,15,0)=0, " ", VLOOKUP(C47,Purchased!A:R,15,0))</f>
        <v>45483</v>
      </c>
      <c r="M47" s="46">
        <f>IF(VLOOKUP(C47,Purchased!A:R,16,0)=0, " ",VLOOKUP(C47,Purchased!A:R,16,0))</f>
        <v>45512</v>
      </c>
      <c r="N47" s="130">
        <f>IF(VLOOKUP(C47,Purchased!A:R,17,0)=0, " ", VLOOKUP(C47,Purchased!A:R,17,0))</f>
        <v>45512</v>
      </c>
      <c r="O47" s="47">
        <f t="shared" ca="1" si="10"/>
        <v>2</v>
      </c>
      <c r="P47" s="51">
        <f>VLOOKUP(C47,Purchased!A:D,3,FALSE)</f>
        <v>82.24</v>
      </c>
      <c r="Q47" s="52">
        <f t="shared" si="11"/>
        <v>164.48</v>
      </c>
    </row>
    <row r="48" spans="1:17" s="2" customFormat="1" ht="12" customHeight="1" x14ac:dyDescent="0.25">
      <c r="A48" s="4">
        <v>318</v>
      </c>
      <c r="B48" s="2">
        <v>2</v>
      </c>
      <c r="C48" s="135" t="s">
        <v>648</v>
      </c>
      <c r="D48" s="325" t="str">
        <f>VLOOKUP(C48,Purchased!A:B,2,0)</f>
        <v>SPUR GEAR, ELECTROLESS NICKEL PLATED STEEL</v>
      </c>
      <c r="E48" s="326"/>
      <c r="F48" s="108" t="str">
        <f>IF(VLOOKUP($C48,Purchased!A:Z,11,0) = 0, " ", VLOOKUP($C48,Purchased!A:Z,11,0))</f>
        <v>MISUMI</v>
      </c>
      <c r="G48" s="108" t="str">
        <f>IF(VLOOKUP($C48,Purchased!A:Z,12,0)=0, " ", VLOOKUP($C48,Purchased!A:Z,12,0))</f>
        <v>MISUMI</v>
      </c>
      <c r="H48" s="327" t="str">
        <f>IF(VLOOKUP($C48,Purchased!A:Z,13,0)=0, " ", VLOOKUP($C48,Purchased!A:Z,13,0))</f>
        <v>4 more on PO 55693</v>
      </c>
      <c r="I48" s="328"/>
      <c r="J48" s="46">
        <f>IF(VLOOKUP($C48,Purchased!A:Z,14,0)=0, " ", VLOOKUP($C48,Purchased!A:Z,14,0))</f>
        <v>45483</v>
      </c>
      <c r="K48" s="46">
        <f>IF(VLOOKUP(C48,Purchased!A:R,14,0)=0, " ", VLOOKUP(C48,Purchased!A:R,14,0))</f>
        <v>45483</v>
      </c>
      <c r="L48" s="46">
        <f>IF(VLOOKUP(C48,Purchased!A:R,15,0)=0, " ", VLOOKUP(C48,Purchased!A:R,15,0))</f>
        <v>45483</v>
      </c>
      <c r="M48" s="46">
        <f>IF(VLOOKUP(C48,Purchased!A:R,16,0)=0, " ",VLOOKUP(C48,Purchased!A:R,16,0))</f>
        <v>45512</v>
      </c>
      <c r="N48" s="130">
        <f>IF(VLOOKUP(C48,Purchased!A:R,17,0)=0, " ", VLOOKUP(C48,Purchased!A:R,17,0))</f>
        <v>45512</v>
      </c>
      <c r="O48" s="47">
        <f t="shared" ca="1" si="10"/>
        <v>2</v>
      </c>
      <c r="P48" s="51">
        <f>VLOOKUP(C48,Purchased!A:D,3,FALSE)</f>
        <v>48.07</v>
      </c>
      <c r="Q48" s="52">
        <f t="shared" si="11"/>
        <v>96.14</v>
      </c>
    </row>
    <row r="49" spans="1:17" s="2" customFormat="1" ht="12" customHeight="1" x14ac:dyDescent="0.25">
      <c r="A49" s="4">
        <v>319</v>
      </c>
      <c r="B49" s="2">
        <v>4</v>
      </c>
      <c r="C49" s="135" t="s">
        <v>731</v>
      </c>
      <c r="D49" s="325" t="str">
        <f>VLOOKUP(C49,Purchased!A:B,2,0)</f>
        <v>FLAT CAM FOLLOWER, M18X1.5 THREADED SHANK, 40MM OD</v>
      </c>
      <c r="E49" s="326"/>
      <c r="F49" s="108" t="str">
        <f>IF(VLOOKUP($C49,Purchased!A:Z,11,0) = 0, " ", VLOOKUP($C49,Purchased!A:Z,11,0))</f>
        <v>MISUMI</v>
      </c>
      <c r="G49" s="108" t="str">
        <f>IF(VLOOKUP($C49,Purchased!A:Z,12,0)=0, " ", VLOOKUP($C49,Purchased!A:Z,12,0))</f>
        <v>MISUMI</v>
      </c>
      <c r="H49" s="327" t="str">
        <f>IF(VLOOKUP($C49,Purchased!A:Z,13,0)=0, " ", VLOOKUP($C49,Purchased!A:Z,13,0))</f>
        <v xml:space="preserve"> </v>
      </c>
      <c r="I49" s="328"/>
      <c r="J49" s="46">
        <f>IF(VLOOKUP($C49,Purchased!A:Z,14,0)=0, " ", VLOOKUP($C49,Purchased!A:Z,14,0))</f>
        <v>45483</v>
      </c>
      <c r="K49" s="46">
        <f>IF(VLOOKUP(C49,Purchased!A:R,14,0)=0, " ", VLOOKUP(C49,Purchased!A:R,14,0))</f>
        <v>45483</v>
      </c>
      <c r="L49" s="46">
        <f>IF(VLOOKUP(C49,Purchased!A:R,15,0)=0, " ", VLOOKUP(C49,Purchased!A:R,15,0))</f>
        <v>45483</v>
      </c>
      <c r="M49" s="46">
        <f>IF(VLOOKUP(C49,Purchased!A:R,16,0)=0, " ",VLOOKUP(C49,Purchased!A:R,16,0))</f>
        <v>45512</v>
      </c>
      <c r="N49" s="130">
        <f>IF(VLOOKUP(C49,Purchased!A:R,17,0)=0, " ", VLOOKUP(C49,Purchased!A:R,17,0))</f>
        <v>45512</v>
      </c>
      <c r="O49" s="47">
        <f t="shared" ca="1" si="10"/>
        <v>4</v>
      </c>
      <c r="P49" s="51">
        <f>VLOOKUP(C49,Purchased!A:D,3,FALSE)</f>
        <v>51.45</v>
      </c>
      <c r="Q49" s="52">
        <f t="shared" si="11"/>
        <v>205.8</v>
      </c>
    </row>
    <row r="50" spans="1:17" s="2" customFormat="1" ht="12" customHeight="1" x14ac:dyDescent="0.25">
      <c r="A50" s="4">
        <v>320</v>
      </c>
      <c r="B50" s="2">
        <v>4</v>
      </c>
      <c r="C50" s="135" t="s">
        <v>732</v>
      </c>
      <c r="D50" s="325" t="str">
        <f>VLOOKUP(C50,Purchased!A:B,2,0)</f>
        <v>BALL BEARING, 35MM OD, 17MM ID</v>
      </c>
      <c r="E50" s="326"/>
      <c r="F50" s="108" t="str">
        <f>IF(VLOOKUP($C50,Purchased!A:Z,11,0) = 0, " ", VLOOKUP($C50,Purchased!A:Z,11,0))</f>
        <v>MISUMI</v>
      </c>
      <c r="G50" s="108" t="str">
        <f>IF(VLOOKUP($C50,Purchased!A:Z,12,0)=0, " ", VLOOKUP($C50,Purchased!A:Z,12,0))</f>
        <v>MISUMI</v>
      </c>
      <c r="H50" s="327" t="str">
        <f>IF(VLOOKUP($C50,Purchased!A:Z,13,0)=0, " ", VLOOKUP($C50,Purchased!A:Z,13,0))</f>
        <v xml:space="preserve"> </v>
      </c>
      <c r="I50" s="328"/>
      <c r="J50" s="46">
        <f>IF(VLOOKUP($C50,Purchased!A:Z,14,0)=0, " ", VLOOKUP($C50,Purchased!A:Z,14,0))</f>
        <v>45483</v>
      </c>
      <c r="K50" s="46">
        <f>IF(VLOOKUP(C50,Purchased!A:R,14,0)=0, " ", VLOOKUP(C50,Purchased!A:R,14,0))</f>
        <v>45483</v>
      </c>
      <c r="L50" s="46">
        <f>IF(VLOOKUP(C50,Purchased!A:R,15,0)=0, " ", VLOOKUP(C50,Purchased!A:R,15,0))</f>
        <v>45483</v>
      </c>
      <c r="M50" s="46">
        <f>IF(VLOOKUP(C50,Purchased!A:R,16,0)=0, " ",VLOOKUP(C50,Purchased!A:R,16,0))</f>
        <v>45512</v>
      </c>
      <c r="N50" s="130">
        <f>IF(VLOOKUP(C50,Purchased!A:R,17,0)=0, " ", VLOOKUP(C50,Purchased!A:R,17,0))</f>
        <v>45512</v>
      </c>
      <c r="O50" s="47">
        <f t="shared" ca="1" si="10"/>
        <v>4</v>
      </c>
      <c r="P50" s="51">
        <f>VLOOKUP(C50,Purchased!A:D,3,FALSE)</f>
        <v>7.07</v>
      </c>
      <c r="Q50" s="52">
        <f t="shared" si="11"/>
        <v>28.28</v>
      </c>
    </row>
    <row r="51" spans="1:17" s="2" customFormat="1" ht="12" customHeight="1" x14ac:dyDescent="0.25">
      <c r="A51" s="4">
        <v>321</v>
      </c>
      <c r="B51" s="2">
        <v>6</v>
      </c>
      <c r="C51" s="135" t="s">
        <v>726</v>
      </c>
      <c r="D51" s="325" t="str">
        <f>VLOOKUP(C51,Purchased!A:B,2,0)</f>
        <v>BEARING SPACER, 12MM ID, 15MM OD, 25MM L</v>
      </c>
      <c r="E51" s="326"/>
      <c r="F51" s="108" t="str">
        <f>IF(VLOOKUP($C51,Purchased!A:Z,11,0) = 0, " ", VLOOKUP($C51,Purchased!A:Z,11,0))</f>
        <v>MISUMI</v>
      </c>
      <c r="G51" s="108" t="str">
        <f>IF(VLOOKUP($C51,Purchased!A:Z,12,0)=0, " ", VLOOKUP($C51,Purchased!A:Z,12,0))</f>
        <v>MISUMI</v>
      </c>
      <c r="H51" s="327" t="str">
        <f>IF(VLOOKUP($C51,Purchased!A:Z,13,0)=0, " ", VLOOKUP($C51,Purchased!A:Z,13,0))</f>
        <v>2 more on PO 55693</v>
      </c>
      <c r="I51" s="328"/>
      <c r="J51" s="46">
        <f>IF(VLOOKUP($C51,Purchased!A:Z,14,0)=0, " ", VLOOKUP($C51,Purchased!A:Z,14,0))</f>
        <v>45483</v>
      </c>
      <c r="K51" s="46">
        <f>IF(VLOOKUP(C51,Purchased!A:R,14,0)=0, " ", VLOOKUP(C51,Purchased!A:R,14,0))</f>
        <v>45483</v>
      </c>
      <c r="L51" s="46">
        <f>IF(VLOOKUP(C51,Purchased!A:R,15,0)=0, " ", VLOOKUP(C51,Purchased!A:R,15,0))</f>
        <v>45483</v>
      </c>
      <c r="M51" s="46">
        <f>IF(VLOOKUP(C51,Purchased!A:R,16,0)=0, " ",VLOOKUP(C51,Purchased!A:R,16,0))</f>
        <v>45512</v>
      </c>
      <c r="N51" s="130">
        <f>IF(VLOOKUP(C51,Purchased!A:R,17,0)=0, " ", VLOOKUP(C51,Purchased!A:R,17,0))</f>
        <v>45512</v>
      </c>
      <c r="O51" s="47">
        <f t="shared" ca="1" si="10"/>
        <v>6</v>
      </c>
      <c r="P51" s="51">
        <f>VLOOKUP(C51,Purchased!A:D,3,FALSE)</f>
        <v>13.56</v>
      </c>
      <c r="Q51" s="52">
        <f t="shared" si="11"/>
        <v>81.36</v>
      </c>
    </row>
    <row r="52" spans="1:17" s="2" customFormat="1" ht="12" customHeight="1" x14ac:dyDescent="0.25">
      <c r="A52" s="4">
        <v>322</v>
      </c>
      <c r="B52" s="2">
        <v>2</v>
      </c>
      <c r="C52" s="135" t="s">
        <v>724</v>
      </c>
      <c r="D52" s="325" t="str">
        <f>VLOOKUP(C52,Purchased!A:B,2,0)</f>
        <v>BEARING SPACER, 20MM ID, 23MM OD, 25.8MM L</v>
      </c>
      <c r="E52" s="326"/>
      <c r="F52" s="108" t="str">
        <f>IF(VLOOKUP($C52,Purchased!A:Z,11,0) = 0, " ", VLOOKUP($C52,Purchased!A:Z,11,0))</f>
        <v>MISUMI</v>
      </c>
      <c r="G52" s="108" t="str">
        <f>IF(VLOOKUP($C52,Purchased!A:Z,12,0)=0, " ", VLOOKUP($C52,Purchased!A:Z,12,0))</f>
        <v>MISUMI</v>
      </c>
      <c r="H52" s="327" t="str">
        <f>IF(VLOOKUP($C52,Purchased!A:Z,13,0)=0, " ", VLOOKUP($C52,Purchased!A:Z,13,0))</f>
        <v xml:space="preserve"> </v>
      </c>
      <c r="I52" s="328"/>
      <c r="J52" s="46">
        <f>IF(VLOOKUP($C52,Purchased!A:Z,14,0)=0, " ", VLOOKUP($C52,Purchased!A:Z,14,0))</f>
        <v>45483</v>
      </c>
      <c r="K52" s="46">
        <f>IF(VLOOKUP(C52,Purchased!A:R,14,0)=0, " ", VLOOKUP(C52,Purchased!A:R,14,0))</f>
        <v>45483</v>
      </c>
      <c r="L52" s="46">
        <f>IF(VLOOKUP(C52,Purchased!A:R,15,0)=0, " ", VLOOKUP(C52,Purchased!A:R,15,0))</f>
        <v>45483</v>
      </c>
      <c r="M52" s="46">
        <f>IF(VLOOKUP(C52,Purchased!A:R,16,0)=0, " ",VLOOKUP(C52,Purchased!A:R,16,0))</f>
        <v>45512</v>
      </c>
      <c r="N52" s="130">
        <f>IF(VLOOKUP(C52,Purchased!A:R,17,0)=0, " ", VLOOKUP(C52,Purchased!A:R,17,0))</f>
        <v>45512</v>
      </c>
      <c r="O52" s="47">
        <f t="shared" ca="1" si="10"/>
        <v>2</v>
      </c>
      <c r="P52" s="51">
        <f>VLOOKUP(C52,Purchased!A:D,3,FALSE)</f>
        <v>25.28</v>
      </c>
      <c r="Q52" s="52">
        <f t="shared" si="11"/>
        <v>50.56</v>
      </c>
    </row>
    <row r="53" spans="1:17" s="2" customFormat="1" ht="12" customHeight="1" x14ac:dyDescent="0.25">
      <c r="A53" s="4">
        <v>323</v>
      </c>
      <c r="B53" s="2">
        <v>4</v>
      </c>
      <c r="C53" s="135" t="s">
        <v>723</v>
      </c>
      <c r="D53" s="325" t="str">
        <f>VLOOKUP(C53,Purchased!A:B,2,0)</f>
        <v>BEARING SPACER, 20MM ID, 23MM OD, 14.5MM L</v>
      </c>
      <c r="E53" s="326"/>
      <c r="F53" s="108" t="str">
        <f>IF(VLOOKUP($C53,Purchased!A:Z,11,0) = 0, " ", VLOOKUP($C53,Purchased!A:Z,11,0))</f>
        <v>MISUMI</v>
      </c>
      <c r="G53" s="108" t="str">
        <f>IF(VLOOKUP($C53,Purchased!A:Z,12,0)=0, " ", VLOOKUP($C53,Purchased!A:Z,12,0))</f>
        <v>MISUMI</v>
      </c>
      <c r="H53" s="327" t="str">
        <f>IF(VLOOKUP($C53,Purchased!A:Z,13,0)=0, " ", VLOOKUP($C53,Purchased!A:Z,13,0))</f>
        <v xml:space="preserve"> </v>
      </c>
      <c r="I53" s="328"/>
      <c r="J53" s="46">
        <f>IF(VLOOKUP($C53,Purchased!A:Z,14,0)=0, " ", VLOOKUP($C53,Purchased!A:Z,14,0))</f>
        <v>45483</v>
      </c>
      <c r="K53" s="46">
        <f>IF(VLOOKUP(C53,Purchased!A:R,14,0)=0, " ", VLOOKUP(C53,Purchased!A:R,14,0))</f>
        <v>45483</v>
      </c>
      <c r="L53" s="46">
        <f>IF(VLOOKUP(C53,Purchased!A:R,15,0)=0, " ", VLOOKUP(C53,Purchased!A:R,15,0))</f>
        <v>45483</v>
      </c>
      <c r="M53" s="46">
        <f>IF(VLOOKUP(C53,Purchased!A:R,16,0)=0, " ",VLOOKUP(C53,Purchased!A:R,16,0))</f>
        <v>45512</v>
      </c>
      <c r="N53" s="130">
        <f>IF(VLOOKUP(C53,Purchased!A:R,17,0)=0, " ", VLOOKUP(C53,Purchased!A:R,17,0))</f>
        <v>45512</v>
      </c>
      <c r="O53" s="47">
        <f t="shared" ca="1" si="10"/>
        <v>4</v>
      </c>
      <c r="P53" s="51">
        <f>VLOOKUP(C53,Purchased!A:D,3,FALSE)</f>
        <v>15.11</v>
      </c>
      <c r="Q53" s="52">
        <f t="shared" si="11"/>
        <v>60.44</v>
      </c>
    </row>
    <row r="54" spans="1:17" s="2" customFormat="1" ht="12" customHeight="1" x14ac:dyDescent="0.25">
      <c r="A54" s="4">
        <v>324</v>
      </c>
      <c r="B54" s="2">
        <v>2</v>
      </c>
      <c r="C54" s="135" t="s">
        <v>725</v>
      </c>
      <c r="D54" s="325" t="str">
        <f>VLOOKUP(C54,Purchased!A:B,2,0)</f>
        <v>BEARING SPACER, 12MM ID, 15MM OD, 49MM L</v>
      </c>
      <c r="E54" s="326"/>
      <c r="F54" s="108" t="str">
        <f>IF(VLOOKUP($C54,Purchased!A:Z,11,0) = 0, " ", VLOOKUP($C54,Purchased!A:Z,11,0))</f>
        <v>MISUMI</v>
      </c>
      <c r="G54" s="108" t="str">
        <f>IF(VLOOKUP($C54,Purchased!A:Z,12,0)=0, " ", VLOOKUP($C54,Purchased!A:Z,12,0))</f>
        <v>MISUMI</v>
      </c>
      <c r="H54" s="327" t="str">
        <f>IF(VLOOKUP($C54,Purchased!A:Z,13,0)=0, " ", VLOOKUP($C54,Purchased!A:Z,13,0))</f>
        <v xml:space="preserve"> </v>
      </c>
      <c r="I54" s="328"/>
      <c r="J54" s="46">
        <f>IF(VLOOKUP($C54,Purchased!A:Z,14,0)=0, " ", VLOOKUP($C54,Purchased!A:Z,14,0))</f>
        <v>45483</v>
      </c>
      <c r="K54" s="46">
        <f>IF(VLOOKUP(C54,Purchased!A:R,14,0)=0, " ", VLOOKUP(C54,Purchased!A:R,14,0))</f>
        <v>45483</v>
      </c>
      <c r="L54" s="46">
        <f>IF(VLOOKUP(C54,Purchased!A:R,15,0)=0, " ", VLOOKUP(C54,Purchased!A:R,15,0))</f>
        <v>45483</v>
      </c>
      <c r="M54" s="46">
        <f>IF(VLOOKUP(C54,Purchased!A:R,16,0)=0, " ",VLOOKUP(C54,Purchased!A:R,16,0))</f>
        <v>45512</v>
      </c>
      <c r="N54" s="130">
        <f>IF(VLOOKUP(C54,Purchased!A:R,17,0)=0, " ", VLOOKUP(C54,Purchased!A:R,17,0))</f>
        <v>45512</v>
      </c>
      <c r="O54" s="47">
        <f t="shared" ca="1" si="10"/>
        <v>2</v>
      </c>
      <c r="P54" s="51">
        <f>VLOOKUP(C54,Purchased!A:D,3,FALSE)</f>
        <v>21.12</v>
      </c>
      <c r="Q54" s="52">
        <f t="shared" si="11"/>
        <v>42.24</v>
      </c>
    </row>
    <row r="55" spans="1:17" s="2" customFormat="1" ht="12" customHeight="1" x14ac:dyDescent="0.25">
      <c r="A55" s="4">
        <v>325</v>
      </c>
      <c r="B55" s="2">
        <v>8</v>
      </c>
      <c r="C55" s="135" t="s">
        <v>722</v>
      </c>
      <c r="D55" s="325" t="str">
        <f>VLOOKUP(C55,Purchased!A:B,2,0)</f>
        <v>BEARING SPACER, 6MM ID, 9MM OD, 12.5MM L</v>
      </c>
      <c r="E55" s="326"/>
      <c r="F55" s="108" t="str">
        <f>IF(VLOOKUP($C55,Purchased!A:Z,11,0) = 0, " ", VLOOKUP($C55,Purchased!A:Z,11,0))</f>
        <v>MISUMI</v>
      </c>
      <c r="G55" s="108" t="str">
        <f>IF(VLOOKUP($C55,Purchased!A:Z,12,0)=0, " ", VLOOKUP($C55,Purchased!A:Z,12,0))</f>
        <v>MISUMI</v>
      </c>
      <c r="H55" s="327" t="str">
        <f>IF(VLOOKUP($C55,Purchased!A:Z,13,0)=0, " ", VLOOKUP($C55,Purchased!A:Z,13,0))</f>
        <v xml:space="preserve"> </v>
      </c>
      <c r="I55" s="328"/>
      <c r="J55" s="46">
        <f>IF(VLOOKUP($C55,Purchased!A:Z,14,0)=0, " ", VLOOKUP($C55,Purchased!A:Z,14,0))</f>
        <v>45483</v>
      </c>
      <c r="K55" s="46">
        <f>IF(VLOOKUP(C55,Purchased!A:R,14,0)=0, " ", VLOOKUP(C55,Purchased!A:R,14,0))</f>
        <v>45483</v>
      </c>
      <c r="L55" s="46">
        <f>IF(VLOOKUP(C55,Purchased!A:R,15,0)=0, " ", VLOOKUP(C55,Purchased!A:R,15,0))</f>
        <v>45483</v>
      </c>
      <c r="M55" s="46">
        <f>IF(VLOOKUP(C55,Purchased!A:R,16,0)=0, " ",VLOOKUP(C55,Purchased!A:R,16,0))</f>
        <v>45512</v>
      </c>
      <c r="N55" s="130">
        <f>IF(VLOOKUP(C55,Purchased!A:R,17,0)=0, " ", VLOOKUP(C55,Purchased!A:R,17,0))</f>
        <v>45512</v>
      </c>
      <c r="O55" s="47">
        <f t="shared" ca="1" si="10"/>
        <v>8</v>
      </c>
      <c r="P55" s="51">
        <f>VLOOKUP(C55,Purchased!A:D,3,FALSE)</f>
        <v>13.04</v>
      </c>
      <c r="Q55" s="52">
        <f t="shared" si="11"/>
        <v>104.32</v>
      </c>
    </row>
    <row r="56" spans="1:17" s="2" customFormat="1" ht="12" customHeight="1" x14ac:dyDescent="0.25">
      <c r="A56" s="4">
        <v>326</v>
      </c>
      <c r="B56" s="2">
        <v>2</v>
      </c>
      <c r="C56" s="135" t="s">
        <v>733</v>
      </c>
      <c r="D56" s="325" t="str">
        <f>VLOOKUP(C56,Purchased!A:B,2,0)</f>
        <v>Pneumatic Brake for NuLine Bar Rail</v>
      </c>
      <c r="E56" s="326"/>
      <c r="F56" s="108" t="str">
        <f>IF(VLOOKUP($C56,Purchased!A:Z,11,0) = 0, " ", VLOOKUP($C56,Purchased!A:Z,11,0))</f>
        <v>Zimmer</v>
      </c>
      <c r="G56" s="108" t="str">
        <f>IF(VLOOKUP($C56,Purchased!A:Z,12,0)=0, " ", VLOOKUP($C56,Purchased!A:Z,12,0))</f>
        <v>Zimmer</v>
      </c>
      <c r="H56" s="327" t="str">
        <f>IF(VLOOKUP($C56,Purchased!A:Z,13,0)=0, " ", VLOOKUP($C56,Purchased!A:Z,13,0))</f>
        <v>P.O. for 5, bought 1 for trial -JP</v>
      </c>
      <c r="I56" s="328"/>
      <c r="J56" s="46">
        <f>IF(VLOOKUP($C56,Purchased!A:Z,14,0)=0, " ", VLOOKUP($C56,Purchased!A:Z,14,0))</f>
        <v>45482</v>
      </c>
      <c r="K56" s="46">
        <f>IF(VLOOKUP(C56,Purchased!A:R,14,0)=0, " ", VLOOKUP(C56,Purchased!A:R,14,0))</f>
        <v>45482</v>
      </c>
      <c r="L56" s="46">
        <f>IF(VLOOKUP(C56,Purchased!A:R,15,0)=0, " ", VLOOKUP(C56,Purchased!A:R,15,0))</f>
        <v>45482</v>
      </c>
      <c r="M56" s="46">
        <f>IF(VLOOKUP(C56,Purchased!A:R,16,0)=0, " ",VLOOKUP(C56,Purchased!A:R,16,0))</f>
        <v>45512</v>
      </c>
      <c r="N56" s="130">
        <f>IF(VLOOKUP(C56,Purchased!A:R,17,0)=0, " ", VLOOKUP(C56,Purchased!A:R,17,0))</f>
        <v>45512</v>
      </c>
      <c r="O56" s="47">
        <f t="shared" ca="1" si="10"/>
        <v>2</v>
      </c>
      <c r="P56" s="51">
        <f>VLOOKUP(C56,Purchased!A:D,3,FALSE)</f>
        <v>400.3</v>
      </c>
      <c r="Q56" s="52">
        <f t="shared" si="11"/>
        <v>800.6</v>
      </c>
    </row>
    <row r="57" spans="1:17" s="2" customFormat="1" ht="12" customHeight="1" x14ac:dyDescent="0.25">
      <c r="A57" s="4">
        <v>327</v>
      </c>
      <c r="B57" s="2">
        <v>4</v>
      </c>
      <c r="C57" s="135" t="s">
        <v>734</v>
      </c>
      <c r="D57" s="325" t="str">
        <f>VLOOKUP(C57,Purchased!A:B,2,0)</f>
        <v>CUSTOM LEAD SCREW, DRAWING DSK-00072524</v>
      </c>
      <c r="E57" s="326"/>
      <c r="F57" s="108" t="str">
        <f>IF(VLOOKUP($C57,Purchased!A:Z,11,0) = 0, " ", VLOOKUP($C57,Purchased!A:Z,11,0))</f>
        <v>IGUS</v>
      </c>
      <c r="G57" s="108" t="str">
        <f>IF(VLOOKUP($C57,Purchased!A:Z,12,0)=0, " ", VLOOKUP($C57,Purchased!A:Z,12,0))</f>
        <v>IGUS</v>
      </c>
      <c r="H57" s="327" t="str">
        <f>IF(VLOOKUP($C57,Purchased!A:Z,13,0)=0, " ", VLOOKUP($C57,Purchased!A:Z,13,0))</f>
        <v xml:space="preserve"> </v>
      </c>
      <c r="I57" s="328"/>
      <c r="J57" s="46">
        <f>IF(VLOOKUP($C57,Purchased!A:Z,14,0)=0, " ", VLOOKUP($C57,Purchased!A:Z,14,0))</f>
        <v>45489</v>
      </c>
      <c r="K57" s="46">
        <f>IF(VLOOKUP(C57,Purchased!A:R,14,0)=0, " ", VLOOKUP(C57,Purchased!A:R,14,0))</f>
        <v>45489</v>
      </c>
      <c r="L57" s="46">
        <f>IF(VLOOKUP(C57,Purchased!A:R,15,0)=0, " ", VLOOKUP(C57,Purchased!A:R,15,0))</f>
        <v>45489</v>
      </c>
      <c r="M57" s="46">
        <f>IF(VLOOKUP(C57,Purchased!A:R,16,0)=0, " ",VLOOKUP(C57,Purchased!A:R,16,0))</f>
        <v>45534</v>
      </c>
      <c r="N57" s="130">
        <f>IF(VLOOKUP(C57,Purchased!A:R,17,0)=0, " ", VLOOKUP(C57,Purchased!A:R,17,0))</f>
        <v>45534</v>
      </c>
      <c r="O57" s="47">
        <f t="shared" ca="1" si="10"/>
        <v>4</v>
      </c>
      <c r="P57" s="51">
        <f>VLOOKUP(C57,Purchased!A:D,3,FALSE)</f>
        <v>261.75</v>
      </c>
      <c r="Q57" s="52">
        <f t="shared" si="11"/>
        <v>1047</v>
      </c>
    </row>
    <row r="58" spans="1:17" s="2" customFormat="1" ht="12" customHeight="1" x14ac:dyDescent="0.25">
      <c r="A58" s="4">
        <v>328</v>
      </c>
      <c r="B58" s="2">
        <v>2</v>
      </c>
      <c r="C58" s="135" t="s">
        <v>898</v>
      </c>
      <c r="D58" s="325" t="str">
        <f>VLOOKUP(C58,Purchased!A:B,2,0)</f>
        <v>FLANGED SLEEVE BUSHING, 25MM ID, 26MM OD, 25MM L</v>
      </c>
      <c r="E58" s="326"/>
      <c r="F58" s="108" t="str">
        <f>IF(VLOOKUP($C58,Purchased!A:Z,11,0) = 0, " ", VLOOKUP($C58,Purchased!A:Z,11,0))</f>
        <v>IGUS</v>
      </c>
      <c r="G58" s="108" t="str">
        <f>IF(VLOOKUP($C58,Purchased!A:Z,12,0)=0, " ", VLOOKUP($C58,Purchased!A:Z,12,0))</f>
        <v>IGUS</v>
      </c>
      <c r="H58" s="327" t="str">
        <f>IF(VLOOKUP($C58,Purchased!A:Z,13,0)=0, " ", VLOOKUP($C58,Purchased!A:Z,13,0))</f>
        <v xml:space="preserve"> </v>
      </c>
      <c r="I58" s="328"/>
      <c r="J58" s="46">
        <f>IF(VLOOKUP($C58,Purchased!A:Z,14,0)=0, " ", VLOOKUP($C58,Purchased!A:Z,14,0))</f>
        <v>45489</v>
      </c>
      <c r="K58" s="46">
        <f>IF(VLOOKUP(C58,Purchased!A:R,14,0)=0, " ", VLOOKUP(C58,Purchased!A:R,14,0))</f>
        <v>45489</v>
      </c>
      <c r="L58" s="46">
        <f>IF(VLOOKUP(C58,Purchased!A:R,15,0)=0, " ", VLOOKUP(C58,Purchased!A:R,15,0))</f>
        <v>45489</v>
      </c>
      <c r="M58" s="46">
        <f>IF(VLOOKUP(C58,Purchased!A:R,16,0)=0, " ",VLOOKUP(C58,Purchased!A:R,16,0))</f>
        <v>45534</v>
      </c>
      <c r="N58" s="130">
        <f>IF(VLOOKUP(C58,Purchased!A:R,17,0)=0, " ", VLOOKUP(C58,Purchased!A:R,17,0))</f>
        <v>45534</v>
      </c>
      <c r="O58" s="47">
        <f t="shared" ca="1" si="10"/>
        <v>2</v>
      </c>
      <c r="P58" s="51">
        <f>VLOOKUP(C58,Purchased!A:D,3,FALSE)</f>
        <v>2.68</v>
      </c>
      <c r="Q58" s="52">
        <f t="shared" si="11"/>
        <v>5.36</v>
      </c>
    </row>
    <row r="59" spans="1:17" s="2" customFormat="1" ht="12" customHeight="1" x14ac:dyDescent="0.25">
      <c r="A59" s="4">
        <v>329</v>
      </c>
      <c r="B59" s="2">
        <v>1</v>
      </c>
      <c r="C59" s="135" t="s">
        <v>667</v>
      </c>
      <c r="D59" s="325" t="str">
        <f>VLOOKUP(C59,Purchased!A:B,2,0)</f>
        <v>Pushbutton, Green</v>
      </c>
      <c r="E59" s="326"/>
      <c r="F59" s="108" t="str">
        <f>IF(VLOOKUP($C59,Purchased!A:Z,11,0) = 0, " ", VLOOKUP($C59,Purchased!A:Z,11,0))</f>
        <v>NITRA</v>
      </c>
      <c r="G59" s="108" t="str">
        <f>IF(VLOOKUP($C59,Purchased!A:Z,12,0)=0, " ", VLOOKUP($C59,Purchased!A:Z,12,0))</f>
        <v>AUTO DIRECT</v>
      </c>
      <c r="H59" s="327" t="str">
        <f>IF(VLOOKUP($C59,Purchased!A:Z,13,0)=0, " ", VLOOKUP($C59,Purchased!A:Z,13,0))</f>
        <v xml:space="preserve"> </v>
      </c>
      <c r="I59" s="328"/>
      <c r="J59" s="46" t="str">
        <f>IF(VLOOKUP($C59,Purchased!A:Z,14,0)=0, " ", VLOOKUP($C59,Purchased!A:Z,14,0))</f>
        <v>N/A</v>
      </c>
      <c r="K59" s="46" t="str">
        <f>IF(VLOOKUP(C59,Purchased!A:R,14,0)=0, " ", VLOOKUP(C59,Purchased!A:R,14,0))</f>
        <v>N/A</v>
      </c>
      <c r="L59" s="46" t="str">
        <f>IF(VLOOKUP(C59,Purchased!A:R,15,0)=0, " ", VLOOKUP(C59,Purchased!A:R,15,0))</f>
        <v xml:space="preserve"> </v>
      </c>
      <c r="M59" s="46" t="str">
        <f>IF(VLOOKUP(C59,Purchased!A:R,16,0)=0, " ",VLOOKUP(C59,Purchased!A:R,16,0))</f>
        <v xml:space="preserve"> </v>
      </c>
      <c r="N59" s="130" t="str">
        <f>IF(VLOOKUP(C59,Purchased!A:R,17,0)=0, " ", VLOOKUP(C59,Purchased!A:R,17,0))</f>
        <v xml:space="preserve"> </v>
      </c>
      <c r="O59" s="47">
        <f t="shared" ca="1" si="10"/>
        <v>1</v>
      </c>
      <c r="P59" s="51">
        <f>VLOOKUP(C59,Purchased!A:D,3,FALSE)</f>
        <v>2.75</v>
      </c>
      <c r="Q59" s="52">
        <f t="shared" si="11"/>
        <v>2.75</v>
      </c>
    </row>
    <row r="60" spans="1:17" s="2" customFormat="1" ht="12" customHeight="1" x14ac:dyDescent="0.25">
      <c r="A60" s="4">
        <v>330</v>
      </c>
      <c r="B60" s="2">
        <v>1</v>
      </c>
      <c r="C60" s="135" t="s">
        <v>668</v>
      </c>
      <c r="D60" s="325" t="str">
        <f>VLOOKUP(C60,Purchased!A:B,2,0)</f>
        <v>Pneumatic Switch for pushbutton</v>
      </c>
      <c r="E60" s="326"/>
      <c r="F60" s="108" t="str">
        <f>IF(VLOOKUP($C60,Purchased!A:Z,11,0) = 0, " ", VLOOKUP($C60,Purchased!A:Z,11,0))</f>
        <v>NITRA</v>
      </c>
      <c r="G60" s="108" t="str">
        <f>IF(VLOOKUP($C60,Purchased!A:Z,12,0)=0, " ", VLOOKUP($C60,Purchased!A:Z,12,0))</f>
        <v>AUTO DIRECT</v>
      </c>
      <c r="H60" s="327" t="str">
        <f>IF(VLOOKUP($C60,Purchased!A:Z,13,0)=0, " ", VLOOKUP($C60,Purchased!A:Z,13,0))</f>
        <v xml:space="preserve"> </v>
      </c>
      <c r="I60" s="328"/>
      <c r="J60" s="46" t="str">
        <f>IF(VLOOKUP($C60,Purchased!A:Z,14,0)=0, " ", VLOOKUP($C60,Purchased!A:Z,14,0))</f>
        <v>N/A</v>
      </c>
      <c r="K60" s="46" t="str">
        <f>IF(VLOOKUP(C60,Purchased!A:R,14,0)=0, " ", VLOOKUP(C60,Purchased!A:R,14,0))</f>
        <v>N/A</v>
      </c>
      <c r="L60" s="46" t="str">
        <f>IF(VLOOKUP(C60,Purchased!A:R,15,0)=0, " ", VLOOKUP(C60,Purchased!A:R,15,0))</f>
        <v xml:space="preserve"> </v>
      </c>
      <c r="M60" s="46" t="str">
        <f>IF(VLOOKUP(C60,Purchased!A:R,16,0)=0, " ",VLOOKUP(C60,Purchased!A:R,16,0))</f>
        <v xml:space="preserve"> </v>
      </c>
      <c r="N60" s="130" t="str">
        <f>IF(VLOOKUP(C60,Purchased!A:R,17,0)=0, " ", VLOOKUP(C60,Purchased!A:R,17,0))</f>
        <v xml:space="preserve"> </v>
      </c>
      <c r="O60" s="47">
        <f t="shared" ca="1" si="10"/>
        <v>1</v>
      </c>
      <c r="P60" s="51">
        <f>VLOOKUP(C60,Purchased!A:D,3,FALSE)</f>
        <v>19</v>
      </c>
      <c r="Q60" s="52">
        <f t="shared" si="11"/>
        <v>19</v>
      </c>
    </row>
    <row r="61" spans="1:17" s="2" customFormat="1" ht="12" customHeight="1" x14ac:dyDescent="0.25">
      <c r="A61" s="4">
        <v>331</v>
      </c>
      <c r="B61" s="2">
        <v>20</v>
      </c>
      <c r="C61" s="135" t="s">
        <v>737</v>
      </c>
      <c r="D61" s="325" t="str">
        <f>VLOOKUP(C61,Purchased!A:B,2,0)</f>
        <v>Steel Oversized Washer for M6 Screw Size, 6 mm ID, 12 mm OD</v>
      </c>
      <c r="E61" s="326"/>
      <c r="F61" s="108" t="str">
        <f>IF(VLOOKUP($C61,Purchased!A:Z,11,0) = 0, " ", VLOOKUP($C61,Purchased!A:Z,11,0))</f>
        <v>MCM</v>
      </c>
      <c r="G61" s="108" t="str">
        <f>IF(VLOOKUP($C61,Purchased!A:Z,12,0)=0, " ", VLOOKUP($C61,Purchased!A:Z,12,0))</f>
        <v>MCM</v>
      </c>
      <c r="H61" s="327" t="str">
        <f>IF(VLOOKUP($C61,Purchased!A:Z,13,0)=0, " ", VLOOKUP($C61,Purchased!A:Z,13,0))</f>
        <v xml:space="preserve"> </v>
      </c>
      <c r="I61" s="328"/>
      <c r="J61" s="46">
        <f>IF(VLOOKUP($C61,Purchased!A:Z,14,0)=0, " ", VLOOKUP($C61,Purchased!A:Z,14,0))</f>
        <v>45481</v>
      </c>
      <c r="K61" s="46">
        <f>IF(VLOOKUP(C61,Purchased!A:R,14,0)=0, " ", VLOOKUP(C61,Purchased!A:R,14,0))</f>
        <v>45481</v>
      </c>
      <c r="L61" s="46">
        <f>IF(VLOOKUP(C61,Purchased!A:R,15,0)=0, " ", VLOOKUP(C61,Purchased!A:R,15,0))</f>
        <v>45481</v>
      </c>
      <c r="M61" s="46">
        <f>IF(VLOOKUP(C61,Purchased!A:R,16,0)=0, " ",VLOOKUP(C61,Purchased!A:R,16,0))</f>
        <v>45482</v>
      </c>
      <c r="N61" s="130">
        <f>IF(VLOOKUP(C61,Purchased!A:R,17,0)=0, " ", VLOOKUP(C61,Purchased!A:R,17,0))</f>
        <v>45482</v>
      </c>
      <c r="O61" s="47">
        <f t="shared" ca="1" si="10"/>
        <v>20</v>
      </c>
      <c r="P61" s="51">
        <f>VLOOKUP(C61,Purchased!A:D,3,FALSE)</f>
        <v>8</v>
      </c>
      <c r="Q61" s="52">
        <f t="shared" si="11"/>
        <v>160</v>
      </c>
    </row>
    <row r="62" spans="1:17" s="2" customFormat="1" ht="12" customHeight="1" x14ac:dyDescent="0.25">
      <c r="A62" s="4">
        <v>332</v>
      </c>
      <c r="B62" s="2">
        <v>8</v>
      </c>
      <c r="C62" s="135" t="s">
        <v>899</v>
      </c>
      <c r="D62" s="325" t="str">
        <f>VLOOKUP(C62,Purchased!A:B,2,0)</f>
        <v>18-8 Stainless Steel Dowel Pin 10 mm Diameter, 24 mm Long</v>
      </c>
      <c r="E62" s="326"/>
      <c r="F62" s="108" t="str">
        <f>IF(VLOOKUP($C62,Purchased!A:Z,11,0) = 0, " ", VLOOKUP($C62,Purchased!A:Z,11,0))</f>
        <v>MCM</v>
      </c>
      <c r="G62" s="108" t="str">
        <f>IF(VLOOKUP($C62,Purchased!A:Z,12,0)=0, " ", VLOOKUP($C62,Purchased!A:Z,12,0))</f>
        <v>MCM</v>
      </c>
      <c r="H62" s="327" t="str">
        <f>IF(VLOOKUP($C62,Purchased!A:Z,13,0)=0, " ", VLOOKUP($C62,Purchased!A:Z,13,0))</f>
        <v xml:space="preserve"> </v>
      </c>
      <c r="I62" s="328"/>
      <c r="J62" s="46">
        <f>IF(VLOOKUP($C62,Purchased!A:Z,14,0)=0, " ", VLOOKUP($C62,Purchased!A:Z,14,0))</f>
        <v>45481</v>
      </c>
      <c r="K62" s="46">
        <f>IF(VLOOKUP(C62,Purchased!A:R,14,0)=0, " ", VLOOKUP(C62,Purchased!A:R,14,0))</f>
        <v>45481</v>
      </c>
      <c r="L62" s="46">
        <f>IF(VLOOKUP(C62,Purchased!A:R,15,0)=0, " ", VLOOKUP(C62,Purchased!A:R,15,0))</f>
        <v>45481</v>
      </c>
      <c r="M62" s="46">
        <f>IF(VLOOKUP(C62,Purchased!A:R,16,0)=0, " ",VLOOKUP(C62,Purchased!A:R,16,0))</f>
        <v>45482</v>
      </c>
      <c r="N62" s="130">
        <f>IF(VLOOKUP(C62,Purchased!A:R,17,0)=0, " ", VLOOKUP(C62,Purchased!A:R,17,0))</f>
        <v>45482</v>
      </c>
      <c r="O62" s="47">
        <f t="shared" ca="1" si="10"/>
        <v>8</v>
      </c>
      <c r="P62" s="51">
        <f>VLOOKUP(C62,Purchased!A:D,3,FALSE)</f>
        <v>11.34</v>
      </c>
      <c r="Q62" s="52">
        <f t="shared" si="11"/>
        <v>90.72</v>
      </c>
    </row>
    <row r="63" spans="1:17" s="2" customFormat="1" ht="12" customHeight="1" x14ac:dyDescent="0.25">
      <c r="A63" s="4">
        <v>333</v>
      </c>
      <c r="B63" s="2">
        <v>3</v>
      </c>
      <c r="C63" s="135" t="s">
        <v>504</v>
      </c>
      <c r="D63" s="325" t="str">
        <f>VLOOKUP(C63,Purchased!A:B,2,0)</f>
        <v>20mm ID 32mm OD 7mm Thick Ball Bearing</v>
      </c>
      <c r="E63" s="326"/>
      <c r="F63" s="108" t="str">
        <f>IF(VLOOKUP($C63,Purchased!A:Z,11,0) = 0, " ", VLOOKUP($C63,Purchased!A:Z,11,0))</f>
        <v>MCM</v>
      </c>
      <c r="G63" s="108" t="str">
        <f>IF(VLOOKUP($C63,Purchased!A:Z,12,0)=0, " ", VLOOKUP($C63,Purchased!A:Z,12,0))</f>
        <v>MCM</v>
      </c>
      <c r="H63" s="327" t="str">
        <f>IF(VLOOKUP($C63,Purchased!A:Z,13,0)=0, " ", VLOOKUP($C63,Purchased!A:Z,13,0))</f>
        <v>11 Additional Quantity Added to 55697</v>
      </c>
      <c r="I63" s="328"/>
      <c r="J63" s="46">
        <f>IF(VLOOKUP($C63,Purchased!A:Z,14,0)=0, " ", VLOOKUP($C63,Purchased!A:Z,14,0))</f>
        <v>45481</v>
      </c>
      <c r="K63" s="46">
        <f>IF(VLOOKUP(C63,Purchased!A:R,14,0)=0, " ", VLOOKUP(C63,Purchased!A:R,14,0))</f>
        <v>45481</v>
      </c>
      <c r="L63" s="46">
        <f>IF(VLOOKUP(C63,Purchased!A:R,15,0)=0, " ", VLOOKUP(C63,Purchased!A:R,15,0))</f>
        <v>45481</v>
      </c>
      <c r="M63" s="46">
        <f>IF(VLOOKUP(C63,Purchased!A:R,16,0)=0, " ",VLOOKUP(C63,Purchased!A:R,16,0))</f>
        <v>45482</v>
      </c>
      <c r="N63" s="130">
        <f>IF(VLOOKUP(C63,Purchased!A:R,17,0)=0, " ", VLOOKUP(C63,Purchased!A:R,17,0))</f>
        <v>45482</v>
      </c>
      <c r="O63" s="47">
        <f t="shared" ca="1" si="10"/>
        <v>3</v>
      </c>
      <c r="P63" s="51">
        <f>VLOOKUP(C63,Purchased!A:D,3,FALSE)</f>
        <v>16.88</v>
      </c>
      <c r="Q63" s="52">
        <f t="shared" si="11"/>
        <v>50.64</v>
      </c>
    </row>
    <row r="64" spans="1:17" s="2" customFormat="1" ht="12" customHeight="1" x14ac:dyDescent="0.25">
      <c r="A64" s="4">
        <v>334</v>
      </c>
      <c r="B64" s="2">
        <v>8</v>
      </c>
      <c r="C64" s="135" t="s">
        <v>738</v>
      </c>
      <c r="D64" s="325" t="str">
        <f>VLOOKUP(C64,Purchased!A:B,2,0)</f>
        <v>Corrosion-Resistant Timing Belt Pulley</v>
      </c>
      <c r="E64" s="326"/>
      <c r="F64" s="108" t="str">
        <f>IF(VLOOKUP($C64,Purchased!A:Z,11,0) = 0, " ", VLOOKUP($C64,Purchased!A:Z,11,0))</f>
        <v>BMF</v>
      </c>
      <c r="G64" s="108" t="str">
        <f>IF(VLOOKUP($C64,Purchased!A:Z,12,0)=0, " ", VLOOKUP($C64,Purchased!A:Z,12,0))</f>
        <v>BDI</v>
      </c>
      <c r="H64" s="327" t="str">
        <f>IF(VLOOKUP($C64,Purchased!A:Z,13,0)=0, " ", VLOOKUP($C64,Purchased!A:Z,13,0))</f>
        <v>22707419 - 32XL037M6FA12</v>
      </c>
      <c r="I64" s="328"/>
      <c r="J64" s="46">
        <f>IF(VLOOKUP($C64,Purchased!A:Z,14,0)=0, " ", VLOOKUP($C64,Purchased!A:Z,14,0))</f>
        <v>45481</v>
      </c>
      <c r="K64" s="46">
        <f>IF(VLOOKUP(C64,Purchased!A:R,14,0)=0, " ", VLOOKUP(C64,Purchased!A:R,14,0))</f>
        <v>45481</v>
      </c>
      <c r="L64" s="46">
        <f>IF(VLOOKUP(C64,Purchased!A:R,15,0)=0, " ", VLOOKUP(C64,Purchased!A:R,15,0))</f>
        <v>45481</v>
      </c>
      <c r="M64" s="46">
        <f>IF(VLOOKUP(C64,Purchased!A:R,16,0)=0, " ",VLOOKUP(C64,Purchased!A:R,16,0))</f>
        <v>45495</v>
      </c>
      <c r="N64" s="130">
        <f>IF(VLOOKUP(C64,Purchased!A:R,17,0)=0, " ", VLOOKUP(C64,Purchased!A:R,17,0))</f>
        <v>45495</v>
      </c>
      <c r="O64" s="47">
        <f t="shared" ca="1" si="10"/>
        <v>8</v>
      </c>
      <c r="P64" s="51">
        <f>VLOOKUP(C64,Purchased!A:D,3,FALSE)</f>
        <v>13.15</v>
      </c>
      <c r="Q64" s="52">
        <f t="shared" si="11"/>
        <v>105.2</v>
      </c>
    </row>
    <row r="65" spans="1:17" s="2" customFormat="1" ht="12" customHeight="1" x14ac:dyDescent="0.25">
      <c r="A65" s="4">
        <v>335</v>
      </c>
      <c r="B65" s="2">
        <v>2</v>
      </c>
      <c r="C65" s="135" t="s">
        <v>736</v>
      </c>
      <c r="D65" s="325" t="str">
        <f>VLOOKUP(C65,Purchased!A:B,2,0)</f>
        <v>2-PIECE SHAFT COLLAR, 20MM ID, CHROME STEEL</v>
      </c>
      <c r="E65" s="326"/>
      <c r="F65" s="108" t="str">
        <f>IF(VLOOKUP($C65,Purchased!A:Z,11,0) = 0, " ", VLOOKUP($C65,Purchased!A:Z,11,0))</f>
        <v>BDI</v>
      </c>
      <c r="G65" s="108" t="str">
        <f>IF(VLOOKUP($C65,Purchased!A:Z,12,0)=0, " ", VLOOKUP($C65,Purchased!A:Z,12,0))</f>
        <v>BDI</v>
      </c>
      <c r="H65" s="327" t="str">
        <f>IF(VLOOKUP($C65,Purchased!A:Z,13,0)=0, " ", VLOOKUP($C65,Purchased!A:Z,13,0))</f>
        <v>Use BDI # 196686</v>
      </c>
      <c r="I65" s="328"/>
      <c r="J65" s="46">
        <f>IF(VLOOKUP($C65,Purchased!A:Z,14,0)=0, " ", VLOOKUP($C65,Purchased!A:Z,14,0))</f>
        <v>45502</v>
      </c>
      <c r="K65" s="46">
        <f>IF(VLOOKUP(C65,Purchased!A:R,14,0)=0, " ", VLOOKUP(C65,Purchased!A:R,14,0))</f>
        <v>45502</v>
      </c>
      <c r="L65" s="46">
        <f>IF(VLOOKUP(C65,Purchased!A:R,15,0)=0, " ", VLOOKUP(C65,Purchased!A:R,15,0))</f>
        <v>45503</v>
      </c>
      <c r="M65" s="46">
        <f>IF(VLOOKUP(C65,Purchased!A:R,16,0)=0, " ",VLOOKUP(C65,Purchased!A:R,16,0))</f>
        <v>45520</v>
      </c>
      <c r="N65" s="130">
        <f>IF(VLOOKUP(C65,Purchased!A:R,17,0)=0, " ", VLOOKUP(C65,Purchased!A:R,17,0))</f>
        <v>45520</v>
      </c>
      <c r="O65" s="47">
        <f t="shared" ca="1" si="10"/>
        <v>2</v>
      </c>
      <c r="P65" s="51">
        <f>VLOOKUP(C65,Purchased!A:D,3,FALSE)</f>
        <v>12.62</v>
      </c>
      <c r="Q65" s="52">
        <f t="shared" si="11"/>
        <v>25.24</v>
      </c>
    </row>
    <row r="66" spans="1:17" s="2" customFormat="1" ht="12" customHeight="1" x14ac:dyDescent="0.25">
      <c r="A66" s="4">
        <v>336</v>
      </c>
      <c r="B66" s="2">
        <v>4</v>
      </c>
      <c r="C66" s="135" t="s">
        <v>735</v>
      </c>
      <c r="D66" s="325" t="str">
        <f>VLOOKUP(C66,Purchased!A:B,2,0)</f>
        <v>2-PIECE SHAFT COLLAR, 12MM ID, CHROME STEEL</v>
      </c>
      <c r="E66" s="326"/>
      <c r="F66" s="108" t="str">
        <f>IF(VLOOKUP($C66,Purchased!A:Z,11,0) = 0, " ", VLOOKUP($C66,Purchased!A:Z,11,0))</f>
        <v>BDI</v>
      </c>
      <c r="G66" s="108" t="str">
        <f>IF(VLOOKUP($C66,Purchased!A:Z,12,0)=0, " ", VLOOKUP($C66,Purchased!A:Z,12,0))</f>
        <v>BDI</v>
      </c>
      <c r="H66" s="327" t="str">
        <f>IF(VLOOKUP($C66,Purchased!A:Z,13,0)=0, " ", VLOOKUP($C66,Purchased!A:Z,13,0))</f>
        <v>Use BDI # 196670</v>
      </c>
      <c r="I66" s="328"/>
      <c r="J66" s="46">
        <f>IF(VLOOKUP($C66,Purchased!A:Z,14,0)=0, " ", VLOOKUP($C66,Purchased!A:Z,14,0))</f>
        <v>45502</v>
      </c>
      <c r="K66" s="46">
        <f>IF(VLOOKUP(C66,Purchased!A:R,14,0)=0, " ", VLOOKUP(C66,Purchased!A:R,14,0))</f>
        <v>45502</v>
      </c>
      <c r="L66" s="46">
        <f>IF(VLOOKUP(C66,Purchased!A:R,15,0)=0, " ", VLOOKUP(C66,Purchased!A:R,15,0))</f>
        <v>45503</v>
      </c>
      <c r="M66" s="46">
        <f>IF(VLOOKUP(C66,Purchased!A:R,16,0)=0, " ",VLOOKUP(C66,Purchased!A:R,16,0))</f>
        <v>45520</v>
      </c>
      <c r="N66" s="130">
        <f>IF(VLOOKUP(C66,Purchased!A:R,17,0)=0, " ", VLOOKUP(C66,Purchased!A:R,17,0))</f>
        <v>45520</v>
      </c>
      <c r="O66" s="47">
        <f t="shared" ca="1" si="10"/>
        <v>4</v>
      </c>
      <c r="P66" s="51">
        <f>VLOOKUP(C66,Purchased!A:D,3,FALSE)</f>
        <v>10.76</v>
      </c>
      <c r="Q66" s="52">
        <f t="shared" si="11"/>
        <v>43.04</v>
      </c>
    </row>
    <row r="67" spans="1:17" s="2" customFormat="1" ht="12" customHeight="1" x14ac:dyDescent="0.25">
      <c r="A67" s="4">
        <v>337</v>
      </c>
      <c r="B67" s="2">
        <v>1</v>
      </c>
      <c r="C67" s="135" t="s">
        <v>649</v>
      </c>
      <c r="D67" s="325" t="str">
        <f>VLOOKUP(C67,Purchased!A:B,2,0)</f>
        <v>Two-Piece Shaft Coupling, 6061 Aluminum, for 20 mm x 20 mm Diameter Shaft</v>
      </c>
      <c r="E67" s="326"/>
      <c r="F67" s="108" t="str">
        <f>IF(VLOOKUP($C67,Purchased!A:Z,11,0) = 0, " ", VLOOKUP($C67,Purchased!A:Z,11,0))</f>
        <v>MCM</v>
      </c>
      <c r="G67" s="108" t="str">
        <f>IF(VLOOKUP($C67,Purchased!A:Z,12,0)=0, " ", VLOOKUP($C67,Purchased!A:Z,12,0))</f>
        <v>MCM</v>
      </c>
      <c r="H67" s="327" t="str">
        <f>IF(VLOOKUP($C67,Purchased!A:Z,13,0)=0, " ", VLOOKUP($C67,Purchased!A:Z,13,0))</f>
        <v>2 Additional Quantity Added to 55697</v>
      </c>
      <c r="I67" s="328"/>
      <c r="J67" s="46">
        <f>IF(VLOOKUP($C67,Purchased!A:Z,14,0)=0, " ", VLOOKUP($C67,Purchased!A:Z,14,0))</f>
        <v>45481</v>
      </c>
      <c r="K67" s="46">
        <f>IF(VLOOKUP(C67,Purchased!A:R,14,0)=0, " ", VLOOKUP(C67,Purchased!A:R,14,0))</f>
        <v>45481</v>
      </c>
      <c r="L67" s="46">
        <f>IF(VLOOKUP(C67,Purchased!A:R,15,0)=0, " ", VLOOKUP(C67,Purchased!A:R,15,0))</f>
        <v>45481</v>
      </c>
      <c r="M67" s="46">
        <f>IF(VLOOKUP(C67,Purchased!A:R,16,0)=0, " ",VLOOKUP(C67,Purchased!A:R,16,0))</f>
        <v>45482</v>
      </c>
      <c r="N67" s="130">
        <f>IF(VLOOKUP(C67,Purchased!A:R,17,0)=0, " ", VLOOKUP(C67,Purchased!A:R,17,0))</f>
        <v>45482</v>
      </c>
      <c r="O67" s="47">
        <f t="shared" ca="1" si="10"/>
        <v>1</v>
      </c>
      <c r="P67" s="51">
        <f>VLOOKUP(C67,Purchased!A:D,3,FALSE)</f>
        <v>17.79</v>
      </c>
      <c r="Q67" s="52">
        <f t="shared" si="11"/>
        <v>17.79</v>
      </c>
    </row>
    <row r="68" spans="1:17" s="2" customFormat="1" ht="12" customHeight="1" x14ac:dyDescent="0.25">
      <c r="A68" s="4">
        <v>338</v>
      </c>
      <c r="B68" s="2">
        <v>1</v>
      </c>
      <c r="C68" s="135" t="s">
        <v>900</v>
      </c>
      <c r="D68" s="325" t="str">
        <f>VLOOKUP(C68,Purchased!A:B,2,0)</f>
        <v>240XL037 TIMING BELT</v>
      </c>
      <c r="E68" s="326"/>
      <c r="F68" s="108" t="str">
        <f>IF(VLOOKUP($C68,Purchased!A:Z,11,0) = 0, " ", VLOOKUP($C68,Purchased!A:Z,11,0))</f>
        <v>BDI</v>
      </c>
      <c r="G68" s="108" t="str">
        <f>IF(VLOOKUP($C68,Purchased!A:Z,12,0)=0, " ", VLOOKUP($C68,Purchased!A:Z,12,0))</f>
        <v>BDI</v>
      </c>
      <c r="H68" s="327" t="str">
        <f>IF(VLOOKUP($C68,Purchased!A:Z,13,0)=0, " ", VLOOKUP($C68,Purchased!A:Z,13,0))</f>
        <v>Use BDI # 1100730</v>
      </c>
      <c r="I68" s="328"/>
      <c r="J68" s="46">
        <f>IF(VLOOKUP($C68,Purchased!A:Z,14,0)=0, " ", VLOOKUP($C68,Purchased!A:Z,14,0))</f>
        <v>45502</v>
      </c>
      <c r="K68" s="46">
        <f>IF(VLOOKUP(C68,Purchased!A:R,14,0)=0, " ", VLOOKUP(C68,Purchased!A:R,14,0))</f>
        <v>45502</v>
      </c>
      <c r="L68" s="46">
        <f>IF(VLOOKUP(C68,Purchased!A:R,15,0)=0, " ", VLOOKUP(C68,Purchased!A:R,15,0))</f>
        <v>45503</v>
      </c>
      <c r="M68" s="46">
        <f>IF(VLOOKUP(C68,Purchased!A:R,16,0)=0, " ",VLOOKUP(C68,Purchased!A:R,16,0))</f>
        <v>45520</v>
      </c>
      <c r="N68" s="130">
        <f>IF(VLOOKUP(C68,Purchased!A:R,17,0)=0, " ", VLOOKUP(C68,Purchased!A:R,17,0))</f>
        <v>45520</v>
      </c>
      <c r="O68" s="47">
        <f t="shared" ca="1" si="10"/>
        <v>1</v>
      </c>
      <c r="P68" s="51">
        <f>VLOOKUP(C68,Purchased!A:D,3,FALSE)</f>
        <v>7.35</v>
      </c>
      <c r="Q68" s="52">
        <f t="shared" si="11"/>
        <v>7.35</v>
      </c>
    </row>
    <row r="69" spans="1:17" s="2" customFormat="1" ht="12" customHeight="1" x14ac:dyDescent="0.25">
      <c r="A69" s="4">
        <v>339</v>
      </c>
      <c r="B69" s="2">
        <v>1</v>
      </c>
      <c r="C69" s="135" t="s">
        <v>901</v>
      </c>
      <c r="D69" s="325" t="str">
        <f>VLOOKUP(C69,Purchased!A:B,2,0)</f>
        <v>250XL037 TIMING BELT</v>
      </c>
      <c r="E69" s="326"/>
      <c r="F69" s="108" t="str">
        <f>IF(VLOOKUP($C69,Purchased!A:Z,11,0) = 0, " ", VLOOKUP($C69,Purchased!A:Z,11,0))</f>
        <v>BDI</v>
      </c>
      <c r="G69" s="108" t="str">
        <f>IF(VLOOKUP($C69,Purchased!A:Z,12,0)=0, " ", VLOOKUP($C69,Purchased!A:Z,12,0))</f>
        <v>BDI</v>
      </c>
      <c r="H69" s="327" t="str">
        <f>IF(VLOOKUP($C69,Purchased!A:Z,13,0)=0, " ", VLOOKUP($C69,Purchased!A:Z,13,0))</f>
        <v>Use BDI # 1101292</v>
      </c>
      <c r="I69" s="328"/>
      <c r="J69" s="46">
        <f>IF(VLOOKUP($C69,Purchased!A:Z,14,0)=0, " ", VLOOKUP($C69,Purchased!A:Z,14,0))</f>
        <v>45502</v>
      </c>
      <c r="K69" s="46">
        <f>IF(VLOOKUP(C69,Purchased!A:R,14,0)=0, " ", VLOOKUP(C69,Purchased!A:R,14,0))</f>
        <v>45502</v>
      </c>
      <c r="L69" s="46">
        <f>IF(VLOOKUP(C69,Purchased!A:R,15,0)=0, " ", VLOOKUP(C69,Purchased!A:R,15,0))</f>
        <v>45503</v>
      </c>
      <c r="M69" s="46">
        <f>IF(VLOOKUP(C69,Purchased!A:R,16,0)=0, " ",VLOOKUP(C69,Purchased!A:R,16,0))</f>
        <v>45520</v>
      </c>
      <c r="N69" s="130">
        <f>IF(VLOOKUP(C69,Purchased!A:R,17,0)=0, " ", VLOOKUP(C69,Purchased!A:R,17,0))</f>
        <v>45520</v>
      </c>
      <c r="O69" s="47">
        <f t="shared" ca="1" si="10"/>
        <v>1</v>
      </c>
      <c r="P69" s="51">
        <f>VLOOKUP(C69,Purchased!A:D,3,FALSE)</f>
        <v>7.49</v>
      </c>
      <c r="Q69" s="52">
        <f t="shared" si="11"/>
        <v>7.49</v>
      </c>
    </row>
    <row r="70" spans="1:17" s="2" customFormat="1" ht="12" customHeight="1" x14ac:dyDescent="0.25">
      <c r="A70" s="4">
        <v>340</v>
      </c>
      <c r="B70" s="2">
        <v>1</v>
      </c>
      <c r="C70" s="135" t="s">
        <v>902</v>
      </c>
      <c r="D70" s="325" t="str">
        <f>VLOOKUP(C70,Purchased!A:B,2,0)</f>
        <v>570XL037 TIMING BELT</v>
      </c>
      <c r="E70" s="326"/>
      <c r="F70" s="108" t="str">
        <f>IF(VLOOKUP($C70,Purchased!A:Z,11,0) = 0, " ", VLOOKUP($C70,Purchased!A:Z,11,0))</f>
        <v>BDI</v>
      </c>
      <c r="G70" s="108" t="str">
        <f>IF(VLOOKUP($C70,Purchased!A:Z,12,0)=0, " ", VLOOKUP($C70,Purchased!A:Z,12,0))</f>
        <v>BDI</v>
      </c>
      <c r="H70" s="327" t="str">
        <f>IF(VLOOKUP($C70,Purchased!A:Z,13,0)=0, " ", VLOOKUP($C70,Purchased!A:Z,13,0))</f>
        <v>Use BDI # 1109842</v>
      </c>
      <c r="I70" s="328"/>
      <c r="J70" s="46">
        <f>IF(VLOOKUP($C70,Purchased!A:Z,14,0)=0, " ", VLOOKUP($C70,Purchased!A:Z,14,0))</f>
        <v>45502</v>
      </c>
      <c r="K70" s="46">
        <f>IF(VLOOKUP(C70,Purchased!A:R,14,0)=0, " ", VLOOKUP(C70,Purchased!A:R,14,0))</f>
        <v>45502</v>
      </c>
      <c r="L70" s="46">
        <f>IF(VLOOKUP(C70,Purchased!A:R,15,0)=0, " ", VLOOKUP(C70,Purchased!A:R,15,0))</f>
        <v>45503</v>
      </c>
      <c r="M70" s="46">
        <f>IF(VLOOKUP(C70,Purchased!A:R,16,0)=0, " ",VLOOKUP(C70,Purchased!A:R,16,0))</f>
        <v>45520</v>
      </c>
      <c r="N70" s="130">
        <f>IF(VLOOKUP(C70,Purchased!A:R,17,0)=0, " ", VLOOKUP(C70,Purchased!A:R,17,0))</f>
        <v>45520</v>
      </c>
      <c r="O70" s="47">
        <f t="shared" ca="1" si="10"/>
        <v>1</v>
      </c>
      <c r="P70" s="51">
        <f>VLOOKUP(C70,Purchased!A:D,3,FALSE)</f>
        <v>13.03</v>
      </c>
      <c r="Q70" s="52">
        <f t="shared" si="11"/>
        <v>13.03</v>
      </c>
    </row>
    <row r="71" spans="1:17" s="2" customFormat="1" ht="12" customHeight="1" x14ac:dyDescent="0.25">
      <c r="A71" s="4">
        <v>341</v>
      </c>
      <c r="B71" s="2">
        <v>1</v>
      </c>
      <c r="C71" s="135" t="s">
        <v>903</v>
      </c>
      <c r="D71" s="325" t="str">
        <f>VLOOKUP(C71,Purchased!A:B,2,0)</f>
        <v>500XL037 TIMING BELT</v>
      </c>
      <c r="E71" s="326"/>
      <c r="F71" s="108" t="str">
        <f>IF(VLOOKUP($C71,Purchased!A:Z,11,0) = 0, " ", VLOOKUP($C71,Purchased!A:Z,11,0))</f>
        <v>BDI</v>
      </c>
      <c r="G71" s="108" t="str">
        <f>IF(VLOOKUP($C71,Purchased!A:Z,12,0)=0, " ", VLOOKUP($C71,Purchased!A:Z,12,0))</f>
        <v>BDI</v>
      </c>
      <c r="H71" s="327" t="str">
        <f>IF(VLOOKUP($C71,Purchased!A:Z,13,0)=0, " ", VLOOKUP($C71,Purchased!A:Z,13,0))</f>
        <v>Use BDI # 1109338</v>
      </c>
      <c r="I71" s="328"/>
      <c r="J71" s="46">
        <f>IF(VLOOKUP($C71,Purchased!A:Z,14,0)=0, " ", VLOOKUP($C71,Purchased!A:Z,14,0))</f>
        <v>45502</v>
      </c>
      <c r="K71" s="46">
        <f>IF(VLOOKUP(C71,Purchased!A:R,14,0)=0, " ", VLOOKUP(C71,Purchased!A:R,14,0))</f>
        <v>45502</v>
      </c>
      <c r="L71" s="46">
        <f>IF(VLOOKUP(C71,Purchased!A:R,15,0)=0, " ", VLOOKUP(C71,Purchased!A:R,15,0))</f>
        <v>45503</v>
      </c>
      <c r="M71" s="46">
        <f>IF(VLOOKUP(C71,Purchased!A:R,16,0)=0, " ",VLOOKUP(C71,Purchased!A:R,16,0))</f>
        <v>45520</v>
      </c>
      <c r="N71" s="130">
        <f>IF(VLOOKUP(C71,Purchased!A:R,17,0)=0, " ", VLOOKUP(C71,Purchased!A:R,17,0))</f>
        <v>45520</v>
      </c>
      <c r="O71" s="47">
        <f t="shared" ca="1" si="10"/>
        <v>1</v>
      </c>
      <c r="P71" s="51">
        <f>VLOOKUP(C71,Purchased!A:D,3,FALSE)</f>
        <v>11.41</v>
      </c>
      <c r="Q71" s="52">
        <f t="shared" si="11"/>
        <v>11.41</v>
      </c>
    </row>
    <row r="72" spans="1:17" s="2" customFormat="1" ht="12" customHeight="1" x14ac:dyDescent="0.25">
      <c r="A72" s="4">
        <v>342</v>
      </c>
      <c r="B72" s="2">
        <v>12</v>
      </c>
      <c r="C72" s="135" t="s">
        <v>745</v>
      </c>
      <c r="D72" s="325" t="str">
        <f>VLOOKUP(C72,Purchased!A:B,2,0)</f>
        <v>General Purpose Zinc-Plated Steel Washer for M5 Screw Size, 5.300 mm ID, 
9.000 mm OD</v>
      </c>
      <c r="E72" s="326"/>
      <c r="F72" s="108" t="str">
        <f>IF(VLOOKUP($C72,Purchased!A:Z,11,0) = 0, " ", VLOOKUP($C72,Purchased!A:Z,11,0))</f>
        <v>MCM</v>
      </c>
      <c r="G72" s="108" t="str">
        <f>IF(VLOOKUP($C72,Purchased!A:Z,12,0)=0, " ", VLOOKUP($C72,Purchased!A:Z,12,0))</f>
        <v>MCM</v>
      </c>
      <c r="H72" s="327" t="str">
        <f>IF(VLOOKUP($C72,Purchased!A:Z,13,0)=0, " ", VLOOKUP($C72,Purchased!A:Z,13,0))</f>
        <v xml:space="preserve"> </v>
      </c>
      <c r="I72" s="328"/>
      <c r="J72" s="46">
        <f>IF(VLOOKUP($C72,Purchased!A:Z,14,0)=0, " ", VLOOKUP($C72,Purchased!A:Z,14,0))</f>
        <v>45482</v>
      </c>
      <c r="K72" s="46">
        <f>IF(VLOOKUP(C72,Purchased!A:R,14,0)=0, " ", VLOOKUP(C72,Purchased!A:R,14,0))</f>
        <v>45482</v>
      </c>
      <c r="L72" s="46">
        <f>IF(VLOOKUP(C72,Purchased!A:R,15,0)=0, " ", VLOOKUP(C72,Purchased!A:R,15,0))</f>
        <v>45482</v>
      </c>
      <c r="M72" s="46">
        <f>IF(VLOOKUP(C72,Purchased!A:R,16,0)=0, " ",VLOOKUP(C72,Purchased!A:R,16,0))</f>
        <v>45483</v>
      </c>
      <c r="N72" s="130">
        <f>IF(VLOOKUP(C72,Purchased!A:R,17,0)=0, " ", VLOOKUP(C72,Purchased!A:R,17,0))</f>
        <v>45483</v>
      </c>
      <c r="O72" s="47">
        <f ca="1">B72*$L$2</f>
        <v>12</v>
      </c>
      <c r="P72" s="51">
        <f>VLOOKUP(C72,Purchased!A:D,3,FALSE)</f>
        <v>4</v>
      </c>
      <c r="Q72" s="52">
        <f>B72*P72</f>
        <v>48</v>
      </c>
    </row>
    <row r="73" spans="1:17" s="2" customFormat="1" ht="12" customHeight="1" x14ac:dyDescent="0.25">
      <c r="A73" s="4">
        <v>343</v>
      </c>
      <c r="B73" s="2">
        <v>8</v>
      </c>
      <c r="C73" s="135" t="s">
        <v>904</v>
      </c>
      <c r="D73" s="325" t="str">
        <f>VLOOKUP(C73,Purchased!A:B,2,0)</f>
        <v>Female Threaded Hex Standoff, 12L14 Steel, 13 mm Hex, 52 mm Long, M6 x 1 mm Thread</v>
      </c>
      <c r="E73" s="326"/>
      <c r="F73" s="108" t="str">
        <f>IF(VLOOKUP($C73,Purchased!A:Z,11,0) = 0, " ", VLOOKUP($C73,Purchased!A:Z,11,0))</f>
        <v>MCM</v>
      </c>
      <c r="G73" s="108" t="str">
        <f>IF(VLOOKUP($C73,Purchased!A:Z,12,0)=0, " ", VLOOKUP($C73,Purchased!A:Z,12,0))</f>
        <v>MCM</v>
      </c>
      <c r="H73" s="327" t="str">
        <f>IF(VLOOKUP($C73,Purchased!A:Z,13,0)=0, " ", VLOOKUP($C73,Purchased!A:Z,13,0))</f>
        <v xml:space="preserve"> </v>
      </c>
      <c r="I73" s="328"/>
      <c r="J73" s="46">
        <f>IF(VLOOKUP($C73,Purchased!A:Z,14,0)=0, " ", VLOOKUP($C73,Purchased!A:Z,14,0))</f>
        <v>45526</v>
      </c>
      <c r="K73" s="46">
        <f>IF(VLOOKUP(C73,Purchased!A:R,14,0)=0, " ", VLOOKUP(C73,Purchased!A:R,14,0))</f>
        <v>45526</v>
      </c>
      <c r="L73" s="46">
        <f>IF(VLOOKUP(C73,Purchased!A:R,15,0)=0, " ", VLOOKUP(C73,Purchased!A:R,15,0))</f>
        <v>45526</v>
      </c>
      <c r="M73" s="46" t="str">
        <f>IF(VLOOKUP(C73,Purchased!A:R,16,0)=0, " ",VLOOKUP(C73,Purchased!A:R,16,0))</f>
        <v xml:space="preserve"> </v>
      </c>
      <c r="N73" s="130" t="str">
        <f>IF(VLOOKUP(C73,Purchased!A:R,17,0)=0, " ", VLOOKUP(C73,Purchased!A:R,17,0))</f>
        <v xml:space="preserve"> </v>
      </c>
      <c r="O73" s="47">
        <f ca="1">B73*$L$2</f>
        <v>8</v>
      </c>
      <c r="P73" s="51">
        <f>VLOOKUP(C73,Purchased!A:D,3,FALSE)</f>
        <v>5.98</v>
      </c>
      <c r="Q73" s="52">
        <f>B73*P73</f>
        <v>47.84</v>
      </c>
    </row>
    <row r="74" spans="1:17" s="2" customFormat="1" ht="12" customHeight="1" x14ac:dyDescent="0.25">
      <c r="A74" s="4">
        <v>344</v>
      </c>
      <c r="B74" s="2">
        <v>4</v>
      </c>
      <c r="C74" s="135">
        <v>3842535466</v>
      </c>
      <c r="D74" s="325" t="str">
        <f>VLOOKUP(C74,Purchased!A:B,2,0)</f>
        <v>BRX GOTO QUICK CONNECTOR N10 90°</v>
      </c>
      <c r="E74" s="326"/>
      <c r="F74" s="108" t="str">
        <f>IF(VLOOKUP($C74,Purchased!A:Z,11,0) = 0, " ", VLOOKUP($C74,Purchased!A:Z,11,0))</f>
        <v>T-SLOTS</v>
      </c>
      <c r="G74" s="108" t="str">
        <f>IF(VLOOKUP($C74,Purchased!A:Z,12,0)=0, " ", VLOOKUP($C74,Purchased!A:Z,12,0))</f>
        <v>Process Tech</v>
      </c>
      <c r="H74" s="327" t="str">
        <f>IF(VLOOKUP($C74,Purchased!A:Z,13,0)=0, " ", VLOOKUP($C74,Purchased!A:Z,13,0))</f>
        <v>Ordered 300 8/29/24 JP</v>
      </c>
      <c r="I74" s="328"/>
      <c r="J74" s="46" t="str">
        <f>IF(VLOOKUP($C74,Purchased!A:Z,14,0)=0, " ", VLOOKUP($C74,Purchased!A:Z,14,0))</f>
        <v>N/A</v>
      </c>
      <c r="K74" s="46" t="str">
        <f>IF(VLOOKUP(C74,Purchased!A:R,14,0)=0, " ", VLOOKUP(C74,Purchased!A:R,14,0))</f>
        <v>N/A</v>
      </c>
      <c r="L74" s="46">
        <f>IF(VLOOKUP(C74,Purchased!A:R,15,0)=0, " ", VLOOKUP(C74,Purchased!A:R,15,0))</f>
        <v>45533</v>
      </c>
      <c r="M74" s="46">
        <f>IF(VLOOKUP(C74,Purchased!A:R,16,0)=0, " ",VLOOKUP(C74,Purchased!A:R,16,0))</f>
        <v>45540</v>
      </c>
      <c r="N74" s="130" t="str">
        <f>IF(VLOOKUP(C74,Purchased!A:R,17,0)=0, " ", VLOOKUP(C74,Purchased!A:R,17,0))</f>
        <v xml:space="preserve"> </v>
      </c>
      <c r="O74" s="47">
        <f ca="1">B74*$L$2</f>
        <v>4</v>
      </c>
      <c r="P74" s="51">
        <f>VLOOKUP(C74,Purchased!A:D,3,FALSE)</f>
        <v>4.17</v>
      </c>
      <c r="Q74" s="52">
        <f>B74*P74</f>
        <v>16.68</v>
      </c>
    </row>
    <row r="75" spans="1:17" s="2" customFormat="1" ht="12" customHeight="1" x14ac:dyDescent="0.25">
      <c r="A75" s="25"/>
      <c r="B75" s="26"/>
      <c r="C75" s="26"/>
      <c r="D75" s="332"/>
      <c r="E75" s="333"/>
      <c r="F75" s="26"/>
      <c r="G75" s="26"/>
      <c r="H75" s="322"/>
      <c r="I75" s="323"/>
      <c r="J75" s="27"/>
      <c r="K75" s="27"/>
      <c r="L75" s="27"/>
      <c r="M75" s="28"/>
      <c r="N75" s="29"/>
      <c r="O75" s="29"/>
      <c r="P75" s="148"/>
      <c r="Q75" s="149"/>
    </row>
    <row r="76" spans="1:17" s="2" customFormat="1" ht="12" customHeight="1" x14ac:dyDescent="0.25">
      <c r="A76" s="4">
        <v>501</v>
      </c>
      <c r="B76" s="2">
        <v>4</v>
      </c>
      <c r="C76" s="122" t="s">
        <v>198</v>
      </c>
      <c r="D76" s="325"/>
      <c r="E76" s="326"/>
      <c r="F76" s="108">
        <f>VLOOKUP(C76,Bolts!A:L,5,0)</f>
        <v>0</v>
      </c>
      <c r="G76" s="108">
        <f>VLOOKUP(C76,Bolts!A:L,6,0)</f>
        <v>0</v>
      </c>
      <c r="H76" s="108">
        <f>VLOOKUP(C76,Bolts!A:L,7,0)</f>
        <v>0</v>
      </c>
      <c r="I76" s="109"/>
      <c r="J76" s="46">
        <f>VLOOKUP(C76,Bolts!A:L,8,0)</f>
        <v>0</v>
      </c>
      <c r="K76" s="46">
        <f>VLOOKUP(C76,Bolts!A:L,9,0)</f>
        <v>0</v>
      </c>
      <c r="L76" s="46">
        <f>VLOOKUP(C76,Bolts!A:L,10,0)</f>
        <v>0</v>
      </c>
      <c r="M76" s="46">
        <f>VLOOKUP(C76,Bolts!A:L,11,0)</f>
        <v>0</v>
      </c>
      <c r="N76" s="130">
        <f>VLOOKUP(C76,Bolts!A:L,12,0)</f>
        <v>0</v>
      </c>
      <c r="O76" s="47">
        <f t="shared" ref="O76:O85" ca="1" si="12">B76*$L$2</f>
        <v>4</v>
      </c>
      <c r="P76" s="51">
        <f>VLOOKUP(C76,Bolts!A:B,2,FALSE)</f>
        <v>0</v>
      </c>
      <c r="Q76" s="52">
        <f t="shared" ref="Q76:Q85" si="13">B76*P76</f>
        <v>0</v>
      </c>
    </row>
    <row r="77" spans="1:17" s="2" customFormat="1" ht="12" customHeight="1" x14ac:dyDescent="0.25">
      <c r="A77" s="4">
        <v>502</v>
      </c>
      <c r="B77" s="2">
        <v>24</v>
      </c>
      <c r="C77" s="122" t="s">
        <v>349</v>
      </c>
      <c r="D77" s="325"/>
      <c r="E77" s="326"/>
      <c r="F77" s="108">
        <f>VLOOKUP(C77,Bolts!A:L,5,0)</f>
        <v>0</v>
      </c>
      <c r="G77" s="108">
        <f>VLOOKUP(C77,Bolts!A:L,6,0)</f>
        <v>0</v>
      </c>
      <c r="H77" s="108">
        <f>VLOOKUP(C77,Bolts!A:L,7,0)</f>
        <v>0</v>
      </c>
      <c r="I77" s="109"/>
      <c r="J77" s="46">
        <f>VLOOKUP(C77,Bolts!A:L,8,0)</f>
        <v>0</v>
      </c>
      <c r="K77" s="46">
        <f>VLOOKUP(C77,Bolts!A:L,9,0)</f>
        <v>0</v>
      </c>
      <c r="L77" s="46">
        <f>VLOOKUP(C77,Bolts!A:L,10,0)</f>
        <v>0</v>
      </c>
      <c r="M77" s="46">
        <f>VLOOKUP(C77,Bolts!A:L,11,0)</f>
        <v>0</v>
      </c>
      <c r="N77" s="130">
        <f>VLOOKUP(C77,Bolts!A:L,12,0)</f>
        <v>0</v>
      </c>
      <c r="O77" s="47">
        <f t="shared" ca="1" si="12"/>
        <v>24</v>
      </c>
      <c r="P77" s="51">
        <f>VLOOKUP(C77,Bolts!A:B,2,FALSE)</f>
        <v>0</v>
      </c>
      <c r="Q77" s="52">
        <f t="shared" si="13"/>
        <v>0</v>
      </c>
    </row>
    <row r="78" spans="1:17" s="2" customFormat="1" ht="12" customHeight="1" x14ac:dyDescent="0.25">
      <c r="A78" s="4">
        <v>503</v>
      </c>
      <c r="B78" s="2">
        <v>10</v>
      </c>
      <c r="C78" s="122" t="s">
        <v>107</v>
      </c>
      <c r="D78" s="325"/>
      <c r="E78" s="326"/>
      <c r="F78" s="108">
        <f>VLOOKUP(C78,Bolts!A:L,5,0)</f>
        <v>0</v>
      </c>
      <c r="G78" s="108">
        <f>VLOOKUP(C78,Bolts!A:L,6,0)</f>
        <v>0</v>
      </c>
      <c r="H78" s="108">
        <f>VLOOKUP(C78,Bolts!A:L,7,0)</f>
        <v>0</v>
      </c>
      <c r="I78" s="109"/>
      <c r="J78" s="46">
        <f>VLOOKUP(C78,Bolts!A:L,8,0)</f>
        <v>0</v>
      </c>
      <c r="K78" s="46">
        <f>VLOOKUP(C78,Bolts!A:L,9,0)</f>
        <v>0</v>
      </c>
      <c r="L78" s="46">
        <f>VLOOKUP(C78,Bolts!A:L,10,0)</f>
        <v>0</v>
      </c>
      <c r="M78" s="46">
        <f>VLOOKUP(C78,Bolts!A:L,11,0)</f>
        <v>0</v>
      </c>
      <c r="N78" s="130">
        <f>VLOOKUP(C78,Bolts!A:L,12,0)</f>
        <v>0</v>
      </c>
      <c r="O78" s="47">
        <f t="shared" ca="1" si="12"/>
        <v>10</v>
      </c>
      <c r="P78" s="51">
        <f>VLOOKUP(C78,Bolts!A:B,2,FALSE)</f>
        <v>0</v>
      </c>
      <c r="Q78" s="52">
        <f t="shared" si="13"/>
        <v>0</v>
      </c>
    </row>
    <row r="79" spans="1:17" s="2" customFormat="1" ht="12" customHeight="1" x14ac:dyDescent="0.25">
      <c r="A79" s="4">
        <v>504</v>
      </c>
      <c r="B79" s="2">
        <v>28</v>
      </c>
      <c r="C79" s="122" t="s">
        <v>95</v>
      </c>
      <c r="D79" s="325"/>
      <c r="E79" s="326"/>
      <c r="F79" s="108">
        <f>VLOOKUP(C79,Bolts!A:L,5,0)</f>
        <v>0</v>
      </c>
      <c r="G79" s="108">
        <f>VLOOKUP(C79,Bolts!A:L,6,0)</f>
        <v>0</v>
      </c>
      <c r="H79" s="108">
        <f>VLOOKUP(C79,Bolts!A:L,7,0)</f>
        <v>0</v>
      </c>
      <c r="I79" s="109"/>
      <c r="J79" s="46">
        <f>VLOOKUP(C79,Bolts!A:L,8,0)</f>
        <v>0</v>
      </c>
      <c r="K79" s="46">
        <f>VLOOKUP(C79,Bolts!A:L,9,0)</f>
        <v>0</v>
      </c>
      <c r="L79" s="46">
        <f>VLOOKUP(C79,Bolts!A:L,10,0)</f>
        <v>0</v>
      </c>
      <c r="M79" s="46">
        <f>VLOOKUP(C79,Bolts!A:L,11,0)</f>
        <v>0</v>
      </c>
      <c r="N79" s="130">
        <f>VLOOKUP(C79,Bolts!A:L,12,0)</f>
        <v>0</v>
      </c>
      <c r="O79" s="47">
        <f t="shared" ca="1" si="12"/>
        <v>28</v>
      </c>
      <c r="P79" s="51">
        <f>VLOOKUP(C79,Bolts!A:B,2,FALSE)</f>
        <v>0</v>
      </c>
      <c r="Q79" s="52">
        <f t="shared" si="13"/>
        <v>0</v>
      </c>
    </row>
    <row r="80" spans="1:17" s="2" customFormat="1" ht="12" customHeight="1" x14ac:dyDescent="0.25">
      <c r="A80" s="4">
        <v>505</v>
      </c>
      <c r="B80" s="2">
        <v>8</v>
      </c>
      <c r="C80" s="122" t="s">
        <v>389</v>
      </c>
      <c r="D80" s="325"/>
      <c r="E80" s="326"/>
      <c r="F80" s="108">
        <f>VLOOKUP(C80,Bolts!A:L,5,0)</f>
        <v>0</v>
      </c>
      <c r="G80" s="108">
        <f>VLOOKUP(C80,Bolts!A:L,6,0)</f>
        <v>0</v>
      </c>
      <c r="H80" s="108">
        <f>VLOOKUP(C80,Bolts!A:L,7,0)</f>
        <v>0</v>
      </c>
      <c r="I80" s="109"/>
      <c r="J80" s="46">
        <f>VLOOKUP(C80,Bolts!A:L,8,0)</f>
        <v>0</v>
      </c>
      <c r="K80" s="46">
        <f>VLOOKUP(C80,Bolts!A:L,9,0)</f>
        <v>0</v>
      </c>
      <c r="L80" s="46">
        <f>VLOOKUP(C80,Bolts!A:L,10,0)</f>
        <v>0</v>
      </c>
      <c r="M80" s="46">
        <f>VLOOKUP(C80,Bolts!A:L,11,0)</f>
        <v>0</v>
      </c>
      <c r="N80" s="130">
        <f>VLOOKUP(C80,Bolts!A:L,12,0)</f>
        <v>0</v>
      </c>
      <c r="O80" s="47">
        <f t="shared" ca="1" si="12"/>
        <v>8</v>
      </c>
      <c r="P80" s="51">
        <f>VLOOKUP(C80,Bolts!A:B,2,FALSE)</f>
        <v>0</v>
      </c>
      <c r="Q80" s="52">
        <f t="shared" si="13"/>
        <v>0</v>
      </c>
    </row>
    <row r="81" spans="1:17" s="2" customFormat="1" ht="12" customHeight="1" x14ac:dyDescent="0.25">
      <c r="A81" s="4">
        <v>506</v>
      </c>
      <c r="B81" s="2">
        <v>8</v>
      </c>
      <c r="C81" s="122" t="s">
        <v>174</v>
      </c>
      <c r="D81" s="325"/>
      <c r="E81" s="326"/>
      <c r="F81" s="108">
        <f>VLOOKUP(C81,Bolts!A:L,5,0)</f>
        <v>0</v>
      </c>
      <c r="G81" s="108">
        <f>VLOOKUP(C81,Bolts!A:L,6,0)</f>
        <v>0</v>
      </c>
      <c r="H81" s="108">
        <f>VLOOKUP(C81,Bolts!A:L,7,0)</f>
        <v>0</v>
      </c>
      <c r="I81" s="109"/>
      <c r="J81" s="46">
        <f>VLOOKUP(C81,Bolts!A:L,8,0)</f>
        <v>0</v>
      </c>
      <c r="K81" s="46">
        <f>VLOOKUP(C81,Bolts!A:L,9,0)</f>
        <v>0</v>
      </c>
      <c r="L81" s="46">
        <f>VLOOKUP(C81,Bolts!A:L,10,0)</f>
        <v>0</v>
      </c>
      <c r="M81" s="46">
        <f>VLOOKUP(C81,Bolts!A:L,11,0)</f>
        <v>0</v>
      </c>
      <c r="N81" s="130">
        <f>VLOOKUP(C81,Bolts!A:L,12,0)</f>
        <v>0</v>
      </c>
      <c r="O81" s="47">
        <f t="shared" ca="1" si="12"/>
        <v>8</v>
      </c>
      <c r="P81" s="51">
        <f>VLOOKUP(C81,Bolts!A:B,2,FALSE)</f>
        <v>0</v>
      </c>
      <c r="Q81" s="52">
        <f t="shared" si="13"/>
        <v>0</v>
      </c>
    </row>
    <row r="82" spans="1:17" s="2" customFormat="1" ht="12" customHeight="1" x14ac:dyDescent="0.25">
      <c r="A82" s="4">
        <v>507</v>
      </c>
      <c r="B82" s="2">
        <v>16</v>
      </c>
      <c r="C82" s="122" t="s">
        <v>180</v>
      </c>
      <c r="D82" s="325"/>
      <c r="E82" s="326"/>
      <c r="F82" s="108">
        <f>VLOOKUP(C82,Bolts!A:L,5,0)</f>
        <v>0</v>
      </c>
      <c r="G82" s="108">
        <f>VLOOKUP(C82,Bolts!A:L,6,0)</f>
        <v>0</v>
      </c>
      <c r="H82" s="108">
        <f>VLOOKUP(C82,Bolts!A:L,7,0)</f>
        <v>0</v>
      </c>
      <c r="I82" s="109"/>
      <c r="J82" s="46">
        <f>VLOOKUP(C82,Bolts!A:L,8,0)</f>
        <v>0</v>
      </c>
      <c r="K82" s="46">
        <f>VLOOKUP(C82,Bolts!A:L,9,0)</f>
        <v>0</v>
      </c>
      <c r="L82" s="46">
        <f>VLOOKUP(C82,Bolts!A:L,10,0)</f>
        <v>0</v>
      </c>
      <c r="M82" s="46">
        <f>VLOOKUP(C82,Bolts!A:L,11,0)</f>
        <v>0</v>
      </c>
      <c r="N82" s="130">
        <f>VLOOKUP(C82,Bolts!A:L,12,0)</f>
        <v>0</v>
      </c>
      <c r="O82" s="47">
        <f t="shared" ca="1" si="12"/>
        <v>16</v>
      </c>
      <c r="P82" s="51">
        <f>VLOOKUP(C82,Bolts!A:B,2,FALSE)</f>
        <v>0</v>
      </c>
      <c r="Q82" s="52">
        <f t="shared" si="13"/>
        <v>0</v>
      </c>
    </row>
    <row r="83" spans="1:17" s="2" customFormat="1" ht="12" customHeight="1" x14ac:dyDescent="0.25">
      <c r="A83" s="4">
        <v>508</v>
      </c>
      <c r="B83" s="2">
        <v>20</v>
      </c>
      <c r="C83" s="122" t="s">
        <v>382</v>
      </c>
      <c r="D83" s="325"/>
      <c r="E83" s="326"/>
      <c r="F83" s="108">
        <f>VLOOKUP(C83,Bolts!A:L,5,0)</f>
        <v>0</v>
      </c>
      <c r="G83" s="108">
        <f>VLOOKUP(C83,Bolts!A:L,6,0)</f>
        <v>0</v>
      </c>
      <c r="H83" s="108">
        <f>VLOOKUP(C83,Bolts!A:L,7,0)</f>
        <v>0</v>
      </c>
      <c r="I83" s="109"/>
      <c r="J83" s="46">
        <f>VLOOKUP(C83,Bolts!A:L,8,0)</f>
        <v>0</v>
      </c>
      <c r="K83" s="46">
        <f>VLOOKUP(C83,Bolts!A:L,9,0)</f>
        <v>0</v>
      </c>
      <c r="L83" s="46">
        <f>VLOOKUP(C83,Bolts!A:L,10,0)</f>
        <v>0</v>
      </c>
      <c r="M83" s="46">
        <f>VLOOKUP(C83,Bolts!A:L,11,0)</f>
        <v>0</v>
      </c>
      <c r="N83" s="130">
        <f>VLOOKUP(C83,Bolts!A:L,12,0)</f>
        <v>0</v>
      </c>
      <c r="O83" s="47">
        <f t="shared" ca="1" si="12"/>
        <v>20</v>
      </c>
      <c r="P83" s="51">
        <f>VLOOKUP(C83,Bolts!A:B,2,FALSE)</f>
        <v>0</v>
      </c>
      <c r="Q83" s="52">
        <f t="shared" si="13"/>
        <v>0</v>
      </c>
    </row>
    <row r="84" spans="1:17" s="2" customFormat="1" ht="12" customHeight="1" x14ac:dyDescent="0.25">
      <c r="A84" s="4">
        <v>509</v>
      </c>
      <c r="B84" s="2">
        <v>12</v>
      </c>
      <c r="C84" s="122" t="s">
        <v>186</v>
      </c>
      <c r="D84" s="325"/>
      <c r="E84" s="326"/>
      <c r="F84" s="108">
        <f>VLOOKUP(C84,Bolts!A:L,5,0)</f>
        <v>0</v>
      </c>
      <c r="G84" s="108">
        <f>VLOOKUP(C84,Bolts!A:L,6,0)</f>
        <v>0</v>
      </c>
      <c r="H84" s="108">
        <f>VLOOKUP(C84,Bolts!A:L,7,0)</f>
        <v>0</v>
      </c>
      <c r="I84" s="109"/>
      <c r="J84" s="46">
        <f>VLOOKUP(C84,Bolts!A:L,8,0)</f>
        <v>0</v>
      </c>
      <c r="K84" s="46">
        <f>VLOOKUP(C84,Bolts!A:L,9,0)</f>
        <v>0</v>
      </c>
      <c r="L84" s="46">
        <f>VLOOKUP(C84,Bolts!A:L,10,0)</f>
        <v>0</v>
      </c>
      <c r="M84" s="46">
        <f>VLOOKUP(C84,Bolts!A:L,11,0)</f>
        <v>0</v>
      </c>
      <c r="N84" s="130">
        <f>VLOOKUP(C84,Bolts!A:L,12,0)</f>
        <v>0</v>
      </c>
      <c r="O84" s="47">
        <f t="shared" ca="1" si="12"/>
        <v>12</v>
      </c>
      <c r="P84" s="51">
        <f>VLOOKUP(C84,Bolts!A:B,2,FALSE)</f>
        <v>0</v>
      </c>
      <c r="Q84" s="52">
        <f t="shared" si="13"/>
        <v>0</v>
      </c>
    </row>
    <row r="85" spans="1:17" s="2" customFormat="1" ht="12" customHeight="1" x14ac:dyDescent="0.25">
      <c r="A85" s="4">
        <v>510</v>
      </c>
      <c r="B85" s="2">
        <v>44</v>
      </c>
      <c r="C85" s="122" t="s">
        <v>203</v>
      </c>
      <c r="D85" s="325"/>
      <c r="E85" s="326"/>
      <c r="F85" s="108">
        <f>VLOOKUP(C85,Bolts!A:L,5,0)</f>
        <v>0</v>
      </c>
      <c r="G85" s="108">
        <f>VLOOKUP(C85,Bolts!A:L,6,0)</f>
        <v>0</v>
      </c>
      <c r="H85" s="108">
        <f>VLOOKUP(C85,Bolts!A:L,7,0)</f>
        <v>0</v>
      </c>
      <c r="I85" s="109"/>
      <c r="J85" s="46">
        <f>VLOOKUP(C85,Bolts!A:L,8,0)</f>
        <v>0</v>
      </c>
      <c r="K85" s="46">
        <f>VLOOKUP(C85,Bolts!A:L,9,0)</f>
        <v>0</v>
      </c>
      <c r="L85" s="46">
        <f>VLOOKUP(C85,Bolts!A:L,10,0)</f>
        <v>0</v>
      </c>
      <c r="M85" s="46">
        <f>VLOOKUP(C85,Bolts!A:L,11,0)</f>
        <v>0</v>
      </c>
      <c r="N85" s="130">
        <f>VLOOKUP(C85,Bolts!A:L,12,0)</f>
        <v>0</v>
      </c>
      <c r="O85" s="47">
        <f t="shared" ca="1" si="12"/>
        <v>44</v>
      </c>
      <c r="P85" s="51">
        <f>VLOOKUP(C85,Bolts!A:B,2,FALSE)</f>
        <v>0</v>
      </c>
      <c r="Q85" s="52">
        <f t="shared" si="13"/>
        <v>0</v>
      </c>
    </row>
    <row r="86" spans="1:17" s="2" customFormat="1" ht="12" customHeight="1" x14ac:dyDescent="0.25">
      <c r="A86" s="4">
        <v>511</v>
      </c>
      <c r="B86" s="2">
        <v>8</v>
      </c>
      <c r="C86" s="122" t="s">
        <v>905</v>
      </c>
      <c r="D86" s="325"/>
      <c r="E86" s="326"/>
      <c r="F86" s="108">
        <f>VLOOKUP(C86,Bolts!A:L,5,0)</f>
        <v>0</v>
      </c>
      <c r="G86" s="108">
        <f>VLOOKUP(C86,Bolts!A:L,6,0)</f>
        <v>0</v>
      </c>
      <c r="H86" s="108">
        <f>VLOOKUP(C86,Bolts!A:L,7,0)</f>
        <v>0</v>
      </c>
      <c r="I86" s="109"/>
      <c r="J86" s="46">
        <f>VLOOKUP(C86,Bolts!A:L,8,0)</f>
        <v>0</v>
      </c>
      <c r="K86" s="46">
        <f>VLOOKUP(C86,Bolts!A:L,9,0)</f>
        <v>0</v>
      </c>
      <c r="L86" s="46">
        <f>VLOOKUP(C86,Bolts!A:L,10,0)</f>
        <v>0</v>
      </c>
      <c r="M86" s="46">
        <f>VLOOKUP(C86,Bolts!A:L,11,0)</f>
        <v>0</v>
      </c>
      <c r="N86" s="130">
        <f>VLOOKUP(C86,Bolts!A:L,12,0)</f>
        <v>0</v>
      </c>
      <c r="O86" s="47">
        <f ca="1">B86*$L$2</f>
        <v>8</v>
      </c>
      <c r="P86" s="51">
        <f>VLOOKUP(C86,Bolts!A:B,2,FALSE)</f>
        <v>0</v>
      </c>
      <c r="Q86" s="52">
        <f>B86*P86</f>
        <v>0</v>
      </c>
    </row>
    <row r="87" spans="1:17" s="2" customFormat="1" ht="12" customHeight="1" x14ac:dyDescent="0.25">
      <c r="A87" s="4">
        <v>512</v>
      </c>
      <c r="B87" s="2">
        <v>4</v>
      </c>
      <c r="C87" s="122" t="s">
        <v>617</v>
      </c>
      <c r="D87" s="325"/>
      <c r="E87" s="326"/>
      <c r="F87" s="108">
        <f>VLOOKUP(C87,Bolts!A:L,5,0)</f>
        <v>0</v>
      </c>
      <c r="G87" s="108">
        <f>VLOOKUP(C87,Bolts!A:L,6,0)</f>
        <v>0</v>
      </c>
      <c r="H87" s="108">
        <f>VLOOKUP(C87,Bolts!A:L,7,0)</f>
        <v>0</v>
      </c>
      <c r="I87" s="109"/>
      <c r="J87" s="46">
        <f>VLOOKUP(C87,Bolts!A:L,8,0)</f>
        <v>0</v>
      </c>
      <c r="K87" s="46">
        <f>VLOOKUP(C87,Bolts!A:L,9,0)</f>
        <v>0</v>
      </c>
      <c r="L87" s="46">
        <f>VLOOKUP(C87,Bolts!A:L,10,0)</f>
        <v>0</v>
      </c>
      <c r="M87" s="46">
        <f>VLOOKUP(C87,Bolts!A:L,11,0)</f>
        <v>0</v>
      </c>
      <c r="N87" s="130">
        <f>VLOOKUP(C87,Bolts!A:L,12,0)</f>
        <v>0</v>
      </c>
      <c r="O87" s="47">
        <f ca="1">B87*$L$2</f>
        <v>4</v>
      </c>
      <c r="P87" s="51">
        <f>VLOOKUP(C87,Bolts!A:B,2,FALSE)</f>
        <v>0</v>
      </c>
      <c r="Q87" s="52">
        <f>B87*P87</f>
        <v>0</v>
      </c>
    </row>
    <row r="88" spans="1:17" s="2" customFormat="1" ht="12" customHeight="1" x14ac:dyDescent="0.25">
      <c r="A88" s="25"/>
      <c r="B88" s="26"/>
      <c r="C88" s="26"/>
      <c r="D88" s="332"/>
      <c r="E88" s="333"/>
      <c r="F88" s="26"/>
      <c r="G88" s="26"/>
      <c r="H88" s="322"/>
      <c r="I88" s="323"/>
      <c r="J88" s="27"/>
      <c r="K88" s="27"/>
      <c r="L88" s="27"/>
      <c r="M88" s="28"/>
      <c r="N88" s="29"/>
      <c r="O88" s="29"/>
      <c r="P88" s="148"/>
      <c r="Q88" s="149"/>
    </row>
    <row r="89" spans="1:17" s="2" customFormat="1" ht="12" customHeight="1" x14ac:dyDescent="0.25">
      <c r="A89" s="4">
        <v>701</v>
      </c>
      <c r="B89" s="2">
        <v>6</v>
      </c>
      <c r="C89" s="123" t="s">
        <v>748</v>
      </c>
      <c r="D89" s="325" t="str">
        <f>VLOOKUP(C89,Extrusion!B:C,2,0)</f>
        <v>APPROVED EL 8/1</v>
      </c>
      <c r="E89" s="326"/>
      <c r="F89" s="108" t="str">
        <f ca="1">VLOOKUP(C89,Extrusion!B:N,5,0)</f>
        <v/>
      </c>
      <c r="G89" s="108">
        <f>VLOOKUP(C89,Extrusion!B:N,6,0)</f>
        <v>1</v>
      </c>
      <c r="H89" s="108">
        <f>VLOOKUP(C89,Extrusion!B:N,7,0)</f>
        <v>0</v>
      </c>
      <c r="I89" s="109"/>
      <c r="J89" s="46" t="str">
        <f>VLOOKUP(C89,Extrusion!B:N,8,0)</f>
        <v>T-Slots</v>
      </c>
      <c r="K89" s="46">
        <f>VLOOKUP(C89,Extrusion!B:N,9,0)</f>
        <v>0</v>
      </c>
      <c r="L89" s="46">
        <f>VLOOKUP(C89,Extrusion!B:N,10,0)</f>
        <v>0</v>
      </c>
      <c r="M89" s="46">
        <f>VLOOKUP(C89,Extrusion!B:N,11,0)</f>
        <v>0</v>
      </c>
      <c r="N89" s="47">
        <f>VLOOKUP(C89,Extrusion!B:O,12,0)</f>
        <v>0</v>
      </c>
      <c r="O89" s="47">
        <f t="shared" ref="O89:O97" ca="1" si="14">B89*$L$2</f>
        <v>6</v>
      </c>
      <c r="P89" s="51">
        <f>VLOOKUP(C89,Extrusion!B:G,4,0)</f>
        <v>10</v>
      </c>
      <c r="Q89" s="52">
        <f t="shared" ref="Q89:Q97" si="15">B89*P89</f>
        <v>60</v>
      </c>
    </row>
    <row r="90" spans="1:17" s="2" customFormat="1" ht="12" customHeight="1" x14ac:dyDescent="0.25">
      <c r="A90" s="4">
        <v>702</v>
      </c>
      <c r="B90" s="2">
        <v>2</v>
      </c>
      <c r="C90" s="123" t="s">
        <v>906</v>
      </c>
      <c r="D90" s="325" t="str">
        <f>VLOOKUP(C90,Extrusion!B:C,2,0)</f>
        <v>APPROVED EL 8/1</v>
      </c>
      <c r="E90" s="326"/>
      <c r="F90" s="108" t="str">
        <f ca="1">VLOOKUP(C90,Extrusion!B:N,5,0)</f>
        <v/>
      </c>
      <c r="G90" s="108">
        <f>VLOOKUP(C90,Extrusion!B:N,6,0)</f>
        <v>1</v>
      </c>
      <c r="H90" s="108">
        <f>VLOOKUP(C90,Extrusion!B:N,7,0)</f>
        <v>0</v>
      </c>
      <c r="I90" s="109"/>
      <c r="J90" s="46" t="str">
        <f>VLOOKUP(C90,Extrusion!B:N,8,0)</f>
        <v>T-Slots</v>
      </c>
      <c r="K90" s="46">
        <f>VLOOKUP(C90,Extrusion!B:N,9,0)</f>
        <v>0</v>
      </c>
      <c r="L90" s="46">
        <f>VLOOKUP(C90,Extrusion!B:N,10,0)</f>
        <v>0</v>
      </c>
      <c r="M90" s="46">
        <f>VLOOKUP(C90,Extrusion!B:N,11,0)</f>
        <v>0</v>
      </c>
      <c r="N90" s="47">
        <f>VLOOKUP(C90,Extrusion!B:O,12,0)</f>
        <v>0</v>
      </c>
      <c r="O90" s="47">
        <f t="shared" ca="1" si="14"/>
        <v>2</v>
      </c>
      <c r="P90" s="51">
        <f>VLOOKUP(C90,Extrusion!B:G,4,0)</f>
        <v>2</v>
      </c>
      <c r="Q90" s="52">
        <f t="shared" si="15"/>
        <v>4</v>
      </c>
    </row>
    <row r="91" spans="1:17" s="2" customFormat="1" ht="12" customHeight="1" x14ac:dyDescent="0.25">
      <c r="A91" s="4">
        <v>703</v>
      </c>
      <c r="B91" s="2">
        <v>2</v>
      </c>
      <c r="C91" s="123" t="s">
        <v>907</v>
      </c>
      <c r="D91" s="325" t="str">
        <f>VLOOKUP(C91,Extrusion!B:C,2,0)</f>
        <v>APPROVED EL 8/1</v>
      </c>
      <c r="E91" s="326"/>
      <c r="F91" s="108" t="str">
        <f ca="1">VLOOKUP(C91,Extrusion!B:N,5,0)</f>
        <v/>
      </c>
      <c r="G91" s="108">
        <f>VLOOKUP(C91,Extrusion!B:N,6,0)</f>
        <v>1</v>
      </c>
      <c r="H91" s="108">
        <f>VLOOKUP(C91,Extrusion!B:N,7,0)</f>
        <v>0</v>
      </c>
      <c r="I91" s="109"/>
      <c r="J91" s="46" t="str">
        <f>VLOOKUP(C91,Extrusion!B:N,8,0)</f>
        <v>T-Slots</v>
      </c>
      <c r="K91" s="46">
        <f>VLOOKUP(C91,Extrusion!B:N,9,0)</f>
        <v>0</v>
      </c>
      <c r="L91" s="46">
        <f>VLOOKUP(C91,Extrusion!B:N,10,0)</f>
        <v>0</v>
      </c>
      <c r="M91" s="46">
        <f>VLOOKUP(C91,Extrusion!B:N,11,0)</f>
        <v>0</v>
      </c>
      <c r="N91" s="47">
        <f>VLOOKUP(C91,Extrusion!B:O,12,0)</f>
        <v>0</v>
      </c>
      <c r="O91" s="47">
        <f t="shared" ca="1" si="14"/>
        <v>2</v>
      </c>
      <c r="P91" s="51">
        <f>VLOOKUP(C91,Extrusion!B:G,4,0)</f>
        <v>2</v>
      </c>
      <c r="Q91" s="52">
        <f t="shared" si="15"/>
        <v>4</v>
      </c>
    </row>
    <row r="92" spans="1:17" s="2" customFormat="1" ht="12" customHeight="1" x14ac:dyDescent="0.25">
      <c r="A92" s="4">
        <v>704</v>
      </c>
      <c r="B92" s="2">
        <v>2</v>
      </c>
      <c r="C92" s="123" t="s">
        <v>157</v>
      </c>
      <c r="D92" s="325" t="str">
        <f>VLOOKUP(C92,Extrusion!B:C,2,0)</f>
        <v>APPROVED EL 8/1</v>
      </c>
      <c r="E92" s="326"/>
      <c r="F92" s="108" t="str">
        <f ca="1">VLOOKUP(C92,Extrusion!B:N,5,0)</f>
        <v/>
      </c>
      <c r="G92" s="108">
        <f>VLOOKUP(C92,Extrusion!B:N,6,0)</f>
        <v>1</v>
      </c>
      <c r="H92" s="108">
        <f>VLOOKUP(C92,Extrusion!B:N,7,0)</f>
        <v>0</v>
      </c>
      <c r="I92" s="109"/>
      <c r="J92" s="46" t="str">
        <f>VLOOKUP(C92,Extrusion!B:N,8,0)</f>
        <v>T-Slots</v>
      </c>
      <c r="K92" s="46">
        <f>VLOOKUP(C92,Extrusion!B:N,9,0)</f>
        <v>0</v>
      </c>
      <c r="L92" s="46">
        <f>VLOOKUP(C92,Extrusion!B:N,10,0)</f>
        <v>0</v>
      </c>
      <c r="M92" s="46">
        <f>VLOOKUP(C92,Extrusion!B:N,11,0)</f>
        <v>0</v>
      </c>
      <c r="N92" s="47">
        <f>VLOOKUP(C92,Extrusion!B:O,12,0)</f>
        <v>0</v>
      </c>
      <c r="O92" s="47">
        <f t="shared" ca="1" si="14"/>
        <v>2</v>
      </c>
      <c r="P92" s="51">
        <f>VLOOKUP(C92,Extrusion!B:G,4,0)</f>
        <v>14</v>
      </c>
      <c r="Q92" s="52">
        <f t="shared" si="15"/>
        <v>28</v>
      </c>
    </row>
    <row r="93" spans="1:17" s="2" customFormat="1" ht="12" customHeight="1" x14ac:dyDescent="0.25">
      <c r="A93" s="4">
        <v>705</v>
      </c>
      <c r="B93" s="2">
        <v>2</v>
      </c>
      <c r="C93" s="123" t="s">
        <v>908</v>
      </c>
      <c r="D93" s="325" t="str">
        <f>VLOOKUP(C93,Extrusion!B:C,2,0)</f>
        <v>APPROVED EL 8/1</v>
      </c>
      <c r="E93" s="326"/>
      <c r="F93" s="108" t="str">
        <f ca="1">VLOOKUP(C93,Extrusion!B:N,5,0)</f>
        <v/>
      </c>
      <c r="G93" s="108">
        <f>VLOOKUP(C93,Extrusion!B:N,6,0)</f>
        <v>1</v>
      </c>
      <c r="H93" s="108">
        <f>VLOOKUP(C93,Extrusion!B:N,7,0)</f>
        <v>0</v>
      </c>
      <c r="I93" s="109"/>
      <c r="J93" s="46" t="str">
        <f>VLOOKUP(C93,Extrusion!B:N,8,0)</f>
        <v>T-Slots</v>
      </c>
      <c r="K93" s="46">
        <f>VLOOKUP(C93,Extrusion!B:N,9,0)</f>
        <v>0</v>
      </c>
      <c r="L93" s="46">
        <f>VLOOKUP(C93,Extrusion!B:N,10,0)</f>
        <v>0</v>
      </c>
      <c r="M93" s="46">
        <f>VLOOKUP(C93,Extrusion!B:N,11,0)</f>
        <v>0</v>
      </c>
      <c r="N93" s="47">
        <f>VLOOKUP(C93,Extrusion!B:O,12,0)</f>
        <v>0</v>
      </c>
      <c r="O93" s="47">
        <f t="shared" ca="1" si="14"/>
        <v>2</v>
      </c>
      <c r="P93" s="51">
        <f>VLOOKUP(C93,Extrusion!B:G,4,0)</f>
        <v>2</v>
      </c>
      <c r="Q93" s="52">
        <f t="shared" si="15"/>
        <v>4</v>
      </c>
    </row>
    <row r="94" spans="1:17" s="2" customFormat="1" ht="12" customHeight="1" x14ac:dyDescent="0.25">
      <c r="A94" s="4">
        <v>706</v>
      </c>
      <c r="B94" s="2">
        <v>2</v>
      </c>
      <c r="C94" s="123" t="s">
        <v>909</v>
      </c>
      <c r="D94" s="325" t="str">
        <f>VLOOKUP(C94,Extrusion!B:C,2,0)</f>
        <v>APPROVED EL 8/1</v>
      </c>
      <c r="E94" s="326"/>
      <c r="F94" s="108" t="str">
        <f ca="1">VLOOKUP(C94,Extrusion!B:N,5,0)</f>
        <v/>
      </c>
      <c r="G94" s="108">
        <f>VLOOKUP(C94,Extrusion!B:N,6,0)</f>
        <v>1</v>
      </c>
      <c r="H94" s="108">
        <f>VLOOKUP(C94,Extrusion!B:N,7,0)</f>
        <v>0</v>
      </c>
      <c r="I94" s="109"/>
      <c r="J94" s="46" t="str">
        <f>VLOOKUP(C94,Extrusion!B:N,8,0)</f>
        <v>T-Slots</v>
      </c>
      <c r="K94" s="46">
        <f>VLOOKUP(C94,Extrusion!B:N,9,0)</f>
        <v>0</v>
      </c>
      <c r="L94" s="46">
        <f>VLOOKUP(C94,Extrusion!B:N,10,0)</f>
        <v>0</v>
      </c>
      <c r="M94" s="46">
        <f>VLOOKUP(C94,Extrusion!B:N,11,0)</f>
        <v>0</v>
      </c>
      <c r="N94" s="47">
        <f>VLOOKUP(C94,Extrusion!B:O,12,0)</f>
        <v>0</v>
      </c>
      <c r="O94" s="47">
        <f t="shared" ca="1" si="14"/>
        <v>2</v>
      </c>
      <c r="P94" s="51">
        <f>VLOOKUP(C94,Extrusion!B:G,4,0)</f>
        <v>2</v>
      </c>
      <c r="Q94" s="52">
        <f t="shared" si="15"/>
        <v>4</v>
      </c>
    </row>
    <row r="95" spans="1:17" s="2" customFormat="1" ht="12" customHeight="1" x14ac:dyDescent="0.25">
      <c r="A95" s="4">
        <v>707</v>
      </c>
      <c r="B95" s="2">
        <v>2</v>
      </c>
      <c r="C95" s="123" t="s">
        <v>910</v>
      </c>
      <c r="D95" s="325" t="str">
        <f>VLOOKUP(C95,Extrusion!B:C,2,0)</f>
        <v>APPROVED EL 8/1</v>
      </c>
      <c r="E95" s="326"/>
      <c r="F95" s="108" t="str">
        <f ca="1">VLOOKUP(C95,Extrusion!B:N,5,0)</f>
        <v/>
      </c>
      <c r="G95" s="108">
        <f>VLOOKUP(C95,Extrusion!B:N,6,0)</f>
        <v>1</v>
      </c>
      <c r="H95" s="108">
        <f>VLOOKUP(C95,Extrusion!B:N,7,0)</f>
        <v>0</v>
      </c>
      <c r="I95" s="109"/>
      <c r="J95" s="46" t="str">
        <f>VLOOKUP(C95,Extrusion!B:N,8,0)</f>
        <v>T-Slots</v>
      </c>
      <c r="K95" s="46">
        <f>VLOOKUP(C95,Extrusion!B:N,9,0)</f>
        <v>0</v>
      </c>
      <c r="L95" s="46">
        <f>VLOOKUP(C95,Extrusion!B:N,10,0)</f>
        <v>0</v>
      </c>
      <c r="M95" s="46">
        <f>VLOOKUP(C95,Extrusion!B:N,11,0)</f>
        <v>0</v>
      </c>
      <c r="N95" s="47">
        <f>VLOOKUP(C95,Extrusion!B:O,12,0)</f>
        <v>0</v>
      </c>
      <c r="O95" s="47">
        <f t="shared" ca="1" si="14"/>
        <v>2</v>
      </c>
      <c r="P95" s="51">
        <f>VLOOKUP(C95,Extrusion!B:G,4,0)</f>
        <v>2</v>
      </c>
      <c r="Q95" s="52">
        <f t="shared" si="15"/>
        <v>4</v>
      </c>
    </row>
    <row r="96" spans="1:17" s="2" customFormat="1" ht="12" customHeight="1" x14ac:dyDescent="0.25">
      <c r="A96" s="4">
        <v>708</v>
      </c>
      <c r="B96" s="2">
        <v>2</v>
      </c>
      <c r="C96" s="123" t="s">
        <v>749</v>
      </c>
      <c r="D96" s="325" t="str">
        <f>VLOOKUP(C96,Extrusion!B:C,2,0)</f>
        <v>APPROVED EL 8/1</v>
      </c>
      <c r="E96" s="326"/>
      <c r="F96" s="108" t="str">
        <f ca="1">VLOOKUP(C96,Extrusion!B:N,5,0)</f>
        <v/>
      </c>
      <c r="G96" s="108">
        <f>VLOOKUP(C96,Extrusion!B:N,6,0)</f>
        <v>1</v>
      </c>
      <c r="H96" s="108">
        <f>VLOOKUP(C96,Extrusion!B:N,7,0)</f>
        <v>0</v>
      </c>
      <c r="I96" s="109"/>
      <c r="J96" s="46" t="str">
        <f>VLOOKUP(C96,Extrusion!B:N,8,0)</f>
        <v>T-Slots</v>
      </c>
      <c r="K96" s="46">
        <f>VLOOKUP(C96,Extrusion!B:N,9,0)</f>
        <v>0</v>
      </c>
      <c r="L96" s="46">
        <f>VLOOKUP(C96,Extrusion!B:N,10,0)</f>
        <v>0</v>
      </c>
      <c r="M96" s="46">
        <f>VLOOKUP(C96,Extrusion!B:N,11,0)</f>
        <v>0</v>
      </c>
      <c r="N96" s="47">
        <f>VLOOKUP(C96,Extrusion!B:O,12,0)</f>
        <v>0</v>
      </c>
      <c r="O96" s="47">
        <f t="shared" ca="1" si="14"/>
        <v>2</v>
      </c>
      <c r="P96" s="51">
        <f>VLOOKUP(C96,Extrusion!B:G,4,0)</f>
        <v>5</v>
      </c>
      <c r="Q96" s="52">
        <f t="shared" si="15"/>
        <v>10</v>
      </c>
    </row>
    <row r="97" spans="1:17" s="2" customFormat="1" ht="12" customHeight="1" x14ac:dyDescent="0.25">
      <c r="A97" s="4">
        <v>709</v>
      </c>
      <c r="B97" s="2">
        <v>1</v>
      </c>
      <c r="C97" s="123" t="s">
        <v>911</v>
      </c>
      <c r="D97" s="325" t="str">
        <f>VLOOKUP(C97,Extrusion!B:C,2,0)</f>
        <v>APPROVED EL 8/1</v>
      </c>
      <c r="E97" s="326"/>
      <c r="F97" s="108" t="str">
        <f ca="1">VLOOKUP(C97,Extrusion!B:N,5,0)</f>
        <v/>
      </c>
      <c r="G97" s="108">
        <f>VLOOKUP(C97,Extrusion!B:N,6,0)</f>
        <v>1</v>
      </c>
      <c r="H97" s="108">
        <f>VLOOKUP(C97,Extrusion!B:N,7,0)</f>
        <v>0</v>
      </c>
      <c r="I97" s="109"/>
      <c r="J97" s="46" t="str">
        <f>VLOOKUP(C97,Extrusion!B:N,8,0)</f>
        <v>T-Slots</v>
      </c>
      <c r="K97" s="46">
        <f>VLOOKUP(C97,Extrusion!B:N,9,0)</f>
        <v>0</v>
      </c>
      <c r="L97" s="46">
        <f>VLOOKUP(C97,Extrusion!B:N,10,0)</f>
        <v>0</v>
      </c>
      <c r="M97" s="46">
        <f>VLOOKUP(C97,Extrusion!B:N,11,0)</f>
        <v>0</v>
      </c>
      <c r="N97" s="47">
        <f>VLOOKUP(C97,Extrusion!B:O,12,0)</f>
        <v>0</v>
      </c>
      <c r="O97" s="47">
        <f t="shared" ca="1" si="14"/>
        <v>1</v>
      </c>
      <c r="P97" s="51">
        <f>VLOOKUP(C97,Extrusion!B:G,4,0)</f>
        <v>1</v>
      </c>
      <c r="Q97" s="52">
        <f t="shared" si="15"/>
        <v>1</v>
      </c>
    </row>
    <row r="98" spans="1:17" s="2" customFormat="1" ht="12" customHeight="1" thickBot="1" x14ac:dyDescent="0.3">
      <c r="A98" s="4">
        <v>710</v>
      </c>
      <c r="B98" s="2">
        <v>1</v>
      </c>
      <c r="C98" s="123" t="s">
        <v>752</v>
      </c>
      <c r="D98" s="325" t="str">
        <f>VLOOKUP(C98,Extrusion!B:C,2,0)</f>
        <v>APPROVED EL 8/1</v>
      </c>
      <c r="E98" s="326"/>
      <c r="F98" s="108" t="str">
        <f ca="1">VLOOKUP(C98,Extrusion!B:N,5,0)</f>
        <v/>
      </c>
      <c r="G98" s="108">
        <f>VLOOKUP(C98,Extrusion!B:N,6,0)</f>
        <v>1</v>
      </c>
      <c r="H98" s="108">
        <f>VLOOKUP(C98,Extrusion!B:N,7,0)</f>
        <v>0</v>
      </c>
      <c r="I98" s="109"/>
      <c r="J98" s="46" t="str">
        <f>VLOOKUP(C98,Extrusion!B:N,8,0)</f>
        <v>T-Slots</v>
      </c>
      <c r="K98" s="46">
        <f>VLOOKUP(C98,Extrusion!B:N,9,0)</f>
        <v>0</v>
      </c>
      <c r="L98" s="46">
        <f>VLOOKUP(C98,Extrusion!B:N,10,0)</f>
        <v>0</v>
      </c>
      <c r="M98" s="46">
        <f>VLOOKUP(C98,Extrusion!B:N,11,0)</f>
        <v>0</v>
      </c>
      <c r="N98" s="47">
        <f>VLOOKUP(C98,Extrusion!B:O,12,0)</f>
        <v>0</v>
      </c>
      <c r="O98" s="47">
        <f ca="1">B98*$L$2</f>
        <v>1</v>
      </c>
      <c r="P98" s="51">
        <f>VLOOKUP(C98,Extrusion!B:G,4,0)</f>
        <v>2</v>
      </c>
      <c r="Q98" s="52">
        <f>B98*P98</f>
        <v>2</v>
      </c>
    </row>
    <row r="99" spans="1:17" s="2" customFormat="1" ht="12" customHeight="1" thickBot="1" x14ac:dyDescent="0.3">
      <c r="A99" s="34"/>
      <c r="B99" s="35"/>
      <c r="C99" s="35"/>
      <c r="D99" s="316"/>
      <c r="E99" s="317"/>
      <c r="F99" s="35"/>
      <c r="G99" s="35"/>
      <c r="H99" s="309"/>
      <c r="I99" s="310"/>
      <c r="J99" s="36"/>
      <c r="K99" s="36"/>
      <c r="L99" s="36"/>
      <c r="M99" s="37"/>
      <c r="N99" s="132"/>
      <c r="O99" s="38"/>
      <c r="P99" s="99" t="s">
        <v>43</v>
      </c>
      <c r="Q99" s="104">
        <f>SUM(Q5:Q98)</f>
        <v>13021.927600000003</v>
      </c>
    </row>
  </sheetData>
  <autoFilter ref="A1:Q7" xr:uid="{410CFA68-FD27-43A7-9A4F-ACB61E4506F2}">
    <filterColumn colId="3" showButton="0"/>
  </autoFilter>
  <mergeCells count="171">
    <mergeCell ref="D72:E72"/>
    <mergeCell ref="H72:I72"/>
    <mergeCell ref="D73:E73"/>
    <mergeCell ref="H73:I73"/>
    <mergeCell ref="D86:E86"/>
    <mergeCell ref="D87:E87"/>
    <mergeCell ref="D71:E71"/>
    <mergeCell ref="H71:I71"/>
    <mergeCell ref="D68:E68"/>
    <mergeCell ref="H68:I68"/>
    <mergeCell ref="D69:E69"/>
    <mergeCell ref="H69:I69"/>
    <mergeCell ref="D70:E70"/>
    <mergeCell ref="H70:I70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85:E85"/>
    <mergeCell ref="D65:E65"/>
    <mergeCell ref="H65:I65"/>
    <mergeCell ref="D66:E66"/>
    <mergeCell ref="H66:I66"/>
    <mergeCell ref="D67:E67"/>
    <mergeCell ref="H67:I67"/>
    <mergeCell ref="D62:E62"/>
    <mergeCell ref="H62:I62"/>
    <mergeCell ref="D63:E63"/>
    <mergeCell ref="H63:I63"/>
    <mergeCell ref="D64:E64"/>
    <mergeCell ref="H64:I64"/>
    <mergeCell ref="D52:E52"/>
    <mergeCell ref="H52:I52"/>
    <mergeCell ref="D59:E59"/>
    <mergeCell ref="H59:I59"/>
    <mergeCell ref="D60:E60"/>
    <mergeCell ref="H60:I60"/>
    <mergeCell ref="D61:E61"/>
    <mergeCell ref="H61:I61"/>
    <mergeCell ref="D56:E56"/>
    <mergeCell ref="H56:I56"/>
    <mergeCell ref="D57:E57"/>
    <mergeCell ref="H57:I57"/>
    <mergeCell ref="D58:E58"/>
    <mergeCell ref="H58:I58"/>
    <mergeCell ref="D11:E11"/>
    <mergeCell ref="H11:I11"/>
    <mergeCell ref="D12:E12"/>
    <mergeCell ref="H12:I12"/>
    <mergeCell ref="D13:E13"/>
    <mergeCell ref="D53:E53"/>
    <mergeCell ref="H53:I53"/>
    <mergeCell ref="D54:E54"/>
    <mergeCell ref="H54:I54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19:E19"/>
    <mergeCell ref="H19:I19"/>
    <mergeCell ref="D20:E20"/>
    <mergeCell ref="H20:I20"/>
    <mergeCell ref="D6:E6"/>
    <mergeCell ref="H6:I6"/>
    <mergeCell ref="D1:E1"/>
    <mergeCell ref="D4:E4"/>
    <mergeCell ref="H4:I4"/>
    <mergeCell ref="D5:E5"/>
    <mergeCell ref="H5:I5"/>
    <mergeCell ref="D10:E10"/>
    <mergeCell ref="H10:I10"/>
    <mergeCell ref="D8:E8"/>
    <mergeCell ref="H8:I8"/>
    <mergeCell ref="D9:E9"/>
    <mergeCell ref="H9:I9"/>
    <mergeCell ref="D7:E7"/>
    <mergeCell ref="H7:I7"/>
    <mergeCell ref="D37:E37"/>
    <mergeCell ref="H37:I37"/>
    <mergeCell ref="D30:E30"/>
    <mergeCell ref="H30:I30"/>
    <mergeCell ref="D31:E31"/>
    <mergeCell ref="H31:I31"/>
    <mergeCell ref="D21:E21"/>
    <mergeCell ref="H21:I21"/>
    <mergeCell ref="D22:E22"/>
    <mergeCell ref="H22:I22"/>
    <mergeCell ref="D23:E23"/>
    <mergeCell ref="H23:I23"/>
    <mergeCell ref="D24:E24"/>
    <mergeCell ref="H24:I24"/>
    <mergeCell ref="D25:E25"/>
    <mergeCell ref="H25:I25"/>
    <mergeCell ref="D26:E26"/>
    <mergeCell ref="H26:I26"/>
    <mergeCell ref="D27:E27"/>
    <mergeCell ref="H27:I27"/>
    <mergeCell ref="D28:E28"/>
    <mergeCell ref="H28:I28"/>
    <mergeCell ref="D29:E29"/>
    <mergeCell ref="H29:I29"/>
    <mergeCell ref="D32:E32"/>
    <mergeCell ref="H32:I32"/>
    <mergeCell ref="D33:E33"/>
    <mergeCell ref="H33:I33"/>
    <mergeCell ref="D34:E34"/>
    <mergeCell ref="H34:I34"/>
    <mergeCell ref="D35:E35"/>
    <mergeCell ref="H35:I35"/>
    <mergeCell ref="D36:E36"/>
    <mergeCell ref="H36:I36"/>
    <mergeCell ref="D75:E75"/>
    <mergeCell ref="H75:I75"/>
    <mergeCell ref="H47:I47"/>
    <mergeCell ref="D48:E48"/>
    <mergeCell ref="H48:I48"/>
    <mergeCell ref="D49:E49"/>
    <mergeCell ref="H49:I49"/>
    <mergeCell ref="D55:E55"/>
    <mergeCell ref="D99:E99"/>
    <mergeCell ref="H99:I99"/>
    <mergeCell ref="D97:E97"/>
    <mergeCell ref="D88:E88"/>
    <mergeCell ref="H88:I88"/>
    <mergeCell ref="D89:E89"/>
    <mergeCell ref="D90:E90"/>
    <mergeCell ref="D91:E91"/>
    <mergeCell ref="D92:E92"/>
    <mergeCell ref="D93:E93"/>
    <mergeCell ref="D94:E94"/>
    <mergeCell ref="D95:E95"/>
    <mergeCell ref="D96:E96"/>
    <mergeCell ref="D98:E98"/>
    <mergeCell ref="H55:I55"/>
    <mergeCell ref="D51:E51"/>
    <mergeCell ref="D38:E38"/>
    <mergeCell ref="H38:I38"/>
    <mergeCell ref="D39:E39"/>
    <mergeCell ref="H39:I39"/>
    <mergeCell ref="D40:E40"/>
    <mergeCell ref="H40:I40"/>
    <mergeCell ref="D74:E74"/>
    <mergeCell ref="H74:I74"/>
    <mergeCell ref="D50:E50"/>
    <mergeCell ref="H50:I50"/>
    <mergeCell ref="D47:E47"/>
    <mergeCell ref="D46:E46"/>
    <mergeCell ref="H46:I46"/>
    <mergeCell ref="D41:E41"/>
    <mergeCell ref="H41:I41"/>
    <mergeCell ref="D42:E42"/>
    <mergeCell ref="H42:I42"/>
    <mergeCell ref="D43:E43"/>
    <mergeCell ref="H43:I43"/>
    <mergeCell ref="D44:E44"/>
    <mergeCell ref="H44:I44"/>
    <mergeCell ref="D45:E45"/>
    <mergeCell ref="H45:I45"/>
    <mergeCell ref="H51:I51"/>
  </mergeCells>
  <conditionalFormatting sqref="M8 M30:M98">
    <cfRule type="cellIs" dxfId="1180" priority="3" stopIfTrue="1" operator="lessThanOrEqual">
      <formula>$L8</formula>
    </cfRule>
    <cfRule type="cellIs" dxfId="1179" priority="4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C841F4F-C67A-4876-9A41-5F1A6D957992}">
          <x14:formula1>
            <xm:f>Extrusion!$B:$B</xm:f>
          </x14:formula1>
          <xm:sqref>C89:C98</xm:sqref>
        </x14:dataValidation>
        <x14:dataValidation type="list" allowBlank="1" showInputMessage="1" showErrorMessage="1" xr:uid="{802CCA39-A5E7-49FE-A103-EDF43EFABD01}">
          <x14:formula1>
            <xm:f>Bolts!$A:$A</xm:f>
          </x14:formula1>
          <xm:sqref>C75:C87</xm:sqref>
        </x14:dataValidation>
        <x14:dataValidation type="list" allowBlank="1" showInputMessage="1" showErrorMessage="1" xr:uid="{4A2850CD-C12F-4C26-A25B-9BAD8F176D75}">
          <x14:formula1>
            <xm:f>Assemblies!$E:$E</xm:f>
          </x14:formula1>
          <xm:sqref>C5:C7</xm:sqref>
        </x14:dataValidation>
        <x14:dataValidation type="list" allowBlank="1" showInputMessage="1" showErrorMessage="1" xr:uid="{08EBC829-11BD-471E-ADCB-B5D4F4A7A1E2}">
          <x14:formula1>
            <xm:f>Machined!$C:$C</xm:f>
          </x14:formula1>
          <xm:sqref>C8:C29</xm:sqref>
        </x14:dataValidation>
        <x14:dataValidation type="list" allowBlank="1" showInputMessage="1" showErrorMessage="1" xr:uid="{0557B202-0156-4C47-BACC-A470976B0271}">
          <x14:formula1>
            <xm:f>Purchased!$A:$A</xm:f>
          </x14:formula1>
          <xm:sqref>C30:C74</xm:sqref>
        </x14:dataValidation>
      </x14:dataValidations>
    </ext>
  </extLst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8D488-F693-4AEE-BB7C-4045F8157D00}">
  <sheetPr codeName="Sheet139">
    <tabColor theme="6" tint="0.59999389629810485"/>
  </sheetPr>
  <dimension ref="A1:Q13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'6.1'!C5</f>
        <v>PG10.6.1.1.0.A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'6.1'!D5</f>
        <v>Belt Tensioner 1 Assy</v>
      </c>
      <c r="D3" s="85" t="s">
        <v>50</v>
      </c>
      <c r="E3" s="86" t="str">
        <f ca="1">MID(CELL("filename",A1),FIND("]",CELL("filename",A1))+1,256)</f>
        <v>6.1.1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912</v>
      </c>
      <c r="D5" s="314" t="str">
        <f>VLOOKUP(C5,Machined!C:X,2,0)</f>
        <v>TENSIONER CAP WASHER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45510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55658</v>
      </c>
      <c r="O5" s="45">
        <f ca="1">B5*$L$2</f>
        <v>12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 t="s">
        <v>913</v>
      </c>
      <c r="D7" s="325" t="str">
        <f>VLOOKUP(C7,Purchased!A:B,2,0)</f>
        <v>Shaft-Mount Track Roller</v>
      </c>
      <c r="E7" s="326"/>
      <c r="F7" s="108" t="str">
        <f>IF(VLOOKUP($C7,Purchased!A:Z,11,0) = 0, " ", VLOOKUP($C7,Purchased!A:Z,11,0))</f>
        <v>NTN</v>
      </c>
      <c r="G7" s="108" t="str">
        <f>IF(VLOOKUP($C7,Purchased!A:Z,12,0)=0, " ", VLOOKUP($C7,Purchased!A:Z,12,0))</f>
        <v>BDI</v>
      </c>
      <c r="H7" s="327" t="str">
        <f>IF(VLOOKUP($C7,Purchased!A:Z,13,0)=0, " ", VLOOKUP($C7,Purchased!A:Z,13,0))</f>
        <v>12 more PO 55766, Part # 1224723, or Part # 203024</v>
      </c>
      <c r="I7" s="328"/>
      <c r="J7" s="46">
        <f>IF(VLOOKUP($C7,Purchased!A:Z,14,0)=0, " ", VLOOKUP($C7,Purchased!A:Z,14,0))</f>
        <v>45460</v>
      </c>
      <c r="K7" s="46">
        <f>IF(VLOOKUP(C7,Purchased!A:R,14,0)=0, " ", VLOOKUP(C7,Purchased!A:R,14,0))</f>
        <v>45460</v>
      </c>
      <c r="L7" s="46">
        <f>IF(VLOOKUP(C7,Purchased!A:R,15,0)=0, " ", VLOOKUP(C7,Purchased!A:R,15,0))</f>
        <v>45462</v>
      </c>
      <c r="M7" s="46">
        <f>IF(VLOOKUP(C7,Purchased!A:R,16,0)=0, " ",VLOOKUP(C7,Purchased!A:R,16,0))</f>
        <v>45495</v>
      </c>
      <c r="N7" s="130">
        <f>IF(VLOOKUP(C7,Purchased!A:R,17,0)=0, " ", VLOOKUP(C7,Purchased!A:R,17,0))</f>
        <v>45495</v>
      </c>
      <c r="O7" s="47">
        <f t="shared" ref="O7:O10" ca="1" si="0">B7*$L$2</f>
        <v>6</v>
      </c>
      <c r="P7" s="51">
        <f>VLOOKUP(C7,Purchased!A:D,3,FALSE)</f>
        <v>63.14</v>
      </c>
      <c r="Q7" s="52">
        <f t="shared" ref="Q7:Q10" si="1">B7*P7</f>
        <v>63.14</v>
      </c>
    </row>
    <row r="8" spans="1:17" s="2" customFormat="1" ht="12" customHeight="1" x14ac:dyDescent="0.25">
      <c r="A8" s="4">
        <v>302</v>
      </c>
      <c r="B8" s="2">
        <v>1</v>
      </c>
      <c r="C8" s="135" t="s">
        <v>914</v>
      </c>
      <c r="D8" s="325" t="str">
        <f>VLOOKUP(C8,Purchased!A:B,2,0)</f>
        <v>Zinc-Plated Class 10.9 Steel Washer, M10 Screw Size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45481</v>
      </c>
      <c r="K8" s="46">
        <f>IF(VLOOKUP(C8,Purchased!A:R,14,0)=0, " ", VLOOKUP(C8,Purchased!A:R,14,0))</f>
        <v>45481</v>
      </c>
      <c r="L8" s="46">
        <f>IF(VLOOKUP(C8,Purchased!A:R,15,0)=0, " ", VLOOKUP(C8,Purchased!A:R,15,0))</f>
        <v>45481</v>
      </c>
      <c r="M8" s="46">
        <f>IF(VLOOKUP(C8,Purchased!A:R,16,0)=0, " ",VLOOKUP(C8,Purchased!A:R,16,0))</f>
        <v>45482</v>
      </c>
      <c r="N8" s="130">
        <f>IF(VLOOKUP(C8,Purchased!A:R,17,0)=0, " ", VLOOKUP(C8,Purchased!A:R,17,0))</f>
        <v>45482</v>
      </c>
      <c r="O8" s="47">
        <f t="shared" ca="1" si="0"/>
        <v>6</v>
      </c>
      <c r="P8" s="51">
        <f>VLOOKUP(C8,Purchased!A:D,3,FALSE)</f>
        <v>12.41</v>
      </c>
      <c r="Q8" s="52">
        <f t="shared" si="1"/>
        <v>12.41</v>
      </c>
    </row>
    <row r="9" spans="1:17" s="2" customFormat="1" ht="12" customHeight="1" x14ac:dyDescent="0.25">
      <c r="A9" s="4">
        <v>303</v>
      </c>
      <c r="B9" s="2">
        <v>1</v>
      </c>
      <c r="C9" s="135" t="s">
        <v>915</v>
      </c>
      <c r="D9" s="325" t="str">
        <f>VLOOKUP(C9,Purchased!A:B,2,0)</f>
        <v>Medium-Strength Steel Thin Hex Nut, Fine-Thread, Zinc-Plated, M10 x 1.25 mm 
Thread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>Nuline Stock</v>
      </c>
      <c r="I9" s="328"/>
      <c r="J9" s="46">
        <f>IF(VLOOKUP($C9,Purchased!A:Z,14,0)=0, " ", VLOOKUP($C9,Purchased!A:Z,14,0))</f>
        <v>45481</v>
      </c>
      <c r="K9" s="46">
        <f>IF(VLOOKUP(C9,Purchased!A:R,14,0)=0, " ", VLOOKUP(C9,Purchased!A:R,14,0))</f>
        <v>45481</v>
      </c>
      <c r="L9" s="46">
        <f>IF(VLOOKUP(C9,Purchased!A:R,15,0)=0, " ", VLOOKUP(C9,Purchased!A:R,15,0))</f>
        <v>45481</v>
      </c>
      <c r="M9" s="46">
        <f>IF(VLOOKUP(C9,Purchased!A:R,16,0)=0, " ",VLOOKUP(C9,Purchased!A:R,16,0))</f>
        <v>45482</v>
      </c>
      <c r="N9" s="130">
        <f>IF(VLOOKUP(C9,Purchased!A:R,17,0)=0, " ", VLOOKUP(C9,Purchased!A:R,17,0))</f>
        <v>45482</v>
      </c>
      <c r="O9" s="47">
        <f t="shared" ca="1" si="0"/>
        <v>6</v>
      </c>
      <c r="P9" s="51">
        <f>VLOOKUP(C9,Purchased!A:D,3,FALSE)</f>
        <v>15.75</v>
      </c>
      <c r="Q9" s="52">
        <f t="shared" si="1"/>
        <v>15.75</v>
      </c>
    </row>
    <row r="10" spans="1:17" s="2" customFormat="1" ht="12" customHeight="1" x14ac:dyDescent="0.25">
      <c r="A10" s="4">
        <v>304</v>
      </c>
      <c r="B10" s="2">
        <v>2</v>
      </c>
      <c r="C10" s="135" t="s">
        <v>916</v>
      </c>
      <c r="D10" s="325" t="str">
        <f>VLOOKUP(C10,Purchased!A:B,2,0)</f>
        <v>FLAT 1045 STEEL SPACER, NICKEL PLATED, 20MM OD, 10MM ID, 10MM THICK</v>
      </c>
      <c r="E10" s="326"/>
      <c r="F10" s="108" t="str">
        <f>IF(VLOOKUP($C10,Purchased!A:Z,11,0) = 0, " ", VLOOKUP($C10,Purchased!A:Z,11,0))</f>
        <v>MISUMI</v>
      </c>
      <c r="G10" s="108" t="str">
        <f>IF(VLOOKUP($C10,Purchased!A:Z,12,0)=0, " ", VLOOKUP($C10,Purchased!A:Z,12,0))</f>
        <v>MISUMI</v>
      </c>
      <c r="H10" s="327" t="str">
        <f>IF(VLOOKUP($C10,Purchased!A:Z,13,0)=0, " ", VLOOKUP($C10,Purchased!A:Z,13,0))</f>
        <v>20 more on PO 55693</v>
      </c>
      <c r="I10" s="328"/>
      <c r="J10" s="46">
        <f>IF(VLOOKUP($C10,Purchased!A:Z,14,0)=0, " ", VLOOKUP($C10,Purchased!A:Z,14,0))</f>
        <v>45483</v>
      </c>
      <c r="K10" s="46">
        <f>IF(VLOOKUP(C10,Purchased!A:R,14,0)=0, " ", VLOOKUP(C10,Purchased!A:R,14,0))</f>
        <v>45483</v>
      </c>
      <c r="L10" s="46">
        <f>IF(VLOOKUP(C10,Purchased!A:R,15,0)=0, " ", VLOOKUP(C10,Purchased!A:R,15,0))</f>
        <v>45483</v>
      </c>
      <c r="M10" s="46">
        <f>IF(VLOOKUP(C10,Purchased!A:R,16,0)=0, " ",VLOOKUP(C10,Purchased!A:R,16,0))</f>
        <v>45512</v>
      </c>
      <c r="N10" s="130">
        <f>IF(VLOOKUP(C10,Purchased!A:R,17,0)=0, " ", VLOOKUP(C10,Purchased!A:R,17,0))</f>
        <v>45512</v>
      </c>
      <c r="O10" s="47">
        <f t="shared" ca="1" si="0"/>
        <v>12</v>
      </c>
      <c r="P10" s="51">
        <f>VLOOKUP(C10,Purchased!A:D,3,FALSE)</f>
        <v>8.9700000000000006</v>
      </c>
      <c r="Q10" s="52">
        <f t="shared" si="1"/>
        <v>17.940000000000001</v>
      </c>
    </row>
    <row r="11" spans="1:17" s="2" customFormat="1" ht="12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" customHeight="1" thickBot="1" x14ac:dyDescent="0.3">
      <c r="A12" s="4">
        <v>501</v>
      </c>
      <c r="B12" s="2">
        <v>1</v>
      </c>
      <c r="C12" s="122" t="s">
        <v>917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t="shared" ref="O12" ca="1" si="2">B12*$L$2</f>
        <v>6</v>
      </c>
      <c r="P12" s="51">
        <f>VLOOKUP(C12,Bolts!A:B,2,FALSE)</f>
        <v>0</v>
      </c>
      <c r="Q12" s="52">
        <f t="shared" ref="Q12" si="3"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109.24</v>
      </c>
    </row>
  </sheetData>
  <sheetProtection selectLockedCells="1"/>
  <mergeCells count="20">
    <mergeCell ref="D12:E12"/>
    <mergeCell ref="D13:E13"/>
    <mergeCell ref="H13:I13"/>
    <mergeCell ref="D9:E9"/>
    <mergeCell ref="H9:I9"/>
    <mergeCell ref="D10:E10"/>
    <mergeCell ref="H10:I10"/>
    <mergeCell ref="D11:E11"/>
    <mergeCell ref="H11:I11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6 M11:M12">
    <cfRule type="cellIs" dxfId="1178" priority="9" stopIfTrue="1" operator="lessThanOrEqual">
      <formula>$L6</formula>
    </cfRule>
    <cfRule type="cellIs" dxfId="1177" priority="10" operator="greaterThan">
      <formula>L6</formula>
    </cfRule>
  </conditionalFormatting>
  <conditionalFormatting sqref="M7">
    <cfRule type="cellIs" dxfId="1176" priority="7" stopIfTrue="1" operator="lessThanOrEqual">
      <formula>$L7</formula>
    </cfRule>
    <cfRule type="cellIs" dxfId="1175" priority="8" operator="greaterThan">
      <formula>L7</formula>
    </cfRule>
  </conditionalFormatting>
  <conditionalFormatting sqref="M8">
    <cfRule type="cellIs" dxfId="1174" priority="5" stopIfTrue="1" operator="lessThanOrEqual">
      <formula>$L8</formula>
    </cfRule>
    <cfRule type="cellIs" dxfId="1173" priority="6" operator="greaterThan">
      <formula>L8</formula>
    </cfRule>
  </conditionalFormatting>
  <conditionalFormatting sqref="M9">
    <cfRule type="cellIs" dxfId="1172" priority="3" stopIfTrue="1" operator="lessThanOrEqual">
      <formula>$L9</formula>
    </cfRule>
    <cfRule type="cellIs" dxfId="1171" priority="4" operator="greaterThan">
      <formula>L9</formula>
    </cfRule>
  </conditionalFormatting>
  <conditionalFormatting sqref="M10">
    <cfRule type="cellIs" dxfId="1170" priority="1" stopIfTrue="1" operator="lessThanOrEqual">
      <formula>$L10</formula>
    </cfRule>
    <cfRule type="cellIs" dxfId="1169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399E179-908A-44B5-BE41-A8DC27F7BF49}">
          <x14:formula1>
            <xm:f>Bolts!$A:$A</xm:f>
          </x14:formula1>
          <xm:sqref>C11:C12</xm:sqref>
        </x14:dataValidation>
        <x14:dataValidation type="list" allowBlank="1" showInputMessage="1" showErrorMessage="1" xr:uid="{9CB83B76-46CF-4F10-B1FF-1D23526DB7F9}">
          <x14:formula1>
            <xm:f>Machined!$C:$C</xm:f>
          </x14:formula1>
          <xm:sqref>C5</xm:sqref>
        </x14:dataValidation>
        <x14:dataValidation type="list" allowBlank="1" showInputMessage="1" showErrorMessage="1" xr:uid="{2D82123A-334E-41BC-98DE-8F21665253B7}">
          <x14:formula1>
            <xm:f>Purchased!$A:$A</xm:f>
          </x14:formula1>
          <xm:sqref>C6:C10</xm:sqref>
        </x14:dataValidation>
      </x14:dataValidations>
    </ext>
  </extLst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A2644-CCCA-4797-A073-D1381C1B6604}">
  <sheetPr codeName="Sheet140">
    <tabColor theme="6" tint="0.59999389629810485"/>
  </sheetPr>
  <dimension ref="A1:Q13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'6.1'!C6</f>
        <v>PG10.6.1.2.0.A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'6.1'!D6</f>
        <v>Belt Tensioner 2 Assy</v>
      </c>
      <c r="D3" s="85" t="s">
        <v>50</v>
      </c>
      <c r="E3" s="86" t="str">
        <f ca="1">MID(CELL("filename",A1),FIND("]",CELL("filename",A1))+1,256)</f>
        <v>6.1.2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5">
      <c r="A5" s="77">
        <v>1</v>
      </c>
      <c r="B5" s="20">
        <v>2</v>
      </c>
      <c r="C5" s="121" t="s">
        <v>912</v>
      </c>
      <c r="D5" s="314" t="str">
        <f>VLOOKUP(C5,Machined!C:X,2,0)</f>
        <v>TENSIONER CAP WASHER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45510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55658</v>
      </c>
      <c r="O5" s="45">
        <f ca="1">B5*$L$2</f>
        <v>8</v>
      </c>
      <c r="P5" s="49">
        <f>VLOOKUP(C5,Machined!C:F,3,0)</f>
        <v>0</v>
      </c>
      <c r="Q5" s="50">
        <f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1</v>
      </c>
      <c r="C7" s="135" t="s">
        <v>913</v>
      </c>
      <c r="D7" s="325" t="str">
        <f>VLOOKUP(C7,Purchased!A:B,2,0)</f>
        <v>Shaft-Mount Track Roller</v>
      </c>
      <c r="E7" s="326"/>
      <c r="F7" s="108" t="str">
        <f>IF(VLOOKUP($C7,Purchased!A:Z,11,0) = 0, " ", VLOOKUP($C7,Purchased!A:Z,11,0))</f>
        <v>NTN</v>
      </c>
      <c r="G7" s="108" t="str">
        <f>IF(VLOOKUP($C7,Purchased!A:Z,12,0)=0, " ", VLOOKUP($C7,Purchased!A:Z,12,0))</f>
        <v>BDI</v>
      </c>
      <c r="H7" s="327" t="str">
        <f>IF(VLOOKUP($C7,Purchased!A:Z,13,0)=0, " ", VLOOKUP($C7,Purchased!A:Z,13,0))</f>
        <v>12 more PO 55766, Part # 1224723, or Part # 203024</v>
      </c>
      <c r="I7" s="328"/>
      <c r="J7" s="46">
        <f>IF(VLOOKUP($C7,Purchased!A:Z,14,0)=0, " ", VLOOKUP($C7,Purchased!A:Z,14,0))</f>
        <v>45460</v>
      </c>
      <c r="K7" s="46">
        <f>IF(VLOOKUP(C7,Purchased!A:R,14,0)=0, " ", VLOOKUP(C7,Purchased!A:R,14,0))</f>
        <v>45460</v>
      </c>
      <c r="L7" s="46">
        <f>IF(VLOOKUP(C7,Purchased!A:R,15,0)=0, " ", VLOOKUP(C7,Purchased!A:R,15,0))</f>
        <v>45462</v>
      </c>
      <c r="M7" s="46">
        <f>IF(VLOOKUP(C7,Purchased!A:R,16,0)=0, " ",VLOOKUP(C7,Purchased!A:R,16,0))</f>
        <v>45495</v>
      </c>
      <c r="N7" s="130">
        <f>IF(VLOOKUP(C7,Purchased!A:R,17,0)=0, " ", VLOOKUP(C7,Purchased!A:R,17,0))</f>
        <v>45495</v>
      </c>
      <c r="O7" s="47">
        <f ca="1">B7*$L$2</f>
        <v>4</v>
      </c>
      <c r="P7" s="51">
        <f>VLOOKUP(C7,Purchased!A:D,3,FALSE)</f>
        <v>63.14</v>
      </c>
      <c r="Q7" s="52">
        <f>B7*P7</f>
        <v>63.14</v>
      </c>
    </row>
    <row r="8" spans="1:17" s="2" customFormat="1" ht="12.75" customHeight="1" x14ac:dyDescent="0.25">
      <c r="A8" s="4">
        <v>302</v>
      </c>
      <c r="B8" s="2">
        <v>1</v>
      </c>
      <c r="C8" s="135" t="s">
        <v>914</v>
      </c>
      <c r="D8" s="325" t="str">
        <f>VLOOKUP(C8,Purchased!A:B,2,0)</f>
        <v>Zinc-Plated Class 10.9 Steel Washer, M10 Screw Size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45481</v>
      </c>
      <c r="K8" s="46">
        <f>IF(VLOOKUP(C8,Purchased!A:R,14,0)=0, " ", VLOOKUP(C8,Purchased!A:R,14,0))</f>
        <v>45481</v>
      </c>
      <c r="L8" s="46">
        <f>IF(VLOOKUP(C8,Purchased!A:R,15,0)=0, " ", VLOOKUP(C8,Purchased!A:R,15,0))</f>
        <v>45481</v>
      </c>
      <c r="M8" s="46">
        <f>IF(VLOOKUP(C8,Purchased!A:R,16,0)=0, " ",VLOOKUP(C8,Purchased!A:R,16,0))</f>
        <v>45482</v>
      </c>
      <c r="N8" s="130">
        <f>IF(VLOOKUP(C8,Purchased!A:R,17,0)=0, " ", VLOOKUP(C8,Purchased!A:R,17,0))</f>
        <v>45482</v>
      </c>
      <c r="O8" s="47">
        <f ca="1">B8*$L$2</f>
        <v>4</v>
      </c>
      <c r="P8" s="51">
        <f>VLOOKUP(C8,Purchased!A:D,3,FALSE)</f>
        <v>12.41</v>
      </c>
      <c r="Q8" s="52">
        <f>B8*P8</f>
        <v>12.41</v>
      </c>
    </row>
    <row r="9" spans="1:17" s="2" customFormat="1" ht="12.75" customHeight="1" x14ac:dyDescent="0.25">
      <c r="A9" s="4">
        <v>303</v>
      </c>
      <c r="B9" s="2">
        <v>1</v>
      </c>
      <c r="C9" s="135" t="s">
        <v>915</v>
      </c>
      <c r="D9" s="325" t="str">
        <f>VLOOKUP(C9,Purchased!A:B,2,0)</f>
        <v>Medium-Strength Steel Thin Hex Nut, Fine-Thread, Zinc-Plated, M10 x 1.25 mm 
Thread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>Nuline Stock</v>
      </c>
      <c r="I9" s="328"/>
      <c r="J9" s="46">
        <f>IF(VLOOKUP($C9,Purchased!A:Z,14,0)=0, " ", VLOOKUP($C9,Purchased!A:Z,14,0))</f>
        <v>45481</v>
      </c>
      <c r="K9" s="46">
        <f>IF(VLOOKUP(C9,Purchased!A:R,14,0)=0, " ", VLOOKUP(C9,Purchased!A:R,14,0))</f>
        <v>45481</v>
      </c>
      <c r="L9" s="46">
        <f>IF(VLOOKUP(C9,Purchased!A:R,15,0)=0, " ", VLOOKUP(C9,Purchased!A:R,15,0))</f>
        <v>45481</v>
      </c>
      <c r="M9" s="46">
        <f>IF(VLOOKUP(C9,Purchased!A:R,16,0)=0, " ",VLOOKUP(C9,Purchased!A:R,16,0))</f>
        <v>45482</v>
      </c>
      <c r="N9" s="130">
        <f>IF(VLOOKUP(C9,Purchased!A:R,17,0)=0, " ", VLOOKUP(C9,Purchased!A:R,17,0))</f>
        <v>45482</v>
      </c>
      <c r="O9" s="47">
        <f ca="1">B9*$L$2</f>
        <v>4</v>
      </c>
      <c r="P9" s="51">
        <f>VLOOKUP(C9,Purchased!A:D,3,FALSE)</f>
        <v>15.75</v>
      </c>
      <c r="Q9" s="52">
        <f>B9*P9</f>
        <v>15.75</v>
      </c>
    </row>
    <row r="10" spans="1:17" s="2" customFormat="1" ht="12.75" customHeight="1" x14ac:dyDescent="0.25">
      <c r="A10" s="4">
        <v>304</v>
      </c>
      <c r="B10" s="2">
        <v>3</v>
      </c>
      <c r="C10" s="135" t="s">
        <v>916</v>
      </c>
      <c r="D10" s="325" t="str">
        <f>VLOOKUP(C10,Purchased!A:B,2,0)</f>
        <v>FLAT 1045 STEEL SPACER, NICKEL PLATED, 20MM OD, 10MM ID, 10MM THICK</v>
      </c>
      <c r="E10" s="326"/>
      <c r="F10" s="108" t="str">
        <f>IF(VLOOKUP($C10,Purchased!A:Z,11,0) = 0, " ", VLOOKUP($C10,Purchased!A:Z,11,0))</f>
        <v>MISUMI</v>
      </c>
      <c r="G10" s="108" t="str">
        <f>IF(VLOOKUP($C10,Purchased!A:Z,12,0)=0, " ", VLOOKUP($C10,Purchased!A:Z,12,0))</f>
        <v>MISUMI</v>
      </c>
      <c r="H10" s="327" t="str">
        <f>IF(VLOOKUP($C10,Purchased!A:Z,13,0)=0, " ", VLOOKUP($C10,Purchased!A:Z,13,0))</f>
        <v>20 more on PO 55693</v>
      </c>
      <c r="I10" s="328"/>
      <c r="J10" s="46">
        <f>IF(VLOOKUP($C10,Purchased!A:Z,14,0)=0, " ", VLOOKUP($C10,Purchased!A:Z,14,0))</f>
        <v>45483</v>
      </c>
      <c r="K10" s="46">
        <f>IF(VLOOKUP(C10,Purchased!A:R,14,0)=0, " ", VLOOKUP(C10,Purchased!A:R,14,0))</f>
        <v>45483</v>
      </c>
      <c r="L10" s="46">
        <f>IF(VLOOKUP(C10,Purchased!A:R,15,0)=0, " ", VLOOKUP(C10,Purchased!A:R,15,0))</f>
        <v>45483</v>
      </c>
      <c r="M10" s="46">
        <f>IF(VLOOKUP(C10,Purchased!A:R,16,0)=0, " ",VLOOKUP(C10,Purchased!A:R,16,0))</f>
        <v>45512</v>
      </c>
      <c r="N10" s="130">
        <f>IF(VLOOKUP(C10,Purchased!A:R,17,0)=0, " ", VLOOKUP(C10,Purchased!A:R,17,0))</f>
        <v>45512</v>
      </c>
      <c r="O10" s="47">
        <f ca="1">B10*$L$2</f>
        <v>12</v>
      </c>
      <c r="P10" s="51">
        <f>VLOOKUP(C10,Purchased!A:D,3,FALSE)</f>
        <v>8.9700000000000006</v>
      </c>
      <c r="Q10" s="52">
        <f>B10*P10</f>
        <v>26.910000000000004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thickBot="1" x14ac:dyDescent="0.3">
      <c r="A12" s="4">
        <v>501</v>
      </c>
      <c r="B12" s="2">
        <v>1</v>
      </c>
      <c r="C12" s="122" t="s">
        <v>917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4</v>
      </c>
      <c r="P12" s="51">
        <f>VLOOKUP(C12,Bolts!A:B,2,FALSE)</f>
        <v>0</v>
      </c>
      <c r="Q12" s="52">
        <f>B12*P12</f>
        <v>0</v>
      </c>
    </row>
    <row r="13" spans="1:17" ht="15.75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118.21000000000001</v>
      </c>
    </row>
  </sheetData>
  <sheetProtection selectLockedCells="1"/>
  <mergeCells count="20">
    <mergeCell ref="D13:E13"/>
    <mergeCell ref="H13:I13"/>
    <mergeCell ref="D6:E6"/>
    <mergeCell ref="H6:I6"/>
    <mergeCell ref="D7:E7"/>
    <mergeCell ref="H7:I7"/>
    <mergeCell ref="D8:E8"/>
    <mergeCell ref="H8:I8"/>
    <mergeCell ref="D12:E12"/>
    <mergeCell ref="H9:I9"/>
    <mergeCell ref="D10:E10"/>
    <mergeCell ref="H10:I10"/>
    <mergeCell ref="D11:E11"/>
    <mergeCell ref="H11:I11"/>
    <mergeCell ref="D9:E9"/>
    <mergeCell ref="D1:E1"/>
    <mergeCell ref="D4:E4"/>
    <mergeCell ref="H4:I4"/>
    <mergeCell ref="D5:E5"/>
    <mergeCell ref="H5:I5"/>
  </mergeCells>
  <conditionalFormatting sqref="M6 M11:M12">
    <cfRule type="cellIs" dxfId="1168" priority="9" stopIfTrue="1" operator="lessThanOrEqual">
      <formula>$L6</formula>
    </cfRule>
    <cfRule type="cellIs" dxfId="1167" priority="10" operator="greaterThan">
      <formula>L6</formula>
    </cfRule>
  </conditionalFormatting>
  <conditionalFormatting sqref="M7:M10">
    <cfRule type="cellIs" dxfId="1166" priority="1" stopIfTrue="1" operator="lessThanOrEqual">
      <formula>$L7</formula>
    </cfRule>
    <cfRule type="cellIs" dxfId="1165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422E2F-E0EB-4F2F-8757-E59AF87CCB51}">
          <x14:formula1>
            <xm:f>Bolts!$A:$A</xm:f>
          </x14:formula1>
          <xm:sqref>C11:C12</xm:sqref>
        </x14:dataValidation>
        <x14:dataValidation type="list" allowBlank="1" showInputMessage="1" showErrorMessage="1" xr:uid="{BCA015E4-AF7D-4A7C-91DB-B2E48257008A}">
          <x14:formula1>
            <xm:f>Machined!$C:$C</xm:f>
          </x14:formula1>
          <xm:sqref>C5</xm:sqref>
        </x14:dataValidation>
        <x14:dataValidation type="list" allowBlank="1" showInputMessage="1" showErrorMessage="1" xr:uid="{5B48ECE0-F82D-432C-A253-172D7A6A0616}">
          <x14:formula1>
            <xm:f>Purchased!$A:$A</xm:f>
          </x14:formula1>
          <xm:sqref>C6:C10</xm:sqref>
        </x14:dataValidation>
      </x14:dataValidations>
    </ext>
  </extLst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CB2EF-173B-4656-ACB2-B28B6C3DAD11}">
  <sheetPr codeName="Sheet141">
    <tabColor theme="9" tint="0.59999389629810485"/>
  </sheetPr>
  <dimension ref="A1:Q8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'6'!C9</f>
        <v>PG10.6.2.0.A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'6'!D9</f>
        <v>Tube Insert Assy A Side</v>
      </c>
      <c r="D3" s="85" t="s">
        <v>50</v>
      </c>
      <c r="E3" s="86" t="str">
        <f ca="1">MID(CELL("filename",A1),FIND("]",CELL("filename",A1))+1,256)</f>
        <v>6.2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918</v>
      </c>
      <c r="D5" s="336" t="str">
        <f ca="1">VLOOKUP(C5,Assemblies!E:P,2,0)</f>
        <v>Tube PNP Assy A Side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7" ca="1" si="0">B5*$L$2</f>
        <v>1</v>
      </c>
      <c r="P5" s="117">
        <f>'6.2.1'!Q32</f>
        <v>5599.2862999999998</v>
      </c>
      <c r="Q5" s="118">
        <f t="shared" ref="Q5:Q7" si="1">B5*P5</f>
        <v>5599.2862999999998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919</v>
      </c>
      <c r="D6" s="314" t="str">
        <f ca="1">VLOOKUP(C6,Assemblies!E:P,2,0)</f>
        <v>Tube Rotate Assy A Side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'6.2.2'!Q32</f>
        <v>1948.6399999999996</v>
      </c>
      <c r="Q6" s="103">
        <f t="shared" si="1"/>
        <v>1948.6399999999996</v>
      </c>
    </row>
    <row r="7" spans="1:17" s="2" customFormat="1" ht="12.75" customHeight="1" thickBot="1" x14ac:dyDescent="0.25">
      <c r="A7" s="150" t="s">
        <v>58</v>
      </c>
      <c r="B7" s="1">
        <v>1</v>
      </c>
      <c r="C7" s="145" t="s">
        <v>920</v>
      </c>
      <c r="D7" s="314" t="str">
        <f ca="1">VLOOKUP(C7,Assemblies!E:P,2,0)</f>
        <v>Tube Pusher Assy A Side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'6.2.3'!Q44</f>
        <v>3040.29</v>
      </c>
      <c r="Q7" s="103">
        <f t="shared" si="1"/>
        <v>3040.29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10588.2163</v>
      </c>
    </row>
  </sheetData>
  <mergeCells count="11"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6:E6"/>
    <mergeCell ref="H6:I6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99A7019B-36C0-4A73-AD11-1EEDA1778394}">
          <x14:formula1>
            <xm:f>Extrusion!$B:$B</xm:f>
          </x14:formula1>
          <xm:sqref>C717:C728</xm:sqref>
        </x14:dataValidation>
        <x14:dataValidation type="list" allowBlank="1" showInputMessage="1" showErrorMessage="1" xr:uid="{07424EE0-494C-4F19-86F9-78B40D9D0B07}">
          <x14:formula1>
            <xm:f>Bolts!$A:$A</xm:f>
          </x14:formula1>
          <xm:sqref>C704:C715</xm:sqref>
        </x14:dataValidation>
        <x14:dataValidation type="list" allowBlank="1" showInputMessage="1" showErrorMessage="1" xr:uid="{83F52747-1E25-4DA2-8E07-0D6C08F41C6C}">
          <x14:formula1>
            <xm:f>Assemblies!$E:$E</xm:f>
          </x14:formula1>
          <xm:sqref>C5:C676</xm:sqref>
        </x14:dataValidation>
        <x14:dataValidation type="list" allowBlank="1" showInputMessage="1" showErrorMessage="1" xr:uid="{C2FBCD3A-11F4-45B1-839B-D1664DC3EF7B}">
          <x14:formula1>
            <xm:f>Machined!$C:$C</xm:f>
          </x14:formula1>
          <xm:sqref>C677:C689</xm:sqref>
        </x14:dataValidation>
        <x14:dataValidation type="list" allowBlank="1" showInputMessage="1" showErrorMessage="1" xr:uid="{46FC2826-CA24-4E1D-9F07-6C4F303C9EFA}">
          <x14:formula1>
            <xm:f>Purchased!$A:$A</xm:f>
          </x14:formula1>
          <xm:sqref>C690:C703</xm:sqref>
        </x14:dataValidation>
      </x14:dataValidations>
    </ext>
  </extLst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0EA78-CBFC-4C9C-9145-46BBDCD6213B}">
  <sheetPr codeName="Sheet142">
    <tabColor theme="6" tint="0.59999389629810485"/>
  </sheetPr>
  <dimension ref="A1:Q32"/>
  <sheetViews>
    <sheetView view="pageBreakPreview" zoomScale="60" zoomScaleNormal="115" workbookViewId="0">
      <selection activeCell="H48" sqref="H4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'6.2'!C5</f>
        <v>PG10.6.2.1.0.A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'6.2'!D5</f>
        <v>Tube PNP Assy A Side</v>
      </c>
      <c r="D3" s="85" t="s">
        <v>50</v>
      </c>
      <c r="E3" s="86" t="str">
        <f ca="1">MID(CELL("filename",A1),FIND("]",CELL("filename",A1))+1,256)</f>
        <v>6.2.1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921</v>
      </c>
      <c r="D5" s="336" t="str">
        <f ca="1">VLOOKUP(C5,Assemblies!E:P,2,0)</f>
        <v>Pick Cylinder Stop Assy A Side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8" ca="1" si="0">B5*$L$2</f>
        <v>1</v>
      </c>
      <c r="P5" s="117">
        <f>'6.2.1.1'!Q21</f>
        <v>677.81</v>
      </c>
      <c r="Q5" s="118">
        <f t="shared" ref="Q5:Q8" si="1">B5*P5</f>
        <v>677.81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922</v>
      </c>
      <c r="D6" s="314" t="str">
        <f ca="1">VLOOKUP(C6,Assemblies!E:P,2,0)</f>
        <v>Speed Control Tube PNP Assy A Side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'6.2.1.2'!Q18</f>
        <v>142.12</v>
      </c>
      <c r="Q6" s="103">
        <f t="shared" si="1"/>
        <v>142.12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923</v>
      </c>
      <c r="D7" s="314" t="str">
        <f ca="1">VLOOKUP(C7,Assemblies!E:P,2,0)</f>
        <v>Air Cylinder Mount Assy A Side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'6.2.1.3'!Q24</f>
        <v>1529.7662999999998</v>
      </c>
      <c r="Q7" s="103">
        <f t="shared" si="1"/>
        <v>1529.7662999999998</v>
      </c>
    </row>
    <row r="8" spans="1:17" s="2" customFormat="1" ht="12.75" customHeight="1" x14ac:dyDescent="0.2">
      <c r="A8" s="150" t="s">
        <v>60</v>
      </c>
      <c r="B8" s="1">
        <v>1</v>
      </c>
      <c r="C8" s="145" t="s">
        <v>924</v>
      </c>
      <c r="D8" s="314" t="str">
        <f ca="1">VLOOKUP(C8,Assemblies!E:P,2,0)</f>
        <v>Tube Gripper Assy A Side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'6.2.1.4'!Q29</f>
        <v>1451.1099999999997</v>
      </c>
      <c r="Q8" s="103">
        <f t="shared" si="1"/>
        <v>1451.1099999999997</v>
      </c>
    </row>
    <row r="9" spans="1:17" s="2" customFormat="1" ht="12.75" customHeight="1" x14ac:dyDescent="0.2">
      <c r="A9" s="150" t="s">
        <v>62</v>
      </c>
      <c r="B9" s="1">
        <v>1</v>
      </c>
      <c r="C9" s="145" t="s">
        <v>925</v>
      </c>
      <c r="D9" s="314" t="str">
        <f ca="1">VLOOKUP(C9,Assemblies!E:P,2,0)</f>
        <v>Cuff Present Sensor Assy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ref="O9" ca="1" si="2">B9*$L$2</f>
        <v>1</v>
      </c>
      <c r="P9" s="147">
        <f>'6.2.1.4'!Q30</f>
        <v>0</v>
      </c>
      <c r="Q9" s="103">
        <f t="shared" ref="Q9" si="3">B9*P9</f>
        <v>0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77">
        <v>1</v>
      </c>
      <c r="B11" s="20">
        <v>1</v>
      </c>
      <c r="C11" s="121" t="s">
        <v>926</v>
      </c>
      <c r="D11" s="314" t="str">
        <f>VLOOKUP(C11,Machined!C:X,2,0)</f>
        <v>PNP Mounting Plate</v>
      </c>
      <c r="E11" s="329"/>
      <c r="F11" s="107" t="str">
        <f>VLOOKUP($C11,Machined!C:Z,13,0)</f>
        <v>MIC-6 CAST ALUMINUM</v>
      </c>
      <c r="G11" s="44" t="str">
        <f>IF(VLOOKUP($C11,Machined!C:Z,16,0) = 0, " ", VLOOKUP($C11,Machined!C:Z,16,0))</f>
        <v>Bemox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MIC-6 CAST ALUMINUM</v>
      </c>
      <c r="J11" s="44">
        <f>IF(VLOOKUP($C11,Machined!C:Z,18,0) = 0, " ", VLOOKUP($C11,Machined!C:Z,18,0))</f>
        <v>45463</v>
      </c>
      <c r="K11" s="44">
        <f>IF(VLOOKUP($C11,Machined!C:Z,19,0) = 0, " ", VLOOKUP($C11,Machined!C:Z,19,0))</f>
        <v>45467</v>
      </c>
      <c r="L11" s="44">
        <f>IF(VLOOKUP($C11,Machined!C:Z,20,0) = 0, " ", VLOOKUP($C11,Machined!C:Z,20,0))</f>
        <v>45504</v>
      </c>
      <c r="M11" s="44">
        <f>IF(VLOOKUP($C11,Machined!C:Z,21,0) = 0, " ", VLOOKUP($C11,Machined!C:Z,21,0))</f>
        <v>45504</v>
      </c>
      <c r="N11" s="129">
        <f>IF(VLOOKUP($C11,Machined!C:Z,22,0) = 0, " ", VLOOKUP($C11,Machined!C:Z,22,0))</f>
        <v>55572</v>
      </c>
      <c r="O11" s="45">
        <f ca="1">B11*$L$2</f>
        <v>1</v>
      </c>
      <c r="P11" s="49">
        <f>VLOOKUP(C11,Machined!C:F,3,0)</f>
        <v>439.75</v>
      </c>
      <c r="Q11" s="50">
        <f>B11*P11</f>
        <v>439.75</v>
      </c>
    </row>
    <row r="12" spans="1:17" s="2" customFormat="1" ht="12.75" customHeight="1" x14ac:dyDescent="0.25">
      <c r="A12" s="77">
        <v>2</v>
      </c>
      <c r="B12" s="20">
        <v>2</v>
      </c>
      <c r="C12" s="121" t="s">
        <v>927</v>
      </c>
      <c r="D12" s="314" t="str">
        <f>VLOOKUP(C12,Machined!C:X,2,0)</f>
        <v>Bearing Block</v>
      </c>
      <c r="E12" s="329"/>
      <c r="F12" s="107" t="str">
        <f>VLOOKUP($C12,Machined!C:Z,13,0)</f>
        <v>6061-T6 ALUMINUM</v>
      </c>
      <c r="G12" s="44" t="str">
        <f>IF(VLOOKUP($C12,Machined!C:Z,16,0) = 0, " ", VLOOKUP($C12,Machined!C:Z,16,0))</f>
        <v>Bemox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6061-T6 ALUMINUM</v>
      </c>
      <c r="J12" s="44">
        <f>IF(VLOOKUP($C12,Machined!C:Z,18,0) = 0, " ", VLOOKUP($C12,Machined!C:Z,18,0))</f>
        <v>45463</v>
      </c>
      <c r="K12" s="44">
        <f>IF(VLOOKUP($C12,Machined!C:Z,19,0) = 0, " ", VLOOKUP($C12,Machined!C:Z,19,0))</f>
        <v>45467</v>
      </c>
      <c r="L12" s="44">
        <f>IF(VLOOKUP($C12,Machined!C:Z,20,0) = 0, " ", VLOOKUP($C12,Machined!C:Z,20,0))</f>
        <v>45504</v>
      </c>
      <c r="M12" s="44">
        <f>IF(VLOOKUP($C12,Machined!C:Z,21,0) = 0, " ", VLOOKUP($C12,Machined!C:Z,21,0))</f>
        <v>45504</v>
      </c>
      <c r="N12" s="129">
        <f>IF(VLOOKUP($C12,Machined!C:Z,22,0) = 0, " ", VLOOKUP($C12,Machined!C:Z,22,0))</f>
        <v>55572</v>
      </c>
      <c r="O12" s="45">
        <f t="shared" ref="O12" ca="1" si="4">B12*$L$2</f>
        <v>2</v>
      </c>
      <c r="P12" s="49">
        <f>VLOOKUP(C12,Machined!C:F,3,0)</f>
        <v>228</v>
      </c>
      <c r="Q12" s="50">
        <f t="shared" ref="Q12" si="5">B12*P12</f>
        <v>456</v>
      </c>
    </row>
    <row r="13" spans="1:17" s="2" customFormat="1" ht="12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" customHeight="1" x14ac:dyDescent="0.25">
      <c r="A14" s="4">
        <v>301</v>
      </c>
      <c r="B14" s="2">
        <v>2</v>
      </c>
      <c r="C14" s="135" t="s">
        <v>928</v>
      </c>
      <c r="D14" s="325" t="str">
        <f>VLOOKUP(C14,Purchased!A:B,2,0)</f>
        <v>15 mm Wide X 340 mm Long Guide Rail for Ball Bearing Carriage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45481</v>
      </c>
      <c r="K14" s="46">
        <f>IF(VLOOKUP(C14,Purchased!A:R,14,0)=0, " ", VLOOKUP(C14,Purchased!A:R,14,0))</f>
        <v>45481</v>
      </c>
      <c r="L14" s="46">
        <f>IF(VLOOKUP(C14,Purchased!A:R,15,0)=0, " ", VLOOKUP(C14,Purchased!A:R,15,0))</f>
        <v>45481</v>
      </c>
      <c r="M14" s="46">
        <f>IF(VLOOKUP(C14,Purchased!A:R,16,0)=0, " ",VLOOKUP(C14,Purchased!A:R,16,0))</f>
        <v>45482</v>
      </c>
      <c r="N14" s="130">
        <f>IF(VLOOKUP(C14,Purchased!A:R,17,0)=0, " ", VLOOKUP(C14,Purchased!A:R,17,0))</f>
        <v>45482</v>
      </c>
      <c r="O14" s="47">
        <f t="shared" ref="O14:O23" ca="1" si="6">B14*$L$2</f>
        <v>2</v>
      </c>
      <c r="P14" s="51">
        <f>VLOOKUP(C14,Purchased!A:D,3,FALSE)</f>
        <v>108.8</v>
      </c>
      <c r="Q14" s="52">
        <f t="shared" ref="Q14:Q23" si="7">B14*P14</f>
        <v>217.6</v>
      </c>
    </row>
    <row r="15" spans="1:17" s="2" customFormat="1" ht="12" customHeight="1" x14ac:dyDescent="0.25">
      <c r="A15" s="4">
        <v>302</v>
      </c>
      <c r="B15" s="2">
        <v>2</v>
      </c>
      <c r="C15" s="135" t="s">
        <v>929</v>
      </c>
      <c r="D15" s="325" t="str">
        <f>VLOOKUP(C15,Purchased!A:B,2,0)</f>
        <v>Flange-Mounted Linear Ball Bearing, Round Flange, 25mm Shaft Diameter, 
112mm x 62mm x 62mm</v>
      </c>
      <c r="E15" s="326"/>
      <c r="F15" s="108" t="str">
        <f>IF(VLOOKUP($C15,Purchased!A:Z,11,0) = 0, " ", VLOOKUP($C15,Purchased!A:Z,11,0))</f>
        <v>PBC</v>
      </c>
      <c r="G15" s="108" t="str">
        <f>IF(VLOOKUP($C15,Purchased!A:Z,12,0)=0, " ", VLOOKUP($C15,Purchased!A:Z,12,0))</f>
        <v>BDI</v>
      </c>
      <c r="H15" s="327" t="str">
        <f>IF(VLOOKUP($C15,Purchased!A:Z,13,0)=0, " ", VLOOKUP($C15,Purchased!A:Z,13,0))</f>
        <v>#  21563309 EPF25GW</v>
      </c>
      <c r="I15" s="328"/>
      <c r="J15" s="46">
        <f>IF(VLOOKUP($C15,Purchased!A:Z,14,0)=0, " ", VLOOKUP($C15,Purchased!A:Z,14,0))</f>
        <v>45460</v>
      </c>
      <c r="K15" s="46">
        <f>IF(VLOOKUP(C15,Purchased!A:R,14,0)=0, " ", VLOOKUP(C15,Purchased!A:R,14,0))</f>
        <v>45460</v>
      </c>
      <c r="L15" s="46">
        <f>IF(VLOOKUP(C15,Purchased!A:R,15,0)=0, " ", VLOOKUP(C15,Purchased!A:R,15,0))</f>
        <v>45462</v>
      </c>
      <c r="M15" s="46">
        <f>IF(VLOOKUP(C15,Purchased!A:R,16,0)=0, " ",VLOOKUP(C15,Purchased!A:R,16,0))</f>
        <v>45495</v>
      </c>
      <c r="N15" s="130">
        <f>IF(VLOOKUP(C15,Purchased!A:R,17,0)=0, " ", VLOOKUP(C15,Purchased!A:R,17,0))</f>
        <v>45495</v>
      </c>
      <c r="O15" s="47">
        <f t="shared" ca="1" si="6"/>
        <v>2</v>
      </c>
      <c r="P15" s="51">
        <f>VLOOKUP(C15,Purchased!A:D,3,FALSE)</f>
        <v>85.86</v>
      </c>
      <c r="Q15" s="52">
        <f t="shared" si="7"/>
        <v>171.72</v>
      </c>
    </row>
    <row r="16" spans="1:17" s="2" customFormat="1" ht="12" customHeight="1" x14ac:dyDescent="0.25">
      <c r="A16" s="4">
        <v>303</v>
      </c>
      <c r="B16" s="2">
        <v>2</v>
      </c>
      <c r="C16" s="135" t="s">
        <v>305</v>
      </c>
      <c r="D16" s="325" t="str">
        <f>VLOOKUP(C16,Purchased!A:B,2,0)</f>
        <v>Auto Switch, Solid State, General Purpose, M8-3Pin Connector, 0.5m Cord 
Length</v>
      </c>
      <c r="E16" s="326"/>
      <c r="F16" s="108" t="str">
        <f>IF(VLOOKUP($C16,Purchased!A:Z,11,0) = 0, " ", VLOOKUP($C16,Purchased!A:Z,11,0))</f>
        <v>SMC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10 more PO 55692</v>
      </c>
      <c r="I16" s="328"/>
      <c r="J16" s="46">
        <f>IF(VLOOKUP($C16,Purchased!A:Z,14,0)=0, " ", VLOOKUP($C16,Purchased!A:Z,14,0))</f>
        <v>45489</v>
      </c>
      <c r="K16" s="46">
        <f>IF(VLOOKUP(C16,Purchased!A:R,14,0)=0, " ", VLOOKUP(C16,Purchased!A:R,14,0))</f>
        <v>45489</v>
      </c>
      <c r="L16" s="46">
        <f>IF(VLOOKUP(C16,Purchased!A:R,15,0)=0, " ", VLOOKUP(C16,Purchased!A:R,15,0))</f>
        <v>45489</v>
      </c>
      <c r="M16" s="46">
        <f>IF(VLOOKUP(C16,Purchased!A:R,16,0)=0, " ",VLOOKUP(C16,Purchased!A:R,16,0))</f>
        <v>45510</v>
      </c>
      <c r="N16" s="130">
        <f>IF(VLOOKUP(C16,Purchased!A:R,17,0)=0, " ", VLOOKUP(C16,Purchased!A:R,17,0))</f>
        <v>45513</v>
      </c>
      <c r="O16" s="47">
        <f t="shared" ca="1" si="6"/>
        <v>2</v>
      </c>
      <c r="P16" s="51">
        <f>VLOOKUP(C16,Purchased!A:D,3,FALSE)</f>
        <v>38.64</v>
      </c>
      <c r="Q16" s="52">
        <f t="shared" si="7"/>
        <v>77.28</v>
      </c>
    </row>
    <row r="17" spans="1:17" s="2" customFormat="1" ht="12" customHeight="1" x14ac:dyDescent="0.25">
      <c r="A17" s="4">
        <v>304</v>
      </c>
      <c r="B17" s="2">
        <v>2</v>
      </c>
      <c r="C17" s="135" t="s">
        <v>930</v>
      </c>
      <c r="D17" s="325" t="str">
        <f>VLOOKUP(C17,Purchased!A:B,2,0)</f>
        <v>Switch Spacer for D-M9PSAPC</v>
      </c>
      <c r="E17" s="326"/>
      <c r="F17" s="108" t="str">
        <f>IF(VLOOKUP($C17,Purchased!A:Z,11,0) = 0, " ", VLOOKUP($C17,Purchased!A:Z,11,0))</f>
        <v>SMC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>4 more PO 55692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45489</v>
      </c>
      <c r="M17" s="46">
        <f>IF(VLOOKUP(C17,Purchased!A:R,16,0)=0, " ",VLOOKUP(C17,Purchased!A:R,16,0))</f>
        <v>45510</v>
      </c>
      <c r="N17" s="130">
        <f>IF(VLOOKUP(C17,Purchased!A:R,17,0)=0, " ", VLOOKUP(C17,Purchased!A:R,17,0))</f>
        <v>45513</v>
      </c>
      <c r="O17" s="47">
        <f t="shared" ca="1" si="6"/>
        <v>2</v>
      </c>
      <c r="P17" s="51">
        <f>VLOOKUP(C17,Purchased!A:D,3,FALSE)</f>
        <v>2.44</v>
      </c>
      <c r="Q17" s="52">
        <f t="shared" si="7"/>
        <v>4.88</v>
      </c>
    </row>
    <row r="18" spans="1:17" s="2" customFormat="1" ht="12" customHeight="1" x14ac:dyDescent="0.25">
      <c r="A18" s="4">
        <v>305</v>
      </c>
      <c r="B18" s="2">
        <v>2</v>
      </c>
      <c r="C18" s="135" t="s">
        <v>931</v>
      </c>
      <c r="D18" s="325" t="str">
        <f>VLOOKUP(C18,Purchased!A:B,2,0)</f>
        <v>KQ2 unifit straight fitting 1/8in port to 6mm dia tubing</v>
      </c>
      <c r="E18" s="326"/>
      <c r="F18" s="108" t="str">
        <f>IF(VLOOKUP($C18,Purchased!A:Z,11,0) = 0, " ", VLOOKUP($C18,Purchased!A:Z,11,0))</f>
        <v>SMC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45491</v>
      </c>
      <c r="M18" s="46">
        <f>IF(VLOOKUP(C18,Purchased!A:R,16,0)=0, " ",VLOOKUP(C18,Purchased!A:R,16,0))</f>
        <v>45520</v>
      </c>
      <c r="N18" s="130">
        <f>IF(VLOOKUP(C18,Purchased!A:R,17,0)=0, " ", VLOOKUP(C18,Purchased!A:R,17,0))</f>
        <v>45511</v>
      </c>
      <c r="O18" s="47">
        <f t="shared" ca="1" si="6"/>
        <v>2</v>
      </c>
      <c r="P18" s="51">
        <f>VLOOKUP(C18,Purchased!A:D,3,FALSE)</f>
        <v>1.7</v>
      </c>
      <c r="Q18" s="52">
        <f t="shared" si="7"/>
        <v>3.4</v>
      </c>
    </row>
    <row r="19" spans="1:17" s="2" customFormat="1" ht="12" customHeight="1" x14ac:dyDescent="0.25">
      <c r="A19" s="4">
        <v>306</v>
      </c>
      <c r="B19" s="2">
        <v>2</v>
      </c>
      <c r="C19" s="135" t="s">
        <v>799</v>
      </c>
      <c r="D19" s="325" t="str">
        <f>VLOOKUP(C19,Purchased!A:B,2,0)</f>
        <v>Speed Controller One Touch Fitting, 6mm dia tubing</v>
      </c>
      <c r="E19" s="326"/>
      <c r="F19" s="108" t="str">
        <f>IF(VLOOKUP($C19,Purchased!A:Z,11,0) = 0, " ", VLOOKUP($C19,Purchased!A:Z,11,0))</f>
        <v>SMC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>10 more PO 55692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45491</v>
      </c>
      <c r="M19" s="46">
        <f>IF(VLOOKUP(C19,Purchased!A:R,16,0)=0, " ",VLOOKUP(C19,Purchased!A:R,16,0))</f>
        <v>45520</v>
      </c>
      <c r="N19" s="130">
        <f>IF(VLOOKUP(C19,Purchased!A:R,17,0)=0, " ", VLOOKUP(C19,Purchased!A:R,17,0))</f>
        <v>45511</v>
      </c>
      <c r="O19" s="47">
        <f t="shared" ca="1" si="6"/>
        <v>2</v>
      </c>
      <c r="P19" s="51">
        <f>VLOOKUP(C19,Purchased!A:D,3,FALSE)</f>
        <v>14.87</v>
      </c>
      <c r="Q19" s="52">
        <f t="shared" si="7"/>
        <v>29.74</v>
      </c>
    </row>
    <row r="20" spans="1:17" s="2" customFormat="1" ht="12" customHeight="1" x14ac:dyDescent="0.25">
      <c r="A20" s="4">
        <v>307</v>
      </c>
      <c r="B20" s="2">
        <v>2</v>
      </c>
      <c r="C20" s="135" t="s">
        <v>932</v>
      </c>
      <c r="D20" s="325" t="str">
        <f>VLOOKUP(C20,Purchased!A:B,2,0)</f>
        <v>Floating bracket for MY3 series 25mm bore</v>
      </c>
      <c r="E20" s="326"/>
      <c r="F20" s="108" t="str">
        <f>IF(VLOOKUP($C20,Purchased!A:Z,11,0) = 0, " ", VLOOKUP($C20,Purchased!A:Z,11,0))</f>
        <v>SMC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45489</v>
      </c>
      <c r="K20" s="46">
        <f>IF(VLOOKUP(C20,Purchased!A:R,14,0)=0, " ", VLOOKUP(C20,Purchased!A:R,14,0))</f>
        <v>45489</v>
      </c>
      <c r="L20" s="46">
        <f>IF(VLOOKUP(C20,Purchased!A:R,15,0)=0, " ", VLOOKUP(C20,Purchased!A:R,15,0))</f>
        <v>45489</v>
      </c>
      <c r="M20" s="46">
        <f>IF(VLOOKUP(C20,Purchased!A:R,16,0)=0, " ",VLOOKUP(C20,Purchased!A:R,16,0))</f>
        <v>45510</v>
      </c>
      <c r="N20" s="130">
        <f>IF(VLOOKUP(C20,Purchased!A:R,17,0)=0, " ", VLOOKUP(C20,Purchased!A:R,17,0))</f>
        <v>45513</v>
      </c>
      <c r="O20" s="47">
        <f t="shared" ca="1" si="6"/>
        <v>2</v>
      </c>
      <c r="P20" s="51">
        <f>VLOOKUP(C20,Purchased!A:D,3,FALSE)</f>
        <v>31.94</v>
      </c>
      <c r="Q20" s="52">
        <f t="shared" si="7"/>
        <v>63.88</v>
      </c>
    </row>
    <row r="21" spans="1:17" s="2" customFormat="1" ht="12" customHeight="1" x14ac:dyDescent="0.25">
      <c r="A21" s="4">
        <v>308</v>
      </c>
      <c r="B21" s="2">
        <v>1</v>
      </c>
      <c r="C21" s="135" t="s">
        <v>933</v>
      </c>
      <c r="D21" s="325" t="str">
        <f>VLOOKUP(C21,Purchased!A:B,2,0)</f>
        <v>MY3 Rodless cylinder, 25mm bore, 200mm stroke</v>
      </c>
      <c r="E21" s="326"/>
      <c r="F21" s="108" t="str">
        <f>IF(VLOOKUP($C21,Purchased!A:Z,11,0) = 0, " ", VLOOKUP($C21,Purchased!A:Z,11,0))</f>
        <v>SMC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45489</v>
      </c>
      <c r="K21" s="46">
        <f>IF(VLOOKUP(C21,Purchased!A:R,14,0)=0, " ", VLOOKUP(C21,Purchased!A:R,14,0))</f>
        <v>45489</v>
      </c>
      <c r="L21" s="46">
        <f>IF(VLOOKUP(C21,Purchased!A:R,15,0)=0, " ", VLOOKUP(C21,Purchased!A:R,15,0))</f>
        <v>45489</v>
      </c>
      <c r="M21" s="46">
        <f>IF(VLOOKUP(C21,Purchased!A:R,16,0)=0, " ",VLOOKUP(C21,Purchased!A:R,16,0))</f>
        <v>45510</v>
      </c>
      <c r="N21" s="130">
        <f>IF(VLOOKUP(C21,Purchased!A:R,17,0)=0, " ", VLOOKUP(C21,Purchased!A:R,17,0))</f>
        <v>45541</v>
      </c>
      <c r="O21" s="47">
        <f t="shared" ca="1" si="6"/>
        <v>1</v>
      </c>
      <c r="P21" s="51">
        <f>VLOOKUP(C21,Purchased!A:D,3,FALSE)</f>
        <v>308.31</v>
      </c>
      <c r="Q21" s="52">
        <f t="shared" si="7"/>
        <v>308.31</v>
      </c>
    </row>
    <row r="22" spans="1:17" s="2" customFormat="1" ht="12" customHeight="1" x14ac:dyDescent="0.25">
      <c r="A22" s="4">
        <v>309</v>
      </c>
      <c r="B22" s="2">
        <v>1</v>
      </c>
      <c r="C22" s="135" t="s">
        <v>934</v>
      </c>
      <c r="D22" s="325" t="str">
        <f>VLOOKUP(C22,Purchased!A:B,2,0)</f>
        <v>Coiled tubing, 6mm OD 4mm OD, dual tubes</v>
      </c>
      <c r="E22" s="326"/>
      <c r="F22" s="108" t="str">
        <f>IF(VLOOKUP($C22,Purchased!A:Z,11,0) = 0, " ", VLOOKUP($C22,Purchased!A:Z,11,0))</f>
        <v>SMC</v>
      </c>
      <c r="G22" s="108" t="str">
        <f>IF(VLOOKUP($C22,Purchased!A:Z,12,0)=0, " ", VLOOKUP($C22,Purchased!A:Z,12,0))</f>
        <v>AAP</v>
      </c>
      <c r="H22" s="327" t="str">
        <f>IF(VLOOKUP($C22,Purchased!A:Z,13,0)=0, " ", VLOOKUP($C22,Purchased!A:Z,13,0))</f>
        <v xml:space="preserve"> </v>
      </c>
      <c r="I22" s="328"/>
      <c r="J22" s="46" t="str">
        <f>IF(VLOOKUP($C22,Purchased!A:Z,14,0)=0, " ", VLOOKUP($C22,Purchased!A:Z,14,0))</f>
        <v>N/A</v>
      </c>
      <c r="K22" s="46" t="str">
        <f>IF(VLOOKUP(C22,Purchased!A:R,14,0)=0, " ", VLOOKUP(C22,Purchased!A:R,14,0))</f>
        <v>N/A</v>
      </c>
      <c r="L22" s="46">
        <f>IF(VLOOKUP(C22,Purchased!A:R,15,0)=0, " ", VLOOKUP(C22,Purchased!A:R,15,0))</f>
        <v>45524</v>
      </c>
      <c r="M22" s="46">
        <f>IF(VLOOKUP(C22,Purchased!A:R,16,0)=0, " ",VLOOKUP(C22,Purchased!A:R,16,0))</f>
        <v>45547</v>
      </c>
      <c r="N22" s="130">
        <f>IF(VLOOKUP(C22,Purchased!A:R,17,0)=0, " ", VLOOKUP(C22,Purchased!A:R,17,0))</f>
        <v>45530</v>
      </c>
      <c r="O22" s="47">
        <f t="shared" ca="1" si="6"/>
        <v>1</v>
      </c>
      <c r="P22" s="51">
        <f>VLOOKUP(C22,Purchased!A:D,3,FALSE)</f>
        <v>25.92</v>
      </c>
      <c r="Q22" s="52">
        <f t="shared" si="7"/>
        <v>25.92</v>
      </c>
    </row>
    <row r="23" spans="1:17" s="2" customFormat="1" ht="12" customHeight="1" x14ac:dyDescent="0.25">
      <c r="A23" s="4">
        <v>310</v>
      </c>
      <c r="B23" s="2">
        <v>2</v>
      </c>
      <c r="C23" s="135" t="s">
        <v>306</v>
      </c>
      <c r="D23" s="325" t="str">
        <f>VLOOKUP(C23,Purchased!A:B,2,0)</f>
        <v>M8 female 0° A-cod. with cable, PVC 3x0.25 bk UL/CSA 10m</v>
      </c>
      <c r="E23" s="326"/>
      <c r="F23" s="108" t="str">
        <f>IF(VLOOKUP($C23,Purchased!A:Z,11,0) = 0, " ", VLOOKUP($C23,Purchased!A:Z,11,0))</f>
        <v>MURR</v>
      </c>
      <c r="G23" s="108" t="str">
        <f>IF(VLOOKUP($C23,Purchased!A:Z,12,0)=0, " ", VLOOKUP($C23,Purchased!A:Z,12,0))</f>
        <v>MURR</v>
      </c>
      <c r="H23" s="327" t="str">
        <f>IF(VLOOKUP($C23,Purchased!A:Z,13,0)=0, " ", VLOOKUP($C23,Purchased!A:Z,13,0))</f>
        <v xml:space="preserve"> </v>
      </c>
      <c r="I23" s="328"/>
      <c r="J23" s="46">
        <f>IF(VLOOKUP($C23,Purchased!A:Z,14,0)=0, " ", VLOOKUP($C23,Purchased!A:Z,14,0))</f>
        <v>45506</v>
      </c>
      <c r="K23" s="46">
        <f>IF(VLOOKUP(C23,Purchased!A:R,14,0)=0, " ", VLOOKUP(C23,Purchased!A:R,14,0))</f>
        <v>45506</v>
      </c>
      <c r="L23" s="46" t="str">
        <f>IF(VLOOKUP(C23,Purchased!A:R,15,0)=0, " ", VLOOKUP(C23,Purchased!A:R,15,0))</f>
        <v xml:space="preserve"> </v>
      </c>
      <c r="M23" s="46" t="str">
        <f>IF(VLOOKUP(C23,Purchased!A:R,16,0)=0, " ",VLOOKUP(C23,Purchased!A:R,16,0))</f>
        <v xml:space="preserve"> </v>
      </c>
      <c r="N23" s="130" t="str">
        <f>IF(VLOOKUP(C23,Purchased!A:R,17,0)=0, " ", VLOOKUP(C23,Purchased!A:R,17,0))</f>
        <v xml:space="preserve"> </v>
      </c>
      <c r="O23" s="47">
        <f t="shared" ca="1" si="6"/>
        <v>2</v>
      </c>
      <c r="P23" s="51">
        <f>VLOOKUP(C23,Purchased!A:D,3,FALSE)</f>
        <v>0</v>
      </c>
      <c r="Q23" s="52">
        <f t="shared" si="7"/>
        <v>0</v>
      </c>
    </row>
    <row r="24" spans="1:17" s="2" customFormat="1" ht="12" customHeight="1" x14ac:dyDescent="0.25">
      <c r="A24" s="25"/>
      <c r="B24" s="26"/>
      <c r="C24" s="26"/>
      <c r="D24" s="332"/>
      <c r="E24" s="333"/>
      <c r="F24" s="26"/>
      <c r="G24" s="26"/>
      <c r="H24" s="322"/>
      <c r="I24" s="323"/>
      <c r="J24" s="27"/>
      <c r="K24" s="27"/>
      <c r="L24" s="27"/>
      <c r="M24" s="28"/>
      <c r="N24" s="29"/>
      <c r="O24" s="29"/>
      <c r="P24" s="148"/>
      <c r="Q24" s="149"/>
    </row>
    <row r="25" spans="1:17" s="2" customFormat="1" ht="12" customHeight="1" x14ac:dyDescent="0.25">
      <c r="A25" s="4">
        <v>501</v>
      </c>
      <c r="B25" s="2">
        <v>4</v>
      </c>
      <c r="C25" s="122" t="s">
        <v>823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ref="O25:O31" ca="1" si="8">B25*$L$2</f>
        <v>4</v>
      </c>
      <c r="P25" s="51">
        <f>VLOOKUP(C25,Bolts!A:B,2,FALSE)</f>
        <v>0</v>
      </c>
      <c r="Q25" s="52">
        <f t="shared" ref="Q25:Q31" si="9">B25*P25</f>
        <v>0</v>
      </c>
    </row>
    <row r="26" spans="1:17" s="2" customFormat="1" ht="12" customHeight="1" x14ac:dyDescent="0.25">
      <c r="A26" s="4">
        <v>502</v>
      </c>
      <c r="B26" s="2">
        <v>8</v>
      </c>
      <c r="C26" s="122" t="s">
        <v>107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8"/>
        <v>8</v>
      </c>
      <c r="P26" s="51">
        <f>VLOOKUP(C26,Bolts!A:B,2,FALSE)</f>
        <v>0</v>
      </c>
      <c r="Q26" s="52">
        <f t="shared" si="9"/>
        <v>0</v>
      </c>
    </row>
    <row r="27" spans="1:17" s="2" customFormat="1" ht="12" customHeight="1" x14ac:dyDescent="0.25">
      <c r="A27" s="4">
        <v>503</v>
      </c>
      <c r="B27" s="2">
        <v>12</v>
      </c>
      <c r="C27" s="122" t="s">
        <v>617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8"/>
        <v>12</v>
      </c>
      <c r="P27" s="51">
        <f>VLOOKUP(C27,Bolts!A:B,2,FALSE)</f>
        <v>0</v>
      </c>
      <c r="Q27" s="52">
        <f t="shared" si="9"/>
        <v>0</v>
      </c>
    </row>
    <row r="28" spans="1:17" s="2" customFormat="1" ht="12" customHeight="1" x14ac:dyDescent="0.25">
      <c r="A28" s="4">
        <v>504</v>
      </c>
      <c r="B28" s="2">
        <v>12</v>
      </c>
      <c r="C28" s="122" t="s">
        <v>349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8"/>
        <v>12</v>
      </c>
      <c r="P28" s="51">
        <f>VLOOKUP(C28,Bolts!A:B,2,FALSE)</f>
        <v>0</v>
      </c>
      <c r="Q28" s="52">
        <f t="shared" si="9"/>
        <v>0</v>
      </c>
    </row>
    <row r="29" spans="1:17" s="2" customFormat="1" ht="12" customHeight="1" x14ac:dyDescent="0.25">
      <c r="A29" s="4">
        <v>505</v>
      </c>
      <c r="B29" s="2">
        <v>4</v>
      </c>
      <c r="C29" s="122" t="s">
        <v>830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8"/>
        <v>4</v>
      </c>
      <c r="P29" s="51">
        <f>VLOOKUP(C29,Bolts!A:B,2,FALSE)</f>
        <v>0</v>
      </c>
      <c r="Q29" s="52">
        <f t="shared" si="9"/>
        <v>0</v>
      </c>
    </row>
    <row r="30" spans="1:17" s="2" customFormat="1" ht="12" customHeight="1" x14ac:dyDescent="0.25">
      <c r="A30" s="4">
        <v>506</v>
      </c>
      <c r="B30" s="2">
        <v>4</v>
      </c>
      <c r="C30" s="122" t="s">
        <v>95</v>
      </c>
      <c r="D30" s="325"/>
      <c r="E30" s="326"/>
      <c r="F30" s="108">
        <f>VLOOKUP(C30,Bolts!A:L,5,0)</f>
        <v>0</v>
      </c>
      <c r="G30" s="108">
        <f>VLOOKUP(C30,Bolts!A:L,6,0)</f>
        <v>0</v>
      </c>
      <c r="H30" s="108">
        <f>VLOOKUP(C30,Bolts!A:L,7,0)</f>
        <v>0</v>
      </c>
      <c r="I30" s="109"/>
      <c r="J30" s="46">
        <f>VLOOKUP(C30,Bolts!A:L,8,0)</f>
        <v>0</v>
      </c>
      <c r="K30" s="46">
        <f>VLOOKUP(C30,Bolts!A:L,9,0)</f>
        <v>0</v>
      </c>
      <c r="L30" s="46">
        <f>VLOOKUP(C30,Bolts!A:L,10,0)</f>
        <v>0</v>
      </c>
      <c r="M30" s="46">
        <f>VLOOKUP(C30,Bolts!A:L,11,0)</f>
        <v>0</v>
      </c>
      <c r="N30" s="130">
        <f>VLOOKUP(C30,Bolts!A:L,12,0)</f>
        <v>0</v>
      </c>
      <c r="O30" s="47">
        <f t="shared" ca="1" si="8"/>
        <v>4</v>
      </c>
      <c r="P30" s="51">
        <f>VLOOKUP(C30,Bolts!A:B,2,FALSE)</f>
        <v>0</v>
      </c>
      <c r="Q30" s="52">
        <f t="shared" si="9"/>
        <v>0</v>
      </c>
    </row>
    <row r="31" spans="1:17" s="2" customFormat="1" ht="12" customHeight="1" thickBot="1" x14ac:dyDescent="0.3">
      <c r="A31" s="4">
        <v>507</v>
      </c>
      <c r="B31" s="2">
        <v>12</v>
      </c>
      <c r="C31" s="122" t="s">
        <v>660</v>
      </c>
      <c r="D31" s="325"/>
      <c r="E31" s="326"/>
      <c r="F31" s="108">
        <f>VLOOKUP(C31,Bolts!A:L,5,0)</f>
        <v>0</v>
      </c>
      <c r="G31" s="108">
        <f>VLOOKUP(C31,Bolts!A:L,6,0)</f>
        <v>0</v>
      </c>
      <c r="H31" s="108">
        <f>VLOOKUP(C31,Bolts!A:L,7,0)</f>
        <v>0</v>
      </c>
      <c r="I31" s="109"/>
      <c r="J31" s="46">
        <f>VLOOKUP(C31,Bolts!A:L,8,0)</f>
        <v>0</v>
      </c>
      <c r="K31" s="46">
        <f>VLOOKUP(C31,Bolts!A:L,9,0)</f>
        <v>0</v>
      </c>
      <c r="L31" s="46">
        <f>VLOOKUP(C31,Bolts!A:L,10,0)</f>
        <v>0</v>
      </c>
      <c r="M31" s="46">
        <f>VLOOKUP(C31,Bolts!A:L,11,0)</f>
        <v>0</v>
      </c>
      <c r="N31" s="130">
        <f>VLOOKUP(C31,Bolts!A:L,12,0)</f>
        <v>0</v>
      </c>
      <c r="O31" s="47">
        <f t="shared" ca="1" si="8"/>
        <v>12</v>
      </c>
      <c r="P31" s="51">
        <f>VLOOKUP(C31,Bolts!A:B,2,FALSE)</f>
        <v>0</v>
      </c>
      <c r="Q31" s="52">
        <f t="shared" si="9"/>
        <v>0</v>
      </c>
    </row>
    <row r="32" spans="1:17" s="2" customFormat="1" ht="12" customHeight="1" thickBot="1" x14ac:dyDescent="0.3">
      <c r="A32" s="34"/>
      <c r="B32" s="35"/>
      <c r="C32" s="35"/>
      <c r="D32" s="316"/>
      <c r="E32" s="317"/>
      <c r="F32" s="35"/>
      <c r="G32" s="35"/>
      <c r="H32" s="309"/>
      <c r="I32" s="310"/>
      <c r="J32" s="36"/>
      <c r="K32" s="36"/>
      <c r="L32" s="36"/>
      <c r="M32" s="37"/>
      <c r="N32" s="132"/>
      <c r="O32" s="38"/>
      <c r="P32" s="99" t="s">
        <v>43</v>
      </c>
      <c r="Q32" s="104">
        <f>SUM(Q5:Q31)</f>
        <v>5599.2862999999998</v>
      </c>
    </row>
  </sheetData>
  <sheetProtection selectLockedCells="1"/>
  <mergeCells count="52">
    <mergeCell ref="D24:E24"/>
    <mergeCell ref="H24:I24"/>
    <mergeCell ref="D30:E30"/>
    <mergeCell ref="D31:E31"/>
    <mergeCell ref="D32:E32"/>
    <mergeCell ref="H32:I32"/>
    <mergeCell ref="D25:E25"/>
    <mergeCell ref="D26:E26"/>
    <mergeCell ref="D27:E27"/>
    <mergeCell ref="D28:E28"/>
    <mergeCell ref="D29:E29"/>
    <mergeCell ref="D21:E21"/>
    <mergeCell ref="H21:I21"/>
    <mergeCell ref="D22:E22"/>
    <mergeCell ref="H22:I22"/>
    <mergeCell ref="D23:E23"/>
    <mergeCell ref="H23:I23"/>
    <mergeCell ref="D18:E18"/>
    <mergeCell ref="H18:I18"/>
    <mergeCell ref="D19:E19"/>
    <mergeCell ref="H19:I19"/>
    <mergeCell ref="D20:E20"/>
    <mergeCell ref="H20:I20"/>
    <mergeCell ref="D15:E15"/>
    <mergeCell ref="H15:I15"/>
    <mergeCell ref="D16:E16"/>
    <mergeCell ref="H16:I16"/>
    <mergeCell ref="D17:E17"/>
    <mergeCell ref="H17:I17"/>
    <mergeCell ref="D12:E12"/>
    <mergeCell ref="H12:I12"/>
    <mergeCell ref="D13:E13"/>
    <mergeCell ref="H13:I13"/>
    <mergeCell ref="D14:E14"/>
    <mergeCell ref="H14:I14"/>
    <mergeCell ref="D6:E6"/>
    <mergeCell ref="H6:I6"/>
    <mergeCell ref="D10:E10"/>
    <mergeCell ref="H10:I10"/>
    <mergeCell ref="D11:E11"/>
    <mergeCell ref="H11:I11"/>
    <mergeCell ref="D9:E9"/>
    <mergeCell ref="H9:I9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conditionalFormatting sqref="M10 M13 M24:M31">
    <cfRule type="cellIs" dxfId="1164" priority="23" stopIfTrue="1" operator="lessThanOrEqual">
      <formula>$L10</formula>
    </cfRule>
    <cfRule type="cellIs" dxfId="1163" priority="24" operator="greaterThan">
      <formula>L10</formula>
    </cfRule>
  </conditionalFormatting>
  <conditionalFormatting sqref="M14:M23">
    <cfRule type="cellIs" dxfId="1162" priority="1" stopIfTrue="1" operator="lessThanOrEqual">
      <formula>$L14</formula>
    </cfRule>
    <cfRule type="cellIs" dxfId="1161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6CCF4D-53BA-4027-8DCA-8968475E5209}">
          <x14:formula1>
            <xm:f>Extrusion!$B:$B</xm:f>
          </x14:formula1>
          <xm:sqref>C32</xm:sqref>
        </x14:dataValidation>
        <x14:dataValidation type="list" allowBlank="1" showInputMessage="1" showErrorMessage="1" xr:uid="{3D80E956-F6A6-4E5E-ADD7-6F7362FC5A35}">
          <x14:formula1>
            <xm:f>Bolts!$A:$A</xm:f>
          </x14:formula1>
          <xm:sqref>C25:C31</xm:sqref>
        </x14:dataValidation>
        <x14:dataValidation type="list" allowBlank="1" showInputMessage="1" showErrorMessage="1" xr:uid="{99E8CECC-BEB7-43D4-84EE-EC0CD5C92FF2}">
          <x14:formula1>
            <xm:f>Assemblies!$E:$E</xm:f>
          </x14:formula1>
          <xm:sqref>C5:C12</xm:sqref>
        </x14:dataValidation>
        <x14:dataValidation type="list" allowBlank="1" showInputMessage="1" showErrorMessage="1" xr:uid="{C083A5B8-F5D2-4A12-A923-6ABAEDC17307}">
          <x14:formula1>
            <xm:f>Machined!$C:$C</xm:f>
          </x14:formula1>
          <xm:sqref>C13:C18</xm:sqref>
        </x14:dataValidation>
        <x14:dataValidation type="list" allowBlank="1" showInputMessage="1" showErrorMessage="1" xr:uid="{94244295-E7F0-48B9-ADB2-0808A42969CD}">
          <x14:formula1>
            <xm:f>Purchased!$A:$A</xm:f>
          </x14:formula1>
          <xm:sqref>C19:C24</xm:sqref>
        </x14:dataValidation>
      </x14:dataValidations>
    </ext>
  </extLst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7DEE-7DA5-47A7-A5D4-01AE49570593}">
  <sheetPr codeName="Sheet143">
    <tabColor theme="3" tint="0.79998168889431442"/>
  </sheetPr>
  <dimension ref="A1:Q21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'6.2.1'!C5</f>
        <v>PG10.6.2.1.1.0.A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'6.2.1'!D5</f>
        <v>Pick Cylinder Stop Assy A Side</v>
      </c>
      <c r="D3" s="85" t="s">
        <v>50</v>
      </c>
      <c r="E3" s="86" t="str">
        <f ca="1">MID(CELL("filename",A1),FIND("]",CELL("filename",A1))+1,256)</f>
        <v>6.2.1.1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">
        <v>1</v>
      </c>
      <c r="C5" s="121" t="s">
        <v>935</v>
      </c>
      <c r="D5" s="314" t="str">
        <f>VLOOKUP(C5,Machined!C:X,2,0)</f>
        <v>CYLINDER STOP BASE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t="shared" ref="O5:O8" ca="1" si="0">B5*$L$2</f>
        <v>1</v>
      </c>
      <c r="P5" s="49">
        <f>VLOOKUP(C5,Machined!C:F,3,0)</f>
        <v>237</v>
      </c>
      <c r="Q5" s="50">
        <f t="shared" ref="Q5:Q8" si="1">B5*P5</f>
        <v>237</v>
      </c>
    </row>
    <row r="6" spans="1:17" s="2" customFormat="1" ht="12.75" customHeight="1" x14ac:dyDescent="0.25">
      <c r="A6" s="77">
        <v>2</v>
      </c>
      <c r="B6" s="20">
        <v>1</v>
      </c>
      <c r="C6" s="121" t="s">
        <v>936</v>
      </c>
      <c r="D6" s="314" t="str">
        <f>VLOOKUP(C6,Machined!C:X,2,0)</f>
        <v>STOP ADJUSTMENT BLOCK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45463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55572</v>
      </c>
      <c r="O6" s="45">
        <f t="shared" ca="1" si="0"/>
        <v>1</v>
      </c>
      <c r="P6" s="49">
        <f>VLOOKUP(C6,Machined!C:F,3,0)</f>
        <v>91</v>
      </c>
      <c r="Q6" s="50">
        <f t="shared" si="1"/>
        <v>91</v>
      </c>
    </row>
    <row r="7" spans="1:17" s="2" customFormat="1" ht="12.75" customHeight="1" x14ac:dyDescent="0.25">
      <c r="A7" s="77">
        <v>3</v>
      </c>
      <c r="B7" s="20">
        <v>1</v>
      </c>
      <c r="C7" s="121" t="s">
        <v>937</v>
      </c>
      <c r="D7" s="314" t="str">
        <f>VLOOKUP(C7,Machined!C:X,2,0)</f>
        <v>CYLINDER STOP BLOCK</v>
      </c>
      <c r="E7" s="329"/>
      <c r="F7" s="107" t="str">
        <f>VLOOKUP($C7,Machined!C:Z,13,0)</f>
        <v>1018 COLD ROLLED STEEL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1018 COLD ROLLED STEEL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1</v>
      </c>
      <c r="P7" s="49">
        <f>VLOOKUP(C7,Machined!C:F,3,0)</f>
        <v>156</v>
      </c>
      <c r="Q7" s="50">
        <f t="shared" si="1"/>
        <v>156</v>
      </c>
    </row>
    <row r="8" spans="1:17" s="2" customFormat="1" ht="12.75" customHeight="1" x14ac:dyDescent="0.25">
      <c r="A8" s="77">
        <v>4</v>
      </c>
      <c r="B8" s="20">
        <v>2</v>
      </c>
      <c r="C8" s="121" t="s">
        <v>938</v>
      </c>
      <c r="D8" s="314" t="str">
        <f>VLOOKUP(C8,Machined!C:X,2,0)</f>
        <v>CYLINDER STOP CLAMP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45463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55572</v>
      </c>
      <c r="O8" s="45">
        <f t="shared" ca="1" si="0"/>
        <v>2</v>
      </c>
      <c r="P8" s="49">
        <f>VLOOKUP(C8,Machined!C:F,3,0)</f>
        <v>34.25</v>
      </c>
      <c r="Q8" s="50">
        <f t="shared" si="1"/>
        <v>68.5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1</v>
      </c>
      <c r="C10" s="135" t="s">
        <v>939</v>
      </c>
      <c r="D10" s="325" t="str">
        <f>VLOOKUP(C10,Purchased!A:B,2,0)</f>
        <v>Knurled head, hex socket, M8 X 1.25, 50mm L</v>
      </c>
      <c r="E10" s="326"/>
      <c r="F10" s="108" t="str">
        <f>IF(VLOOKUP($C10,Purchased!A:Z,11,0) = 0, " ", VLOOKUP($C10,Purchased!A:Z,11,0))</f>
        <v>MISUMI</v>
      </c>
      <c r="G10" s="108" t="str">
        <f>IF(VLOOKUP($C10,Purchased!A:Z,12,0)=0, " ", VLOOKUP($C10,Purchased!A:Z,12,0))</f>
        <v>MISUMI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45483</v>
      </c>
      <c r="K10" s="46">
        <f>IF(VLOOKUP(C10,Purchased!A:R,14,0)=0, " ", VLOOKUP(C10,Purchased!A:R,14,0))</f>
        <v>45483</v>
      </c>
      <c r="L10" s="46">
        <f>IF(VLOOKUP(C10,Purchased!A:R,15,0)=0, " ", VLOOKUP(C10,Purchased!A:R,15,0))</f>
        <v>45483</v>
      </c>
      <c r="M10" s="46">
        <f>IF(VLOOKUP(C10,Purchased!A:R,16,0)=0, " ",VLOOKUP(C10,Purchased!A:R,16,0))</f>
        <v>45512</v>
      </c>
      <c r="N10" s="130">
        <f>IF(VLOOKUP(C10,Purchased!A:R,17,0)=0, " ", VLOOKUP(C10,Purchased!A:R,17,0))</f>
        <v>45512</v>
      </c>
      <c r="O10" s="47">
        <f t="shared" ref="O10:O14" ca="1" si="2">B10*$L$2</f>
        <v>1</v>
      </c>
      <c r="P10" s="51">
        <f>VLOOKUP(C10,Purchased!A:D,3,FALSE)</f>
        <v>11.77</v>
      </c>
      <c r="Q10" s="52">
        <f t="shared" ref="Q10:Q14" si="3">B10*P10</f>
        <v>11.77</v>
      </c>
    </row>
    <row r="11" spans="1:17" s="2" customFormat="1" ht="12" customHeight="1" x14ac:dyDescent="0.25">
      <c r="A11" s="4">
        <v>302</v>
      </c>
      <c r="B11" s="2">
        <v>1</v>
      </c>
      <c r="C11" s="135" t="s">
        <v>306</v>
      </c>
      <c r="D11" s="325" t="str">
        <f>VLOOKUP(C11,Purchased!A:B,2,0)</f>
        <v>M8 female 0° A-cod. with cable, PVC 3x0.25 bk UL/CSA 10m</v>
      </c>
      <c r="E11" s="326"/>
      <c r="F11" s="108" t="str">
        <f>IF(VLOOKUP($C11,Purchased!A:Z,11,0) = 0, " ", VLOOKUP($C11,Purchased!A:Z,11,0))</f>
        <v>MURR</v>
      </c>
      <c r="G11" s="108" t="str">
        <f>IF(VLOOKUP($C11,Purchased!A:Z,12,0)=0, " ", VLOOKUP($C11,Purchased!A:Z,12,0))</f>
        <v>MURR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2"/>
        <v>1</v>
      </c>
      <c r="P11" s="51">
        <f>VLOOKUP(C11,Purchased!A:D,3,FALSE)</f>
        <v>0</v>
      </c>
      <c r="Q11" s="52">
        <f t="shared" si="3"/>
        <v>0</v>
      </c>
    </row>
    <row r="12" spans="1:17" s="2" customFormat="1" ht="12" customHeight="1" x14ac:dyDescent="0.25">
      <c r="A12" s="4">
        <v>303</v>
      </c>
      <c r="B12" s="2">
        <v>4</v>
      </c>
      <c r="C12" s="135" t="s">
        <v>940</v>
      </c>
      <c r="D12" s="325" t="str">
        <f>VLOOKUP(C12,Purchased!A:B,2,0)</f>
        <v>Clamping Levers with Eccentrical Cam, M6 thread GN.67091</v>
      </c>
      <c r="E12" s="326"/>
      <c r="F12" s="108" t="str">
        <f>IF(VLOOKUP($C12,Purchased!A:Z,11,0) = 0, " ", VLOOKUP($C12,Purchased!A:Z,11,0))</f>
        <v>ELESA</v>
      </c>
      <c r="G12" s="108" t="str">
        <f>IF(VLOOKUP($C12,Purchased!A:Z,12,0)=0, " ", VLOOKUP($C12,Purchased!A:Z,12,0))</f>
        <v>ELESA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45506</v>
      </c>
      <c r="K12" s="46">
        <f>IF(VLOOKUP(C12,Purchased!A:R,14,0)=0, " ", VLOOKUP(C12,Purchased!A:R,14,0))</f>
        <v>45506</v>
      </c>
      <c r="L12" s="46">
        <f>IF(VLOOKUP(C12,Purchased!A:R,15,0)=0, " ", VLOOKUP(C12,Purchased!A:R,15,0))</f>
        <v>45526</v>
      </c>
      <c r="M12" s="46">
        <f>IF(VLOOKUP(C12,Purchased!A:R,16,0)=0, " ",VLOOKUP(C12,Purchased!A:R,16,0))</f>
        <v>45551</v>
      </c>
      <c r="N12" s="130">
        <f>IF(VLOOKUP(C12,Purchased!A:R,17,0)=0, " ", VLOOKUP(C12,Purchased!A:R,17,0))</f>
        <v>45551</v>
      </c>
      <c r="O12" s="47">
        <f t="shared" ca="1" si="2"/>
        <v>4</v>
      </c>
      <c r="P12" s="51">
        <f>VLOOKUP(C12,Purchased!A:D,3,FALSE)</f>
        <v>20.76</v>
      </c>
      <c r="Q12" s="52">
        <f t="shared" si="3"/>
        <v>83.04</v>
      </c>
    </row>
    <row r="13" spans="1:17" s="2" customFormat="1" ht="12" customHeight="1" x14ac:dyDescent="0.25">
      <c r="A13" s="4">
        <v>304</v>
      </c>
      <c r="B13" s="2">
        <v>1</v>
      </c>
      <c r="C13" s="135" t="s">
        <v>941</v>
      </c>
      <c r="D13" s="325" t="str">
        <f>VLOOKUP(C13,Purchased!A:B,2,0)</f>
        <v>Adhesive-Back Ruler, Yellow Steel, Reads Left to Right, mm Graduations, 3 M 
Long, 1/4" Wide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2"/>
        <v>1</v>
      </c>
      <c r="P13" s="51">
        <f>VLOOKUP(C13,Purchased!A:D,3,FALSE)</f>
        <v>0</v>
      </c>
      <c r="Q13" s="52">
        <f t="shared" si="3"/>
        <v>0</v>
      </c>
    </row>
    <row r="14" spans="1:17" s="2" customFormat="1" ht="12" customHeight="1" x14ac:dyDescent="0.25">
      <c r="A14" s="4">
        <v>305</v>
      </c>
      <c r="B14" s="2">
        <v>1</v>
      </c>
      <c r="C14" s="135" t="s">
        <v>942</v>
      </c>
      <c r="D14" s="325" t="str">
        <f>VLOOKUP(C14,Purchased!A:B,2,0)</f>
        <v>Proximity Sensor, 3mm sensing distance</v>
      </c>
      <c r="E14" s="326"/>
      <c r="F14" s="108" t="str">
        <f>IF(VLOOKUP($C14,Purchased!A:Z,11,0) = 0, " ", VLOOKUP($C14,Purchased!A:Z,11,0))</f>
        <v>MICRO DETECTORS</v>
      </c>
      <c r="G14" s="108" t="str">
        <f>IF(VLOOKUP($C14,Purchased!A:Z,12,0)=0, " ", VLOOKUP($C14,Purchased!A:Z,12,0))</f>
        <v>AUTO DIRECT</v>
      </c>
      <c r="H14" s="327" t="str">
        <f>IF(VLOOKUP($C14,Purchased!A:Z,13,0)=0, " ", VLOOKUP($C14,Purchased!A:Z,13,0))</f>
        <v>1 IN NULINE STOCK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 t="str">
        <f>IF(VLOOKUP(C14,Purchased!A:R,15,0)=0, " ", VLOOKUP(C14,Purchased!A:R,15,0))</f>
        <v xml:space="preserve"> 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2"/>
        <v>1</v>
      </c>
      <c r="P14" s="51">
        <f>VLOOKUP(C14,Purchased!A:D,3,FALSE)</f>
        <v>30.5</v>
      </c>
      <c r="Q14" s="52">
        <f t="shared" si="3"/>
        <v>30.5</v>
      </c>
    </row>
    <row r="15" spans="1:17" s="2" customFormat="1" ht="12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" customHeight="1" x14ac:dyDescent="0.25">
      <c r="A16" s="4">
        <v>501</v>
      </c>
      <c r="B16" s="2">
        <v>4</v>
      </c>
      <c r="C16" s="122" t="s">
        <v>943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ref="O16:O20" ca="1" si="4">B16*$L$2</f>
        <v>4</v>
      </c>
      <c r="P16" s="51">
        <f>VLOOKUP(C16,Bolts!A:B,2,FALSE)</f>
        <v>0</v>
      </c>
      <c r="Q16" s="52">
        <f t="shared" ref="Q16:Q20" si="5">B16*P16</f>
        <v>0</v>
      </c>
    </row>
    <row r="17" spans="1:17" s="2" customFormat="1" ht="12" customHeight="1" x14ac:dyDescent="0.25">
      <c r="A17" s="4">
        <v>502</v>
      </c>
      <c r="B17" s="2">
        <v>2</v>
      </c>
      <c r="C17" s="122" t="s">
        <v>807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4"/>
        <v>2</v>
      </c>
      <c r="P17" s="51">
        <f>VLOOKUP(C17,Bolts!A:B,2,FALSE)</f>
        <v>0</v>
      </c>
      <c r="Q17" s="52">
        <f t="shared" si="5"/>
        <v>0</v>
      </c>
    </row>
    <row r="18" spans="1:17" s="2" customFormat="1" ht="12" customHeight="1" x14ac:dyDescent="0.25">
      <c r="A18" s="4">
        <v>503</v>
      </c>
      <c r="B18" s="2">
        <v>2</v>
      </c>
      <c r="C18" s="122" t="s">
        <v>808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ca="1" si="4"/>
        <v>2</v>
      </c>
      <c r="P18" s="51">
        <f>VLOOKUP(C18,Bolts!A:B,2,FALSE)</f>
        <v>0</v>
      </c>
      <c r="Q18" s="52">
        <f t="shared" si="5"/>
        <v>0</v>
      </c>
    </row>
    <row r="19" spans="1:17" s="2" customFormat="1" ht="12" customHeight="1" x14ac:dyDescent="0.25">
      <c r="A19" s="4">
        <v>504</v>
      </c>
      <c r="B19" s="2">
        <v>2</v>
      </c>
      <c r="C19" s="122" t="s">
        <v>617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4"/>
        <v>2</v>
      </c>
      <c r="P19" s="51">
        <f>VLOOKUP(C19,Bolts!A:B,2,FALSE)</f>
        <v>0</v>
      </c>
      <c r="Q19" s="52">
        <f t="shared" si="5"/>
        <v>0</v>
      </c>
    </row>
    <row r="20" spans="1:17" s="2" customFormat="1" ht="12" customHeight="1" thickBot="1" x14ac:dyDescent="0.3">
      <c r="A20" s="4">
        <v>505</v>
      </c>
      <c r="B20" s="2">
        <v>4</v>
      </c>
      <c r="C20" s="122" t="s">
        <v>174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4"/>
        <v>4</v>
      </c>
      <c r="P20" s="51">
        <f>VLOOKUP(C20,Bolts!A:B,2,FALSE)</f>
        <v>0</v>
      </c>
      <c r="Q20" s="52">
        <f t="shared" si="5"/>
        <v>0</v>
      </c>
    </row>
    <row r="21" spans="1:17" s="2" customFormat="1" ht="12" customHeight="1" thickBot="1" x14ac:dyDescent="0.3">
      <c r="A21" s="34"/>
      <c r="B21" s="35"/>
      <c r="C21" s="35"/>
      <c r="D21" s="316"/>
      <c r="E21" s="317"/>
      <c r="F21" s="35"/>
      <c r="G21" s="35"/>
      <c r="H21" s="309"/>
      <c r="I21" s="310"/>
      <c r="J21" s="36"/>
      <c r="K21" s="36"/>
      <c r="L21" s="36"/>
      <c r="M21" s="37"/>
      <c r="N21" s="132"/>
      <c r="O21" s="38"/>
      <c r="P21" s="99" t="s">
        <v>43</v>
      </c>
      <c r="Q21" s="104">
        <f>SUM(Q5:Q20)</f>
        <v>677.81</v>
      </c>
    </row>
  </sheetData>
  <mergeCells count="32">
    <mergeCell ref="D6:E6"/>
    <mergeCell ref="H6:I6"/>
    <mergeCell ref="D5:E5"/>
    <mergeCell ref="H5:I5"/>
    <mergeCell ref="D1:E1"/>
    <mergeCell ref="D4:E4"/>
    <mergeCell ref="H4:I4"/>
    <mergeCell ref="D9:E9"/>
    <mergeCell ref="H9:I9"/>
    <mergeCell ref="D10:E10"/>
    <mergeCell ref="H10:I10"/>
    <mergeCell ref="D7:E7"/>
    <mergeCell ref="H7:I7"/>
    <mergeCell ref="D8:E8"/>
    <mergeCell ref="H8:I8"/>
    <mergeCell ref="D14:E14"/>
    <mergeCell ref="H14:I14"/>
    <mergeCell ref="D11:E11"/>
    <mergeCell ref="H11:I11"/>
    <mergeCell ref="D12:E12"/>
    <mergeCell ref="H12:I12"/>
    <mergeCell ref="D13:E13"/>
    <mergeCell ref="H13:I13"/>
    <mergeCell ref="D21:E21"/>
    <mergeCell ref="H21:I21"/>
    <mergeCell ref="D15:E15"/>
    <mergeCell ref="H15:I15"/>
    <mergeCell ref="D16:E16"/>
    <mergeCell ref="D17:E17"/>
    <mergeCell ref="D18:E18"/>
    <mergeCell ref="D19:E19"/>
    <mergeCell ref="D20:E20"/>
  </mergeCells>
  <phoneticPr fontId="8" type="noConversion"/>
  <conditionalFormatting sqref="M9 M15:M20">
    <cfRule type="cellIs" dxfId="1160" priority="11" stopIfTrue="1" operator="lessThanOrEqual">
      <formula>$L9</formula>
    </cfRule>
    <cfRule type="cellIs" dxfId="1159" priority="12" operator="greaterThan">
      <formula>L9</formula>
    </cfRule>
  </conditionalFormatting>
  <conditionalFormatting sqref="M10">
    <cfRule type="cellIs" dxfId="1158" priority="9" stopIfTrue="1" operator="lessThanOrEqual">
      <formula>$L10</formula>
    </cfRule>
    <cfRule type="cellIs" dxfId="1157" priority="10" operator="greaterThan">
      <formula>L10</formula>
    </cfRule>
  </conditionalFormatting>
  <conditionalFormatting sqref="M11">
    <cfRule type="cellIs" dxfId="1156" priority="7" stopIfTrue="1" operator="lessThanOrEqual">
      <formula>$L11</formula>
    </cfRule>
    <cfRule type="cellIs" dxfId="1155" priority="8" operator="greaterThan">
      <formula>L11</formula>
    </cfRule>
  </conditionalFormatting>
  <conditionalFormatting sqref="M12">
    <cfRule type="cellIs" dxfId="1154" priority="5" stopIfTrue="1" operator="lessThanOrEqual">
      <formula>$L12</formula>
    </cfRule>
    <cfRule type="cellIs" dxfId="1153" priority="6" operator="greaterThan">
      <formula>L12</formula>
    </cfRule>
  </conditionalFormatting>
  <conditionalFormatting sqref="M13">
    <cfRule type="cellIs" dxfId="1152" priority="3" stopIfTrue="1" operator="lessThanOrEqual">
      <formula>$L13</formula>
    </cfRule>
    <cfRule type="cellIs" dxfId="1151" priority="4" operator="greaterThan">
      <formula>L13</formula>
    </cfRule>
  </conditionalFormatting>
  <conditionalFormatting sqref="M14">
    <cfRule type="cellIs" dxfId="1150" priority="1" stopIfTrue="1" operator="lessThanOrEqual">
      <formula>$L14</formula>
    </cfRule>
    <cfRule type="cellIs" dxfId="1149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E72F5BC0-B07F-466F-9EE6-2C4D5103345C}">
          <x14:formula1>
            <xm:f>Extrusion!$B:$B</xm:f>
          </x14:formula1>
          <xm:sqref>C23:C34</xm:sqref>
        </x14:dataValidation>
        <x14:dataValidation type="list" allowBlank="1" showInputMessage="1" showErrorMessage="1" xr:uid="{E978D464-C5D6-4ACF-A732-1FA57DF4E554}">
          <x14:formula1>
            <xm:f>Bolts!$A:$A</xm:f>
          </x14:formula1>
          <xm:sqref>C16:C21</xm:sqref>
        </x14:dataValidation>
        <x14:dataValidation type="list" allowBlank="1" showInputMessage="1" showErrorMessage="1" xr:uid="{D99B8553-2A78-4357-A637-07DEC1D41AA7}">
          <x14:formula1>
            <xm:f>Assemblies!$E:$E</xm:f>
          </x14:formula1>
          <xm:sqref>C9</xm:sqref>
        </x14:dataValidation>
        <x14:dataValidation type="list" allowBlank="1" showInputMessage="1" showErrorMessage="1" xr:uid="{8043C963-811C-479B-BD15-48F539DC0C96}">
          <x14:formula1>
            <xm:f>Machined!$C:$C</xm:f>
          </x14:formula1>
          <xm:sqref>C5:C8</xm:sqref>
        </x14:dataValidation>
        <x14:dataValidation type="list" allowBlank="1" showInputMessage="1" showErrorMessage="1" xr:uid="{84D396B4-68CB-4138-953A-19D75E4CC2FB}">
          <x14:formula1>
            <xm:f>Purchased!$A:$A</xm:f>
          </x14:formula1>
          <xm:sqref>C10:C15</xm:sqref>
        </x14:dataValidation>
      </x14:dataValidations>
    </ext>
  </extLst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9662-18E6-4A95-8ED3-45DABC439A1C}">
  <sheetPr codeName="Sheet144">
    <tabColor theme="3" tint="0.79998168889431442"/>
  </sheetPr>
  <dimension ref="A1:Q18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'6.2.1'!C6</f>
        <v>PG10.6.2.1.2.0.A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'6.2.1'!D6</f>
        <v>Speed Control Tube PNP Assy A Side</v>
      </c>
      <c r="D3" s="85" t="s">
        <v>50</v>
      </c>
      <c r="E3" s="86" t="str">
        <f ca="1">MID(CELL("filename",A1),FIND("]",CELL("filename",A1))+1,256)</f>
        <v>6.2.1.2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3868</v>
      </c>
      <c r="D5" s="314" t="str">
        <f>VLOOKUP(C5,Machined!C:X,2,0)</f>
        <v>Bulkhead Bracket Upper A Side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 xml:space="preserve"> </v>
      </c>
      <c r="H5" s="320" t="str">
        <f>IF(VLOOKUP($C5,Machined!C:Z,17,0) = 0, " ", VLOOKUP($C5,Machined!C:Z,17,0))</f>
        <v>Nuline to modify Rev A to B</v>
      </c>
      <c r="I5" s="321" t="str">
        <f>IF(VLOOKUP($C5,Machined!$C:$Y,13,0) = 0, " ", VLOOKUP($C5,Machined!$C:$Y,13,0))</f>
        <v>304 STAINLESS STEEL</v>
      </c>
      <c r="J5" s="44" t="str">
        <f>IF(VLOOKUP($C5,Machined!C:Z,18,0) = 0, " ", VLOOKUP($C5,Machined!C:Z,18,0))</f>
        <v>N/A</v>
      </c>
      <c r="K5" s="44" t="str">
        <f>IF(VLOOKUP($C5,Machined!C:Z,19,0) = 0, " ", VLOOKUP($C5,Machined!C:Z,19,0))</f>
        <v>N/A</v>
      </c>
      <c r="L5" s="44" t="str">
        <f>IF(VLOOKUP($C5,Machined!C:Z,20,0) = 0, " ", VLOOKUP($C5,Machined!C:Z,20,0))</f>
        <v>N/A</v>
      </c>
      <c r="M5" s="44" t="str">
        <f>IF(VLOOKUP($C5,Machined!C:Z,21,0) = 0, " ", VLOOKUP($C5,Machined!C:Z,21,0))</f>
        <v>N/A</v>
      </c>
      <c r="N5" s="129" t="str">
        <f>IF(VLOOKUP($C5,Machined!C:Z,22,0) = 0, " ", VLOOKUP($C5,Machined!C:Z,22,0))</f>
        <v>N/A</v>
      </c>
      <c r="O5" s="45">
        <f ca="1">B5*$L$2</f>
        <v>1</v>
      </c>
      <c r="P5" s="49">
        <f>VLOOKUP(C5,Machined!C:F,3,0)</f>
        <v>0</v>
      </c>
      <c r="Q5" s="50">
        <f>B5*P5</f>
        <v>0</v>
      </c>
    </row>
    <row r="6" spans="1:17" s="2" customFormat="1" ht="12.75" customHeight="1" x14ac:dyDescent="0.25">
      <c r="A6" s="77">
        <v>2</v>
      </c>
      <c r="B6" s="20">
        <v>1</v>
      </c>
      <c r="C6" s="121" t="s">
        <v>944</v>
      </c>
      <c r="D6" s="314" t="str">
        <f>VLOOKUP(C6,Machined!C:X,2,0)</f>
        <v>Flow Control Bracket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Proto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45510</v>
      </c>
      <c r="L6" s="44">
        <f>IF(VLOOKUP($C6,Machined!C:Z,20,0) = 0, " ", VLOOKUP($C6,Machined!C:Z,20,0))</f>
        <v>45540</v>
      </c>
      <c r="M6" s="44">
        <f>IF(VLOOKUP($C6,Machined!C:Z,21,0) = 0, " ", VLOOKUP($C6,Machined!C:Z,21,0))</f>
        <v>45540</v>
      </c>
      <c r="N6" s="129">
        <f>IF(VLOOKUP($C6,Machined!C:Z,22,0) = 0, " ", VLOOKUP($C6,Machined!C:Z,22,0))</f>
        <v>55658</v>
      </c>
      <c r="O6" s="45">
        <f t="shared" ref="O6" ca="1" si="0">B6*$L$2</f>
        <v>1</v>
      </c>
      <c r="P6" s="49">
        <f>VLOOKUP(C6,Machined!C:F,3,0)</f>
        <v>82.76</v>
      </c>
      <c r="Q6" s="50">
        <f t="shared" ref="Q6" si="1">B6*P6</f>
        <v>82.76</v>
      </c>
    </row>
    <row r="7" spans="1:17" s="2" customFormat="1" ht="12" customHeight="1" x14ac:dyDescent="0.2">
      <c r="A7" s="25"/>
      <c r="B7" s="26"/>
      <c r="C7" s="26"/>
      <c r="D7" s="332"/>
      <c r="E7" s="346"/>
      <c r="F7" s="26"/>
      <c r="G7" s="26"/>
      <c r="H7" s="322"/>
      <c r="I7" s="322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x14ac:dyDescent="0.25">
      <c r="A8" s="4">
        <v>301</v>
      </c>
      <c r="B8" s="2">
        <v>2</v>
      </c>
      <c r="C8" s="135" t="s">
        <v>945</v>
      </c>
      <c r="D8" s="325" t="str">
        <f>VLOOKUP(C8,Purchased!A:B,2,0)</f>
        <v>Speed Controller, Elbow, One Touch Fitting1/8 port to 6mm dia tubing</v>
      </c>
      <c r="E8" s="326"/>
      <c r="F8" s="108" t="str">
        <f>IF(VLOOKUP($C8,Purchased!A:Z,11,0) = 0, " ", VLOOKUP($C8,Purchased!A:Z,11,0))</f>
        <v>SMC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45489</v>
      </c>
      <c r="K8" s="46">
        <f>IF(VLOOKUP(C8,Purchased!A:R,14,0)=0, " ", VLOOKUP(C8,Purchased!A:R,14,0))</f>
        <v>45489</v>
      </c>
      <c r="L8" s="46">
        <f>IF(VLOOKUP(C8,Purchased!A:R,15,0)=0, " ", VLOOKUP(C8,Purchased!A:R,15,0))</f>
        <v>45491</v>
      </c>
      <c r="M8" s="46">
        <f>IF(VLOOKUP(C8,Purchased!A:R,16,0)=0, " ",VLOOKUP(C8,Purchased!A:R,16,0))</f>
        <v>45520</v>
      </c>
      <c r="N8" s="130">
        <f>IF(VLOOKUP(C8,Purchased!A:R,17,0)=0, " ", VLOOKUP(C8,Purchased!A:R,17,0))</f>
        <v>45511</v>
      </c>
      <c r="O8" s="47">
        <f t="shared" ref="O8:O11" ca="1" si="2">B8*$L$2</f>
        <v>2</v>
      </c>
      <c r="P8" s="51">
        <f>VLOOKUP(C8,Purchased!A:D,3,FALSE)</f>
        <v>9.3800000000000008</v>
      </c>
      <c r="Q8" s="52">
        <f t="shared" ref="Q8:Q11" si="3">B8*P8</f>
        <v>18.760000000000002</v>
      </c>
    </row>
    <row r="9" spans="1:17" s="2" customFormat="1" ht="12" customHeight="1" x14ac:dyDescent="0.25">
      <c r="A9" s="4">
        <v>302</v>
      </c>
      <c r="B9" s="2">
        <v>2</v>
      </c>
      <c r="C9" s="135" t="s">
        <v>946</v>
      </c>
      <c r="D9" s="325" t="str">
        <f>VLOOKUP(C9,Purchased!A:B,2,0)</f>
        <v>KQ2 uni fit one touch fitting, bulk head, straight, 6mm dia tubing, 1/8 port</v>
      </c>
      <c r="E9" s="326"/>
      <c r="F9" s="108" t="str">
        <f>IF(VLOOKUP($C9,Purchased!A:Z,11,0) = 0, " ", VLOOKUP($C9,Purchased!A:Z,11,0))</f>
        <v>SMC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45489</v>
      </c>
      <c r="K9" s="46">
        <f>IF(VLOOKUP(C9,Purchased!A:R,14,0)=0, " ", VLOOKUP(C9,Purchased!A:R,14,0))</f>
        <v>45489</v>
      </c>
      <c r="L9" s="46">
        <f>IF(VLOOKUP(C9,Purchased!A:R,15,0)=0, " ", VLOOKUP(C9,Purchased!A:R,15,0))</f>
        <v>45491</v>
      </c>
      <c r="M9" s="46">
        <f>IF(VLOOKUP(C9,Purchased!A:R,16,0)=0, " ",VLOOKUP(C9,Purchased!A:R,16,0))</f>
        <v>45520</v>
      </c>
      <c r="N9" s="130">
        <f>IF(VLOOKUP(C9,Purchased!A:R,17,0)=0, " ", VLOOKUP(C9,Purchased!A:R,17,0))</f>
        <v>45511</v>
      </c>
      <c r="O9" s="47">
        <f t="shared" ca="1" si="2"/>
        <v>2</v>
      </c>
      <c r="P9" s="51">
        <f>VLOOKUP(C9,Purchased!A:D,3,FALSE)</f>
        <v>3.78</v>
      </c>
      <c r="Q9" s="52">
        <f t="shared" si="3"/>
        <v>7.56</v>
      </c>
    </row>
    <row r="10" spans="1:17" s="2" customFormat="1" ht="12" customHeight="1" x14ac:dyDescent="0.25">
      <c r="A10" s="4">
        <v>303</v>
      </c>
      <c r="B10" s="2">
        <v>2</v>
      </c>
      <c r="C10" s="135" t="s">
        <v>800</v>
      </c>
      <c r="D10" s="325" t="str">
        <f>VLOOKUP(C10,Purchased!A:B,2,0)</f>
        <v>Speed controller flange 20 series</v>
      </c>
      <c r="E10" s="326"/>
      <c r="F10" s="108" t="str">
        <f>IF(VLOOKUP($C10,Purchased!A:Z,11,0) = 0, " ", VLOOKUP($C10,Purchased!A:Z,11,0))</f>
        <v>SMC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45489</v>
      </c>
      <c r="K10" s="46">
        <f>IF(VLOOKUP(C10,Purchased!A:R,14,0)=0, " ", VLOOKUP(C10,Purchased!A:R,14,0))</f>
        <v>45489</v>
      </c>
      <c r="L10" s="46">
        <f>IF(VLOOKUP(C10,Purchased!A:R,15,0)=0, " ", VLOOKUP(C10,Purchased!A:R,15,0))</f>
        <v>45491</v>
      </c>
      <c r="M10" s="46">
        <f>IF(VLOOKUP(C10,Purchased!A:R,16,0)=0, " ",VLOOKUP(C10,Purchased!A:R,16,0))</f>
        <v>45520</v>
      </c>
      <c r="N10" s="130">
        <f>IF(VLOOKUP(C10,Purchased!A:R,17,0)=0, " ", VLOOKUP(C10,Purchased!A:R,17,0))</f>
        <v>45511</v>
      </c>
      <c r="O10" s="47">
        <f t="shared" ca="1" si="2"/>
        <v>2</v>
      </c>
      <c r="P10" s="51">
        <f>VLOOKUP(C10,Purchased!A:D,3,FALSE)</f>
        <v>1.65</v>
      </c>
      <c r="Q10" s="52">
        <f t="shared" si="3"/>
        <v>3.3</v>
      </c>
    </row>
    <row r="11" spans="1:17" s="2" customFormat="1" ht="12" customHeight="1" x14ac:dyDescent="0.25">
      <c r="A11" s="4">
        <v>304</v>
      </c>
      <c r="B11" s="2">
        <v>2</v>
      </c>
      <c r="C11" s="135" t="s">
        <v>799</v>
      </c>
      <c r="D11" s="325" t="str">
        <f>VLOOKUP(C11,Purchased!A:B,2,0)</f>
        <v>Speed Controller One Touch Fitting, 6mm dia tubing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10 more PO 55692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2"/>
        <v>2</v>
      </c>
      <c r="P11" s="51">
        <f>VLOOKUP(C11,Purchased!A:D,3,FALSE)</f>
        <v>14.87</v>
      </c>
      <c r="Q11" s="52">
        <f t="shared" si="3"/>
        <v>29.74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501</v>
      </c>
      <c r="B13" s="2">
        <v>4</v>
      </c>
      <c r="C13" s="122" t="s">
        <v>197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ref="O13:O17" ca="1" si="4">B13*$L$2</f>
        <v>4</v>
      </c>
      <c r="P13" s="51">
        <f>VLOOKUP(C13,Bolts!A:B,2,FALSE)</f>
        <v>0</v>
      </c>
      <c r="Q13" s="52">
        <f t="shared" ref="Q13:Q17" si="5">B13*P13</f>
        <v>0</v>
      </c>
    </row>
    <row r="14" spans="1:17" s="2" customFormat="1" ht="12" customHeight="1" x14ac:dyDescent="0.25">
      <c r="A14" s="4">
        <v>502</v>
      </c>
      <c r="B14" s="2">
        <v>6</v>
      </c>
      <c r="C14" s="122" t="s">
        <v>808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t="shared" ca="1" si="4"/>
        <v>6</v>
      </c>
      <c r="P14" s="51">
        <f>VLOOKUP(C14,Bolts!A:B,2,FALSE)</f>
        <v>0</v>
      </c>
      <c r="Q14" s="52">
        <f t="shared" si="5"/>
        <v>0</v>
      </c>
    </row>
    <row r="15" spans="1:17" s="2" customFormat="1" ht="12" customHeight="1" x14ac:dyDescent="0.25">
      <c r="A15" s="4">
        <v>503</v>
      </c>
      <c r="B15" s="2">
        <v>4</v>
      </c>
      <c r="C15" s="122" t="s">
        <v>943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ca="1" si="4"/>
        <v>4</v>
      </c>
      <c r="P15" s="51">
        <f>VLOOKUP(C15,Bolts!A:B,2,FALSE)</f>
        <v>0</v>
      </c>
      <c r="Q15" s="52">
        <f t="shared" si="5"/>
        <v>0</v>
      </c>
    </row>
    <row r="16" spans="1:17" s="2" customFormat="1" ht="12" customHeight="1" x14ac:dyDescent="0.25">
      <c r="A16" s="4">
        <v>504</v>
      </c>
      <c r="B16" s="2">
        <v>2</v>
      </c>
      <c r="C16" s="122" t="s">
        <v>807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ca="1" si="4"/>
        <v>2</v>
      </c>
      <c r="P16" s="51">
        <f>VLOOKUP(C16,Bolts!A:B,2,FALSE)</f>
        <v>0</v>
      </c>
      <c r="Q16" s="52">
        <f t="shared" si="5"/>
        <v>0</v>
      </c>
    </row>
    <row r="17" spans="1:17" s="2" customFormat="1" ht="12" customHeight="1" thickBot="1" x14ac:dyDescent="0.3">
      <c r="A17" s="4">
        <v>505</v>
      </c>
      <c r="B17" s="2">
        <v>2</v>
      </c>
      <c r="C17" s="122" t="s">
        <v>107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4"/>
        <v>2</v>
      </c>
      <c r="P17" s="51">
        <f>VLOOKUP(C17,Bolts!A:B,2,FALSE)</f>
        <v>0</v>
      </c>
      <c r="Q17" s="52">
        <f t="shared" si="5"/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SUM(Q5:Q17)</f>
        <v>142.12</v>
      </c>
    </row>
  </sheetData>
  <sheetProtection selectLockedCells="1"/>
  <mergeCells count="26">
    <mergeCell ref="D18:E18"/>
    <mergeCell ref="H18:I18"/>
    <mergeCell ref="D13:E13"/>
    <mergeCell ref="D14:E14"/>
    <mergeCell ref="D15:E15"/>
    <mergeCell ref="D16:E16"/>
    <mergeCell ref="D17:E17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7 M12:M17">
    <cfRule type="cellIs" dxfId="1148" priority="9" stopIfTrue="1" operator="lessThanOrEqual">
      <formula>$L7</formula>
    </cfRule>
    <cfRule type="cellIs" dxfId="1147" priority="10" operator="greaterThan">
      <formula>L7</formula>
    </cfRule>
  </conditionalFormatting>
  <conditionalFormatting sqref="M8">
    <cfRule type="cellIs" dxfId="1146" priority="7" stopIfTrue="1" operator="lessThanOrEqual">
      <formula>$L8</formula>
    </cfRule>
    <cfRule type="cellIs" dxfId="1145" priority="8" operator="greaterThan">
      <formula>L8</formula>
    </cfRule>
  </conditionalFormatting>
  <conditionalFormatting sqref="M9">
    <cfRule type="cellIs" dxfId="1144" priority="5" stopIfTrue="1" operator="lessThanOrEqual">
      <formula>$L9</formula>
    </cfRule>
    <cfRule type="cellIs" dxfId="1143" priority="6" operator="greaterThan">
      <formula>L9</formula>
    </cfRule>
  </conditionalFormatting>
  <conditionalFormatting sqref="M10">
    <cfRule type="cellIs" dxfId="1142" priority="3" stopIfTrue="1" operator="lessThanOrEqual">
      <formula>$L10</formula>
    </cfRule>
    <cfRule type="cellIs" dxfId="1141" priority="4" operator="greaterThan">
      <formula>L10</formula>
    </cfRule>
  </conditionalFormatting>
  <conditionalFormatting sqref="M11">
    <cfRule type="cellIs" dxfId="1140" priority="1" stopIfTrue="1" operator="lessThanOrEqual">
      <formula>$L11</formula>
    </cfRule>
    <cfRule type="cellIs" dxfId="1139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FA8AED-C0CC-4E54-9D32-CFD2DE4007E2}">
          <x14:formula1>
            <xm:f>Bolts!$A:$A</xm:f>
          </x14:formula1>
          <xm:sqref>C12:C17</xm:sqref>
        </x14:dataValidation>
        <x14:dataValidation type="list" allowBlank="1" showInputMessage="1" showErrorMessage="1" xr:uid="{75A1B2B8-9EFD-40A1-A644-2133636C8B7E}">
          <x14:formula1>
            <xm:f>Machined!$C:$C</xm:f>
          </x14:formula1>
          <xm:sqref>C5:C6</xm:sqref>
        </x14:dataValidation>
        <x14:dataValidation type="list" allowBlank="1" showInputMessage="1" showErrorMessage="1" xr:uid="{15697B19-1EC6-4E5F-879C-9D89A4CD1392}">
          <x14:formula1>
            <xm:f>Purchased!$A:$A</xm:f>
          </x14:formula1>
          <xm:sqref>C7:C11</xm:sqref>
        </x14:dataValidation>
      </x14:dataValidations>
    </ext>
  </extLst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94DB5-9C9C-43FE-823D-CF553B4F08A0}">
  <sheetPr codeName="Sheet145">
    <tabColor theme="3" tint="0.79998168889431442"/>
  </sheetPr>
  <dimension ref="A1:Q24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'6.2.1'!C7</f>
        <v>PG10.6.2.1.3.0.A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'6.2.1'!D7</f>
        <v>Air Cylinder Mount Assy A Side</v>
      </c>
      <c r="D3" s="85" t="s">
        <v>50</v>
      </c>
      <c r="E3" s="86" t="str">
        <f ca="1">MID(CELL("filename",A1),FIND("]",CELL("filename",A1))+1,256)</f>
        <v>6.2.1.3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947</v>
      </c>
      <c r="D5" s="314" t="str">
        <f>VLOOKUP(C5,Machined!C:X,2,0)</f>
        <v>Actuator Mount Plate A Side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ca="1">B5*$L$2</f>
        <v>1</v>
      </c>
      <c r="P5" s="49">
        <f>VLOOKUP(C5,Machined!C:F,3,0)</f>
        <v>370.5</v>
      </c>
      <c r="Q5" s="50">
        <f>B5*P5</f>
        <v>370.5</v>
      </c>
    </row>
    <row r="6" spans="1:17" s="2" customFormat="1" ht="12.75" customHeight="1" x14ac:dyDescent="0.25">
      <c r="A6" s="77">
        <v>2</v>
      </c>
      <c r="B6" s="20">
        <v>3</v>
      </c>
      <c r="C6" s="121" t="s">
        <v>948</v>
      </c>
      <c r="D6" s="314" t="str">
        <f>VLOOKUP(C6,Machined!C:X,2,0)</f>
        <v>Profile Bearing Spacer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45463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55572</v>
      </c>
      <c r="O6" s="45">
        <f t="shared" ref="O6:O7" ca="1" si="0">B6*$L$2</f>
        <v>3</v>
      </c>
      <c r="P6" s="49">
        <f>VLOOKUP(C6,Machined!C:F,3,0)</f>
        <v>40.33</v>
      </c>
      <c r="Q6" s="50">
        <f t="shared" ref="Q6:Q7" si="1">B6*P6</f>
        <v>120.99</v>
      </c>
    </row>
    <row r="7" spans="1:17" s="2" customFormat="1" ht="12.75" customHeight="1" x14ac:dyDescent="0.25">
      <c r="A7" s="77">
        <v>3</v>
      </c>
      <c r="B7" s="20">
        <v>4</v>
      </c>
      <c r="C7" s="121" t="s">
        <v>949</v>
      </c>
      <c r="D7" s="314" t="str">
        <f>VLOOKUP(C7,Machined!C:X,2,0)</f>
        <v>Round Bearing Spacer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4</v>
      </c>
      <c r="P7" s="49">
        <f>VLOOKUP(C7,Machined!C:F,3,0)</f>
        <v>34.94</v>
      </c>
      <c r="Q7" s="50">
        <f t="shared" si="1"/>
        <v>139.76</v>
      </c>
    </row>
    <row r="8" spans="1:17" s="2" customFormat="1" ht="12.75" customHeight="1" x14ac:dyDescent="0.25">
      <c r="A8" s="77">
        <v>4</v>
      </c>
      <c r="B8" s="20">
        <v>1</v>
      </c>
      <c r="C8" s="121" t="s">
        <v>950</v>
      </c>
      <c r="D8" s="314" t="str">
        <f>VLOOKUP(C8,Machined!C:X,2,0)</f>
        <v>Cylinder Stop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Craig Miller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45468</v>
      </c>
      <c r="K8" s="44">
        <f>IF(VLOOKUP($C8,Machined!C:Z,19,0) = 0, " ", VLOOKUP($C8,Machined!C:Z,19,0))</f>
        <v>45470</v>
      </c>
      <c r="L8" s="44">
        <f>IF(VLOOKUP($C8,Machined!C:Z,20,0) = 0, " ", VLOOKUP($C8,Machined!C:Z,20,0))</f>
        <v>45495</v>
      </c>
      <c r="M8" s="44">
        <f>IF(VLOOKUP($C8,Machined!C:Z,21,0) = 0, " ", VLOOKUP($C8,Machined!C:Z,21,0))</f>
        <v>45495</v>
      </c>
      <c r="N8" s="129">
        <f>IF(VLOOKUP($C8,Machined!C:Z,22,0) = 0, " ", VLOOKUP($C8,Machined!C:Z,22,0))</f>
        <v>55576</v>
      </c>
      <c r="O8" s="45">
        <f ca="1">B8*$L$2</f>
        <v>1</v>
      </c>
      <c r="P8" s="49">
        <f>VLOOKUP(C8,Machined!C:F,3,0)</f>
        <v>135</v>
      </c>
      <c r="Q8" s="50">
        <f>B8*P8</f>
        <v>135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2</v>
      </c>
      <c r="C10" s="135" t="s">
        <v>951</v>
      </c>
      <c r="D10" s="325" t="str">
        <f>VLOOKUP(C10,Purchased!A:B,2,0)</f>
        <v>Dowel Pin 52100 Alloy Steel, 4 mm Diameter, 10 mm Long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45482</v>
      </c>
      <c r="N10" s="130">
        <f>IF(VLOOKUP(C10,Purchased!A:R,17,0)=0, " ", VLOOKUP(C10,Purchased!A:R,17,0))</f>
        <v>45482</v>
      </c>
      <c r="O10" s="47">
        <f t="shared" ref="O10:O18" ca="1" si="2">B10*$L$2</f>
        <v>2</v>
      </c>
      <c r="P10" s="51">
        <f>VLOOKUP(C10,Purchased!A:D,3,FALSE)</f>
        <v>12.14</v>
      </c>
      <c r="Q10" s="52">
        <f t="shared" ref="Q10:Q18" si="3">B10*P10</f>
        <v>24.28</v>
      </c>
    </row>
    <row r="11" spans="1:17" s="2" customFormat="1" ht="12" customHeight="1" x14ac:dyDescent="0.25">
      <c r="A11" s="4">
        <v>302</v>
      </c>
      <c r="B11" s="2">
        <v>4</v>
      </c>
      <c r="C11" s="135" t="s">
        <v>952</v>
      </c>
      <c r="D11" s="325" t="str">
        <f>VLOOKUP(C11,Purchased!A:B,2,0)</f>
        <v>Mounted Linear Ball Bearing, Fixed Alignment, 36 mm Length, 42 mm Wide., 28 
mm Height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ca="1" si="2"/>
        <v>4</v>
      </c>
      <c r="P11" s="51">
        <f>VLOOKUP(C11,Purchased!A:D,3,FALSE)</f>
        <v>47.52</v>
      </c>
      <c r="Q11" s="52">
        <f t="shared" si="3"/>
        <v>190.08</v>
      </c>
    </row>
    <row r="12" spans="1:17" s="2" customFormat="1" ht="12" customHeight="1" x14ac:dyDescent="0.25">
      <c r="A12" s="4">
        <v>303</v>
      </c>
      <c r="B12" s="2">
        <v>1</v>
      </c>
      <c r="C12" s="135" t="s">
        <v>305</v>
      </c>
      <c r="D12" s="325" t="str">
        <f>VLOOKUP(C12,Purchased!A:B,2,0)</f>
        <v>Auto Switch, Solid State, General Purpose, M8-3Pin Connector, 0.5m Cord 
Length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10 more PO 55692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45489</v>
      </c>
      <c r="M12" s="46">
        <f>IF(VLOOKUP(C12,Purchased!A:R,16,0)=0, " ",VLOOKUP(C12,Purchased!A:R,16,0))</f>
        <v>45510</v>
      </c>
      <c r="N12" s="130">
        <f>IF(VLOOKUP(C12,Purchased!A:R,17,0)=0, " ", VLOOKUP(C12,Purchased!A:R,17,0))</f>
        <v>45513</v>
      </c>
      <c r="O12" s="47">
        <f t="shared" ca="1" si="2"/>
        <v>1</v>
      </c>
      <c r="P12" s="51">
        <f>VLOOKUP(C12,Purchased!A:D,3,FALSE)</f>
        <v>38.64</v>
      </c>
      <c r="Q12" s="52">
        <f t="shared" si="3"/>
        <v>38.64</v>
      </c>
    </row>
    <row r="13" spans="1:17" s="2" customFormat="1" ht="12" customHeight="1" x14ac:dyDescent="0.25">
      <c r="A13" s="4">
        <v>304</v>
      </c>
      <c r="B13" s="2">
        <v>2</v>
      </c>
      <c r="C13" s="135" t="s">
        <v>953</v>
      </c>
      <c r="D13" s="325" t="str">
        <f>VLOOKUP(C13,Purchased!A:B,2,0)</f>
        <v>KQ2 unifit elbow 1/8 port to 6mm dia tubing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2"/>
        <v>2</v>
      </c>
      <c r="P13" s="51">
        <f>VLOOKUP(C13,Purchased!A:D,3,FALSE)</f>
        <v>1.56</v>
      </c>
      <c r="Q13" s="52">
        <f t="shared" si="3"/>
        <v>3.12</v>
      </c>
    </row>
    <row r="14" spans="1:17" s="2" customFormat="1" ht="12" customHeight="1" x14ac:dyDescent="0.25">
      <c r="A14" s="4">
        <v>305</v>
      </c>
      <c r="B14" s="2">
        <v>1</v>
      </c>
      <c r="C14" s="135" t="s">
        <v>954</v>
      </c>
      <c r="D14" s="325" t="str">
        <f>VLOOKUP(C14,Purchased!A:B,2,0)</f>
        <v>CDM2 air cylinder, axial foot, 32mm bore, 300mm stroke, air cusion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45489</v>
      </c>
      <c r="M14" s="46">
        <f>IF(VLOOKUP(C14,Purchased!A:R,16,0)=0, " ",VLOOKUP(C14,Purchased!A:R,16,0))</f>
        <v>45510</v>
      </c>
      <c r="N14" s="130">
        <f>IF(VLOOKUP(C14,Purchased!A:R,17,0)=0, " ", VLOOKUP(C14,Purchased!A:R,17,0))</f>
        <v>45513</v>
      </c>
      <c r="O14" s="47">
        <f t="shared" ca="1" si="2"/>
        <v>1</v>
      </c>
      <c r="P14" s="51">
        <f>VLOOKUP(C14,Purchased!A:D,3,FALSE)</f>
        <v>114.5463</v>
      </c>
      <c r="Q14" s="52">
        <f t="shared" si="3"/>
        <v>114.5463</v>
      </c>
    </row>
    <row r="15" spans="1:17" s="2" customFormat="1" ht="12" customHeight="1" x14ac:dyDescent="0.25">
      <c r="A15" s="4">
        <v>306</v>
      </c>
      <c r="B15" s="2">
        <v>1</v>
      </c>
      <c r="C15" s="135" t="s">
        <v>955</v>
      </c>
      <c r="D15" s="325" t="str">
        <f>VLOOKUP(C15,Purchased!A:B,2,0)</f>
        <v>JA floating joint, 25/30mm bore, M10 thread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45489</v>
      </c>
      <c r="M15" s="46">
        <f>IF(VLOOKUP(C15,Purchased!A:R,16,0)=0, " ",VLOOKUP(C15,Purchased!A:R,16,0))</f>
        <v>45510</v>
      </c>
      <c r="N15" s="130">
        <f>IF(VLOOKUP(C15,Purchased!A:R,17,0)=0, " ", VLOOKUP(C15,Purchased!A:R,17,0))</f>
        <v>45513</v>
      </c>
      <c r="O15" s="47">
        <f t="shared" ca="1" si="2"/>
        <v>1</v>
      </c>
      <c r="P15" s="51">
        <f>VLOOKUP(C15,Purchased!A:D,3,FALSE)</f>
        <v>31.07</v>
      </c>
      <c r="Q15" s="52">
        <f t="shared" si="3"/>
        <v>31.07</v>
      </c>
    </row>
    <row r="16" spans="1:17" s="2" customFormat="1" ht="12" customHeight="1" x14ac:dyDescent="0.25">
      <c r="A16" s="4">
        <v>307</v>
      </c>
      <c r="B16" s="2">
        <v>1</v>
      </c>
      <c r="C16" s="135" t="s">
        <v>306</v>
      </c>
      <c r="D16" s="325" t="str">
        <f>VLOOKUP(C16,Purchased!A:B,2,0)</f>
        <v>M8 female 0° A-cod. with cable, PVC 3x0.25 bk UL/CSA 10m</v>
      </c>
      <c r="E16" s="326"/>
      <c r="F16" s="108" t="str">
        <f>IF(VLOOKUP($C16,Purchased!A:Z,11,0) = 0, " ", VLOOKUP($C16,Purchased!A:Z,11,0))</f>
        <v>MURR</v>
      </c>
      <c r="G16" s="108" t="str">
        <f>IF(VLOOKUP($C16,Purchased!A:Z,12,0)=0, " ", VLOOKUP($C16,Purchased!A:Z,12,0))</f>
        <v>MURR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45506</v>
      </c>
      <c r="K16" s="46">
        <f>IF(VLOOKUP(C16,Purchased!A:R,14,0)=0, " ", VLOOKUP(C16,Purchased!A:R,14,0))</f>
        <v>45506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2"/>
        <v>1</v>
      </c>
      <c r="P16" s="51">
        <f>VLOOKUP(C16,Purchased!A:D,3,FALSE)</f>
        <v>0</v>
      </c>
      <c r="Q16" s="52">
        <f t="shared" si="3"/>
        <v>0</v>
      </c>
    </row>
    <row r="17" spans="1:17" s="2" customFormat="1" ht="12" customHeight="1" x14ac:dyDescent="0.25">
      <c r="A17" s="4">
        <v>308</v>
      </c>
      <c r="B17" s="2">
        <v>1</v>
      </c>
      <c r="C17" s="135" t="s">
        <v>956</v>
      </c>
      <c r="D17" s="325" t="str">
        <f>VLOOKUP(C17,Purchased!A:B,2,0)</f>
        <v>Mounting bracket for auto switch</v>
      </c>
      <c r="E17" s="326"/>
      <c r="F17" s="108" t="str">
        <f>IF(VLOOKUP($C17,Purchased!A:Z,11,0) = 0, " ", VLOOKUP($C17,Purchased!A:Z,11,0))</f>
        <v>SMC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45491</v>
      </c>
      <c r="M17" s="46">
        <f>IF(VLOOKUP(C17,Purchased!A:R,16,0)=0, " ",VLOOKUP(C17,Purchased!A:R,16,0))</f>
        <v>45520</v>
      </c>
      <c r="N17" s="130">
        <f>IF(VLOOKUP(C17,Purchased!A:R,17,0)=0, " ", VLOOKUP(C17,Purchased!A:R,17,0))</f>
        <v>45511</v>
      </c>
      <c r="O17" s="47">
        <f t="shared" ca="1" si="2"/>
        <v>1</v>
      </c>
      <c r="P17" s="51">
        <f>VLOOKUP(C17,Purchased!A:D,3,FALSE)</f>
        <v>4.87</v>
      </c>
      <c r="Q17" s="52">
        <f t="shared" si="3"/>
        <v>4.87</v>
      </c>
    </row>
    <row r="18" spans="1:17" s="2" customFormat="1" ht="12" customHeight="1" x14ac:dyDescent="0.25">
      <c r="A18" s="4">
        <v>309</v>
      </c>
      <c r="B18" s="2">
        <v>3</v>
      </c>
      <c r="C18" s="135" t="s">
        <v>957</v>
      </c>
      <c r="D18" s="325" t="str">
        <f>VLOOKUP(C18,Purchased!A:B,2,0)</f>
        <v>Ball Bearing Carriage for 15 mm Wide Rail</v>
      </c>
      <c r="E18" s="326"/>
      <c r="F18" s="108" t="str">
        <f>IF(VLOOKUP($C18,Purchased!A:Z,11,0) = 0, " ", VLOOKUP($C18,Purchased!A:Z,11,0))</f>
        <v>MCM</v>
      </c>
      <c r="G18" s="108" t="str">
        <f>IF(VLOOKUP($C18,Purchased!A:Z,12,0)=0, " ", VLOOKUP($C18,Purchased!A:Z,12,0))</f>
        <v>MCM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45481</v>
      </c>
      <c r="K18" s="46">
        <f>IF(VLOOKUP(C18,Purchased!A:R,14,0)=0, " ", VLOOKUP(C18,Purchased!A:R,14,0))</f>
        <v>45481</v>
      </c>
      <c r="L18" s="46">
        <f>IF(VLOOKUP(C18,Purchased!A:R,15,0)=0, " ", VLOOKUP(C18,Purchased!A:R,15,0))</f>
        <v>45481</v>
      </c>
      <c r="M18" s="46">
        <f>IF(VLOOKUP(C18,Purchased!A:R,16,0)=0, " ",VLOOKUP(C18,Purchased!A:R,16,0))</f>
        <v>45482</v>
      </c>
      <c r="N18" s="130">
        <f>IF(VLOOKUP(C18,Purchased!A:R,17,0)=0, " ", VLOOKUP(C18,Purchased!A:R,17,0))</f>
        <v>45482</v>
      </c>
      <c r="O18" s="47">
        <f t="shared" ca="1" si="2"/>
        <v>3</v>
      </c>
      <c r="P18" s="51">
        <f>VLOOKUP(C18,Purchased!A:D,3,FALSE)</f>
        <v>118.97</v>
      </c>
      <c r="Q18" s="52">
        <f t="shared" si="3"/>
        <v>356.90999999999997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501</v>
      </c>
      <c r="B20" s="2">
        <v>4</v>
      </c>
      <c r="C20" s="122" t="s">
        <v>174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ref="O20:O23" ca="1" si="4">B20*$L$2</f>
        <v>4</v>
      </c>
      <c r="P20" s="51">
        <f>VLOOKUP(C20,Bolts!A:B,2,FALSE)</f>
        <v>0</v>
      </c>
      <c r="Q20" s="52">
        <f t="shared" ref="Q20:Q23" si="5">B20*P20</f>
        <v>0</v>
      </c>
    </row>
    <row r="21" spans="1:17" s="2" customFormat="1" ht="12" customHeight="1" x14ac:dyDescent="0.25">
      <c r="A21" s="4">
        <v>502</v>
      </c>
      <c r="B21" s="2">
        <v>12</v>
      </c>
      <c r="C21" s="122" t="s">
        <v>506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4"/>
        <v>12</v>
      </c>
      <c r="P21" s="51">
        <f>VLOOKUP(C21,Bolts!A:B,2,FALSE)</f>
        <v>0</v>
      </c>
      <c r="Q21" s="52">
        <f t="shared" si="5"/>
        <v>0</v>
      </c>
    </row>
    <row r="22" spans="1:17" s="2" customFormat="1" ht="12" customHeight="1" x14ac:dyDescent="0.25">
      <c r="A22" s="4">
        <v>503</v>
      </c>
      <c r="B22" s="2">
        <v>16</v>
      </c>
      <c r="C22" s="122" t="s">
        <v>958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4"/>
        <v>16</v>
      </c>
      <c r="P22" s="51">
        <f>VLOOKUP(C22,Bolts!A:B,2,FALSE)</f>
        <v>0</v>
      </c>
      <c r="Q22" s="52">
        <f t="shared" si="5"/>
        <v>0</v>
      </c>
    </row>
    <row r="23" spans="1:17" s="2" customFormat="1" ht="12" customHeight="1" thickBot="1" x14ac:dyDescent="0.3">
      <c r="A23" s="4">
        <v>504</v>
      </c>
      <c r="B23" s="2">
        <v>1</v>
      </c>
      <c r="C23" s="122" t="s">
        <v>959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4"/>
        <v>1</v>
      </c>
      <c r="P23" s="51">
        <f>VLOOKUP(C23,Bolts!A:B,2,FALSE)</f>
        <v>0</v>
      </c>
      <c r="Q23" s="52">
        <f t="shared" si="5"/>
        <v>0</v>
      </c>
    </row>
    <row r="24" spans="1:17" s="2" customFormat="1" ht="12" customHeight="1" thickBot="1" x14ac:dyDescent="0.3">
      <c r="A24" s="34"/>
      <c r="B24" s="35"/>
      <c r="C24" s="35"/>
      <c r="D24" s="316"/>
      <c r="E24" s="317"/>
      <c r="F24" s="35"/>
      <c r="G24" s="35"/>
      <c r="H24" s="309"/>
      <c r="I24" s="310"/>
      <c r="J24" s="36"/>
      <c r="K24" s="36"/>
      <c r="L24" s="36"/>
      <c r="M24" s="37"/>
      <c r="N24" s="132"/>
      <c r="O24" s="38"/>
      <c r="P24" s="99" t="s">
        <v>43</v>
      </c>
      <c r="Q24" s="104">
        <f>SUM(Q5:Q23)</f>
        <v>1529.7662999999998</v>
      </c>
    </row>
  </sheetData>
  <sheetProtection selectLockedCells="1"/>
  <mergeCells count="39">
    <mergeCell ref="D23:E23"/>
    <mergeCell ref="D24:E24"/>
    <mergeCell ref="H24:I24"/>
    <mergeCell ref="D19:E19"/>
    <mergeCell ref="H19:I19"/>
    <mergeCell ref="D20:E20"/>
    <mergeCell ref="D21:E21"/>
    <mergeCell ref="D22:E22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9 M19:M23">
    <cfRule type="cellIs" dxfId="1138" priority="19" stopIfTrue="1" operator="lessThanOrEqual">
      <formula>$L9</formula>
    </cfRule>
    <cfRule type="cellIs" dxfId="1137" priority="20" operator="greaterThan">
      <formula>L9</formula>
    </cfRule>
  </conditionalFormatting>
  <conditionalFormatting sqref="M10">
    <cfRule type="cellIs" dxfId="1136" priority="17" stopIfTrue="1" operator="lessThanOrEqual">
      <formula>$L10</formula>
    </cfRule>
    <cfRule type="cellIs" dxfId="1135" priority="18" operator="greaterThan">
      <formula>L10</formula>
    </cfRule>
  </conditionalFormatting>
  <conditionalFormatting sqref="M11">
    <cfRule type="cellIs" dxfId="1134" priority="15" stopIfTrue="1" operator="lessThanOrEqual">
      <formula>$L11</formula>
    </cfRule>
    <cfRule type="cellIs" dxfId="1133" priority="16" operator="greaterThan">
      <formula>L11</formula>
    </cfRule>
  </conditionalFormatting>
  <conditionalFormatting sqref="M12">
    <cfRule type="cellIs" dxfId="1132" priority="13" stopIfTrue="1" operator="lessThanOrEqual">
      <formula>$L12</formula>
    </cfRule>
    <cfRule type="cellIs" dxfId="1131" priority="14" operator="greaterThan">
      <formula>L12</formula>
    </cfRule>
  </conditionalFormatting>
  <conditionalFormatting sqref="M13">
    <cfRule type="cellIs" dxfId="1130" priority="11" stopIfTrue="1" operator="lessThanOrEqual">
      <formula>$L13</formula>
    </cfRule>
    <cfRule type="cellIs" dxfId="1129" priority="12" operator="greaterThan">
      <formula>L13</formula>
    </cfRule>
  </conditionalFormatting>
  <conditionalFormatting sqref="M14">
    <cfRule type="cellIs" dxfId="1128" priority="9" stopIfTrue="1" operator="lessThanOrEqual">
      <formula>$L14</formula>
    </cfRule>
    <cfRule type="cellIs" dxfId="1127" priority="10" operator="greaterThan">
      <formula>L14</formula>
    </cfRule>
  </conditionalFormatting>
  <conditionalFormatting sqref="M15">
    <cfRule type="cellIs" dxfId="1126" priority="7" stopIfTrue="1" operator="lessThanOrEqual">
      <formula>$L15</formula>
    </cfRule>
    <cfRule type="cellIs" dxfId="1125" priority="8" operator="greaterThan">
      <formula>L15</formula>
    </cfRule>
  </conditionalFormatting>
  <conditionalFormatting sqref="M16">
    <cfRule type="cellIs" dxfId="1124" priority="5" stopIfTrue="1" operator="lessThanOrEqual">
      <formula>$L16</formula>
    </cfRule>
    <cfRule type="cellIs" dxfId="1123" priority="6" operator="greaterThan">
      <formula>L16</formula>
    </cfRule>
  </conditionalFormatting>
  <conditionalFormatting sqref="M17">
    <cfRule type="cellIs" dxfId="1122" priority="3" stopIfTrue="1" operator="lessThanOrEqual">
      <formula>$L17</formula>
    </cfRule>
    <cfRule type="cellIs" dxfId="1121" priority="4" operator="greaterThan">
      <formula>L17</formula>
    </cfRule>
  </conditionalFormatting>
  <conditionalFormatting sqref="M18">
    <cfRule type="cellIs" dxfId="1120" priority="1" stopIfTrue="1" operator="lessThanOrEqual">
      <formula>$L18</formula>
    </cfRule>
    <cfRule type="cellIs" dxfId="1119" priority="2" operator="greaterThan">
      <formula>L18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F3AE347-14AB-4793-940F-D34A2F5AB75A}">
          <x14:formula1>
            <xm:f>Bolts!$A:$A</xm:f>
          </x14:formula1>
          <xm:sqref>C19:C23</xm:sqref>
        </x14:dataValidation>
        <x14:dataValidation type="list" allowBlank="1" showInputMessage="1" showErrorMessage="1" xr:uid="{A2439F4B-C41C-4C54-B086-C2BF4CBCD558}">
          <x14:formula1>
            <xm:f>Machined!$C:$C</xm:f>
          </x14:formula1>
          <xm:sqref>C5:C8</xm:sqref>
        </x14:dataValidation>
        <x14:dataValidation type="list" allowBlank="1" showInputMessage="1" showErrorMessage="1" xr:uid="{DBD2732F-7246-49C0-B7A7-FC8BC22ADBE5}">
          <x14:formula1>
            <xm:f>Purchased!$A:$A</xm:f>
          </x14:formula1>
          <xm:sqref>C9:C18</xm:sqref>
        </x14:dataValidation>
      </x14:dataValidations>
    </ext>
  </extLst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7298D-3530-424D-B8FD-93B997C1BE45}">
  <sheetPr codeName="Sheet146">
    <tabColor theme="3" tint="0.79998168889431442"/>
  </sheetPr>
  <dimension ref="A1:Q29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'6.2.1'!C8</f>
        <v>PG10.6.2.1.4.0.A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'6.2.1'!D8</f>
        <v>Tube Gripper Assy A Side</v>
      </c>
      <c r="D3" s="85" t="s">
        <v>50</v>
      </c>
      <c r="E3" s="86" t="str">
        <f ca="1">MID(CELL("filename",A1),FIND("]",CELL("filename",A1))+1,256)</f>
        <v>6.2.1.4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960</v>
      </c>
      <c r="D5" s="314" t="str">
        <f>VLOOKUP(C5,Machined!C:X,2,0)</f>
        <v>Gripper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ca="1">B5*$L$2</f>
        <v>1</v>
      </c>
      <c r="P5" s="49">
        <f>VLOOKUP(C5,Machined!C:F,3,0)</f>
        <v>108.5</v>
      </c>
      <c r="Q5" s="50">
        <f>B5*P5</f>
        <v>108.5</v>
      </c>
    </row>
    <row r="6" spans="1:17" s="2" customFormat="1" ht="12.75" customHeight="1" x14ac:dyDescent="0.25">
      <c r="A6" s="77">
        <v>2</v>
      </c>
      <c r="B6" s="20">
        <v>2</v>
      </c>
      <c r="C6" s="121" t="s">
        <v>961</v>
      </c>
      <c r="D6" s="314" t="str">
        <f>VLOOKUP(C6,Machined!C:X,2,0)</f>
        <v>Tube Gripper Block</v>
      </c>
      <c r="E6" s="329"/>
      <c r="F6" s="107" t="str">
        <f>VLOOKUP($C6,Machined!C:Z,13,0)</f>
        <v>3D PRINTED, PETG, RED</v>
      </c>
      <c r="G6" s="44" t="str">
        <f>IF(VLOOKUP($C6,Machined!C:Z,16,0) = 0, " ", VLOOKUP($C6,Machined!C:Z,16,0))</f>
        <v>NULINE</v>
      </c>
      <c r="H6" s="320" t="str">
        <f>IF(VLOOKUP($C6,Machined!C:Z,17,0) = 0, " ", VLOOKUP($C6,Machined!C:Z,17,0))</f>
        <v>SEE TREVOR</v>
      </c>
      <c r="I6" s="321" t="str">
        <f>IF(VLOOKUP($C6,Machined!$C:$Y,13,0) = 0, " ", VLOOKUP($C6,Machined!$C:$Y,13,0))</f>
        <v>3D PRINTED, PETG, RED</v>
      </c>
      <c r="J6" s="44" t="str">
        <f>IF(VLOOKUP($C6,Machined!C:Z,18,0) = 0, " ", VLOOKUP($C6,Machined!C:Z,18,0))</f>
        <v>N/A</v>
      </c>
      <c r="K6" s="44" t="str">
        <f>IF(VLOOKUP($C6,Machined!C:Z,19,0) = 0, " ", VLOOKUP($C6,Machined!C:Z,19,0))</f>
        <v>N/A</v>
      </c>
      <c r="L6" s="44" t="str">
        <f>IF(VLOOKUP($C6,Machined!C:Z,20,0) = 0, " ", VLOOKUP($C6,Machined!C:Z,20,0))</f>
        <v>N/A</v>
      </c>
      <c r="M6" s="44" t="str">
        <f>IF(VLOOKUP($C6,Machined!C:Z,21,0) = 0, " ", VLOOKUP($C6,Machined!C:Z,21,0))</f>
        <v>N/A</v>
      </c>
      <c r="N6" s="129" t="str">
        <f>IF(VLOOKUP($C6,Machined!C:Z,22,0) = 0, " ", VLOOKUP($C6,Machined!C:Z,22,0))</f>
        <v>N/A</v>
      </c>
      <c r="O6" s="45">
        <f t="shared" ref="O6:O7" ca="1" si="0">B6*$L$2</f>
        <v>2</v>
      </c>
      <c r="P6" s="49">
        <f>VLOOKUP(C6,Machined!C:F,3,0)</f>
        <v>0</v>
      </c>
      <c r="Q6" s="50">
        <f t="shared" ref="Q6:Q7" si="1">B6*P6</f>
        <v>0</v>
      </c>
    </row>
    <row r="7" spans="1:17" s="2" customFormat="1" ht="12.75" customHeight="1" x14ac:dyDescent="0.25">
      <c r="A7" s="77">
        <v>3</v>
      </c>
      <c r="B7" s="20">
        <v>2</v>
      </c>
      <c r="C7" s="121" t="s">
        <v>962</v>
      </c>
      <c r="D7" s="314" t="str">
        <f>VLOOKUP(C7,Machined!C:X,2,0)</f>
        <v>Tube Gripper Mount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2</v>
      </c>
      <c r="P7" s="49">
        <f>VLOOKUP(C7,Machined!C:F,3,0)</f>
        <v>163.5</v>
      </c>
      <c r="Q7" s="50">
        <f t="shared" si="1"/>
        <v>327</v>
      </c>
    </row>
    <row r="8" spans="1:17" s="2" customFormat="1" ht="12.75" customHeight="1" x14ac:dyDescent="0.25">
      <c r="A8" s="77">
        <v>4</v>
      </c>
      <c r="B8" s="20">
        <v>1</v>
      </c>
      <c r="C8" s="121" t="s">
        <v>3867</v>
      </c>
      <c r="D8" s="314" t="str">
        <f>VLOOKUP(C8,Machined!C:X,2,0)</f>
        <v>Bulkhead Bracket Lower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 xml:space="preserve"> </v>
      </c>
      <c r="H8" s="320" t="str">
        <f>IF(VLOOKUP($C8,Machined!C:Z,17,0) = 0, " ", VLOOKUP($C8,Machined!C:Z,17,0))</f>
        <v>Nuline to modify Rev A to B</v>
      </c>
      <c r="I8" s="321" t="str">
        <f>IF(VLOOKUP($C8,Machined!$C:$Y,13,0) = 0, " ", VLOOKUP($C8,Machined!$C:$Y,13,0))</f>
        <v>304 STAINLESS STEEL</v>
      </c>
      <c r="J8" s="44" t="str">
        <f>IF(VLOOKUP($C8,Machined!C:Z,18,0) = 0, " ", VLOOKUP($C8,Machined!C:Z,18,0))</f>
        <v>N/A</v>
      </c>
      <c r="K8" s="44" t="str">
        <f>IF(VLOOKUP($C8,Machined!C:Z,19,0) = 0, " ", VLOOKUP($C8,Machined!C:Z,19,0))</f>
        <v>N/A</v>
      </c>
      <c r="L8" s="44" t="str">
        <f>IF(VLOOKUP($C8,Machined!C:Z,20,0) = 0, " ", VLOOKUP($C8,Machined!C:Z,20,0))</f>
        <v>N/A</v>
      </c>
      <c r="M8" s="44" t="str">
        <f>IF(VLOOKUP($C8,Machined!C:Z,21,0) = 0, " ", VLOOKUP($C8,Machined!C:Z,21,0))</f>
        <v>N/A</v>
      </c>
      <c r="N8" s="129" t="str">
        <f>IF(VLOOKUP($C8,Machined!C:Z,22,0) = 0, " ", VLOOKUP($C8,Machined!C:Z,22,0))</f>
        <v>N/A</v>
      </c>
      <c r="O8" s="45">
        <f ca="1">B8*$L$2</f>
        <v>1</v>
      </c>
      <c r="P8" s="49">
        <f>VLOOKUP(C8,Machined!C:F,3,0)</f>
        <v>0</v>
      </c>
      <c r="Q8" s="50">
        <f>B8*P8</f>
        <v>0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6</v>
      </c>
      <c r="C10" s="135" t="s">
        <v>963</v>
      </c>
      <c r="D10" s="325" t="str">
        <f>VLOOKUP(C10,Purchased!A:B,2,0)</f>
        <v>Brass Tapered Heat-Set Inserts for Plastic, M5 x 0.8 mm Thread Size, 11.1 mm 
Installed Length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45482</v>
      </c>
      <c r="N10" s="130">
        <f>IF(VLOOKUP(C10,Purchased!A:R,17,0)=0, " ", VLOOKUP(C10,Purchased!A:R,17,0))</f>
        <v>45482</v>
      </c>
      <c r="O10" s="47">
        <f t="shared" ref="O10:O21" ca="1" si="2">B10*$L$2</f>
        <v>6</v>
      </c>
      <c r="P10" s="51">
        <f>VLOOKUP(C10,Purchased!A:D,3,FALSE)</f>
        <v>10.73</v>
      </c>
      <c r="Q10" s="52">
        <f t="shared" ref="Q10:Q21" si="3">B10*P10</f>
        <v>64.38</v>
      </c>
    </row>
    <row r="11" spans="1:17" s="2" customFormat="1" ht="12" customHeight="1" x14ac:dyDescent="0.25">
      <c r="A11" s="4">
        <v>302</v>
      </c>
      <c r="B11" s="2">
        <v>2</v>
      </c>
      <c r="C11" s="135" t="s">
        <v>953</v>
      </c>
      <c r="D11" s="325" t="str">
        <f>VLOOKUP(C11,Purchased!A:B,2,0)</f>
        <v>KQ2 unifit elbow 1/8 port to 6mm dia tubing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2"/>
        <v>2</v>
      </c>
      <c r="P11" s="51">
        <f>VLOOKUP(C11,Purchased!A:D,3,FALSE)</f>
        <v>1.56</v>
      </c>
      <c r="Q11" s="52">
        <f t="shared" si="3"/>
        <v>3.12</v>
      </c>
    </row>
    <row r="12" spans="1:17" s="2" customFormat="1" ht="12" customHeight="1" x14ac:dyDescent="0.25">
      <c r="A12" s="4">
        <v>303</v>
      </c>
      <c r="B12" s="2">
        <v>2</v>
      </c>
      <c r="C12" s="135" t="s">
        <v>964</v>
      </c>
      <c r="D12" s="325" t="str">
        <f>VLOOKUP(C12,Purchased!A:B,2,0)</f>
        <v>KQ2 one touch fitting, elbow, 6mm dia tubing, plug in male end 6mm dia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45491</v>
      </c>
      <c r="M12" s="46">
        <f>IF(VLOOKUP(C12,Purchased!A:R,16,0)=0, " ",VLOOKUP(C12,Purchased!A:R,16,0))</f>
        <v>45520</v>
      </c>
      <c r="N12" s="130">
        <f>IF(VLOOKUP(C12,Purchased!A:R,17,0)=0, " ", VLOOKUP(C12,Purchased!A:R,17,0))</f>
        <v>45511</v>
      </c>
      <c r="O12" s="47">
        <f t="shared" ca="1" si="2"/>
        <v>2</v>
      </c>
      <c r="P12" s="51">
        <f>VLOOKUP(C12,Purchased!A:D,3,FALSE)</f>
        <v>1.33</v>
      </c>
      <c r="Q12" s="52">
        <f t="shared" si="3"/>
        <v>2.66</v>
      </c>
    </row>
    <row r="13" spans="1:17" s="2" customFormat="1" ht="12" customHeight="1" x14ac:dyDescent="0.25">
      <c r="A13" s="4">
        <v>304</v>
      </c>
      <c r="B13" s="2">
        <v>2</v>
      </c>
      <c r="C13" s="135" t="s">
        <v>965</v>
      </c>
      <c r="D13" s="325" t="str">
        <f>VLOOKUP(C13,Purchased!A:B,2,0)</f>
        <v>KQ2 uni fit one touch fitting, bulk head, straight, 6mm dia tubing both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2"/>
        <v>2</v>
      </c>
      <c r="P13" s="51">
        <f>VLOOKUP(C13,Purchased!A:D,3,FALSE)</f>
        <v>3.48</v>
      </c>
      <c r="Q13" s="52">
        <f t="shared" si="3"/>
        <v>6.96</v>
      </c>
    </row>
    <row r="14" spans="1:17" s="2" customFormat="1" ht="12" customHeight="1" x14ac:dyDescent="0.25">
      <c r="A14" s="4">
        <v>305</v>
      </c>
      <c r="B14" s="2">
        <v>2</v>
      </c>
      <c r="C14" s="135" t="s">
        <v>966</v>
      </c>
      <c r="D14" s="325" t="str">
        <f>VLOOKUP(C14,Purchased!A:B,2,0)</f>
        <v>MFS magnetic Field Sensor</v>
      </c>
      <c r="E14" s="326"/>
      <c r="F14" s="108" t="str">
        <f>IF(VLOOKUP($C14,Purchased!A:Z,11,0) = 0, " ", VLOOKUP($C14,Purchased!A:Z,11,0))</f>
        <v>Zimmer</v>
      </c>
      <c r="G14" s="108" t="str">
        <f>IF(VLOOKUP($C14,Purchased!A:Z,12,0)=0, " ", VLOOKUP($C14,Purchased!A:Z,12,0))</f>
        <v>Zimmer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45482</v>
      </c>
      <c r="K14" s="46">
        <f>IF(VLOOKUP(C14,Purchased!A:R,14,0)=0, " ", VLOOKUP(C14,Purchased!A:R,14,0))</f>
        <v>45482</v>
      </c>
      <c r="L14" s="46">
        <f>IF(VLOOKUP(C14,Purchased!A:R,15,0)=0, " ", VLOOKUP(C14,Purchased!A:R,15,0))</f>
        <v>45482</v>
      </c>
      <c r="M14" s="46">
        <f>IF(VLOOKUP(C14,Purchased!A:R,16,0)=0, " ",VLOOKUP(C14,Purchased!A:R,16,0))</f>
        <v>45512</v>
      </c>
      <c r="N14" s="130">
        <f>IF(VLOOKUP(C14,Purchased!A:R,17,0)=0, " ", VLOOKUP(C14,Purchased!A:R,17,0))</f>
        <v>45512</v>
      </c>
      <c r="O14" s="47">
        <f t="shared" ca="1" si="2"/>
        <v>2</v>
      </c>
      <c r="P14" s="51">
        <f>VLOOKUP(C14,Purchased!A:D,3,FALSE)</f>
        <v>95.3</v>
      </c>
      <c r="Q14" s="52">
        <f t="shared" si="3"/>
        <v>190.6</v>
      </c>
    </row>
    <row r="15" spans="1:17" s="2" customFormat="1" ht="12" customHeight="1" x14ac:dyDescent="0.25">
      <c r="A15" s="4">
        <v>306</v>
      </c>
      <c r="B15" s="2">
        <v>1</v>
      </c>
      <c r="C15" s="135" t="s">
        <v>967</v>
      </c>
      <c r="D15" s="325" t="str">
        <f>VLOOKUP(C15,Purchased!A:B,2,0)</f>
        <v xml:space="preserve">GK 2 jaw radial gripper </v>
      </c>
      <c r="E15" s="326"/>
      <c r="F15" s="108" t="str">
        <f>IF(VLOOKUP($C15,Purchased!A:Z,11,0) = 0, " ", VLOOKUP($C15,Purchased!A:Z,11,0))</f>
        <v>Zimmer</v>
      </c>
      <c r="G15" s="108" t="str">
        <f>IF(VLOOKUP($C15,Purchased!A:Z,12,0)=0, " ", VLOOKUP($C15,Purchased!A:Z,12,0))</f>
        <v>Zimmer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45482</v>
      </c>
      <c r="K15" s="46">
        <f>IF(VLOOKUP(C15,Purchased!A:R,14,0)=0, " ", VLOOKUP(C15,Purchased!A:R,14,0))</f>
        <v>45482</v>
      </c>
      <c r="L15" s="46">
        <f>IF(VLOOKUP(C15,Purchased!A:R,15,0)=0, " ", VLOOKUP(C15,Purchased!A:R,15,0))</f>
        <v>45482</v>
      </c>
      <c r="M15" s="46">
        <f>IF(VLOOKUP(C15,Purchased!A:R,16,0)=0, " ",VLOOKUP(C15,Purchased!A:R,16,0))</f>
        <v>45512</v>
      </c>
      <c r="N15" s="130">
        <f>IF(VLOOKUP(C15,Purchased!A:R,17,0)=0, " ", VLOOKUP(C15,Purchased!A:R,17,0))</f>
        <v>45512</v>
      </c>
      <c r="O15" s="47">
        <f t="shared" ca="1" si="2"/>
        <v>1</v>
      </c>
      <c r="P15" s="51">
        <f>VLOOKUP(C15,Purchased!A:D,3,FALSE)</f>
        <v>546.4</v>
      </c>
      <c r="Q15" s="52">
        <f t="shared" si="3"/>
        <v>546.4</v>
      </c>
    </row>
    <row r="16" spans="1:17" s="2" customFormat="1" ht="12" customHeight="1" x14ac:dyDescent="0.25">
      <c r="A16" s="4">
        <v>307</v>
      </c>
      <c r="B16" s="2">
        <v>1</v>
      </c>
      <c r="C16" s="135" t="s">
        <v>968</v>
      </c>
      <c r="D16" s="325" t="str">
        <f>VLOOKUP(C16,Purchased!A:B,2,0)</f>
        <v>T-Coupler M12 male / 2x M8 female A-cod. 4-pol. / 2x 3-pol</v>
      </c>
      <c r="E16" s="326"/>
      <c r="F16" s="108" t="str">
        <f>IF(VLOOKUP($C16,Purchased!A:Z,11,0) = 0, " ", VLOOKUP($C16,Purchased!A:Z,11,0))</f>
        <v>MURR</v>
      </c>
      <c r="G16" s="108" t="str">
        <f>IF(VLOOKUP($C16,Purchased!A:Z,12,0)=0, " ", VLOOKUP($C16,Purchased!A:Z,12,0))</f>
        <v>MURR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45506</v>
      </c>
      <c r="K16" s="46">
        <f>IF(VLOOKUP(C16,Purchased!A:R,14,0)=0, " ", VLOOKUP(C16,Purchased!A:R,14,0))</f>
        <v>45506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2"/>
        <v>1</v>
      </c>
      <c r="P16" s="51">
        <f>VLOOKUP(C16,Purchased!A:D,3,FALSE)</f>
        <v>0</v>
      </c>
      <c r="Q16" s="52">
        <f t="shared" si="3"/>
        <v>0</v>
      </c>
    </row>
    <row r="17" spans="1:17" s="2" customFormat="1" ht="12" customHeight="1" x14ac:dyDescent="0.25">
      <c r="A17" s="4">
        <v>308</v>
      </c>
      <c r="B17" s="2">
        <v>1</v>
      </c>
      <c r="C17" s="135" t="s">
        <v>969</v>
      </c>
      <c r="D17" s="325" t="str">
        <f>VLOOKUP(C17,Purchased!A:B,2,0)</f>
        <v>M12 male 0° A-cod. IDC 4-pol., 0.25 - 0.5mm, 4 - 5,1mm</v>
      </c>
      <c r="E17" s="326"/>
      <c r="F17" s="108" t="str">
        <f>IF(VLOOKUP($C17,Purchased!A:Z,11,0) = 0, " ", VLOOKUP($C17,Purchased!A:Z,11,0))</f>
        <v>MURR</v>
      </c>
      <c r="G17" s="108" t="str">
        <f>IF(VLOOKUP($C17,Purchased!A:Z,12,0)=0, " ", VLOOKUP($C17,Purchased!A:Z,12,0))</f>
        <v>MURR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45506</v>
      </c>
      <c r="K17" s="46">
        <f>IF(VLOOKUP(C17,Purchased!A:R,14,0)=0, " ", VLOOKUP(C17,Purchased!A:R,14,0))</f>
        <v>45506</v>
      </c>
      <c r="L17" s="46" t="str">
        <f>IF(VLOOKUP(C17,Purchased!A:R,15,0)=0, " ", VLOOKUP(C17,Purchased!A:R,15,0))</f>
        <v xml:space="preserve"> </v>
      </c>
      <c r="M17" s="46" t="str">
        <f>IF(VLOOKUP(C17,Purchased!A:R,16,0)=0, " ",VLOOKUP(C17,Purchased!A:R,16,0))</f>
        <v xml:space="preserve"> </v>
      </c>
      <c r="N17" s="130" t="str">
        <f>IF(VLOOKUP(C17,Purchased!A:R,17,0)=0, " ", VLOOKUP(C17,Purchased!A:R,17,0))</f>
        <v xml:space="preserve"> </v>
      </c>
      <c r="O17" s="47">
        <f t="shared" ca="1" si="2"/>
        <v>1</v>
      </c>
      <c r="P17" s="51">
        <f>VLOOKUP(C17,Purchased!A:D,3,FALSE)</f>
        <v>0</v>
      </c>
      <c r="Q17" s="52">
        <f t="shared" si="3"/>
        <v>0</v>
      </c>
    </row>
    <row r="18" spans="1:17" s="2" customFormat="1" ht="12" customHeight="1" x14ac:dyDescent="0.25">
      <c r="A18" s="4">
        <v>309</v>
      </c>
      <c r="B18" s="2">
        <v>1</v>
      </c>
      <c r="C18" s="135" t="s">
        <v>106</v>
      </c>
      <c r="D18" s="325" t="str">
        <f>VLOOKUP(C18,Purchased!A:B,2,0)</f>
        <v>M12 female 0° A-cod. with cable, PVC 4x0.34 bk UL/CSA 5m</v>
      </c>
      <c r="E18" s="326"/>
      <c r="F18" s="108" t="str">
        <f>IF(VLOOKUP($C18,Purchased!A:Z,11,0) = 0, " ", VLOOKUP($C18,Purchased!A:Z,11,0))</f>
        <v>MURR</v>
      </c>
      <c r="G18" s="108" t="str">
        <f>IF(VLOOKUP($C18,Purchased!A:Z,12,0)=0, " ", VLOOKUP($C18,Purchased!A:Z,12,0))</f>
        <v>MURR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45506</v>
      </c>
      <c r="K18" s="46">
        <f>IF(VLOOKUP(C18,Purchased!A:R,14,0)=0, " ", VLOOKUP(C18,Purchased!A:R,14,0))</f>
        <v>45506</v>
      </c>
      <c r="L18" s="46" t="str">
        <f>IF(VLOOKUP(C18,Purchased!A:R,15,0)=0, " ", VLOOKUP(C18,Purchased!A:R,15,0))</f>
        <v xml:space="preserve"> </v>
      </c>
      <c r="M18" s="46" t="str">
        <f>IF(VLOOKUP(C18,Purchased!A:R,16,0)=0, " ",VLOOKUP(C18,Purchased!A:R,16,0))</f>
        <v xml:space="preserve"> </v>
      </c>
      <c r="N18" s="130" t="str">
        <f>IF(VLOOKUP(C18,Purchased!A:R,17,0)=0, " ", VLOOKUP(C18,Purchased!A:R,17,0))</f>
        <v xml:space="preserve"> </v>
      </c>
      <c r="O18" s="47">
        <f t="shared" ca="1" si="2"/>
        <v>1</v>
      </c>
      <c r="P18" s="51">
        <f>VLOOKUP(C18,Purchased!A:D,3,FALSE)</f>
        <v>0</v>
      </c>
      <c r="Q18" s="52">
        <f t="shared" si="3"/>
        <v>0</v>
      </c>
    </row>
    <row r="19" spans="1:17" s="2" customFormat="1" ht="12" customHeight="1" x14ac:dyDescent="0.25">
      <c r="A19" s="4">
        <v>310</v>
      </c>
      <c r="B19" s="2">
        <v>2</v>
      </c>
      <c r="C19" s="135" t="s">
        <v>970</v>
      </c>
      <c r="D19" s="325" t="str">
        <f>VLOOKUP(C19,Purchased!A:B,2,0)</f>
        <v>MDC, Cordset, 4 Pole, Female Straight, 3.3M (Extended), 4A, Yellow, Coiled 
PUR Cable, Nickel Plated Brass</v>
      </c>
      <c r="E19" s="326"/>
      <c r="F19" s="108" t="str">
        <f>IF(VLOOKUP($C19,Purchased!A:Z,11,0) = 0, " ", VLOOKUP($C19,Purchased!A:Z,11,0))</f>
        <v>MENCOM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 t="str">
        <f>IF(VLOOKUP(C19,Purchased!A:R,15,0)=0, " ", VLOOKUP(C19,Purchased!A:R,15,0))</f>
        <v xml:space="preserve"> </v>
      </c>
      <c r="M19" s="46" t="str">
        <f>IF(VLOOKUP(C19,Purchased!A:R,16,0)=0, " ",VLOOKUP(C19,Purchased!A:R,16,0))</f>
        <v xml:space="preserve"> </v>
      </c>
      <c r="N19" s="130" t="str">
        <f>IF(VLOOKUP(C19,Purchased!A:R,17,0)=0, " ", VLOOKUP(C19,Purchased!A:R,17,0))</f>
        <v xml:space="preserve"> </v>
      </c>
      <c r="O19" s="47">
        <f t="shared" ca="1" si="2"/>
        <v>2</v>
      </c>
      <c r="P19" s="51">
        <f>VLOOKUP(C19,Purchased!A:D,3,FALSE)</f>
        <v>78.67</v>
      </c>
      <c r="Q19" s="52">
        <f t="shared" si="3"/>
        <v>157.34</v>
      </c>
    </row>
    <row r="20" spans="1:17" s="2" customFormat="1" ht="12" customHeight="1" x14ac:dyDescent="0.25">
      <c r="A20" s="4">
        <v>311</v>
      </c>
      <c r="B20" s="2">
        <v>2</v>
      </c>
      <c r="C20" s="135" t="s">
        <v>971</v>
      </c>
      <c r="D20" s="325" t="str">
        <f>VLOOKUP(C20,Purchased!A:B,2,0)</f>
        <v>Linear Motion Shaft, 1055 Carbon Steel, 12 mm Diameter, 500 mm Long</v>
      </c>
      <c r="E20" s="326"/>
      <c r="F20" s="108" t="str">
        <f>IF(VLOOKUP($C20,Purchased!A:Z,11,0) = 0, " ", VLOOKUP($C20,Purchased!A:Z,11,0))</f>
        <v>Thomson</v>
      </c>
      <c r="G20" s="108" t="str">
        <f>IF(VLOOKUP($C20,Purchased!A:Z,12,0)=0, " ", VLOOKUP($C20,Purchased!A:Z,12,0))</f>
        <v>BDI</v>
      </c>
      <c r="H20" s="327" t="str">
        <f>IF(VLOOKUP($C20,Purchased!A:Z,13,0)=0, " ", VLOOKUP($C20,Purchased!A:Z,13,0))</f>
        <v># 842907 - QS12mm 500</v>
      </c>
      <c r="I20" s="328"/>
      <c r="J20" s="46">
        <f>IF(VLOOKUP($C20,Purchased!A:Z,14,0)=0, " ", VLOOKUP($C20,Purchased!A:Z,14,0))</f>
        <v>45460</v>
      </c>
      <c r="K20" s="46">
        <f>IF(VLOOKUP(C20,Purchased!A:R,14,0)=0, " ", VLOOKUP(C20,Purchased!A:R,14,0))</f>
        <v>45460</v>
      </c>
      <c r="L20" s="46">
        <f>IF(VLOOKUP(C20,Purchased!A:R,15,0)=0, " ", VLOOKUP(C20,Purchased!A:R,15,0))</f>
        <v>45462</v>
      </c>
      <c r="M20" s="46">
        <f>IF(VLOOKUP(C20,Purchased!A:R,16,0)=0, " ",VLOOKUP(C20,Purchased!A:R,16,0))</f>
        <v>45495</v>
      </c>
      <c r="N20" s="130">
        <f>IF(VLOOKUP(C20,Purchased!A:R,17,0)=0, " ", VLOOKUP(C20,Purchased!A:R,17,0))</f>
        <v>45495</v>
      </c>
      <c r="O20" s="47">
        <f t="shared" ca="1" si="2"/>
        <v>2</v>
      </c>
      <c r="P20" s="51">
        <f>VLOOKUP(C20,Purchased!A:D,3,FALSE)</f>
        <v>16.559999999999999</v>
      </c>
      <c r="Q20" s="52">
        <f t="shared" si="3"/>
        <v>33.119999999999997</v>
      </c>
    </row>
    <row r="21" spans="1:17" s="2" customFormat="1" ht="12" customHeight="1" x14ac:dyDescent="0.25">
      <c r="A21" s="4">
        <v>312</v>
      </c>
      <c r="B21" s="2">
        <v>1</v>
      </c>
      <c r="C21" s="135" t="s">
        <v>972</v>
      </c>
      <c r="D21" s="325" t="str">
        <f>VLOOKUP(C21,Purchased!A:B,2,0)</f>
        <v>SAME AS 95495K66, Adhesive-Back Bumpers, Polyurethane Rubber, 3/8" OD, 
1/8" High, Durometer 65A</v>
      </c>
      <c r="E21" s="326"/>
      <c r="F21" s="108" t="str">
        <f>IF(VLOOKUP($C21,Purchased!A:Z,11,0) = 0, " ", VLOOKUP($C21,Purchased!A:Z,11,0))</f>
        <v>MCM</v>
      </c>
      <c r="G21" s="108" t="str">
        <f>IF(VLOOKUP($C21,Purchased!A:Z,12,0)=0, " ", VLOOKUP($C21,Purchased!A:Z,12,0))</f>
        <v>MCM</v>
      </c>
      <c r="H21" s="327" t="str">
        <f>IF(VLOOKUP($C21,Purchased!A:Z,13,0)=0, " ", VLOOKUP($C21,Purchased!A:Z,13,0))</f>
        <v>Nuline Stock</v>
      </c>
      <c r="I21" s="328"/>
      <c r="J21" s="46" t="str">
        <f>IF(VLOOKUP($C21,Purchased!A:Z,14,0)=0, " ", VLOOKUP($C21,Purchased!A:Z,14,0))</f>
        <v>N/A</v>
      </c>
      <c r="K21" s="46" t="str">
        <f>IF(VLOOKUP(C21,Purchased!A:R,14,0)=0, " ", VLOOKUP(C21,Purchased!A:R,14,0))</f>
        <v>N/A</v>
      </c>
      <c r="L21" s="46" t="str">
        <f>IF(VLOOKUP(C21,Purchased!A:R,15,0)=0, " ", VLOOKUP(C21,Purchased!A:R,15,0))</f>
        <v>N/A</v>
      </c>
      <c r="M21" s="46" t="str">
        <f>IF(VLOOKUP(C21,Purchased!A:R,16,0)=0, " ",VLOOKUP(C21,Purchased!A:R,16,0))</f>
        <v>N/A</v>
      </c>
      <c r="N21" s="130" t="str">
        <f>IF(VLOOKUP(C21,Purchased!A:R,17,0)=0, " ", VLOOKUP(C21,Purchased!A:R,17,0))</f>
        <v>N/A</v>
      </c>
      <c r="O21" s="47">
        <f t="shared" ca="1" si="2"/>
        <v>1</v>
      </c>
      <c r="P21" s="51">
        <f>VLOOKUP(C21,Purchased!A:D,3,FALSE)</f>
        <v>11.03</v>
      </c>
      <c r="Q21" s="52">
        <f t="shared" si="3"/>
        <v>11.03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501</v>
      </c>
      <c r="B23" s="2">
        <v>2</v>
      </c>
      <c r="C23" s="122" t="s">
        <v>333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ref="O23:O28" ca="1" si="4">B23*$L$2</f>
        <v>2</v>
      </c>
      <c r="P23" s="51">
        <f>VLOOKUP(C23,Bolts!A:B,2,FALSE)</f>
        <v>0</v>
      </c>
      <c r="Q23" s="52">
        <f t="shared" ref="Q23:Q28" si="5">B23*P23</f>
        <v>0</v>
      </c>
    </row>
    <row r="24" spans="1:17" s="2" customFormat="1" ht="12" customHeight="1" x14ac:dyDescent="0.25">
      <c r="A24" s="4">
        <v>502</v>
      </c>
      <c r="B24" s="2">
        <v>14</v>
      </c>
      <c r="C24" s="122" t="s">
        <v>107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4"/>
        <v>14</v>
      </c>
      <c r="P24" s="51">
        <f>VLOOKUP(C24,Bolts!A:B,2,FALSE)</f>
        <v>0</v>
      </c>
      <c r="Q24" s="52">
        <f t="shared" si="5"/>
        <v>0</v>
      </c>
    </row>
    <row r="25" spans="1:17" s="2" customFormat="1" ht="12" customHeight="1" x14ac:dyDescent="0.25">
      <c r="A25" s="4">
        <v>503</v>
      </c>
      <c r="B25" s="2">
        <v>2</v>
      </c>
      <c r="C25" s="122" t="s">
        <v>660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4"/>
        <v>2</v>
      </c>
      <c r="P25" s="51">
        <f>VLOOKUP(C25,Bolts!A:B,2,FALSE)</f>
        <v>0</v>
      </c>
      <c r="Q25" s="52">
        <f t="shared" si="5"/>
        <v>0</v>
      </c>
    </row>
    <row r="26" spans="1:17" s="2" customFormat="1" ht="12" customHeight="1" x14ac:dyDescent="0.25">
      <c r="A26" s="4">
        <v>504</v>
      </c>
      <c r="B26" s="2">
        <v>1</v>
      </c>
      <c r="C26" s="122" t="s">
        <v>973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4"/>
        <v>1</v>
      </c>
      <c r="P26" s="51">
        <f>VLOOKUP(C26,Bolts!A:B,2,FALSE)</f>
        <v>0</v>
      </c>
      <c r="Q26" s="52">
        <f t="shared" si="5"/>
        <v>0</v>
      </c>
    </row>
    <row r="27" spans="1:17" s="2" customFormat="1" ht="12" customHeight="1" x14ac:dyDescent="0.25">
      <c r="A27" s="4">
        <v>505</v>
      </c>
      <c r="B27" s="2">
        <v>1</v>
      </c>
      <c r="C27" s="122" t="s">
        <v>274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4"/>
        <v>1</v>
      </c>
      <c r="P27" s="51">
        <f>VLOOKUP(C27,Bolts!A:B,2,FALSE)</f>
        <v>0</v>
      </c>
      <c r="Q27" s="52">
        <f t="shared" si="5"/>
        <v>0</v>
      </c>
    </row>
    <row r="28" spans="1:17" s="2" customFormat="1" ht="12" customHeight="1" thickBot="1" x14ac:dyDescent="0.3">
      <c r="A28" s="4">
        <v>506</v>
      </c>
      <c r="B28" s="2">
        <v>1</v>
      </c>
      <c r="C28" s="122" t="s">
        <v>329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4"/>
        <v>1</v>
      </c>
      <c r="P28" s="51">
        <f>VLOOKUP(C28,Bolts!A:B,2,FALSE)</f>
        <v>0</v>
      </c>
      <c r="Q28" s="52">
        <f t="shared" si="5"/>
        <v>0</v>
      </c>
    </row>
    <row r="29" spans="1:17" s="2" customFormat="1" ht="12" customHeight="1" thickBot="1" x14ac:dyDescent="0.3">
      <c r="A29" s="34"/>
      <c r="B29" s="35"/>
      <c r="C29" s="35"/>
      <c r="D29" s="316"/>
      <c r="E29" s="317"/>
      <c r="F29" s="35"/>
      <c r="G29" s="35"/>
      <c r="H29" s="309"/>
      <c r="I29" s="310"/>
      <c r="J29" s="36"/>
      <c r="K29" s="36"/>
      <c r="L29" s="36"/>
      <c r="M29" s="37"/>
      <c r="N29" s="132"/>
      <c r="O29" s="38"/>
      <c r="P29" s="99" t="s">
        <v>43</v>
      </c>
      <c r="Q29" s="104">
        <f>SUM(Q5:Q28)</f>
        <v>1451.1099999999997</v>
      </c>
    </row>
  </sheetData>
  <sheetProtection selectLockedCells="1"/>
  <mergeCells count="47">
    <mergeCell ref="D26:E26"/>
    <mergeCell ref="D27:E27"/>
    <mergeCell ref="D28:E28"/>
    <mergeCell ref="D29:E29"/>
    <mergeCell ref="H29:I29"/>
    <mergeCell ref="D22:E22"/>
    <mergeCell ref="H22:I22"/>
    <mergeCell ref="D23:E23"/>
    <mergeCell ref="D24:E24"/>
    <mergeCell ref="D25:E25"/>
    <mergeCell ref="D19:E19"/>
    <mergeCell ref="H19:I19"/>
    <mergeCell ref="D20:E20"/>
    <mergeCell ref="H20:I20"/>
    <mergeCell ref="D21:E21"/>
    <mergeCell ref="H21:I21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9 M22:M28">
    <cfRule type="cellIs" dxfId="1118" priority="25" stopIfTrue="1" operator="lessThanOrEqual">
      <formula>$L9</formula>
    </cfRule>
    <cfRule type="cellIs" dxfId="1117" priority="26" operator="greaterThan">
      <formula>L9</formula>
    </cfRule>
  </conditionalFormatting>
  <conditionalFormatting sqref="M10">
    <cfRule type="cellIs" dxfId="1116" priority="23" stopIfTrue="1" operator="lessThanOrEqual">
      <formula>$L10</formula>
    </cfRule>
    <cfRule type="cellIs" dxfId="1115" priority="24" operator="greaterThan">
      <formula>L10</formula>
    </cfRule>
  </conditionalFormatting>
  <conditionalFormatting sqref="M11">
    <cfRule type="cellIs" dxfId="1114" priority="21" stopIfTrue="1" operator="lessThanOrEqual">
      <formula>$L11</formula>
    </cfRule>
    <cfRule type="cellIs" dxfId="1113" priority="22" operator="greaterThan">
      <formula>L11</formula>
    </cfRule>
  </conditionalFormatting>
  <conditionalFormatting sqref="M12">
    <cfRule type="cellIs" dxfId="1112" priority="19" stopIfTrue="1" operator="lessThanOrEqual">
      <formula>$L12</formula>
    </cfRule>
    <cfRule type="cellIs" dxfId="1111" priority="20" operator="greaterThan">
      <formula>L12</formula>
    </cfRule>
  </conditionalFormatting>
  <conditionalFormatting sqref="M13">
    <cfRule type="cellIs" dxfId="1110" priority="17" stopIfTrue="1" operator="lessThanOrEqual">
      <formula>$L13</formula>
    </cfRule>
    <cfRule type="cellIs" dxfId="1109" priority="18" operator="greaterThan">
      <formula>L13</formula>
    </cfRule>
  </conditionalFormatting>
  <conditionalFormatting sqref="M14">
    <cfRule type="cellIs" dxfId="1108" priority="15" stopIfTrue="1" operator="lessThanOrEqual">
      <formula>$L14</formula>
    </cfRule>
    <cfRule type="cellIs" dxfId="1107" priority="16" operator="greaterThan">
      <formula>L14</formula>
    </cfRule>
  </conditionalFormatting>
  <conditionalFormatting sqref="M15">
    <cfRule type="cellIs" dxfId="1106" priority="13" stopIfTrue="1" operator="lessThanOrEqual">
      <formula>$L15</formula>
    </cfRule>
    <cfRule type="cellIs" dxfId="1105" priority="14" operator="greaterThan">
      <formula>L15</formula>
    </cfRule>
  </conditionalFormatting>
  <conditionalFormatting sqref="M16">
    <cfRule type="cellIs" dxfId="1104" priority="11" stopIfTrue="1" operator="lessThanOrEqual">
      <formula>$L16</formula>
    </cfRule>
    <cfRule type="cellIs" dxfId="1103" priority="12" operator="greaterThan">
      <formula>L16</formula>
    </cfRule>
  </conditionalFormatting>
  <conditionalFormatting sqref="M17">
    <cfRule type="cellIs" dxfId="1102" priority="9" stopIfTrue="1" operator="lessThanOrEqual">
      <formula>$L17</formula>
    </cfRule>
    <cfRule type="cellIs" dxfId="1101" priority="10" operator="greaterThan">
      <formula>L17</formula>
    </cfRule>
  </conditionalFormatting>
  <conditionalFormatting sqref="M18">
    <cfRule type="cellIs" dxfId="1100" priority="7" stopIfTrue="1" operator="lessThanOrEqual">
      <formula>$L18</formula>
    </cfRule>
    <cfRule type="cellIs" dxfId="1099" priority="8" operator="greaterThan">
      <formula>L18</formula>
    </cfRule>
  </conditionalFormatting>
  <conditionalFormatting sqref="M19">
    <cfRule type="cellIs" dxfId="1098" priority="5" stopIfTrue="1" operator="lessThanOrEqual">
      <formula>$L19</formula>
    </cfRule>
    <cfRule type="cellIs" dxfId="1097" priority="6" operator="greaterThan">
      <formula>L19</formula>
    </cfRule>
  </conditionalFormatting>
  <conditionalFormatting sqref="M20">
    <cfRule type="cellIs" dxfId="1096" priority="3" stopIfTrue="1" operator="lessThanOrEqual">
      <formula>$L20</formula>
    </cfRule>
    <cfRule type="cellIs" dxfId="1095" priority="4" operator="greaterThan">
      <formula>L20</formula>
    </cfRule>
  </conditionalFormatting>
  <conditionalFormatting sqref="M21">
    <cfRule type="cellIs" dxfId="1094" priority="1" stopIfTrue="1" operator="lessThanOrEqual">
      <formula>$L21</formula>
    </cfRule>
    <cfRule type="cellIs" dxfId="1093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9C4DC2F-4A14-419A-AD68-46123D30B85D}">
          <x14:formula1>
            <xm:f>Bolts!$A:$A</xm:f>
          </x14:formula1>
          <xm:sqref>C22:C28</xm:sqref>
        </x14:dataValidation>
        <x14:dataValidation type="list" allowBlank="1" showInputMessage="1" showErrorMessage="1" xr:uid="{0792BE5E-316F-4EEB-A548-1EB902DEF211}">
          <x14:formula1>
            <xm:f>Machined!$C:$C</xm:f>
          </x14:formula1>
          <xm:sqref>C5:C8</xm:sqref>
        </x14:dataValidation>
        <x14:dataValidation type="list" allowBlank="1" showInputMessage="1" showErrorMessage="1" xr:uid="{8736AE94-C9D1-4E94-8451-A2B0CC88703C}">
          <x14:formula1>
            <xm:f>Purchased!$A:$A</xm:f>
          </x14:formula1>
          <xm:sqref>C9:C21</xm:sqref>
        </x14:dataValidation>
      </x14:dataValidations>
    </ext>
  </extLst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DF76-9E5B-4E07-AC42-D95B6C406840}">
  <sheetPr codeName="Sheet246">
    <tabColor theme="3" tint="0.79998168889431442"/>
  </sheetPr>
  <dimension ref="A1:Q14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'6.2.1'!C9</f>
        <v>PG10.6.2.1.5.0.A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'6.2.1'!D9</f>
        <v>Cuff Present Sensor Assy</v>
      </c>
      <c r="D3" s="85" t="s">
        <v>50</v>
      </c>
      <c r="E3" s="86" t="str">
        <f ca="1">MID(CELL("filename",A1),FIND("]",CELL("filename",A1))+1,256)</f>
        <v>6.2.1.5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974</v>
      </c>
      <c r="D5" s="314" t="str">
        <f>VLOOKUP(C5,Machined!C:X,2,0)</f>
        <v>CUFF PRESENT SENSOR BRACKET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45526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45548</v>
      </c>
      <c r="M5" s="44">
        <f>IF(VLOOKUP($C5,Machined!C:Z,21,0) = 0, " ", VLOOKUP($C5,Machined!C:Z,21,0))</f>
        <v>45548</v>
      </c>
      <c r="N5" s="129">
        <f>IF(VLOOKUP($C5,Machined!C:Z,22,0) = 0, " ", VLOOKUP($C5,Machined!C:Z,22,0))</f>
        <v>55702</v>
      </c>
      <c r="O5" s="45">
        <f ca="1">B5*$L$2</f>
        <v>2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 t="s">
        <v>975</v>
      </c>
      <c r="D7" s="325" t="str">
        <f>VLOOKUP(C7,Purchased!A:B,2,0)</f>
        <v>Keyence COMPACT LASER SENSOR, M8 CONNECTOR, 250MM RANGE</v>
      </c>
      <c r="E7" s="326"/>
      <c r="F7" s="108" t="str">
        <f>IF(VLOOKUP($C7,Purchased!A:Z,11,0) = 0, " ", VLOOKUP($C7,Purchased!A:Z,11,0))</f>
        <v>KEYENCE</v>
      </c>
      <c r="G7" s="108" t="str">
        <f>IF(VLOOKUP($C7,Purchased!A:Z,12,0)=0, " ", VLOOKUP($C7,Purchased!A:Z,12,0))</f>
        <v>KEYENCE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45516</v>
      </c>
      <c r="K7" s="46">
        <f>IF(VLOOKUP(C7,Purchased!A:R,14,0)=0, " ", VLOOKUP(C7,Purchased!A:R,14,0))</f>
        <v>45516</v>
      </c>
      <c r="L7" s="46">
        <f>IF(VLOOKUP(C7,Purchased!A:R,15,0)=0, " ", VLOOKUP(C7,Purchased!A:R,15,0))</f>
        <v>45518</v>
      </c>
      <c r="M7" s="46">
        <f>IF(VLOOKUP(C7,Purchased!A:R,16,0)=0, " ",VLOOKUP(C7,Purchased!A:R,16,0))</f>
        <v>45526</v>
      </c>
      <c r="N7" s="130">
        <f>IF(VLOOKUP(C7,Purchased!A:R,17,0)=0, " ", VLOOKUP(C7,Purchased!A:R,17,0))</f>
        <v>45526</v>
      </c>
      <c r="O7" s="47">
        <f t="shared" ref="O7:O10" ca="1" si="0">B7*$L$2</f>
        <v>2</v>
      </c>
      <c r="P7" s="51">
        <f>VLOOKUP(C7,Purchased!A:D,3,FALSE)</f>
        <v>575</v>
      </c>
      <c r="Q7" s="52">
        <f t="shared" ref="Q7:Q10" si="1">B7*P7</f>
        <v>575</v>
      </c>
    </row>
    <row r="8" spans="1:17" s="2" customFormat="1" ht="12" customHeight="1" x14ac:dyDescent="0.25">
      <c r="A8" s="4">
        <v>302</v>
      </c>
      <c r="B8" s="2">
        <v>1</v>
      </c>
      <c r="C8" s="135" t="s">
        <v>796</v>
      </c>
      <c r="D8" s="325" t="str">
        <f>VLOOKUP(C8,Purchased!A:B,2,0)</f>
        <v>Keyence AMPLIFIER BRACKET FOR LR-X100C SENSOR</v>
      </c>
      <c r="E8" s="326"/>
      <c r="F8" s="108" t="str">
        <f>IF(VLOOKUP($C8,Purchased!A:Z,11,0) = 0, " ", VLOOKUP($C8,Purchased!A:Z,11,0))</f>
        <v>KEYENCE</v>
      </c>
      <c r="G8" s="108" t="str">
        <f>IF(VLOOKUP($C8,Purchased!A:Z,12,0)=0, " ", VLOOKUP($C8,Purchased!A:Z,12,0))</f>
        <v>KEYENCE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45516</v>
      </c>
      <c r="K8" s="46">
        <f>IF(VLOOKUP(C8,Purchased!A:R,14,0)=0, " ", VLOOKUP(C8,Purchased!A:R,14,0))</f>
        <v>45516</v>
      </c>
      <c r="L8" s="46">
        <f>IF(VLOOKUP(C8,Purchased!A:R,15,0)=0, " ", VLOOKUP(C8,Purchased!A:R,15,0))</f>
        <v>45518</v>
      </c>
      <c r="M8" s="46">
        <f>IF(VLOOKUP(C8,Purchased!A:R,16,0)=0, " ",VLOOKUP(C8,Purchased!A:R,16,0))</f>
        <v>45526</v>
      </c>
      <c r="N8" s="130">
        <f>IF(VLOOKUP(C8,Purchased!A:R,17,0)=0, " ", VLOOKUP(C8,Purchased!A:R,17,0))</f>
        <v>45526</v>
      </c>
      <c r="O8" s="47">
        <f t="shared" ca="1" si="0"/>
        <v>2</v>
      </c>
      <c r="P8" s="51">
        <f>VLOOKUP(C8,Purchased!A:D,3,FALSE)</f>
        <v>12</v>
      </c>
      <c r="Q8" s="52">
        <f t="shared" si="1"/>
        <v>12</v>
      </c>
    </row>
    <row r="9" spans="1:17" s="2" customFormat="1" ht="12" customHeight="1" x14ac:dyDescent="0.25">
      <c r="A9" s="4">
        <v>303</v>
      </c>
      <c r="B9" s="2">
        <v>1</v>
      </c>
      <c r="C9" s="135" t="s">
        <v>976</v>
      </c>
      <c r="D9" s="325" t="str">
        <f>VLOOKUP(C9,Purchased!A:B,2,0)</f>
        <v>Keyence LR-X SENSOR BRACKET</v>
      </c>
      <c r="E9" s="326"/>
      <c r="F9" s="108" t="str">
        <f>IF(VLOOKUP($C9,Purchased!A:Z,11,0) = 0, " ", VLOOKUP($C9,Purchased!A:Z,11,0))</f>
        <v>KEYENCE</v>
      </c>
      <c r="G9" s="108" t="str">
        <f>IF(VLOOKUP($C9,Purchased!A:Z,12,0)=0, " ", VLOOKUP($C9,Purchased!A:Z,12,0))</f>
        <v>KEYENCE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45516</v>
      </c>
      <c r="K9" s="46">
        <f>IF(VLOOKUP(C9,Purchased!A:R,14,0)=0, " ", VLOOKUP(C9,Purchased!A:R,14,0))</f>
        <v>45516</v>
      </c>
      <c r="L9" s="46">
        <f>IF(VLOOKUP(C9,Purchased!A:R,15,0)=0, " ", VLOOKUP(C9,Purchased!A:R,15,0))</f>
        <v>45518</v>
      </c>
      <c r="M9" s="46">
        <f>IF(VLOOKUP(C9,Purchased!A:R,16,0)=0, " ",VLOOKUP(C9,Purchased!A:R,16,0))</f>
        <v>45526</v>
      </c>
      <c r="N9" s="130">
        <f>IF(VLOOKUP(C9,Purchased!A:R,17,0)=0, " ", VLOOKUP(C9,Purchased!A:R,17,0))</f>
        <v>45526</v>
      </c>
      <c r="O9" s="47">
        <f t="shared" ca="1" si="0"/>
        <v>2</v>
      </c>
      <c r="P9" s="51">
        <f>VLOOKUP(C9,Purchased!A:D,3,FALSE)</f>
        <v>84</v>
      </c>
      <c r="Q9" s="52">
        <f t="shared" si="1"/>
        <v>84</v>
      </c>
    </row>
    <row r="10" spans="1:17" s="2" customFormat="1" ht="12" customHeight="1" x14ac:dyDescent="0.25">
      <c r="A10" s="4">
        <v>304</v>
      </c>
      <c r="B10" s="2">
        <v>1</v>
      </c>
      <c r="C10" s="135" t="s">
        <v>977</v>
      </c>
      <c r="D10" s="325" t="str">
        <f>VLOOKUP(C10,Purchased!A:B,2,0)</f>
        <v>Keyence SENSOR ADJUSTMENT SHAFT</v>
      </c>
      <c r="E10" s="326"/>
      <c r="F10" s="108" t="str">
        <f>IF(VLOOKUP($C10,Purchased!A:Z,11,0) = 0, " ", VLOOKUP($C10,Purchased!A:Z,11,0))</f>
        <v>KEYENCE</v>
      </c>
      <c r="G10" s="108" t="str">
        <f>IF(VLOOKUP($C10,Purchased!A:Z,12,0)=0, " ", VLOOKUP($C10,Purchased!A:Z,12,0))</f>
        <v>KEYENCE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45516</v>
      </c>
      <c r="K10" s="46">
        <f>IF(VLOOKUP(C10,Purchased!A:R,14,0)=0, " ", VLOOKUP(C10,Purchased!A:R,14,0))</f>
        <v>45516</v>
      </c>
      <c r="L10" s="46">
        <f>IF(VLOOKUP(C10,Purchased!A:R,15,0)=0, " ", VLOOKUP(C10,Purchased!A:R,15,0))</f>
        <v>45518</v>
      </c>
      <c r="M10" s="46">
        <f>IF(VLOOKUP(C10,Purchased!A:R,16,0)=0, " ",VLOOKUP(C10,Purchased!A:R,16,0))</f>
        <v>45526</v>
      </c>
      <c r="N10" s="130">
        <f>IF(VLOOKUP(C10,Purchased!A:R,17,0)=0, " ", VLOOKUP(C10,Purchased!A:R,17,0))</f>
        <v>45526</v>
      </c>
      <c r="O10" s="47">
        <f t="shared" ca="1" si="0"/>
        <v>2</v>
      </c>
      <c r="P10" s="51">
        <f>VLOOKUP(C10,Purchased!A:D,3,FALSE)</f>
        <v>36</v>
      </c>
      <c r="Q10" s="52">
        <f t="shared" si="1"/>
        <v>36</v>
      </c>
    </row>
    <row r="11" spans="1:17" s="2" customFormat="1" ht="12" customHeight="1" x14ac:dyDescent="0.25">
      <c r="A11" s="4">
        <v>305</v>
      </c>
      <c r="B11" s="2">
        <v>1</v>
      </c>
      <c r="C11" s="135" t="s">
        <v>220</v>
      </c>
      <c r="D11" s="325" t="str">
        <f>VLOOKUP(C11,Purchased!A:B,2,0)</f>
        <v>M8 4PIN TO FLYING LEAD 7.5M CABLE</v>
      </c>
      <c r="E11" s="326"/>
      <c r="F11" s="108" t="str">
        <f>IF(VLOOKUP($C11,Purchased!A:Z,11,0) = 0, " ", VLOOKUP($C11,Purchased!A:Z,11,0))</f>
        <v>MURR</v>
      </c>
      <c r="G11" s="108" t="str">
        <f>IF(VLOOKUP($C11,Purchased!A:Z,12,0)=0, " ", VLOOKUP($C11,Purchased!A:Z,12,0))</f>
        <v>MURR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ref="O11" ca="1" si="2">B11*$L$2</f>
        <v>2</v>
      </c>
      <c r="P11" s="51">
        <f>VLOOKUP(C11,Purchased!A:D,3,FALSE)</f>
        <v>0</v>
      </c>
      <c r="Q11" s="52">
        <f t="shared" ref="Q11" si="3">B11*P11</f>
        <v>0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thickBot="1" x14ac:dyDescent="0.3">
      <c r="A13" s="4">
        <v>501</v>
      </c>
      <c r="B13" s="2">
        <v>2</v>
      </c>
      <c r="C13" s="122" t="s">
        <v>196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ref="O13" ca="1" si="4">B13*$L$2</f>
        <v>4</v>
      </c>
      <c r="P13" s="51">
        <f>VLOOKUP(C13,Bolts!A:B,2,FALSE)</f>
        <v>0</v>
      </c>
      <c r="Q13" s="52">
        <f t="shared" ref="Q13" si="5">B13*P13</f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707</v>
      </c>
    </row>
  </sheetData>
  <sheetProtection selectLockedCells="1"/>
  <mergeCells count="22">
    <mergeCell ref="D6:E6"/>
    <mergeCell ref="H6:I6"/>
    <mergeCell ref="D1:E1"/>
    <mergeCell ref="D4:E4"/>
    <mergeCell ref="H4:I4"/>
    <mergeCell ref="D5:E5"/>
    <mergeCell ref="H5:I5"/>
    <mergeCell ref="D10:E10"/>
    <mergeCell ref="H10:I10"/>
    <mergeCell ref="D7:E7"/>
    <mergeCell ref="H7:I7"/>
    <mergeCell ref="D8:E8"/>
    <mergeCell ref="H8:I8"/>
    <mergeCell ref="D9:E9"/>
    <mergeCell ref="H9:I9"/>
    <mergeCell ref="D14:E14"/>
    <mergeCell ref="H14:I14"/>
    <mergeCell ref="D11:E11"/>
    <mergeCell ref="H11:I11"/>
    <mergeCell ref="D12:E12"/>
    <mergeCell ref="H12:I12"/>
    <mergeCell ref="D13:E13"/>
  </mergeCells>
  <conditionalFormatting sqref="M6 M12">
    <cfRule type="cellIs" dxfId="1092" priority="27" stopIfTrue="1" operator="lessThanOrEqual">
      <formula>$L6</formula>
    </cfRule>
    <cfRule type="cellIs" dxfId="1091" priority="28" operator="greaterThan">
      <formula>L6</formula>
    </cfRule>
  </conditionalFormatting>
  <conditionalFormatting sqref="M7">
    <cfRule type="cellIs" dxfId="1090" priority="25" stopIfTrue="1" operator="lessThanOrEqual">
      <formula>$L7</formula>
    </cfRule>
    <cfRule type="cellIs" dxfId="1089" priority="26" operator="greaterThan">
      <formula>L7</formula>
    </cfRule>
  </conditionalFormatting>
  <conditionalFormatting sqref="M8">
    <cfRule type="cellIs" dxfId="1088" priority="23" stopIfTrue="1" operator="lessThanOrEqual">
      <formula>$L8</formula>
    </cfRule>
    <cfRule type="cellIs" dxfId="1087" priority="24" operator="greaterThan">
      <formula>L8</formula>
    </cfRule>
  </conditionalFormatting>
  <conditionalFormatting sqref="M9">
    <cfRule type="cellIs" dxfId="1086" priority="21" stopIfTrue="1" operator="lessThanOrEqual">
      <formula>$L9</formula>
    </cfRule>
    <cfRule type="cellIs" dxfId="1085" priority="22" operator="greaterThan">
      <formula>L9</formula>
    </cfRule>
  </conditionalFormatting>
  <conditionalFormatting sqref="M10:M11">
    <cfRule type="cellIs" dxfId="1084" priority="19" stopIfTrue="1" operator="lessThanOrEqual">
      <formula>$L10</formula>
    </cfRule>
    <cfRule type="cellIs" dxfId="1083" priority="20" operator="greaterThan">
      <formula>L10</formula>
    </cfRule>
  </conditionalFormatting>
  <conditionalFormatting sqref="M13">
    <cfRule type="cellIs" dxfId="1082" priority="1" stopIfTrue="1" operator="lessThanOrEqual">
      <formula>$L13</formula>
    </cfRule>
    <cfRule type="cellIs" dxfId="1081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B8F5D38-01A0-46BA-B3E0-99A9945550FB}">
          <x14:formula1>
            <xm:f>Bolts!$A:$A</xm:f>
          </x14:formula1>
          <xm:sqref>C12:C13</xm:sqref>
        </x14:dataValidation>
        <x14:dataValidation type="list" allowBlank="1" showInputMessage="1" showErrorMessage="1" xr:uid="{843D9EAE-A344-4BFE-B317-FB3710E5017D}">
          <x14:formula1>
            <xm:f>Machined!$C:$C</xm:f>
          </x14:formula1>
          <xm:sqref>C5</xm:sqref>
        </x14:dataValidation>
        <x14:dataValidation type="list" allowBlank="1" showInputMessage="1" showErrorMessage="1" xr:uid="{6B909C45-B454-424C-9243-D20A2F441947}">
          <x14:formula1>
            <xm:f>Purchased!$A:$A</xm:f>
          </x14:formula1>
          <xm:sqref>C6:C11</xm:sqref>
        </x14:dataValidation>
      </x14:dataValidations>
    </ext>
  </extLst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537D8-699B-4FC4-9B04-FDD49B67D2A1}">
  <sheetPr codeName="Sheet147">
    <tabColor theme="6" tint="0.59999389629810485"/>
  </sheetPr>
  <dimension ref="A1:Q32"/>
  <sheetViews>
    <sheetView view="pageBreakPreview" zoomScale="130" zoomScaleNormal="115" zoomScaleSheetLayoutView="130" workbookViewId="0">
      <selection activeCell="E39" sqref="E3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'6.2'!C6</f>
        <v>PG10.6.2.2.0.A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'6.2'!D6</f>
        <v>Tube Rotate Assy A Side</v>
      </c>
      <c r="D3" s="85" t="s">
        <v>50</v>
      </c>
      <c r="E3" s="86" t="str">
        <f ca="1">MID(CELL("filename",A1),FIND("]",CELL("filename",A1))+1,256)</f>
        <v>6.2.2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978</v>
      </c>
      <c r="D5" s="314" t="str">
        <f>VLOOKUP(C5,Machined!C:X,2,0)</f>
        <v>Pin Block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ca="1">B5*$L$2</f>
        <v>1</v>
      </c>
      <c r="P5" s="49">
        <f>VLOOKUP(C5,Machined!C:F,3,0)</f>
        <v>263</v>
      </c>
      <c r="Q5" s="50">
        <f>B5*P5</f>
        <v>263</v>
      </c>
    </row>
    <row r="6" spans="1:17" s="2" customFormat="1" ht="12.75" customHeight="1" x14ac:dyDescent="0.25">
      <c r="A6" s="77">
        <v>2</v>
      </c>
      <c r="B6" s="20">
        <v>1</v>
      </c>
      <c r="C6" s="121" t="s">
        <v>979</v>
      </c>
      <c r="D6" s="314" t="str">
        <f>VLOOKUP(C6,Machined!C:X,2,0)</f>
        <v xml:space="preserve">Pin 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45468</v>
      </c>
      <c r="K6" s="44">
        <f>IF(VLOOKUP($C6,Machined!C:Z,19,0) = 0, " ", VLOOKUP($C6,Machined!C:Z,19,0))</f>
        <v>45470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55576</v>
      </c>
      <c r="O6" s="45">
        <f t="shared" ref="O6:O7" ca="1" si="0">B6*$L$2</f>
        <v>1</v>
      </c>
      <c r="P6" s="49">
        <f>VLOOKUP(C6,Machined!C:F,3,0)</f>
        <v>73.75</v>
      </c>
      <c r="Q6" s="50">
        <f t="shared" ref="Q6:Q7" si="1">B6*P6</f>
        <v>73.75</v>
      </c>
    </row>
    <row r="7" spans="1:17" s="2" customFormat="1" ht="12.75" customHeight="1" x14ac:dyDescent="0.25">
      <c r="A7" s="77">
        <v>3</v>
      </c>
      <c r="B7" s="20">
        <v>1</v>
      </c>
      <c r="C7" s="121" t="s">
        <v>980</v>
      </c>
      <c r="D7" s="314" t="str">
        <f>VLOOKUP(C7,Machined!C:X,2,0)</f>
        <v>Cylinder Mount Plate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1</v>
      </c>
      <c r="P7" s="49">
        <f>VLOOKUP(C7,Machined!C:F,3,0)</f>
        <v>108.5</v>
      </c>
      <c r="Q7" s="50">
        <f t="shared" si="1"/>
        <v>108.5</v>
      </c>
    </row>
    <row r="8" spans="1:17" s="2" customFormat="1" ht="12.75" customHeight="1" x14ac:dyDescent="0.25">
      <c r="A8" s="77">
        <v>4</v>
      </c>
      <c r="B8" s="20">
        <v>1</v>
      </c>
      <c r="C8" s="121" t="s">
        <v>981</v>
      </c>
      <c r="D8" s="314" t="str">
        <f>VLOOKUP(C8,Machined!C:X,2,0)</f>
        <v>Rotary Mount Plate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45463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55572</v>
      </c>
      <c r="O8" s="45">
        <f ca="1">B8*$L$2</f>
        <v>1</v>
      </c>
      <c r="P8" s="49">
        <f>VLOOKUP(C8,Machined!C:F,3,0)</f>
        <v>116</v>
      </c>
      <c r="Q8" s="50">
        <f>B8*P8</f>
        <v>116</v>
      </c>
    </row>
    <row r="9" spans="1:17" s="2" customFormat="1" ht="12.75" customHeight="1" x14ac:dyDescent="0.25">
      <c r="A9" s="77">
        <v>5</v>
      </c>
      <c r="B9" s="20">
        <v>2</v>
      </c>
      <c r="C9" s="121" t="s">
        <v>982</v>
      </c>
      <c r="D9" s="314" t="str">
        <f>VLOOKUP(C9,Machined!C:X,2,0)</f>
        <v>Rotary Gusset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Bemox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45463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55572</v>
      </c>
      <c r="O9" s="45">
        <f t="shared" ref="O9" ca="1" si="2">B9*$L$2</f>
        <v>2</v>
      </c>
      <c r="P9" s="49">
        <f>VLOOKUP(C9,Machined!C:F,3,0)</f>
        <v>205.5</v>
      </c>
      <c r="Q9" s="50">
        <f t="shared" ref="Q9" si="3">B9*P9</f>
        <v>411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2</v>
      </c>
      <c r="C11" s="135" t="s">
        <v>983</v>
      </c>
      <c r="D11" s="325" t="str">
        <f>VLOOKUP(C11,Purchased!A:B,2,0)</f>
        <v>Autoswitch Mount 11mm dia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ref="O11:O22" ca="1" si="4">B11*$L$2</f>
        <v>2</v>
      </c>
      <c r="P11" s="51">
        <f>VLOOKUP(C11,Purchased!A:D,3,FALSE)</f>
        <v>6.02</v>
      </c>
      <c r="Q11" s="52">
        <f t="shared" ref="Q11:Q22" si="5">B11*P11</f>
        <v>12.04</v>
      </c>
    </row>
    <row r="12" spans="1:17" s="2" customFormat="1" ht="12" customHeight="1" x14ac:dyDescent="0.25">
      <c r="A12" s="4">
        <v>302</v>
      </c>
      <c r="B12" s="2">
        <v>4</v>
      </c>
      <c r="C12" s="135" t="s">
        <v>305</v>
      </c>
      <c r="D12" s="325" t="str">
        <f>VLOOKUP(C12,Purchased!A:B,2,0)</f>
        <v>Auto Switch, Solid State, General Purpose, M8-3Pin Connector, 0.5m Cord 
Length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10 more PO 55692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45489</v>
      </c>
      <c r="M12" s="46">
        <f>IF(VLOOKUP(C12,Purchased!A:R,16,0)=0, " ",VLOOKUP(C12,Purchased!A:R,16,0))</f>
        <v>45510</v>
      </c>
      <c r="N12" s="130">
        <f>IF(VLOOKUP(C12,Purchased!A:R,17,0)=0, " ", VLOOKUP(C12,Purchased!A:R,17,0))</f>
        <v>45513</v>
      </c>
      <c r="O12" s="47">
        <f t="shared" ca="1" si="4"/>
        <v>4</v>
      </c>
      <c r="P12" s="51">
        <f>VLOOKUP(C12,Purchased!A:D,3,FALSE)</f>
        <v>38.64</v>
      </c>
      <c r="Q12" s="52">
        <f t="shared" si="5"/>
        <v>154.56</v>
      </c>
    </row>
    <row r="13" spans="1:17" s="2" customFormat="1" ht="12" customHeight="1" x14ac:dyDescent="0.25">
      <c r="A13" s="4">
        <v>303</v>
      </c>
      <c r="B13" s="2">
        <v>2</v>
      </c>
      <c r="C13" s="135" t="s">
        <v>797</v>
      </c>
      <c r="D13" s="325" t="str">
        <f>VLOOKUP(C13,Purchased!A:B,2,0)</f>
        <v>Speed Controller, 100 series 4mm tubing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4"/>
        <v>2</v>
      </c>
      <c r="P13" s="51">
        <f>VLOOKUP(C13,Purchased!A:D,3,FALSE)</f>
        <v>11.25</v>
      </c>
      <c r="Q13" s="52">
        <f t="shared" si="5"/>
        <v>22.5</v>
      </c>
    </row>
    <row r="14" spans="1:17" s="2" customFormat="1" ht="12" customHeight="1" x14ac:dyDescent="0.25">
      <c r="A14" s="4">
        <v>304</v>
      </c>
      <c r="B14" s="2">
        <v>2</v>
      </c>
      <c r="C14" s="135" t="s">
        <v>798</v>
      </c>
      <c r="D14" s="325" t="str">
        <f>VLOOKUP(C14,Purchased!A:B,2,0)</f>
        <v>Speed controller flange 10 series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45491</v>
      </c>
      <c r="M14" s="46">
        <f>IF(VLOOKUP(C14,Purchased!A:R,16,0)=0, " ",VLOOKUP(C14,Purchased!A:R,16,0))</f>
        <v>45520</v>
      </c>
      <c r="N14" s="130">
        <f>IF(VLOOKUP(C14,Purchased!A:R,17,0)=0, " ", VLOOKUP(C14,Purchased!A:R,17,0))</f>
        <v>45511</v>
      </c>
      <c r="O14" s="47">
        <f t="shared" ca="1" si="4"/>
        <v>2</v>
      </c>
      <c r="P14" s="51">
        <f>VLOOKUP(C14,Purchased!A:D,3,FALSE)</f>
        <v>1.65</v>
      </c>
      <c r="Q14" s="52">
        <f t="shared" si="5"/>
        <v>3.3</v>
      </c>
    </row>
    <row r="15" spans="1:17" s="2" customFormat="1" ht="12" customHeight="1" x14ac:dyDescent="0.25">
      <c r="A15" s="4">
        <v>305</v>
      </c>
      <c r="B15" s="2">
        <v>2</v>
      </c>
      <c r="C15" s="135" t="s">
        <v>657</v>
      </c>
      <c r="D15" s="325" t="str">
        <f>VLOOKUP(C15,Purchased!A:B,2,0)</f>
        <v>KQ2 unifit, elbow, 4mm dia tubing, M5 port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20 more PO 55692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45491</v>
      </c>
      <c r="M15" s="46">
        <f>IF(VLOOKUP(C15,Purchased!A:R,16,0)=0, " ",VLOOKUP(C15,Purchased!A:R,16,0))</f>
        <v>45520</v>
      </c>
      <c r="N15" s="130">
        <f>IF(VLOOKUP(C15,Purchased!A:R,17,0)=0, " ", VLOOKUP(C15,Purchased!A:R,17,0))</f>
        <v>45511</v>
      </c>
      <c r="O15" s="47">
        <f t="shared" ca="1" si="4"/>
        <v>2</v>
      </c>
      <c r="P15" s="51">
        <f>VLOOKUP(C15,Purchased!A:D,3,FALSE)</f>
        <v>1.43</v>
      </c>
      <c r="Q15" s="52">
        <f t="shared" si="5"/>
        <v>2.86</v>
      </c>
    </row>
    <row r="16" spans="1:17" s="2" customFormat="1" ht="12" customHeight="1" x14ac:dyDescent="0.25">
      <c r="A16" s="4">
        <v>306</v>
      </c>
      <c r="B16" s="2">
        <v>2</v>
      </c>
      <c r="C16" s="135" t="s">
        <v>799</v>
      </c>
      <c r="D16" s="325" t="str">
        <f>VLOOKUP(C16,Purchased!A:B,2,0)</f>
        <v>Speed Controller One Touch Fitting, 6mm dia tubing</v>
      </c>
      <c r="E16" s="326"/>
      <c r="F16" s="108" t="str">
        <f>IF(VLOOKUP($C16,Purchased!A:Z,11,0) = 0, " ", VLOOKUP($C16,Purchased!A:Z,11,0))</f>
        <v>SMC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10 more PO 55692</v>
      </c>
      <c r="I16" s="328"/>
      <c r="J16" s="46">
        <f>IF(VLOOKUP($C16,Purchased!A:Z,14,0)=0, " ", VLOOKUP($C16,Purchased!A:Z,14,0))</f>
        <v>45489</v>
      </c>
      <c r="K16" s="46">
        <f>IF(VLOOKUP(C16,Purchased!A:R,14,0)=0, " ", VLOOKUP(C16,Purchased!A:R,14,0))</f>
        <v>45489</v>
      </c>
      <c r="L16" s="46">
        <f>IF(VLOOKUP(C16,Purchased!A:R,15,0)=0, " ", VLOOKUP(C16,Purchased!A:R,15,0))</f>
        <v>45491</v>
      </c>
      <c r="M16" s="46">
        <f>IF(VLOOKUP(C16,Purchased!A:R,16,0)=0, " ",VLOOKUP(C16,Purchased!A:R,16,0))</f>
        <v>45520</v>
      </c>
      <c r="N16" s="130">
        <f>IF(VLOOKUP(C16,Purchased!A:R,17,0)=0, " ", VLOOKUP(C16,Purchased!A:R,17,0))</f>
        <v>45511</v>
      </c>
      <c r="O16" s="47">
        <f t="shared" ca="1" si="4"/>
        <v>2</v>
      </c>
      <c r="P16" s="51">
        <f>VLOOKUP(C16,Purchased!A:D,3,FALSE)</f>
        <v>14.87</v>
      </c>
      <c r="Q16" s="52">
        <f t="shared" si="5"/>
        <v>29.74</v>
      </c>
    </row>
    <row r="17" spans="1:17" s="2" customFormat="1" ht="12" customHeight="1" x14ac:dyDescent="0.25">
      <c r="A17" s="4">
        <v>307</v>
      </c>
      <c r="B17" s="2">
        <v>2</v>
      </c>
      <c r="C17" s="135" t="s">
        <v>800</v>
      </c>
      <c r="D17" s="325" t="str">
        <f>VLOOKUP(C17,Purchased!A:B,2,0)</f>
        <v>Speed controller flange 20 series</v>
      </c>
      <c r="E17" s="326"/>
      <c r="F17" s="108" t="str">
        <f>IF(VLOOKUP($C17,Purchased!A:Z,11,0) = 0, " ", VLOOKUP($C17,Purchased!A:Z,11,0))</f>
        <v>SMC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45491</v>
      </c>
      <c r="M17" s="46">
        <f>IF(VLOOKUP(C17,Purchased!A:R,16,0)=0, " ",VLOOKUP(C17,Purchased!A:R,16,0))</f>
        <v>45520</v>
      </c>
      <c r="N17" s="130">
        <f>IF(VLOOKUP(C17,Purchased!A:R,17,0)=0, " ", VLOOKUP(C17,Purchased!A:R,17,0))</f>
        <v>45511</v>
      </c>
      <c r="O17" s="47">
        <f t="shared" ca="1" si="4"/>
        <v>2</v>
      </c>
      <c r="P17" s="51">
        <f>VLOOKUP(C17,Purchased!A:D,3,FALSE)</f>
        <v>1.65</v>
      </c>
      <c r="Q17" s="52">
        <f t="shared" si="5"/>
        <v>3.3</v>
      </c>
    </row>
    <row r="18" spans="1:17" s="2" customFormat="1" ht="12" customHeight="1" x14ac:dyDescent="0.25">
      <c r="A18" s="4">
        <v>308</v>
      </c>
      <c r="B18" s="2">
        <v>2</v>
      </c>
      <c r="C18" s="135" t="s">
        <v>826</v>
      </c>
      <c r="D18" s="325" t="str">
        <f>VLOOKUP(C18,Purchased!A:B,2,0)</f>
        <v>KQ2, elbow fitting, 6mm dia, M5 port</v>
      </c>
      <c r="E18" s="326"/>
      <c r="F18" s="108" t="str">
        <f>IF(VLOOKUP($C18,Purchased!A:Z,11,0) = 0, " ", VLOOKUP($C18,Purchased!A:Z,11,0))</f>
        <v>SMC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45491</v>
      </c>
      <c r="M18" s="46">
        <f>IF(VLOOKUP(C18,Purchased!A:R,16,0)=0, " ",VLOOKUP(C18,Purchased!A:R,16,0))</f>
        <v>45520</v>
      </c>
      <c r="N18" s="130">
        <f>IF(VLOOKUP(C18,Purchased!A:R,17,0)=0, " ", VLOOKUP(C18,Purchased!A:R,17,0))</f>
        <v>45511</v>
      </c>
      <c r="O18" s="47">
        <f t="shared" ca="1" si="4"/>
        <v>2</v>
      </c>
      <c r="P18" s="51">
        <f>VLOOKUP(C18,Purchased!A:D,3,FALSE)</f>
        <v>1.74</v>
      </c>
      <c r="Q18" s="52">
        <f t="shared" si="5"/>
        <v>3.48</v>
      </c>
    </row>
    <row r="19" spans="1:17" s="2" customFormat="1" ht="12" customHeight="1" x14ac:dyDescent="0.25">
      <c r="A19" s="4">
        <v>309</v>
      </c>
      <c r="B19" s="2">
        <v>1</v>
      </c>
      <c r="C19" s="135" t="s">
        <v>984</v>
      </c>
      <c r="D19" s="325" t="str">
        <f>VLOOKUP(C19,Purchased!A:B,2,0)</f>
        <v>MSQ, Rotary Table, Rack &amp; Pinion, Shock Absorber, 20 mm</v>
      </c>
      <c r="E19" s="326"/>
      <c r="F19" s="108" t="str">
        <f>IF(VLOOKUP($C19,Purchased!A:Z,11,0) = 0, " ", VLOOKUP($C19,Purchased!A:Z,11,0))</f>
        <v>SMC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45489</v>
      </c>
      <c r="M19" s="46">
        <f>IF(VLOOKUP(C19,Purchased!A:R,16,0)=0, " ",VLOOKUP(C19,Purchased!A:R,16,0))</f>
        <v>45510</v>
      </c>
      <c r="N19" s="130">
        <f>IF(VLOOKUP(C19,Purchased!A:R,17,0)=0, " ", VLOOKUP(C19,Purchased!A:R,17,0))</f>
        <v>45513</v>
      </c>
      <c r="O19" s="47">
        <f t="shared" ca="1" si="4"/>
        <v>1</v>
      </c>
      <c r="P19" s="51">
        <f>VLOOKUP(C19,Purchased!A:D,3,FALSE)</f>
        <v>671.16</v>
      </c>
      <c r="Q19" s="52">
        <f t="shared" si="5"/>
        <v>671.16</v>
      </c>
    </row>
    <row r="20" spans="1:17" s="2" customFormat="1" ht="12" customHeight="1" x14ac:dyDescent="0.25">
      <c r="A20" s="4">
        <v>310</v>
      </c>
      <c r="B20" s="2">
        <v>1</v>
      </c>
      <c r="C20" s="135" t="s">
        <v>985</v>
      </c>
      <c r="D20" s="325" t="str">
        <f>VLOOKUP(C20,Purchased!A:B,2,0)</f>
        <v>CDJ2-Z Double Acting Single Rod Air Cylinder, 10mm bore, 75mm stroke</v>
      </c>
      <c r="E20" s="326"/>
      <c r="F20" s="108" t="str">
        <f>IF(VLOOKUP($C20,Purchased!A:Z,11,0) = 0, " ", VLOOKUP($C20,Purchased!A:Z,11,0))</f>
        <v>SMC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45489</v>
      </c>
      <c r="K20" s="46">
        <f>IF(VLOOKUP(C20,Purchased!A:R,14,0)=0, " ", VLOOKUP(C20,Purchased!A:R,14,0))</f>
        <v>45489</v>
      </c>
      <c r="L20" s="46">
        <f>IF(VLOOKUP(C20,Purchased!A:R,15,0)=0, " ", VLOOKUP(C20,Purchased!A:R,15,0))</f>
        <v>45489</v>
      </c>
      <c r="M20" s="46">
        <f>IF(VLOOKUP(C20,Purchased!A:R,16,0)=0, " ",VLOOKUP(C20,Purchased!A:R,16,0))</f>
        <v>45510</v>
      </c>
      <c r="N20" s="130">
        <f>IF(VLOOKUP(C20,Purchased!A:R,17,0)=0, " ", VLOOKUP(C20,Purchased!A:R,17,0))</f>
        <v>45513</v>
      </c>
      <c r="O20" s="47">
        <f t="shared" ca="1" si="4"/>
        <v>1</v>
      </c>
      <c r="P20" s="51">
        <f>VLOOKUP(C20,Purchased!A:D,3,FALSE)</f>
        <v>35.74</v>
      </c>
      <c r="Q20" s="52">
        <f t="shared" si="5"/>
        <v>35.74</v>
      </c>
    </row>
    <row r="21" spans="1:17" s="2" customFormat="1" ht="12" customHeight="1" x14ac:dyDescent="0.25">
      <c r="A21" s="4">
        <v>311</v>
      </c>
      <c r="B21" s="2">
        <v>3</v>
      </c>
      <c r="C21" s="135" t="s">
        <v>986</v>
      </c>
      <c r="D21" s="325" t="str">
        <f>VLOOKUP(C21,Purchased!A:B,2,0)</f>
        <v>Light Duty Dry-Running Nylon Sleeve Bearing for 10 mm Shaft Diameter, for 14 mm Housing ID, 25 mm Long</v>
      </c>
      <c r="E21" s="326"/>
      <c r="F21" s="108" t="str">
        <f>IF(VLOOKUP($C21,Purchased!A:Z,11,0) = 0, " ", VLOOKUP($C21,Purchased!A:Z,11,0))</f>
        <v>MCM</v>
      </c>
      <c r="G21" s="108" t="str">
        <f>IF(VLOOKUP($C21,Purchased!A:Z,12,0)=0, " ", VLOOKUP($C21,Purchased!A:Z,12,0))</f>
        <v>MCM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45481</v>
      </c>
      <c r="K21" s="46">
        <f>IF(VLOOKUP(C21,Purchased!A:R,14,0)=0, " ", VLOOKUP(C21,Purchased!A:R,14,0))</f>
        <v>45481</v>
      </c>
      <c r="L21" s="46">
        <f>IF(VLOOKUP(C21,Purchased!A:R,15,0)=0, " ", VLOOKUP(C21,Purchased!A:R,15,0))</f>
        <v>45481</v>
      </c>
      <c r="M21" s="46">
        <f>IF(VLOOKUP(C21,Purchased!A:R,16,0)=0, " ",VLOOKUP(C21,Purchased!A:R,16,0))</f>
        <v>45482</v>
      </c>
      <c r="N21" s="130">
        <f>IF(VLOOKUP(C21,Purchased!A:R,17,0)=0, " ", VLOOKUP(C21,Purchased!A:R,17,0))</f>
        <v>45482</v>
      </c>
      <c r="O21" s="47">
        <f t="shared" ca="1" si="4"/>
        <v>3</v>
      </c>
      <c r="P21" s="51">
        <f>VLOOKUP(C21,Purchased!A:D,3,FALSE)</f>
        <v>12.57</v>
      </c>
      <c r="Q21" s="52">
        <f t="shared" si="5"/>
        <v>37.71</v>
      </c>
    </row>
    <row r="22" spans="1:17" s="2" customFormat="1" ht="12" customHeight="1" x14ac:dyDescent="0.25">
      <c r="A22" s="4">
        <v>312</v>
      </c>
      <c r="B22" s="2">
        <v>4</v>
      </c>
      <c r="C22" s="135" t="s">
        <v>306</v>
      </c>
      <c r="D22" s="325" t="str">
        <f>VLOOKUP(C22,Purchased!A:B,2,0)</f>
        <v>M8 female 0° A-cod. with cable, PVC 3x0.25 bk UL/CSA 10m</v>
      </c>
      <c r="E22" s="326"/>
      <c r="F22" s="108" t="str">
        <f>IF(VLOOKUP($C22,Purchased!A:Z,11,0) = 0, " ", VLOOKUP($C22,Purchased!A:Z,11,0))</f>
        <v>MURR</v>
      </c>
      <c r="G22" s="108" t="str">
        <f>IF(VLOOKUP($C22,Purchased!A:Z,12,0)=0, " ", VLOOKUP($C22,Purchased!A:Z,12,0))</f>
        <v>MURR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45506</v>
      </c>
      <c r="K22" s="46">
        <f>IF(VLOOKUP(C22,Purchased!A:R,14,0)=0, " ", VLOOKUP(C22,Purchased!A:R,14,0))</f>
        <v>45506</v>
      </c>
      <c r="L22" s="46" t="str">
        <f>IF(VLOOKUP(C22,Purchased!A:R,15,0)=0, " ", VLOOKUP(C22,Purchased!A:R,15,0))</f>
        <v xml:space="preserve"> </v>
      </c>
      <c r="M22" s="46" t="str">
        <f>IF(VLOOKUP(C22,Purchased!A:R,16,0)=0, " ",VLOOKUP(C22,Purchased!A:R,16,0))</f>
        <v xml:space="preserve"> </v>
      </c>
      <c r="N22" s="130" t="str">
        <f>IF(VLOOKUP(C22,Purchased!A:R,17,0)=0, " ", VLOOKUP(C22,Purchased!A:R,17,0))</f>
        <v xml:space="preserve"> </v>
      </c>
      <c r="O22" s="47">
        <f t="shared" ca="1" si="4"/>
        <v>4</v>
      </c>
      <c r="P22" s="51">
        <f>VLOOKUP(C22,Purchased!A:D,3,FALSE)</f>
        <v>0</v>
      </c>
      <c r="Q22" s="52">
        <f t="shared" si="5"/>
        <v>0</v>
      </c>
    </row>
    <row r="23" spans="1:17" s="2" customFormat="1" ht="12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" customHeight="1" x14ac:dyDescent="0.25">
      <c r="A24" s="4">
        <v>501</v>
      </c>
      <c r="B24" s="2">
        <v>2</v>
      </c>
      <c r="C24" s="122" t="s">
        <v>806</v>
      </c>
      <c r="D24" s="325"/>
      <c r="E24" s="326"/>
      <c r="F24" s="108">
        <f>VLOOKUP(C24,Bolts!A:L,5,0)</f>
        <v>0</v>
      </c>
      <c r="G24" s="108" t="str">
        <f>VLOOKUP(C24,Bolts!A:L,6,0)</f>
        <v xml:space="preserve"> 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ref="O24:O31" ca="1" si="6">B24*$L$2</f>
        <v>2</v>
      </c>
      <c r="P24" s="51">
        <f>VLOOKUP(C24,Bolts!A:B,2,FALSE)</f>
        <v>0</v>
      </c>
      <c r="Q24" s="52">
        <f t="shared" ref="Q24:Q31" si="7">B24*P24</f>
        <v>0</v>
      </c>
    </row>
    <row r="25" spans="1:17" s="2" customFormat="1" ht="12" customHeight="1" x14ac:dyDescent="0.25">
      <c r="A25" s="4">
        <v>502</v>
      </c>
      <c r="B25" s="2">
        <v>2</v>
      </c>
      <c r="C25" s="122" t="s">
        <v>807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6"/>
        <v>2</v>
      </c>
      <c r="P25" s="51">
        <f>VLOOKUP(C25,Bolts!A:B,2,FALSE)</f>
        <v>0</v>
      </c>
      <c r="Q25" s="52">
        <f t="shared" si="7"/>
        <v>0</v>
      </c>
    </row>
    <row r="26" spans="1:17" s="2" customFormat="1" ht="12" customHeight="1" x14ac:dyDescent="0.25">
      <c r="A26" s="4">
        <v>503</v>
      </c>
      <c r="B26" s="2">
        <v>4</v>
      </c>
      <c r="C26" s="122" t="s">
        <v>808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6"/>
        <v>4</v>
      </c>
      <c r="P26" s="51">
        <f>VLOOKUP(C26,Bolts!A:B,2,FALSE)</f>
        <v>0</v>
      </c>
      <c r="Q26" s="52">
        <f t="shared" si="7"/>
        <v>0</v>
      </c>
    </row>
    <row r="27" spans="1:17" s="2" customFormat="1" ht="12" customHeight="1" x14ac:dyDescent="0.25">
      <c r="A27" s="4">
        <v>504</v>
      </c>
      <c r="B27" s="2">
        <v>8</v>
      </c>
      <c r="C27" s="122" t="s">
        <v>776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6"/>
        <v>8</v>
      </c>
      <c r="P27" s="51">
        <f>VLOOKUP(C27,Bolts!A:B,2,FALSE)</f>
        <v>0</v>
      </c>
      <c r="Q27" s="52">
        <f t="shared" si="7"/>
        <v>0</v>
      </c>
    </row>
    <row r="28" spans="1:17" s="2" customFormat="1" ht="12" customHeight="1" x14ac:dyDescent="0.25">
      <c r="A28" s="4">
        <v>505</v>
      </c>
      <c r="B28" s="2">
        <v>8</v>
      </c>
      <c r="C28" s="122" t="s">
        <v>349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6"/>
        <v>8</v>
      </c>
      <c r="P28" s="51">
        <f>VLOOKUP(C28,Bolts!A:B,2,FALSE)</f>
        <v>0</v>
      </c>
      <c r="Q28" s="52">
        <f t="shared" si="7"/>
        <v>0</v>
      </c>
    </row>
    <row r="29" spans="1:17" s="2" customFormat="1" ht="12" customHeight="1" x14ac:dyDescent="0.25">
      <c r="A29" s="4">
        <v>506</v>
      </c>
      <c r="B29" s="2">
        <v>4</v>
      </c>
      <c r="C29" s="122" t="s">
        <v>809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6"/>
        <v>4</v>
      </c>
      <c r="P29" s="51">
        <f>VLOOKUP(C29,Bolts!A:B,2,FALSE)</f>
        <v>0</v>
      </c>
      <c r="Q29" s="52">
        <f t="shared" si="7"/>
        <v>0</v>
      </c>
    </row>
    <row r="30" spans="1:17" s="2" customFormat="1" ht="12" customHeight="1" x14ac:dyDescent="0.25">
      <c r="A30" s="4">
        <v>507</v>
      </c>
      <c r="B30" s="2">
        <v>4</v>
      </c>
      <c r="C30" s="122" t="s">
        <v>660</v>
      </c>
      <c r="D30" s="325"/>
      <c r="E30" s="326"/>
      <c r="F30" s="108">
        <f>VLOOKUP(C30,Bolts!A:L,5,0)</f>
        <v>0</v>
      </c>
      <c r="G30" s="108">
        <f>VLOOKUP(C30,Bolts!A:L,6,0)</f>
        <v>0</v>
      </c>
      <c r="H30" s="108">
        <f>VLOOKUP(C30,Bolts!A:L,7,0)</f>
        <v>0</v>
      </c>
      <c r="I30" s="109"/>
      <c r="J30" s="46">
        <f>VLOOKUP(C30,Bolts!A:L,8,0)</f>
        <v>0</v>
      </c>
      <c r="K30" s="46">
        <f>VLOOKUP(C30,Bolts!A:L,9,0)</f>
        <v>0</v>
      </c>
      <c r="L30" s="46">
        <f>VLOOKUP(C30,Bolts!A:L,10,0)</f>
        <v>0</v>
      </c>
      <c r="M30" s="46">
        <f>VLOOKUP(C30,Bolts!A:L,11,0)</f>
        <v>0</v>
      </c>
      <c r="N30" s="130">
        <f>VLOOKUP(C30,Bolts!A:L,12,0)</f>
        <v>0</v>
      </c>
      <c r="O30" s="47">
        <f t="shared" ca="1" si="6"/>
        <v>4</v>
      </c>
      <c r="P30" s="51">
        <f>VLOOKUP(C30,Bolts!A:B,2,FALSE)</f>
        <v>0</v>
      </c>
      <c r="Q30" s="52">
        <f t="shared" si="7"/>
        <v>0</v>
      </c>
    </row>
    <row r="31" spans="1:17" s="2" customFormat="1" ht="12" customHeight="1" thickBot="1" x14ac:dyDescent="0.3">
      <c r="A31" s="4">
        <v>508</v>
      </c>
      <c r="B31" s="2">
        <v>2</v>
      </c>
      <c r="C31" s="122" t="s">
        <v>872</v>
      </c>
      <c r="D31" s="325"/>
      <c r="E31" s="326"/>
      <c r="F31" s="108">
        <f>VLOOKUP(C31,Bolts!A:L,5,0)</f>
        <v>0</v>
      </c>
      <c r="G31" s="108">
        <f>VLOOKUP(C31,Bolts!A:L,6,0)</f>
        <v>0</v>
      </c>
      <c r="H31" s="108">
        <f>VLOOKUP(C31,Bolts!A:L,7,0)</f>
        <v>0</v>
      </c>
      <c r="I31" s="109"/>
      <c r="J31" s="46">
        <f>VLOOKUP(C31,Bolts!A:L,8,0)</f>
        <v>0</v>
      </c>
      <c r="K31" s="46">
        <f>VLOOKUP(C31,Bolts!A:L,9,0)</f>
        <v>0</v>
      </c>
      <c r="L31" s="46">
        <f>VLOOKUP(C31,Bolts!A:L,10,0)</f>
        <v>0</v>
      </c>
      <c r="M31" s="46">
        <f>VLOOKUP(C31,Bolts!A:L,11,0)</f>
        <v>0</v>
      </c>
      <c r="N31" s="130">
        <f>VLOOKUP(C31,Bolts!A:L,12,0)</f>
        <v>0</v>
      </c>
      <c r="O31" s="47">
        <f t="shared" ca="1" si="6"/>
        <v>2</v>
      </c>
      <c r="P31" s="51">
        <f>VLOOKUP(C31,Bolts!A:B,2,FALSE)</f>
        <v>0</v>
      </c>
      <c r="Q31" s="52">
        <f t="shared" si="7"/>
        <v>0</v>
      </c>
    </row>
    <row r="32" spans="1:17" s="2" customFormat="1" ht="12" customHeight="1" thickBot="1" x14ac:dyDescent="0.3">
      <c r="A32" s="34"/>
      <c r="B32" s="35"/>
      <c r="C32" s="35"/>
      <c r="D32" s="316"/>
      <c r="E32" s="317"/>
      <c r="F32" s="35"/>
      <c r="G32" s="35"/>
      <c r="H32" s="309"/>
      <c r="I32" s="310"/>
      <c r="J32" s="36"/>
      <c r="K32" s="36"/>
      <c r="L32" s="36"/>
      <c r="M32" s="37"/>
      <c r="N32" s="132"/>
      <c r="O32" s="38"/>
      <c r="P32" s="99" t="s">
        <v>43</v>
      </c>
      <c r="Q32" s="104">
        <f>SUM(Q5:Q31)</f>
        <v>1948.6399999999996</v>
      </c>
    </row>
  </sheetData>
  <sheetProtection selectLockedCells="1"/>
  <mergeCells count="51">
    <mergeCell ref="D30:E30"/>
    <mergeCell ref="D31:E31"/>
    <mergeCell ref="D32:E32"/>
    <mergeCell ref="H32:I32"/>
    <mergeCell ref="D25:E25"/>
    <mergeCell ref="D26:E26"/>
    <mergeCell ref="D27:E27"/>
    <mergeCell ref="D28:E28"/>
    <mergeCell ref="D29:E29"/>
    <mergeCell ref="D22:E22"/>
    <mergeCell ref="H22:I22"/>
    <mergeCell ref="D23:E23"/>
    <mergeCell ref="H23:I23"/>
    <mergeCell ref="D24:E24"/>
    <mergeCell ref="D19:E19"/>
    <mergeCell ref="H19:I19"/>
    <mergeCell ref="D20:E20"/>
    <mergeCell ref="H20:I20"/>
    <mergeCell ref="D21:E21"/>
    <mergeCell ref="H21:I21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10 M23:M31">
    <cfRule type="cellIs" dxfId="1080" priority="25" stopIfTrue="1" operator="lessThanOrEqual">
      <formula>$L10</formula>
    </cfRule>
    <cfRule type="cellIs" dxfId="1079" priority="26" operator="greaterThan">
      <formula>L10</formula>
    </cfRule>
  </conditionalFormatting>
  <conditionalFormatting sqref="M11">
    <cfRule type="cellIs" dxfId="1078" priority="23" stopIfTrue="1" operator="lessThanOrEqual">
      <formula>$L11</formula>
    </cfRule>
    <cfRule type="cellIs" dxfId="1077" priority="24" operator="greaterThan">
      <formula>L11</formula>
    </cfRule>
  </conditionalFormatting>
  <conditionalFormatting sqref="M12">
    <cfRule type="cellIs" dxfId="1076" priority="21" stopIfTrue="1" operator="lessThanOrEqual">
      <formula>$L12</formula>
    </cfRule>
    <cfRule type="cellIs" dxfId="1075" priority="22" operator="greaterThan">
      <formula>L12</formula>
    </cfRule>
  </conditionalFormatting>
  <conditionalFormatting sqref="M13">
    <cfRule type="cellIs" dxfId="1074" priority="19" stopIfTrue="1" operator="lessThanOrEqual">
      <formula>$L13</formula>
    </cfRule>
    <cfRule type="cellIs" dxfId="1073" priority="20" operator="greaterThan">
      <formula>L13</formula>
    </cfRule>
  </conditionalFormatting>
  <conditionalFormatting sqref="M14">
    <cfRule type="cellIs" dxfId="1072" priority="17" stopIfTrue="1" operator="lessThanOrEqual">
      <formula>$L14</formula>
    </cfRule>
    <cfRule type="cellIs" dxfId="1071" priority="18" operator="greaterThan">
      <formula>L14</formula>
    </cfRule>
  </conditionalFormatting>
  <conditionalFormatting sqref="M15">
    <cfRule type="cellIs" dxfId="1070" priority="15" stopIfTrue="1" operator="lessThanOrEqual">
      <formula>$L15</formula>
    </cfRule>
    <cfRule type="cellIs" dxfId="1069" priority="16" operator="greaterThan">
      <formula>L15</formula>
    </cfRule>
  </conditionalFormatting>
  <conditionalFormatting sqref="M16">
    <cfRule type="cellIs" dxfId="1068" priority="13" stopIfTrue="1" operator="lessThanOrEqual">
      <formula>$L16</formula>
    </cfRule>
    <cfRule type="cellIs" dxfId="1067" priority="14" operator="greaterThan">
      <formula>L16</formula>
    </cfRule>
  </conditionalFormatting>
  <conditionalFormatting sqref="M17">
    <cfRule type="cellIs" dxfId="1066" priority="11" stopIfTrue="1" operator="lessThanOrEqual">
      <formula>$L17</formula>
    </cfRule>
    <cfRule type="cellIs" dxfId="1065" priority="12" operator="greaterThan">
      <formula>L17</formula>
    </cfRule>
  </conditionalFormatting>
  <conditionalFormatting sqref="M18">
    <cfRule type="cellIs" dxfId="1064" priority="9" stopIfTrue="1" operator="lessThanOrEqual">
      <formula>$L18</formula>
    </cfRule>
    <cfRule type="cellIs" dxfId="1063" priority="10" operator="greaterThan">
      <formula>L18</formula>
    </cfRule>
  </conditionalFormatting>
  <conditionalFormatting sqref="M19">
    <cfRule type="cellIs" dxfId="1062" priority="7" stopIfTrue="1" operator="lessThanOrEqual">
      <formula>$L19</formula>
    </cfRule>
    <cfRule type="cellIs" dxfId="1061" priority="8" operator="greaterThan">
      <formula>L19</formula>
    </cfRule>
  </conditionalFormatting>
  <conditionalFormatting sqref="M20">
    <cfRule type="cellIs" dxfId="1060" priority="5" stopIfTrue="1" operator="lessThanOrEqual">
      <formula>$L20</formula>
    </cfRule>
    <cfRule type="cellIs" dxfId="1059" priority="6" operator="greaterThan">
      <formula>L20</formula>
    </cfRule>
  </conditionalFormatting>
  <conditionalFormatting sqref="M21">
    <cfRule type="cellIs" dxfId="1058" priority="3" stopIfTrue="1" operator="lessThanOrEqual">
      <formula>$L21</formula>
    </cfRule>
    <cfRule type="cellIs" dxfId="1057" priority="4" operator="greaterThan">
      <formula>L21</formula>
    </cfRule>
  </conditionalFormatting>
  <conditionalFormatting sqref="M22">
    <cfRule type="cellIs" dxfId="1056" priority="1" stopIfTrue="1" operator="lessThanOrEqual">
      <formula>$L22</formula>
    </cfRule>
    <cfRule type="cellIs" dxfId="1055" priority="2" operator="greaterThan">
      <formula>L22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A1C3C4-1196-43A6-A117-034C0B75A7EB}">
          <x14:formula1>
            <xm:f>Bolts!$A:$A</xm:f>
          </x14:formula1>
          <xm:sqref>C23:C31</xm:sqref>
        </x14:dataValidation>
        <x14:dataValidation type="list" allowBlank="1" showInputMessage="1" showErrorMessage="1" xr:uid="{9E037DBD-0EE0-4EBA-8239-4CAF159ADEB9}">
          <x14:formula1>
            <xm:f>Machined!$C:$C</xm:f>
          </x14:formula1>
          <xm:sqref>C5:C9</xm:sqref>
        </x14:dataValidation>
        <x14:dataValidation type="list" allowBlank="1" showInputMessage="1" showErrorMessage="1" xr:uid="{40D1D526-7525-4467-B1FD-1A8E31B2AC51}">
          <x14:formula1>
            <xm:f>Purchased!$A:$A</xm:f>
          </x14:formula1>
          <xm:sqref>C10:C22</xm:sqref>
        </x14:dataValidation>
      </x14:dataValidations>
    </ext>
  </extLst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2228D-4340-4D38-9980-3C5EE9122244}">
  <sheetPr codeName="Sheet148">
    <tabColor theme="6" tint="0.59999389629810485"/>
  </sheetPr>
  <dimension ref="A1:Q44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'6.2'!C7</f>
        <v>PG10.6.2.3.0.A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'6.2'!D7</f>
        <v>Tube Pusher Assy A Side</v>
      </c>
      <c r="D3" s="85" t="s">
        <v>50</v>
      </c>
      <c r="E3" s="86" t="str">
        <f ca="1">MID(CELL("filename",A1),FIND("]",CELL("filename",A1))+1,256)</f>
        <v>6.2.3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50" t="s">
        <v>54</v>
      </c>
      <c r="B5" s="1">
        <v>1</v>
      </c>
      <c r="C5" s="145" t="s">
        <v>987</v>
      </c>
      <c r="D5" s="314" t="str">
        <f ca="1">VLOOKUP(C5,Assemblies!E:P,2,0)</f>
        <v>Tube Present Sensor Assy</v>
      </c>
      <c r="E5" s="315"/>
      <c r="F5" s="32"/>
      <c r="G5" s="32"/>
      <c r="H5" s="303"/>
      <c r="I5" s="303"/>
      <c r="J5" s="28"/>
      <c r="K5" s="28"/>
      <c r="L5" s="28"/>
      <c r="M5" s="28"/>
      <c r="N5" s="33"/>
      <c r="O5" s="146">
        <f t="shared" ref="O5" ca="1" si="0">B5*$L$2</f>
        <v>1</v>
      </c>
      <c r="P5" s="147">
        <f>'6.2.3.1'!Q14</f>
        <v>707</v>
      </c>
      <c r="Q5" s="103">
        <f t="shared" ref="Q5" si="1">B5*P5</f>
        <v>707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988</v>
      </c>
      <c r="D6" s="314" t="str">
        <f ca="1">VLOOKUP(C6,Assemblies!E:P,2,0)</f>
        <v>11-Inch Pusher Stop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:O7" ca="1" si="2">B6*$L$2</f>
        <v>1</v>
      </c>
      <c r="P6" s="147">
        <f>'6.2.3.2'!Q11</f>
        <v>102.06</v>
      </c>
      <c r="Q6" s="103">
        <f t="shared" ref="Q6:Q7" si="3">B6*P6</f>
        <v>102.06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989</v>
      </c>
      <c r="D7" s="314" t="str">
        <f ca="1">VLOOKUP(C7,Assemblies!E:P,2,0)</f>
        <v>6-Inch Pusher Stop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2"/>
        <v>1</v>
      </c>
      <c r="P7" s="147">
        <f>'6.2.3.3'!Q11</f>
        <v>99.550000000000011</v>
      </c>
      <c r="Q7" s="103">
        <f t="shared" si="3"/>
        <v>99.550000000000011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990</v>
      </c>
      <c r="D9" s="314" t="str">
        <f>VLOOKUP(C9,Machined!C:X,2,0)</f>
        <v>Tube Pusher Block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Bemox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45463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55572</v>
      </c>
      <c r="O9" s="45">
        <f ca="1">B9*$L$2</f>
        <v>1</v>
      </c>
      <c r="P9" s="49">
        <f>VLOOKUP(C9,Machined!C:F,3,0)</f>
        <v>147.33000000000001</v>
      </c>
      <c r="Q9" s="50">
        <f>B9*P9</f>
        <v>147.33000000000001</v>
      </c>
    </row>
    <row r="10" spans="1:17" s="2" customFormat="1" ht="12.75" customHeight="1" x14ac:dyDescent="0.25">
      <c r="A10" s="77">
        <v>2</v>
      </c>
      <c r="B10" s="20">
        <v>1</v>
      </c>
      <c r="C10" s="121" t="s">
        <v>991</v>
      </c>
      <c r="D10" s="314" t="str">
        <f>VLOOKUP(C10,Machined!C:X,2,0)</f>
        <v>Tube Pusher Plate</v>
      </c>
      <c r="E10" s="329"/>
      <c r="F10" s="107" t="str">
        <f>VLOOKUP($C10,Machined!C:Z,13,0)</f>
        <v>6061-T6 ALUMINUM</v>
      </c>
      <c r="G10" s="44" t="str">
        <f>IF(VLOOKUP($C10,Machined!C:Z,16,0) = 0, " ", VLOOKUP($C10,Machined!C:Z,16,0))</f>
        <v>NULINE</v>
      </c>
      <c r="H10" s="320" t="str">
        <f>IF(VLOOKUP($C10,Machined!C:Z,17,0) = 0, " ", VLOOKUP($C10,Machined!C:Z,17,0))</f>
        <v>Modify from Rev A</v>
      </c>
      <c r="I10" s="321" t="str">
        <f>IF(VLOOKUP($C10,Machined!$C:$Y,13,0) = 0, " ", VLOOKUP($C10,Machined!$C:$Y,13,0))</f>
        <v>6061-T6 ALUMINUM</v>
      </c>
      <c r="J10" s="44" t="str">
        <f>IF(VLOOKUP($C10,Machined!C:Z,18,0) = 0, " ", VLOOKUP($C10,Machined!C:Z,18,0))</f>
        <v>N/A</v>
      </c>
      <c r="K10" s="44" t="str">
        <f>IF(VLOOKUP($C10,Machined!C:Z,19,0) = 0, " ", VLOOKUP($C10,Machined!C:Z,19,0))</f>
        <v>N/A</v>
      </c>
      <c r="L10" s="44" t="str">
        <f>IF(VLOOKUP($C10,Machined!C:Z,20,0) = 0, " ", VLOOKUP($C10,Machined!C:Z,20,0))</f>
        <v>N/A</v>
      </c>
      <c r="M10" s="44" t="str">
        <f>IF(VLOOKUP($C10,Machined!C:Z,21,0) = 0, " ", VLOOKUP($C10,Machined!C:Z,21,0))</f>
        <v>N/A</v>
      </c>
      <c r="N10" s="129" t="str">
        <f>IF(VLOOKUP($C10,Machined!C:Z,22,0) = 0, " ", VLOOKUP($C10,Machined!C:Z,22,0))</f>
        <v>N/A</v>
      </c>
      <c r="O10" s="45">
        <f t="shared" ref="O10:O11" ca="1" si="4">B10*$L$2</f>
        <v>1</v>
      </c>
      <c r="P10" s="49">
        <f>VLOOKUP(C10,Machined!C:F,3,0)</f>
        <v>0</v>
      </c>
      <c r="Q10" s="50">
        <f t="shared" ref="Q10:Q11" si="5">B10*P10</f>
        <v>0</v>
      </c>
    </row>
    <row r="11" spans="1:17" s="2" customFormat="1" ht="12.75" customHeight="1" x14ac:dyDescent="0.25">
      <c r="A11" s="77">
        <v>3</v>
      </c>
      <c r="B11" s="20">
        <v>1</v>
      </c>
      <c r="C11" s="121" t="s">
        <v>992</v>
      </c>
      <c r="D11" s="314" t="str">
        <f>VLOOKUP(C11,Machined!C:X,2,0)</f>
        <v>Pusher Actuator Mount</v>
      </c>
      <c r="E11" s="329"/>
      <c r="F11" s="107" t="str">
        <f>VLOOKUP($C11,Machined!C:Z,13,0)</f>
        <v>MIC-6 CAST ALUMINUM</v>
      </c>
      <c r="G11" s="44" t="str">
        <f>IF(VLOOKUP($C11,Machined!C:Z,16,0) = 0, " ", VLOOKUP($C11,Machined!C:Z,16,0))</f>
        <v>NULINE</v>
      </c>
      <c r="H11" s="320" t="str">
        <f>IF(VLOOKUP($C11,Machined!C:Z,17,0) = 0, " ", VLOOKUP($C11,Machined!C:Z,17,0))</f>
        <v>Modify from Rev A</v>
      </c>
      <c r="I11" s="321" t="str">
        <f>IF(VLOOKUP($C11,Machined!$C:$Y,13,0) = 0, " ", VLOOKUP($C11,Machined!$C:$Y,13,0))</f>
        <v>MIC-6 CAST ALUMINUM</v>
      </c>
      <c r="J11" s="44" t="str">
        <f>IF(VLOOKUP($C11,Machined!C:Z,18,0) = 0, " ", VLOOKUP($C11,Machined!C:Z,18,0))</f>
        <v>N/A</v>
      </c>
      <c r="K11" s="44" t="str">
        <f>IF(VLOOKUP($C11,Machined!C:Z,19,0) = 0, " ", VLOOKUP($C11,Machined!C:Z,19,0))</f>
        <v>N/A</v>
      </c>
      <c r="L11" s="44" t="str">
        <f>IF(VLOOKUP($C11,Machined!C:Z,20,0) = 0, " ", VLOOKUP($C11,Machined!C:Z,20,0))</f>
        <v>N/A</v>
      </c>
      <c r="M11" s="44" t="str">
        <f>IF(VLOOKUP($C11,Machined!C:Z,21,0) = 0, " ", VLOOKUP($C11,Machined!C:Z,21,0))</f>
        <v>N/A</v>
      </c>
      <c r="N11" s="129" t="str">
        <f>IF(VLOOKUP($C11,Machined!C:Z,22,0) = 0, " ", VLOOKUP($C11,Machined!C:Z,22,0))</f>
        <v>N/A</v>
      </c>
      <c r="O11" s="45">
        <f t="shared" ca="1" si="4"/>
        <v>1</v>
      </c>
      <c r="P11" s="49">
        <f>VLOOKUP(C11,Machined!C:F,3,0)</f>
        <v>0</v>
      </c>
      <c r="Q11" s="50">
        <f t="shared" si="5"/>
        <v>0</v>
      </c>
    </row>
    <row r="12" spans="1:17" s="2" customFormat="1" ht="12.75" customHeight="1" x14ac:dyDescent="0.25">
      <c r="A12" s="77">
        <v>4</v>
      </c>
      <c r="B12" s="20">
        <v>1</v>
      </c>
      <c r="C12" s="121" t="s">
        <v>993</v>
      </c>
      <c r="D12" s="314" t="str">
        <f>VLOOKUP(C12,Machined!C:X,2,0)</f>
        <v>Pusher Gusset Left</v>
      </c>
      <c r="E12" s="329"/>
      <c r="F12" s="107" t="str">
        <f>VLOOKUP($C12,Machined!C:Z,13,0)</f>
        <v>304 STAINLESS STEEL</v>
      </c>
      <c r="G12" s="44" t="str">
        <f>IF(VLOOKUP($C12,Machined!C:Z,16,0) = 0, " ", VLOOKUP($C12,Machined!C:Z,16,0))</f>
        <v>Proto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304 STAINLESS STEEL</v>
      </c>
      <c r="J12" s="44">
        <f>IF(VLOOKUP($C12,Machined!C:Z,18,0) = 0, " ", VLOOKUP($C12,Machined!C:Z,18,0))</f>
        <v>45495</v>
      </c>
      <c r="K12" s="44">
        <f>IF(VLOOKUP($C12,Machined!C:Z,19,0) = 0, " ", VLOOKUP($C12,Machined!C:Z,19,0))</f>
        <v>45510</v>
      </c>
      <c r="L12" s="44">
        <f>IF(VLOOKUP($C12,Machined!C:Z,20,0) = 0, " ", VLOOKUP($C12,Machined!C:Z,20,0))</f>
        <v>45540</v>
      </c>
      <c r="M12" s="44">
        <f>IF(VLOOKUP($C12,Machined!C:Z,21,0) = 0, " ", VLOOKUP($C12,Machined!C:Z,21,0))</f>
        <v>45540</v>
      </c>
      <c r="N12" s="129">
        <f>IF(VLOOKUP($C12,Machined!C:Z,22,0) = 0, " ", VLOOKUP($C12,Machined!C:Z,22,0))</f>
        <v>55658</v>
      </c>
      <c r="O12" s="45">
        <f ca="1">B12*$L$2</f>
        <v>1</v>
      </c>
      <c r="P12" s="49">
        <f>VLOOKUP(C12,Machined!C:F,3,0)</f>
        <v>83</v>
      </c>
      <c r="Q12" s="50">
        <f>B12*P12</f>
        <v>83</v>
      </c>
    </row>
    <row r="13" spans="1:17" s="2" customFormat="1" ht="12.75" customHeight="1" x14ac:dyDescent="0.25">
      <c r="A13" s="77">
        <v>5</v>
      </c>
      <c r="B13" s="20">
        <v>1</v>
      </c>
      <c r="C13" s="121" t="s">
        <v>994</v>
      </c>
      <c r="D13" s="314" t="str">
        <f>VLOOKUP(C13,Machined!C:X,2,0)</f>
        <v>Pusher Gusset Right</v>
      </c>
      <c r="E13" s="329"/>
      <c r="F13" s="107" t="str">
        <f>VLOOKUP($C13,Machined!C:Z,13,0)</f>
        <v>304 STAINLESS STEEL</v>
      </c>
      <c r="G13" s="44" t="str">
        <f>IF(VLOOKUP($C13,Machined!C:Z,16,0) = 0, " ", VLOOKUP($C13,Machined!C:Z,16,0))</f>
        <v>Proto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304 STAINLESS STEEL</v>
      </c>
      <c r="J13" s="44">
        <f>IF(VLOOKUP($C13,Machined!C:Z,18,0) = 0, " ", VLOOKUP($C13,Machined!C:Z,18,0))</f>
        <v>45495</v>
      </c>
      <c r="K13" s="44">
        <f>IF(VLOOKUP($C13,Machined!C:Z,19,0) = 0, " ", VLOOKUP($C13,Machined!C:Z,19,0))</f>
        <v>45510</v>
      </c>
      <c r="L13" s="44">
        <f>IF(VLOOKUP($C13,Machined!C:Z,20,0) = 0, " ", VLOOKUP($C13,Machined!C:Z,20,0))</f>
        <v>45540</v>
      </c>
      <c r="M13" s="44">
        <f>IF(VLOOKUP($C13,Machined!C:Z,21,0) = 0, " ", VLOOKUP($C13,Machined!C:Z,21,0))</f>
        <v>45540</v>
      </c>
      <c r="N13" s="129">
        <f>IF(VLOOKUP($C13,Machined!C:Z,22,0) = 0, " ", VLOOKUP($C13,Machined!C:Z,22,0))</f>
        <v>55658</v>
      </c>
      <c r="O13" s="45">
        <f t="shared" ref="O13:O14" ca="1" si="6">B13*$L$2</f>
        <v>1</v>
      </c>
      <c r="P13" s="49">
        <f>VLOOKUP(C13,Machined!C:F,3,0)</f>
        <v>0</v>
      </c>
      <c r="Q13" s="50">
        <f t="shared" ref="Q13:Q14" si="7">B13*P13</f>
        <v>0</v>
      </c>
    </row>
    <row r="14" spans="1:17" s="2" customFormat="1" ht="12.75" customHeight="1" x14ac:dyDescent="0.25">
      <c r="A14" s="77">
        <v>6</v>
      </c>
      <c r="B14" s="20">
        <v>1</v>
      </c>
      <c r="C14" s="121" t="s">
        <v>995</v>
      </c>
      <c r="D14" s="314" t="str">
        <f>VLOOKUP(C14,Machined!C:X,2,0)</f>
        <v>Tube Pusher Mounting Plate</v>
      </c>
      <c r="E14" s="329"/>
      <c r="F14" s="107" t="str">
        <f>VLOOKUP($C14,Machined!C:Z,13,0)</f>
        <v>MIC-6 CAST ALUMINUM</v>
      </c>
      <c r="G14" s="44" t="str">
        <f>IF(VLOOKUP($C14,Machined!C:Z,16,0) = 0, " ", VLOOKUP($C14,Machined!C:Z,16,0))</f>
        <v>Bemox</v>
      </c>
      <c r="H14" s="320" t="str">
        <f>IF(VLOOKUP($C14,Machined!C:Z,17,0) = 0, " ", VLOOKUP($C14,Machined!C:Z,17,0))</f>
        <v>M5 Clearance holes do not go through, model needs to be updated. Part was modified in house</v>
      </c>
      <c r="I14" s="321" t="str">
        <f>IF(VLOOKUP($C14,Machined!$C:$Y,13,0) = 0, " ", VLOOKUP($C14,Machined!$C:$Y,13,0))</f>
        <v>MIC-6 CAST ALUMINUM</v>
      </c>
      <c r="J14" s="44">
        <f>IF(VLOOKUP($C14,Machined!C:Z,18,0) = 0, " ", VLOOKUP($C14,Machined!C:Z,18,0))</f>
        <v>45463</v>
      </c>
      <c r="K14" s="44">
        <f>IF(VLOOKUP($C14,Machined!C:Z,19,0) = 0, " ", VLOOKUP($C14,Machined!C:Z,19,0))</f>
        <v>45469</v>
      </c>
      <c r="L14" s="44">
        <f>IF(VLOOKUP($C14,Machined!C:Z,20,0) = 0, " ", VLOOKUP($C14,Machined!C:Z,20,0))</f>
        <v>45509</v>
      </c>
      <c r="M14" s="44">
        <f>IF(VLOOKUP($C14,Machined!C:Z,21,0) = 0, " ", VLOOKUP($C14,Machined!C:Z,21,0))</f>
        <v>45510</v>
      </c>
      <c r="N14" s="129">
        <f>IF(VLOOKUP($C14,Machined!C:Z,22,0) = 0, " ", VLOOKUP($C14,Machined!C:Z,22,0))</f>
        <v>55575</v>
      </c>
      <c r="O14" s="45">
        <f t="shared" ca="1" si="6"/>
        <v>1</v>
      </c>
      <c r="P14" s="49">
        <f>VLOOKUP(C14,Machined!C:F,3,0)</f>
        <v>419</v>
      </c>
      <c r="Q14" s="50">
        <f t="shared" si="7"/>
        <v>419</v>
      </c>
    </row>
    <row r="15" spans="1:17" s="2" customFormat="1" ht="12.75" customHeight="1" x14ac:dyDescent="0.25">
      <c r="A15" s="77">
        <v>7</v>
      </c>
      <c r="B15" s="20">
        <v>1</v>
      </c>
      <c r="C15" s="121" t="s">
        <v>996</v>
      </c>
      <c r="D15" s="314" t="str">
        <f>VLOOKUP(C15,Machined!C:X,2,0)</f>
        <v>Pusher Bearing Block</v>
      </c>
      <c r="E15" s="329"/>
      <c r="F15" s="107" t="str">
        <f>VLOOKUP($C15,Machined!C:Z,13,0)</f>
        <v>6061-T6 ALUMINUM</v>
      </c>
      <c r="G15" s="44" t="str">
        <f>IF(VLOOKUP($C15,Machined!C:Z,16,0) = 0, " ", VLOOKUP($C15,Machined!C:Z,16,0))</f>
        <v>Bemox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6061-T6 ALUMINUM</v>
      </c>
      <c r="J15" s="44">
        <f>IF(VLOOKUP($C15,Machined!C:Z,18,0) = 0, " ", VLOOKUP($C15,Machined!C:Z,18,0))</f>
        <v>45463</v>
      </c>
      <c r="K15" s="44">
        <f>IF(VLOOKUP($C15,Machined!C:Z,19,0) = 0, " ", VLOOKUP($C15,Machined!C:Z,19,0))</f>
        <v>45467</v>
      </c>
      <c r="L15" s="44">
        <f>IF(VLOOKUP($C15,Machined!C:Z,20,0) = 0, " ", VLOOKUP($C15,Machined!C:Z,20,0))</f>
        <v>45504</v>
      </c>
      <c r="M15" s="44">
        <f>IF(VLOOKUP($C15,Machined!C:Z,21,0) = 0, " ", VLOOKUP($C15,Machined!C:Z,21,0))</f>
        <v>45504</v>
      </c>
      <c r="N15" s="129">
        <f>IF(VLOOKUP($C15,Machined!C:Z,22,0) = 0, " ", VLOOKUP($C15,Machined!C:Z,22,0))</f>
        <v>55572</v>
      </c>
      <c r="O15" s="45">
        <f ca="1">B15*$L$2</f>
        <v>1</v>
      </c>
      <c r="P15" s="49">
        <f>VLOOKUP(C15,Machined!C:F,3,0)</f>
        <v>106</v>
      </c>
      <c r="Q15" s="50">
        <f>B15*P15</f>
        <v>106</v>
      </c>
    </row>
    <row r="16" spans="1:17" s="2" customFormat="1" ht="12.75" customHeight="1" x14ac:dyDescent="0.25">
      <c r="A16" s="77">
        <v>8</v>
      </c>
      <c r="B16" s="20">
        <v>1</v>
      </c>
      <c r="C16" s="121" t="s">
        <v>997</v>
      </c>
      <c r="D16" s="314" t="str">
        <f>VLOOKUP(C16,Machined!C:X,2,0)</f>
        <v>Pusher Gusset Plate Top</v>
      </c>
      <c r="E16" s="329"/>
      <c r="F16" s="107" t="str">
        <f>VLOOKUP($C16,Machined!C:Z,13,0)</f>
        <v>1018 COLD ROLLED STEEL</v>
      </c>
      <c r="G16" s="44" t="str">
        <f>IF(VLOOKUP($C16,Machined!C:Z,16,0) = 0, " ", VLOOKUP($C16,Machined!C:Z,16,0))</f>
        <v>Bemox</v>
      </c>
      <c r="H16" s="320" t="str">
        <f>IF(VLOOKUP($C16,Machined!C:Z,17,0) = 0, " ", VLOOKUP($C16,Machined!C:Z,17,0))</f>
        <v xml:space="preserve"> </v>
      </c>
      <c r="I16" s="321" t="str">
        <f>IF(VLOOKUP($C16,Machined!$C:$Y,13,0) = 0, " ", VLOOKUP($C16,Machined!$C:$Y,13,0))</f>
        <v>1018 COLD ROLLED STEEL</v>
      </c>
      <c r="J16" s="44">
        <f>IF(VLOOKUP($C16,Machined!C:Z,18,0) = 0, " ", VLOOKUP($C16,Machined!C:Z,18,0))</f>
        <v>45463</v>
      </c>
      <c r="K16" s="44">
        <f>IF(VLOOKUP($C16,Machined!C:Z,19,0) = 0, " ", VLOOKUP($C16,Machined!C:Z,19,0))</f>
        <v>45467</v>
      </c>
      <c r="L16" s="44">
        <f>IF(VLOOKUP($C16,Machined!C:Z,20,0) = 0, " ", VLOOKUP($C16,Machined!C:Z,20,0))</f>
        <v>45504</v>
      </c>
      <c r="M16" s="44">
        <f>IF(VLOOKUP($C16,Machined!C:Z,21,0) = 0, " ", VLOOKUP($C16,Machined!C:Z,21,0))</f>
        <v>45504</v>
      </c>
      <c r="N16" s="129">
        <f>IF(VLOOKUP($C16,Machined!C:Z,22,0) = 0, " ", VLOOKUP($C16,Machined!C:Z,22,0))</f>
        <v>55572</v>
      </c>
      <c r="O16" s="45">
        <f t="shared" ref="O16:O17" ca="1" si="8">B16*$L$2</f>
        <v>1</v>
      </c>
      <c r="P16" s="49">
        <f>VLOOKUP(C16,Machined!C:F,3,0)</f>
        <v>251</v>
      </c>
      <c r="Q16" s="50">
        <f t="shared" ref="Q16:Q17" si="9">B16*P16</f>
        <v>251</v>
      </c>
    </row>
    <row r="17" spans="1:17" s="2" customFormat="1" ht="12.75" customHeight="1" x14ac:dyDescent="0.25">
      <c r="A17" s="77">
        <v>9</v>
      </c>
      <c r="B17" s="20">
        <v>1</v>
      </c>
      <c r="C17" s="121" t="s">
        <v>998</v>
      </c>
      <c r="D17" s="314" t="str">
        <f>VLOOKUP(C17,Machined!C:X,2,0)</f>
        <v>Pusher Gusset Plate Bottom</v>
      </c>
      <c r="E17" s="329"/>
      <c r="F17" s="107" t="str">
        <f>VLOOKUP($C17,Machined!C:Z,13,0)</f>
        <v>1018 COLD ROLLED STEEL</v>
      </c>
      <c r="G17" s="44" t="str">
        <f>IF(VLOOKUP($C17,Machined!C:Z,16,0) = 0, " ", VLOOKUP($C17,Machined!C:Z,16,0))</f>
        <v>Bemox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1018 COLD ROLLED STEEL</v>
      </c>
      <c r="J17" s="44">
        <f>IF(VLOOKUP($C17,Machined!C:Z,18,0) = 0, " ", VLOOKUP($C17,Machined!C:Z,18,0))</f>
        <v>45463</v>
      </c>
      <c r="K17" s="44">
        <f>IF(VLOOKUP($C17,Machined!C:Z,19,0) = 0, " ", VLOOKUP($C17,Machined!C:Z,19,0))</f>
        <v>45467</v>
      </c>
      <c r="L17" s="44">
        <f>IF(VLOOKUP($C17,Machined!C:Z,20,0) = 0, " ", VLOOKUP($C17,Machined!C:Z,20,0))</f>
        <v>45504</v>
      </c>
      <c r="M17" s="44">
        <f>IF(VLOOKUP($C17,Machined!C:Z,21,0) = 0, " ", VLOOKUP($C17,Machined!C:Z,21,0))</f>
        <v>45504</v>
      </c>
      <c r="N17" s="129">
        <f>IF(VLOOKUP($C17,Machined!C:Z,22,0) = 0, " ", VLOOKUP($C17,Machined!C:Z,22,0))</f>
        <v>55572</v>
      </c>
      <c r="O17" s="45">
        <f t="shared" ca="1" si="8"/>
        <v>1</v>
      </c>
      <c r="P17" s="49">
        <f>VLOOKUP(C17,Machined!C:F,3,0)</f>
        <v>251</v>
      </c>
      <c r="Q17" s="50">
        <f t="shared" si="9"/>
        <v>251</v>
      </c>
    </row>
    <row r="18" spans="1:17" s="2" customFormat="1" ht="12.75" customHeight="1" x14ac:dyDescent="0.25">
      <c r="A18" s="77">
        <v>10</v>
      </c>
      <c r="B18" s="20">
        <v>1</v>
      </c>
      <c r="C18" s="121" t="s">
        <v>999</v>
      </c>
      <c r="D18" s="314" t="str">
        <f>VLOOKUP(C18,Machined!C:X,2,0)</f>
        <v>Gusset Bracket A Side</v>
      </c>
      <c r="E18" s="329"/>
      <c r="F18" s="107" t="str">
        <f>VLOOKUP($C18,Machined!C:Z,13,0)</f>
        <v>304 STAINLESS STEEL</v>
      </c>
      <c r="G18" s="44" t="str">
        <f>IF(VLOOKUP($C18,Machined!C:Z,16,0) = 0, " ", VLOOKUP($C18,Machined!C:Z,16,0))</f>
        <v>Proto</v>
      </c>
      <c r="H18" s="320" t="str">
        <f>IF(VLOOKUP($C18,Machined!C:Z,17,0) = 0, " ", VLOOKUP($C18,Machined!C:Z,17,0))</f>
        <v xml:space="preserve"> </v>
      </c>
      <c r="I18" s="321" t="str">
        <f>IF(VLOOKUP($C18,Machined!$C:$Y,13,0) = 0, " ", VLOOKUP($C18,Machined!$C:$Y,13,0))</f>
        <v>304 STAINLESS STEEL</v>
      </c>
      <c r="J18" s="44">
        <f>IF(VLOOKUP($C18,Machined!C:Z,18,0) = 0, " ", VLOOKUP($C18,Machined!C:Z,18,0))</f>
        <v>45495</v>
      </c>
      <c r="K18" s="44">
        <f>IF(VLOOKUP($C18,Machined!C:Z,19,0) = 0, " ", VLOOKUP($C18,Machined!C:Z,19,0))</f>
        <v>45510</v>
      </c>
      <c r="L18" s="44">
        <f>IF(VLOOKUP($C18,Machined!C:Z,20,0) = 0, " ", VLOOKUP($C18,Machined!C:Z,20,0))</f>
        <v>45540</v>
      </c>
      <c r="M18" s="44">
        <f>IF(VLOOKUP($C18,Machined!C:Z,21,0) = 0, " ", VLOOKUP($C18,Machined!C:Z,21,0))</f>
        <v>45540</v>
      </c>
      <c r="N18" s="129">
        <f>IF(VLOOKUP($C18,Machined!C:Z,22,0) = 0, " ", VLOOKUP($C18,Machined!C:Z,22,0))</f>
        <v>55658</v>
      </c>
      <c r="O18" s="45">
        <f ca="1">B18*$L$2</f>
        <v>1</v>
      </c>
      <c r="P18" s="49">
        <f>VLOOKUP(C18,Machined!C:F,3,0)</f>
        <v>163.46</v>
      </c>
      <c r="Q18" s="50">
        <f>B18*P18</f>
        <v>163.46</v>
      </c>
    </row>
    <row r="19" spans="1:17" s="2" customFormat="1" ht="12" customHeight="1" x14ac:dyDescent="0.25">
      <c r="A19" s="77">
        <v>11</v>
      </c>
      <c r="B19" s="20">
        <v>2</v>
      </c>
      <c r="C19" s="121" t="s">
        <v>1000</v>
      </c>
      <c r="D19" s="314" t="str">
        <f>VLOOKUP(C19,Machined!C:X,2,0)</f>
        <v>Conveyor Bracket</v>
      </c>
      <c r="E19" s="329"/>
      <c r="F19" s="107" t="str">
        <f>VLOOKUP($C19,Machined!C:Z,13,0)</f>
        <v>6061-T6 ALUMINUM</v>
      </c>
      <c r="G19" s="44" t="str">
        <f>IF(VLOOKUP($C19,Machined!C:Z,16,0) = 0, " ", VLOOKUP($C19,Machined!C:Z,16,0))</f>
        <v>Bemox</v>
      </c>
      <c r="H19" s="320" t="str">
        <f>IF(VLOOKUP($C19,Machined!C:Z,17,0) = 0, " ", VLOOKUP($C19,Machined!C:Z,17,0))</f>
        <v xml:space="preserve"> </v>
      </c>
      <c r="I19" s="321" t="str">
        <f>IF(VLOOKUP($C19,Machined!$C:$Y,13,0) = 0, " ", VLOOKUP($C19,Machined!$C:$Y,13,0))</f>
        <v>6061-T6 ALUMINUM</v>
      </c>
      <c r="J19" s="44">
        <f>IF(VLOOKUP($C19,Machined!C:Z,18,0) = 0, " ", VLOOKUP($C19,Machined!C:Z,18,0))</f>
        <v>45463</v>
      </c>
      <c r="K19" s="44">
        <f>IF(VLOOKUP($C19,Machined!C:Z,19,0) = 0, " ", VLOOKUP($C19,Machined!C:Z,19,0))</f>
        <v>45467</v>
      </c>
      <c r="L19" s="44">
        <f>IF(VLOOKUP($C19,Machined!C:Z,20,0) = 0, " ", VLOOKUP($C19,Machined!C:Z,20,0))</f>
        <v>45504</v>
      </c>
      <c r="M19" s="44">
        <f>IF(VLOOKUP($C19,Machined!C:Z,21,0) = 0, " ", VLOOKUP($C19,Machined!C:Z,21,0))</f>
        <v>45504</v>
      </c>
      <c r="N19" s="129">
        <f>IF(VLOOKUP($C19,Machined!C:Z,22,0) = 0, " ", VLOOKUP($C19,Machined!C:Z,22,0))</f>
        <v>55572</v>
      </c>
      <c r="O19" s="45">
        <f t="shared" ref="O19:O20" ca="1" si="10">B19*$L$2</f>
        <v>2</v>
      </c>
      <c r="P19" s="49">
        <f>VLOOKUP(C19,Machined!C:F,3,0)</f>
        <v>48</v>
      </c>
      <c r="Q19" s="50">
        <f t="shared" ref="Q19:Q20" si="11">B19*P19</f>
        <v>96</v>
      </c>
    </row>
    <row r="20" spans="1:17" s="2" customFormat="1" ht="12" customHeight="1" x14ac:dyDescent="0.25">
      <c r="A20" s="77">
        <v>12</v>
      </c>
      <c r="B20" s="20">
        <v>2</v>
      </c>
      <c r="C20" s="121" t="s">
        <v>1001</v>
      </c>
      <c r="D20" s="314" t="str">
        <f>VLOOKUP(C20,Machined!C:X,2,0)</f>
        <v>Conveyor Bracket Washer</v>
      </c>
      <c r="E20" s="329"/>
      <c r="F20" s="107" t="str">
        <f>VLOOKUP($C20,Machined!C:Z,13,0)</f>
        <v>1018 COLD ROLLED STEEL</v>
      </c>
      <c r="G20" s="44" t="str">
        <f>IF(VLOOKUP($C20,Machined!C:Z,16,0) = 0, " ", VLOOKUP($C20,Machined!C:Z,16,0))</f>
        <v>Bemox</v>
      </c>
      <c r="H20" s="320" t="str">
        <f>IF(VLOOKUP($C20,Machined!C:Z,17,0) = 0, " ", VLOOKUP($C20,Machined!C:Z,17,0))</f>
        <v xml:space="preserve"> </v>
      </c>
      <c r="I20" s="321" t="str">
        <f>IF(VLOOKUP($C20,Machined!$C:$Y,13,0) = 0, " ", VLOOKUP($C20,Machined!$C:$Y,13,0))</f>
        <v>1018 COLD ROLLED STEEL</v>
      </c>
      <c r="J20" s="44">
        <f>IF(VLOOKUP($C20,Machined!C:Z,18,0) = 0, " ", VLOOKUP($C20,Machined!C:Z,18,0))</f>
        <v>45463</v>
      </c>
      <c r="K20" s="44">
        <f>IF(VLOOKUP($C20,Machined!C:Z,19,0) = 0, " ", VLOOKUP($C20,Machined!C:Z,19,0))</f>
        <v>45467</v>
      </c>
      <c r="L20" s="44">
        <f>IF(VLOOKUP($C20,Machined!C:Z,20,0) = 0, " ", VLOOKUP($C20,Machined!C:Z,20,0))</f>
        <v>45504</v>
      </c>
      <c r="M20" s="44">
        <f>IF(VLOOKUP($C20,Machined!C:Z,21,0) = 0, " ", VLOOKUP($C20,Machined!C:Z,21,0))</f>
        <v>45504</v>
      </c>
      <c r="N20" s="129">
        <f>IF(VLOOKUP($C20,Machined!C:Z,22,0) = 0, " ", VLOOKUP($C20,Machined!C:Z,22,0))</f>
        <v>55572</v>
      </c>
      <c r="O20" s="45">
        <f t="shared" ca="1" si="10"/>
        <v>2</v>
      </c>
      <c r="P20" s="49">
        <f>VLOOKUP(C20,Machined!C:F,3,0)</f>
        <v>30.5</v>
      </c>
      <c r="Q20" s="50">
        <f t="shared" si="11"/>
        <v>61</v>
      </c>
    </row>
    <row r="21" spans="1:17" s="2" customFormat="1" ht="12" customHeight="1" x14ac:dyDescent="0.25">
      <c r="A21" s="77">
        <v>13</v>
      </c>
      <c r="B21" s="20">
        <v>1</v>
      </c>
      <c r="C21" s="121" t="s">
        <v>792</v>
      </c>
      <c r="D21" s="314" t="str">
        <f>VLOOKUP(C21,Machined!C:X,2,0)</f>
        <v>Lead Nut Modification</v>
      </c>
      <c r="E21" s="329"/>
      <c r="F21" s="107" t="str">
        <f>VLOOKUP($C21,Machined!C:Z,13,0)</f>
        <v>PURCHASED PART</v>
      </c>
      <c r="G21" s="44" t="str">
        <f>IF(VLOOKUP($C21,Machined!C:Z,16,0) = 0, " ", VLOOKUP($C21,Machined!C:Z,16,0))</f>
        <v xml:space="preserve">Nuline </v>
      </c>
      <c r="H21" s="320" t="str">
        <f>IF(VLOOKUP($C21,Machined!C:Z,17,0) = 0, " ", VLOOKUP($C21,Machined!C:Z,17,0))</f>
        <v>P.O for material</v>
      </c>
      <c r="I21" s="321" t="str">
        <f>IF(VLOOKUP($C21,Machined!$C:$Y,13,0) = 0, " ", VLOOKUP($C21,Machined!$C:$Y,13,0))</f>
        <v>PURCHASED PART</v>
      </c>
      <c r="J21" s="44">
        <f>IF(VLOOKUP($C21,Machined!C:Z,18,0) = 0, " ", VLOOKUP($C21,Machined!C:Z,18,0))</f>
        <v>45496</v>
      </c>
      <c r="K21" s="44">
        <f>IF(VLOOKUP($C21,Machined!C:Z,19,0) = 0, " ", VLOOKUP($C21,Machined!C:Z,19,0))</f>
        <v>45496</v>
      </c>
      <c r="L21" s="44">
        <f>IF(VLOOKUP($C21,Machined!C:Z,20,0) = 0, " ", VLOOKUP($C21,Machined!C:Z,20,0))</f>
        <v>45531</v>
      </c>
      <c r="M21" s="44">
        <f>IF(VLOOKUP($C21,Machined!C:Z,21,0) = 0, " ", VLOOKUP($C21,Machined!C:Z,21,0))</f>
        <v>45531</v>
      </c>
      <c r="N21" s="129">
        <f>IF(VLOOKUP($C21,Machined!C:Z,22,0) = 0, " ", VLOOKUP($C21,Machined!C:Z,22,0))</f>
        <v>55621</v>
      </c>
      <c r="O21" s="45">
        <f t="shared" ref="O21" ca="1" si="12">B21*$L$2</f>
        <v>1</v>
      </c>
      <c r="P21" s="49">
        <f>VLOOKUP(C21,Machined!C:F,3,0)</f>
        <v>23.04</v>
      </c>
      <c r="Q21" s="50">
        <f t="shared" ref="Q21" si="13">B21*P21</f>
        <v>23.04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301</v>
      </c>
      <c r="B23" s="2">
        <v>3</v>
      </c>
      <c r="C23" s="135" t="s">
        <v>305</v>
      </c>
      <c r="D23" s="325" t="str">
        <f>VLOOKUP(C23,Purchased!A:B,2,0)</f>
        <v>Auto Switch, Solid State, General Purpose, M8-3Pin Connector, 0.5m Cord 
Length</v>
      </c>
      <c r="E23" s="326"/>
      <c r="F23" s="108" t="str">
        <f>IF(VLOOKUP($C23,Purchased!A:Z,11,0) = 0, " ", VLOOKUP($C23,Purchased!A:Z,11,0))</f>
        <v>SMC</v>
      </c>
      <c r="G23" s="108" t="str">
        <f>IF(VLOOKUP($C23,Purchased!A:Z,12,0)=0, " ", VLOOKUP($C23,Purchased!A:Z,12,0))</f>
        <v>AAP</v>
      </c>
      <c r="H23" s="327" t="str">
        <f>IF(VLOOKUP($C23,Purchased!A:Z,13,0)=0, " ", VLOOKUP($C23,Purchased!A:Z,13,0))</f>
        <v>10 more PO 55692</v>
      </c>
      <c r="I23" s="328"/>
      <c r="J23" s="46">
        <f>IF(VLOOKUP($C23,Purchased!A:Z,14,0)=0, " ", VLOOKUP($C23,Purchased!A:Z,14,0))</f>
        <v>45489</v>
      </c>
      <c r="K23" s="46">
        <f>IF(VLOOKUP(C23,Purchased!A:R,14,0)=0, " ", VLOOKUP(C23,Purchased!A:R,14,0))</f>
        <v>45489</v>
      </c>
      <c r="L23" s="46">
        <f>IF(VLOOKUP(C23,Purchased!A:R,15,0)=0, " ", VLOOKUP(C23,Purchased!A:R,15,0))</f>
        <v>45489</v>
      </c>
      <c r="M23" s="46">
        <f>IF(VLOOKUP(C23,Purchased!A:R,16,0)=0, " ",VLOOKUP(C23,Purchased!A:R,16,0))</f>
        <v>45510</v>
      </c>
      <c r="N23" s="130">
        <f>IF(VLOOKUP(C23,Purchased!A:R,17,0)=0, " ", VLOOKUP(C23,Purchased!A:R,17,0))</f>
        <v>45513</v>
      </c>
      <c r="O23" s="47">
        <f t="shared" ref="O23:O30" ca="1" si="14">B23*$L$2</f>
        <v>3</v>
      </c>
      <c r="P23" s="51">
        <f>VLOOKUP(C23,Purchased!A:D,3,FALSE)</f>
        <v>38.64</v>
      </c>
      <c r="Q23" s="52">
        <f t="shared" ref="Q23:Q30" si="15">B23*P23</f>
        <v>115.92</v>
      </c>
    </row>
    <row r="24" spans="1:17" s="2" customFormat="1" ht="12" customHeight="1" x14ac:dyDescent="0.25">
      <c r="A24" s="4">
        <v>302</v>
      </c>
      <c r="B24" s="2">
        <v>3</v>
      </c>
      <c r="C24" s="135" t="s">
        <v>930</v>
      </c>
      <c r="D24" s="325" t="str">
        <f>VLOOKUP(C24,Purchased!A:B,2,0)</f>
        <v>Switch Spacer for D-M9PSAPC</v>
      </c>
      <c r="E24" s="326"/>
      <c r="F24" s="108" t="str">
        <f>IF(VLOOKUP($C24,Purchased!A:Z,11,0) = 0, " ", VLOOKUP($C24,Purchased!A:Z,11,0))</f>
        <v>SMC</v>
      </c>
      <c r="G24" s="108" t="str">
        <f>IF(VLOOKUP($C24,Purchased!A:Z,12,0)=0, " ", VLOOKUP($C24,Purchased!A:Z,12,0))</f>
        <v>AAP</v>
      </c>
      <c r="H24" s="327" t="str">
        <f>IF(VLOOKUP($C24,Purchased!A:Z,13,0)=0, " ", VLOOKUP($C24,Purchased!A:Z,13,0))</f>
        <v>4 more PO 55692</v>
      </c>
      <c r="I24" s="328"/>
      <c r="J24" s="46">
        <f>IF(VLOOKUP($C24,Purchased!A:Z,14,0)=0, " ", VLOOKUP($C24,Purchased!A:Z,14,0))</f>
        <v>45489</v>
      </c>
      <c r="K24" s="46">
        <f>IF(VLOOKUP(C24,Purchased!A:R,14,0)=0, " ", VLOOKUP(C24,Purchased!A:R,14,0))</f>
        <v>45489</v>
      </c>
      <c r="L24" s="46">
        <f>IF(VLOOKUP(C24,Purchased!A:R,15,0)=0, " ", VLOOKUP(C24,Purchased!A:R,15,0))</f>
        <v>45489</v>
      </c>
      <c r="M24" s="46">
        <f>IF(VLOOKUP(C24,Purchased!A:R,16,0)=0, " ",VLOOKUP(C24,Purchased!A:R,16,0))</f>
        <v>45510</v>
      </c>
      <c r="N24" s="130">
        <f>IF(VLOOKUP(C24,Purchased!A:R,17,0)=0, " ", VLOOKUP(C24,Purchased!A:R,17,0))</f>
        <v>45513</v>
      </c>
      <c r="O24" s="47">
        <f t="shared" ca="1" si="14"/>
        <v>3</v>
      </c>
      <c r="P24" s="51">
        <f>VLOOKUP(C24,Purchased!A:D,3,FALSE)</f>
        <v>2.44</v>
      </c>
      <c r="Q24" s="52">
        <f t="shared" si="15"/>
        <v>7.32</v>
      </c>
    </row>
    <row r="25" spans="1:17" s="2" customFormat="1" ht="12" customHeight="1" x14ac:dyDescent="0.25">
      <c r="A25" s="4">
        <v>303</v>
      </c>
      <c r="B25" s="2">
        <v>2</v>
      </c>
      <c r="C25" s="135" t="s">
        <v>1002</v>
      </c>
      <c r="D25" s="325" t="str">
        <f>VLOOKUP(C25,Purchased!A:B,2,0)</f>
        <v>KQ2 unifit, straight, 6mm dia tubing, M5 port</v>
      </c>
      <c r="E25" s="326"/>
      <c r="F25" s="108" t="str">
        <f>IF(VLOOKUP($C25,Purchased!A:Z,11,0) = 0, " ", VLOOKUP($C25,Purchased!A:Z,11,0))</f>
        <v>SMC</v>
      </c>
      <c r="G25" s="108" t="str">
        <f>IF(VLOOKUP($C25,Purchased!A:Z,12,0)=0, " ", VLOOKUP($C25,Purchased!A:Z,12,0))</f>
        <v>AAP</v>
      </c>
      <c r="H25" s="327" t="str">
        <f>IF(VLOOKUP($C25,Purchased!A:Z,13,0)=0, " ", VLOOKUP($C25,Purchased!A:Z,13,0))</f>
        <v xml:space="preserve"> </v>
      </c>
      <c r="I25" s="328"/>
      <c r="J25" s="46">
        <f>IF(VLOOKUP($C25,Purchased!A:Z,14,0)=0, " ", VLOOKUP($C25,Purchased!A:Z,14,0))</f>
        <v>45489</v>
      </c>
      <c r="K25" s="46">
        <f>IF(VLOOKUP(C25,Purchased!A:R,14,0)=0, " ", VLOOKUP(C25,Purchased!A:R,14,0))</f>
        <v>45489</v>
      </c>
      <c r="L25" s="46">
        <f>IF(VLOOKUP(C25,Purchased!A:R,15,0)=0, " ", VLOOKUP(C25,Purchased!A:R,15,0))</f>
        <v>45491</v>
      </c>
      <c r="M25" s="46">
        <f>IF(VLOOKUP(C25,Purchased!A:R,16,0)=0, " ",VLOOKUP(C25,Purchased!A:R,16,0))</f>
        <v>45520</v>
      </c>
      <c r="N25" s="130">
        <f>IF(VLOOKUP(C25,Purchased!A:R,17,0)=0, " ", VLOOKUP(C25,Purchased!A:R,17,0))</f>
        <v>45511</v>
      </c>
      <c r="O25" s="47">
        <f t="shared" ca="1" si="14"/>
        <v>2</v>
      </c>
      <c r="P25" s="51">
        <f>VLOOKUP(C25,Purchased!A:D,3,FALSE)</f>
        <v>1.63</v>
      </c>
      <c r="Q25" s="52">
        <f t="shared" si="15"/>
        <v>3.26</v>
      </c>
    </row>
    <row r="26" spans="1:17" s="2" customFormat="1" ht="12" customHeight="1" x14ac:dyDescent="0.25">
      <c r="A26" s="4">
        <v>304</v>
      </c>
      <c r="B26" s="2">
        <v>2</v>
      </c>
      <c r="C26" s="135" t="s">
        <v>799</v>
      </c>
      <c r="D26" s="325" t="str">
        <f>VLOOKUP(C26,Purchased!A:B,2,0)</f>
        <v>Speed Controller One Touch Fitting, 6mm dia tubing</v>
      </c>
      <c r="E26" s="326"/>
      <c r="F26" s="108" t="str">
        <f>IF(VLOOKUP($C26,Purchased!A:Z,11,0) = 0, " ", VLOOKUP($C26,Purchased!A:Z,11,0))</f>
        <v>SMC</v>
      </c>
      <c r="G26" s="108" t="str">
        <f>IF(VLOOKUP($C26,Purchased!A:Z,12,0)=0, " ", VLOOKUP($C26,Purchased!A:Z,12,0))</f>
        <v>AAP</v>
      </c>
      <c r="H26" s="327" t="str">
        <f>IF(VLOOKUP($C26,Purchased!A:Z,13,0)=0, " ", VLOOKUP($C26,Purchased!A:Z,13,0))</f>
        <v>10 more PO 55692</v>
      </c>
      <c r="I26" s="328"/>
      <c r="J26" s="46">
        <f>IF(VLOOKUP($C26,Purchased!A:Z,14,0)=0, " ", VLOOKUP($C26,Purchased!A:Z,14,0))</f>
        <v>45489</v>
      </c>
      <c r="K26" s="46">
        <f>IF(VLOOKUP(C26,Purchased!A:R,14,0)=0, " ", VLOOKUP(C26,Purchased!A:R,14,0))</f>
        <v>45489</v>
      </c>
      <c r="L26" s="46">
        <f>IF(VLOOKUP(C26,Purchased!A:R,15,0)=0, " ", VLOOKUP(C26,Purchased!A:R,15,0))</f>
        <v>45491</v>
      </c>
      <c r="M26" s="46">
        <f>IF(VLOOKUP(C26,Purchased!A:R,16,0)=0, " ",VLOOKUP(C26,Purchased!A:R,16,0))</f>
        <v>45520</v>
      </c>
      <c r="N26" s="130">
        <f>IF(VLOOKUP(C26,Purchased!A:R,17,0)=0, " ", VLOOKUP(C26,Purchased!A:R,17,0))</f>
        <v>45511</v>
      </c>
      <c r="O26" s="47">
        <f t="shared" ca="1" si="14"/>
        <v>2</v>
      </c>
      <c r="P26" s="51">
        <f>VLOOKUP(C26,Purchased!A:D,3,FALSE)</f>
        <v>14.87</v>
      </c>
      <c r="Q26" s="52">
        <f t="shared" si="15"/>
        <v>29.74</v>
      </c>
    </row>
    <row r="27" spans="1:17" s="2" customFormat="1" ht="12" customHeight="1" x14ac:dyDescent="0.25">
      <c r="A27" s="4">
        <v>305</v>
      </c>
      <c r="B27" s="2">
        <v>1</v>
      </c>
      <c r="C27" s="135" t="s">
        <v>1003</v>
      </c>
      <c r="D27" s="325" t="str">
        <f>VLOOKUP(C27,Purchased!A:B,2,0)</f>
        <v>MY3 Rodless cylinder, 16mm bore, 200mm stroke</v>
      </c>
      <c r="E27" s="326"/>
      <c r="F27" s="108" t="str">
        <f>IF(VLOOKUP($C27,Purchased!A:Z,11,0) = 0, " ", VLOOKUP($C27,Purchased!A:Z,11,0))</f>
        <v>SMC</v>
      </c>
      <c r="G27" s="108" t="str">
        <f>IF(VLOOKUP($C27,Purchased!A:Z,12,0)=0, " ", VLOOKUP($C27,Purchased!A:Z,12,0))</f>
        <v>AAP</v>
      </c>
      <c r="H27" s="327" t="str">
        <f>IF(VLOOKUP($C27,Purchased!A:Z,13,0)=0, " ", VLOOKUP($C27,Purchased!A:Z,13,0))</f>
        <v xml:space="preserve"> </v>
      </c>
      <c r="I27" s="328"/>
      <c r="J27" s="46">
        <f>IF(VLOOKUP($C27,Purchased!A:Z,14,0)=0, " ", VLOOKUP($C27,Purchased!A:Z,14,0))</f>
        <v>45489</v>
      </c>
      <c r="K27" s="46">
        <f>IF(VLOOKUP(C27,Purchased!A:R,14,0)=0, " ", VLOOKUP(C27,Purchased!A:R,14,0))</f>
        <v>45489</v>
      </c>
      <c r="L27" s="46">
        <f>IF(VLOOKUP(C27,Purchased!A:R,15,0)=0, " ", VLOOKUP(C27,Purchased!A:R,15,0))</f>
        <v>45489</v>
      </c>
      <c r="M27" s="46">
        <f>IF(VLOOKUP(C27,Purchased!A:R,16,0)=0, " ",VLOOKUP(C27,Purchased!A:R,16,0))</f>
        <v>45510</v>
      </c>
      <c r="N27" s="130">
        <f>IF(VLOOKUP(C27,Purchased!A:R,17,0)=0, " ", VLOOKUP(C27,Purchased!A:R,17,0))</f>
        <v>45541</v>
      </c>
      <c r="O27" s="47">
        <f t="shared" ca="1" si="14"/>
        <v>1</v>
      </c>
      <c r="P27" s="51">
        <f>VLOOKUP(C27,Purchased!A:D,3,FALSE)</f>
        <v>262.23</v>
      </c>
      <c r="Q27" s="52">
        <f t="shared" si="15"/>
        <v>262.23</v>
      </c>
    </row>
    <row r="28" spans="1:17" s="2" customFormat="1" ht="12" customHeight="1" x14ac:dyDescent="0.25">
      <c r="A28" s="4">
        <v>306</v>
      </c>
      <c r="B28" s="2">
        <v>1</v>
      </c>
      <c r="C28" s="135" t="s">
        <v>929</v>
      </c>
      <c r="D28" s="325" t="str">
        <f>VLOOKUP(C28,Purchased!A:B,2,0)</f>
        <v>Flange-Mounted Linear Ball Bearing, Round Flange, 25mm Shaft Diameter, 
112mm x 62mm x 62mm</v>
      </c>
      <c r="E28" s="326"/>
      <c r="F28" s="108" t="str">
        <f>IF(VLOOKUP($C28,Purchased!A:Z,11,0) = 0, " ", VLOOKUP($C28,Purchased!A:Z,11,0))</f>
        <v>PBC</v>
      </c>
      <c r="G28" s="108" t="str">
        <f>IF(VLOOKUP($C28,Purchased!A:Z,12,0)=0, " ", VLOOKUP($C28,Purchased!A:Z,12,0))</f>
        <v>BDI</v>
      </c>
      <c r="H28" s="327" t="str">
        <f>IF(VLOOKUP($C28,Purchased!A:Z,13,0)=0, " ", VLOOKUP($C28,Purchased!A:Z,13,0))</f>
        <v>#  21563309 EPF25GW</v>
      </c>
      <c r="I28" s="328"/>
      <c r="J28" s="46">
        <f>IF(VLOOKUP($C28,Purchased!A:Z,14,0)=0, " ", VLOOKUP($C28,Purchased!A:Z,14,0))</f>
        <v>45460</v>
      </c>
      <c r="K28" s="46">
        <f>IF(VLOOKUP(C28,Purchased!A:R,14,0)=0, " ", VLOOKUP(C28,Purchased!A:R,14,0))</f>
        <v>45460</v>
      </c>
      <c r="L28" s="46">
        <f>IF(VLOOKUP(C28,Purchased!A:R,15,0)=0, " ", VLOOKUP(C28,Purchased!A:R,15,0))</f>
        <v>45462</v>
      </c>
      <c r="M28" s="46">
        <f>IF(VLOOKUP(C28,Purchased!A:R,16,0)=0, " ",VLOOKUP(C28,Purchased!A:R,16,0))</f>
        <v>45495</v>
      </c>
      <c r="N28" s="130">
        <f>IF(VLOOKUP(C28,Purchased!A:R,17,0)=0, " ", VLOOKUP(C28,Purchased!A:R,17,0))</f>
        <v>45495</v>
      </c>
      <c r="O28" s="47">
        <f t="shared" ca="1" si="14"/>
        <v>1</v>
      </c>
      <c r="P28" s="51">
        <f>VLOOKUP(C28,Purchased!A:D,3,FALSE)</f>
        <v>85.86</v>
      </c>
      <c r="Q28" s="52">
        <f t="shared" si="15"/>
        <v>85.86</v>
      </c>
    </row>
    <row r="29" spans="1:17" s="2" customFormat="1" ht="12" customHeight="1" x14ac:dyDescent="0.25">
      <c r="A29" s="4">
        <v>307</v>
      </c>
      <c r="B29" s="2">
        <v>1</v>
      </c>
      <c r="C29" s="135" t="s">
        <v>795</v>
      </c>
      <c r="D29" s="325" t="str">
        <f>VLOOKUP(C29,Purchased!A:B,2,0)</f>
        <v>IGUS Flanged Lead Screw, 14mm dia</v>
      </c>
      <c r="E29" s="326"/>
      <c r="F29" s="108" t="str">
        <f>IF(VLOOKUP($C29,Purchased!A:Z,11,0) = 0, " ", VLOOKUP($C29,Purchased!A:Z,11,0))</f>
        <v>IGUS</v>
      </c>
      <c r="G29" s="108" t="str">
        <f>IF(VLOOKUP($C29,Purchased!A:Z,12,0)=0, " ", VLOOKUP($C29,Purchased!A:Z,12,0))</f>
        <v>IGUS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45489</v>
      </c>
      <c r="K29" s="46">
        <f>IF(VLOOKUP(C29,Purchased!A:R,14,0)=0, " ", VLOOKUP(C29,Purchased!A:R,14,0))</f>
        <v>45489</v>
      </c>
      <c r="L29" s="46">
        <f>IF(VLOOKUP(C29,Purchased!A:R,15,0)=0, " ", VLOOKUP(C29,Purchased!A:R,15,0))</f>
        <v>45489</v>
      </c>
      <c r="M29" s="46">
        <f>IF(VLOOKUP(C29,Purchased!A:R,16,0)=0, " ",VLOOKUP(C29,Purchased!A:R,16,0))</f>
        <v>45534</v>
      </c>
      <c r="N29" s="130">
        <f>IF(VLOOKUP(C29,Purchased!A:R,17,0)=0, " ", VLOOKUP(C29,Purchased!A:R,17,0))</f>
        <v>45534</v>
      </c>
      <c r="O29" s="47">
        <f t="shared" ca="1" si="14"/>
        <v>1</v>
      </c>
      <c r="P29" s="51">
        <f>VLOOKUP(C29,Purchased!A:D,3,FALSE)</f>
        <v>16.54</v>
      </c>
      <c r="Q29" s="52">
        <f t="shared" si="15"/>
        <v>16.54</v>
      </c>
    </row>
    <row r="30" spans="1:17" s="2" customFormat="1" ht="12" customHeight="1" x14ac:dyDescent="0.25">
      <c r="A30" s="4">
        <v>308</v>
      </c>
      <c r="B30" s="2">
        <v>3</v>
      </c>
      <c r="C30" s="135" t="s">
        <v>306</v>
      </c>
      <c r="D30" s="325" t="str">
        <f>VLOOKUP(C30,Purchased!A:B,2,0)</f>
        <v>M8 female 0° A-cod. with cable, PVC 3x0.25 bk UL/CSA 10m</v>
      </c>
      <c r="E30" s="326"/>
      <c r="F30" s="108" t="str">
        <f>IF(VLOOKUP($C30,Purchased!A:Z,11,0) = 0, " ", VLOOKUP($C30,Purchased!A:Z,11,0))</f>
        <v>MURR</v>
      </c>
      <c r="G30" s="108" t="str">
        <f>IF(VLOOKUP($C30,Purchased!A:Z,12,0)=0, " ", VLOOKUP($C30,Purchased!A:Z,12,0))</f>
        <v>MURR</v>
      </c>
      <c r="H30" s="327" t="str">
        <f>IF(VLOOKUP($C30,Purchased!A:Z,13,0)=0, " ", VLOOKUP($C30,Purchased!A:Z,13,0))</f>
        <v xml:space="preserve"> </v>
      </c>
      <c r="I30" s="328"/>
      <c r="J30" s="46">
        <f>IF(VLOOKUP($C30,Purchased!A:Z,14,0)=0, " ", VLOOKUP($C30,Purchased!A:Z,14,0))</f>
        <v>45506</v>
      </c>
      <c r="K30" s="46">
        <f>IF(VLOOKUP(C30,Purchased!A:R,14,0)=0, " ", VLOOKUP(C30,Purchased!A:R,14,0))</f>
        <v>45506</v>
      </c>
      <c r="L30" s="46" t="str">
        <f>IF(VLOOKUP(C30,Purchased!A:R,15,0)=0, " ", VLOOKUP(C30,Purchased!A:R,15,0))</f>
        <v xml:space="preserve"> </v>
      </c>
      <c r="M30" s="46" t="str">
        <f>IF(VLOOKUP(C30,Purchased!A:R,16,0)=0, " ",VLOOKUP(C30,Purchased!A:R,16,0))</f>
        <v xml:space="preserve"> </v>
      </c>
      <c r="N30" s="130" t="str">
        <f>IF(VLOOKUP(C30,Purchased!A:R,17,0)=0, " ", VLOOKUP(C30,Purchased!A:R,17,0))</f>
        <v xml:space="preserve"> </v>
      </c>
      <c r="O30" s="47">
        <f t="shared" ca="1" si="14"/>
        <v>3</v>
      </c>
      <c r="P30" s="51">
        <f>VLOOKUP(C30,Purchased!A:D,3,FALSE)</f>
        <v>0</v>
      </c>
      <c r="Q30" s="52">
        <f t="shared" si="15"/>
        <v>0</v>
      </c>
    </row>
    <row r="31" spans="1:17" s="2" customFormat="1" ht="12" customHeight="1" x14ac:dyDescent="0.25">
      <c r="A31" s="4">
        <v>309</v>
      </c>
      <c r="B31" s="2">
        <v>1</v>
      </c>
      <c r="C31" s="135" t="s">
        <v>1004</v>
      </c>
      <c r="D31" s="325" t="str">
        <f>VLOOKUP(C31,Purchased!A:B,2,0)</f>
        <v>18-8 Stainless Steel Key-Locking Inserts with Thin Wall, M4 x 0.7 mm Thread, 5.25 mm Installed Length</v>
      </c>
      <c r="E31" s="326"/>
      <c r="F31" s="108" t="str">
        <f>IF(VLOOKUP($C31,Purchased!A:Z,11,0) = 0, " ", VLOOKUP($C31,Purchased!A:Z,11,0))</f>
        <v>MCM</v>
      </c>
      <c r="G31" s="108" t="str">
        <f>IF(VLOOKUP($C31,Purchased!A:Z,12,0)=0, " ", VLOOKUP($C31,Purchased!A:Z,12,0))</f>
        <v>MCM</v>
      </c>
      <c r="H31" s="327" t="str">
        <f>IF(VLOOKUP($C31,Purchased!A:Z,13,0)=0, " ", VLOOKUP($C31,Purchased!A:Z,13,0))</f>
        <v xml:space="preserve"> </v>
      </c>
      <c r="I31" s="328"/>
      <c r="J31" s="46">
        <f>IF(VLOOKUP($C31,Purchased!A:Z,14,0)=0, " ", VLOOKUP($C31,Purchased!A:Z,14,0))</f>
        <v>45526</v>
      </c>
      <c r="K31" s="46">
        <f>IF(VLOOKUP(C31,Purchased!A:R,14,0)=0, " ", VLOOKUP(C31,Purchased!A:R,14,0))</f>
        <v>45526</v>
      </c>
      <c r="L31" s="46">
        <f>IF(VLOOKUP(C31,Purchased!A:R,15,0)=0, " ", VLOOKUP(C31,Purchased!A:R,15,0))</f>
        <v>45526</v>
      </c>
      <c r="M31" s="46" t="str">
        <f>IF(VLOOKUP(C31,Purchased!A:R,16,0)=0, " ",VLOOKUP(C31,Purchased!A:R,16,0))</f>
        <v xml:space="preserve"> </v>
      </c>
      <c r="N31" s="130" t="str">
        <f>IF(VLOOKUP(C31,Purchased!A:R,17,0)=0, " ", VLOOKUP(C31,Purchased!A:R,17,0))</f>
        <v xml:space="preserve"> </v>
      </c>
      <c r="O31" s="47">
        <f t="shared" ref="O31" ca="1" si="16">B31*$L$2</f>
        <v>1</v>
      </c>
      <c r="P31" s="51">
        <f>VLOOKUP(C31,Purchased!A:D,3,FALSE)</f>
        <v>9.98</v>
      </c>
      <c r="Q31" s="52">
        <f t="shared" ref="Q31" si="17">B31*P31</f>
        <v>9.98</v>
      </c>
    </row>
    <row r="32" spans="1:17" s="2" customFormat="1" ht="12" customHeight="1" x14ac:dyDescent="0.25">
      <c r="A32" s="25"/>
      <c r="B32" s="26"/>
      <c r="C32" s="26"/>
      <c r="D32" s="332"/>
      <c r="E32" s="333"/>
      <c r="F32" s="26"/>
      <c r="G32" s="26"/>
      <c r="H32" s="322"/>
      <c r="I32" s="323"/>
      <c r="J32" s="27"/>
      <c r="K32" s="27"/>
      <c r="L32" s="27"/>
      <c r="M32" s="28"/>
      <c r="N32" s="29"/>
      <c r="O32" s="29"/>
      <c r="P32" s="148"/>
      <c r="Q32" s="149"/>
    </row>
    <row r="33" spans="1:17" s="2" customFormat="1" ht="12" customHeight="1" x14ac:dyDescent="0.25">
      <c r="A33" s="4">
        <v>501</v>
      </c>
      <c r="B33" s="2">
        <v>4</v>
      </c>
      <c r="C33" s="122" t="s">
        <v>823</v>
      </c>
      <c r="D33" s="325"/>
      <c r="E33" s="326"/>
      <c r="F33" s="108">
        <f>VLOOKUP(C33,Bolts!A:L,5,0)</f>
        <v>0</v>
      </c>
      <c r="G33" s="108">
        <f>VLOOKUP(C33,Bolts!A:L,6,0)</f>
        <v>0</v>
      </c>
      <c r="H33" s="108">
        <f>VLOOKUP(C33,Bolts!A:L,7,0)</f>
        <v>0</v>
      </c>
      <c r="I33" s="109"/>
      <c r="J33" s="46">
        <f>VLOOKUP(C33,Bolts!A:L,8,0)</f>
        <v>0</v>
      </c>
      <c r="K33" s="46">
        <f>VLOOKUP(C33,Bolts!A:L,9,0)</f>
        <v>0</v>
      </c>
      <c r="L33" s="46">
        <f>VLOOKUP(C33,Bolts!A:L,10,0)</f>
        <v>0</v>
      </c>
      <c r="M33" s="46">
        <f>VLOOKUP(C33,Bolts!A:L,11,0)</f>
        <v>0</v>
      </c>
      <c r="N33" s="130">
        <f>VLOOKUP(C33,Bolts!A:L,12,0)</f>
        <v>0</v>
      </c>
      <c r="O33" s="47">
        <f t="shared" ref="O33:O42" ca="1" si="18">B33*$L$2</f>
        <v>4</v>
      </c>
      <c r="P33" s="51">
        <f>VLOOKUP(C33,Bolts!A:B,2,FALSE)</f>
        <v>0</v>
      </c>
      <c r="Q33" s="52">
        <f t="shared" ref="Q33:Q42" si="19">B33*P33</f>
        <v>0</v>
      </c>
    </row>
    <row r="34" spans="1:17" s="2" customFormat="1" ht="12" customHeight="1" x14ac:dyDescent="0.25">
      <c r="A34" s="4">
        <v>502</v>
      </c>
      <c r="B34" s="2">
        <v>11</v>
      </c>
      <c r="C34" s="122" t="s">
        <v>617</v>
      </c>
      <c r="D34" s="325"/>
      <c r="E34" s="326"/>
      <c r="F34" s="108">
        <f>VLOOKUP(C34,Bolts!A:L,5,0)</f>
        <v>0</v>
      </c>
      <c r="G34" s="108">
        <f>VLOOKUP(C34,Bolts!A:L,6,0)</f>
        <v>0</v>
      </c>
      <c r="H34" s="108">
        <f>VLOOKUP(C34,Bolts!A:L,7,0)</f>
        <v>0</v>
      </c>
      <c r="I34" s="109"/>
      <c r="J34" s="46">
        <f>VLOOKUP(C34,Bolts!A:L,8,0)</f>
        <v>0</v>
      </c>
      <c r="K34" s="46">
        <f>VLOOKUP(C34,Bolts!A:L,9,0)</f>
        <v>0</v>
      </c>
      <c r="L34" s="46">
        <f>VLOOKUP(C34,Bolts!A:L,10,0)</f>
        <v>0</v>
      </c>
      <c r="M34" s="46">
        <f>VLOOKUP(C34,Bolts!A:L,11,0)</f>
        <v>0</v>
      </c>
      <c r="N34" s="130">
        <f>VLOOKUP(C34,Bolts!A:L,12,0)</f>
        <v>0</v>
      </c>
      <c r="O34" s="47">
        <f t="shared" ca="1" si="18"/>
        <v>11</v>
      </c>
      <c r="P34" s="51">
        <f>VLOOKUP(C34,Bolts!A:B,2,FALSE)</f>
        <v>0</v>
      </c>
      <c r="Q34" s="52">
        <f t="shared" si="19"/>
        <v>0</v>
      </c>
    </row>
    <row r="35" spans="1:17" s="2" customFormat="1" ht="12" customHeight="1" x14ac:dyDescent="0.25">
      <c r="A35" s="4">
        <v>503</v>
      </c>
      <c r="B35" s="2">
        <v>8</v>
      </c>
      <c r="C35" s="122" t="s">
        <v>107</v>
      </c>
      <c r="D35" s="325"/>
      <c r="E35" s="326"/>
      <c r="F35" s="108">
        <f>VLOOKUP(C35,Bolts!A:L,5,0)</f>
        <v>0</v>
      </c>
      <c r="G35" s="108">
        <f>VLOOKUP(C35,Bolts!A:L,6,0)</f>
        <v>0</v>
      </c>
      <c r="H35" s="108">
        <f>VLOOKUP(C35,Bolts!A:L,7,0)</f>
        <v>0</v>
      </c>
      <c r="I35" s="109"/>
      <c r="J35" s="46">
        <f>VLOOKUP(C35,Bolts!A:L,8,0)</f>
        <v>0</v>
      </c>
      <c r="K35" s="46">
        <f>VLOOKUP(C35,Bolts!A:L,9,0)</f>
        <v>0</v>
      </c>
      <c r="L35" s="46">
        <f>VLOOKUP(C35,Bolts!A:L,10,0)</f>
        <v>0</v>
      </c>
      <c r="M35" s="46">
        <f>VLOOKUP(C35,Bolts!A:L,11,0)</f>
        <v>0</v>
      </c>
      <c r="N35" s="130">
        <f>VLOOKUP(C35,Bolts!A:L,12,0)</f>
        <v>0</v>
      </c>
      <c r="O35" s="47">
        <f t="shared" ca="1" si="18"/>
        <v>8</v>
      </c>
      <c r="P35" s="51">
        <f>VLOOKUP(C35,Bolts!A:B,2,FALSE)</f>
        <v>0</v>
      </c>
      <c r="Q35" s="52">
        <f t="shared" si="19"/>
        <v>0</v>
      </c>
    </row>
    <row r="36" spans="1:17" s="2" customFormat="1" ht="12" customHeight="1" x14ac:dyDescent="0.25">
      <c r="A36" s="4">
        <v>504</v>
      </c>
      <c r="B36" s="2">
        <v>8</v>
      </c>
      <c r="C36" s="122" t="s">
        <v>174</v>
      </c>
      <c r="D36" s="325"/>
      <c r="E36" s="326"/>
      <c r="F36" s="108">
        <f>VLOOKUP(C36,Bolts!A:L,5,0)</f>
        <v>0</v>
      </c>
      <c r="G36" s="108">
        <f>VLOOKUP(C36,Bolts!A:L,6,0)</f>
        <v>0</v>
      </c>
      <c r="H36" s="108">
        <f>VLOOKUP(C36,Bolts!A:L,7,0)</f>
        <v>0</v>
      </c>
      <c r="I36" s="109"/>
      <c r="J36" s="46">
        <f>VLOOKUP(C36,Bolts!A:L,8,0)</f>
        <v>0</v>
      </c>
      <c r="K36" s="46">
        <f>VLOOKUP(C36,Bolts!A:L,9,0)</f>
        <v>0</v>
      </c>
      <c r="L36" s="46">
        <f>VLOOKUP(C36,Bolts!A:L,10,0)</f>
        <v>0</v>
      </c>
      <c r="M36" s="46">
        <f>VLOOKUP(C36,Bolts!A:L,11,0)</f>
        <v>0</v>
      </c>
      <c r="N36" s="130">
        <f>VLOOKUP(C36,Bolts!A:L,12,0)</f>
        <v>0</v>
      </c>
      <c r="O36" s="47">
        <f t="shared" ca="1" si="18"/>
        <v>8</v>
      </c>
      <c r="P36" s="51">
        <f>VLOOKUP(C36,Bolts!A:B,2,FALSE)</f>
        <v>0</v>
      </c>
      <c r="Q36" s="52">
        <f t="shared" si="19"/>
        <v>0</v>
      </c>
    </row>
    <row r="37" spans="1:17" s="2" customFormat="1" ht="12" customHeight="1" x14ac:dyDescent="0.25">
      <c r="A37" s="4">
        <v>505</v>
      </c>
      <c r="B37" s="2">
        <v>16</v>
      </c>
      <c r="C37" s="122" t="s">
        <v>333</v>
      </c>
      <c r="D37" s="325"/>
      <c r="E37" s="326"/>
      <c r="F37" s="108">
        <f>VLOOKUP(C37,Bolts!A:L,5,0)</f>
        <v>0</v>
      </c>
      <c r="G37" s="108">
        <f>VLOOKUP(C37,Bolts!A:L,6,0)</f>
        <v>0</v>
      </c>
      <c r="H37" s="108">
        <f>VLOOKUP(C37,Bolts!A:L,7,0)</f>
        <v>0</v>
      </c>
      <c r="I37" s="109"/>
      <c r="J37" s="46">
        <f>VLOOKUP(C37,Bolts!A:L,8,0)</f>
        <v>0</v>
      </c>
      <c r="K37" s="46">
        <f>VLOOKUP(C37,Bolts!A:L,9,0)</f>
        <v>0</v>
      </c>
      <c r="L37" s="46">
        <f>VLOOKUP(C37,Bolts!A:L,10,0)</f>
        <v>0</v>
      </c>
      <c r="M37" s="46">
        <f>VLOOKUP(C37,Bolts!A:L,11,0)</f>
        <v>0</v>
      </c>
      <c r="N37" s="130">
        <f>VLOOKUP(C37,Bolts!A:L,12,0)</f>
        <v>0</v>
      </c>
      <c r="O37" s="47">
        <f t="shared" ca="1" si="18"/>
        <v>16</v>
      </c>
      <c r="P37" s="51">
        <f>VLOOKUP(C37,Bolts!A:B,2,FALSE)</f>
        <v>0</v>
      </c>
      <c r="Q37" s="52">
        <f t="shared" si="19"/>
        <v>0</v>
      </c>
    </row>
    <row r="38" spans="1:17" s="2" customFormat="1" ht="12" customHeight="1" x14ac:dyDescent="0.25">
      <c r="A38" s="4">
        <v>506</v>
      </c>
      <c r="B38" s="2">
        <v>6</v>
      </c>
      <c r="C38" s="122" t="s">
        <v>310</v>
      </c>
      <c r="D38" s="325"/>
      <c r="E38" s="326"/>
      <c r="F38" s="108">
        <f>VLOOKUP(C38,Bolts!A:L,5,0)</f>
        <v>0</v>
      </c>
      <c r="G38" s="108">
        <f>VLOOKUP(C38,Bolts!A:L,6,0)</f>
        <v>0</v>
      </c>
      <c r="H38" s="108">
        <f>VLOOKUP(C38,Bolts!A:L,7,0)</f>
        <v>0</v>
      </c>
      <c r="I38" s="109"/>
      <c r="J38" s="46">
        <f>VLOOKUP(C38,Bolts!A:L,8,0)</f>
        <v>0</v>
      </c>
      <c r="K38" s="46">
        <f>VLOOKUP(C38,Bolts!A:L,9,0)</f>
        <v>0</v>
      </c>
      <c r="L38" s="46">
        <f>VLOOKUP(C38,Bolts!A:L,10,0)</f>
        <v>0</v>
      </c>
      <c r="M38" s="46">
        <f>VLOOKUP(C38,Bolts!A:L,11,0)</f>
        <v>0</v>
      </c>
      <c r="N38" s="130">
        <f>VLOOKUP(C38,Bolts!A:L,12,0)</f>
        <v>0</v>
      </c>
      <c r="O38" s="47">
        <f t="shared" ca="1" si="18"/>
        <v>6</v>
      </c>
      <c r="P38" s="51">
        <f>VLOOKUP(C38,Bolts!A:B,2,FALSE)</f>
        <v>0</v>
      </c>
      <c r="Q38" s="52">
        <f t="shared" si="19"/>
        <v>0</v>
      </c>
    </row>
    <row r="39" spans="1:17" s="2" customFormat="1" ht="12" customHeight="1" x14ac:dyDescent="0.25">
      <c r="A39" s="4">
        <v>507</v>
      </c>
      <c r="B39" s="2">
        <v>4</v>
      </c>
      <c r="C39" s="122" t="s">
        <v>660</v>
      </c>
      <c r="D39" s="325"/>
      <c r="E39" s="326"/>
      <c r="F39" s="108">
        <f>VLOOKUP(C39,Bolts!A:L,5,0)</f>
        <v>0</v>
      </c>
      <c r="G39" s="108">
        <f>VLOOKUP(C39,Bolts!A:L,6,0)</f>
        <v>0</v>
      </c>
      <c r="H39" s="108">
        <f>VLOOKUP(C39,Bolts!A:L,7,0)</f>
        <v>0</v>
      </c>
      <c r="I39" s="109"/>
      <c r="J39" s="46">
        <f>VLOOKUP(C39,Bolts!A:L,8,0)</f>
        <v>0</v>
      </c>
      <c r="K39" s="46">
        <f>VLOOKUP(C39,Bolts!A:L,9,0)</f>
        <v>0</v>
      </c>
      <c r="L39" s="46">
        <f>VLOOKUP(C39,Bolts!A:L,10,0)</f>
        <v>0</v>
      </c>
      <c r="M39" s="46">
        <f>VLOOKUP(C39,Bolts!A:L,11,0)</f>
        <v>0</v>
      </c>
      <c r="N39" s="130">
        <f>VLOOKUP(C39,Bolts!A:L,12,0)</f>
        <v>0</v>
      </c>
      <c r="O39" s="47">
        <f t="shared" ca="1" si="18"/>
        <v>4</v>
      </c>
      <c r="P39" s="51">
        <f>VLOOKUP(C39,Bolts!A:B,2,FALSE)</f>
        <v>0</v>
      </c>
      <c r="Q39" s="52">
        <f t="shared" si="19"/>
        <v>0</v>
      </c>
    </row>
    <row r="40" spans="1:17" s="2" customFormat="1" ht="12" customHeight="1" x14ac:dyDescent="0.25">
      <c r="A40" s="4">
        <v>508</v>
      </c>
      <c r="B40" s="2">
        <v>2</v>
      </c>
      <c r="C40" s="122" t="s">
        <v>806</v>
      </c>
      <c r="D40" s="325"/>
      <c r="E40" s="326"/>
      <c r="F40" s="108">
        <f>VLOOKUP(C40,Bolts!A:L,5,0)</f>
        <v>0</v>
      </c>
      <c r="G40" s="108" t="str">
        <f>VLOOKUP(C40,Bolts!A:L,6,0)</f>
        <v xml:space="preserve"> </v>
      </c>
      <c r="H40" s="108">
        <f>VLOOKUP(C40,Bolts!A:L,7,0)</f>
        <v>0</v>
      </c>
      <c r="I40" s="109"/>
      <c r="J40" s="46">
        <f>VLOOKUP(C40,Bolts!A:L,8,0)</f>
        <v>0</v>
      </c>
      <c r="K40" s="46">
        <f>VLOOKUP(C40,Bolts!A:L,9,0)</f>
        <v>0</v>
      </c>
      <c r="L40" s="46">
        <f>VLOOKUP(C40,Bolts!A:L,10,0)</f>
        <v>0</v>
      </c>
      <c r="M40" s="46">
        <f>VLOOKUP(C40,Bolts!A:L,11,0)</f>
        <v>0</v>
      </c>
      <c r="N40" s="130">
        <f>VLOOKUP(C40,Bolts!A:L,12,0)</f>
        <v>0</v>
      </c>
      <c r="O40" s="47">
        <f t="shared" ca="1" si="18"/>
        <v>2</v>
      </c>
      <c r="P40" s="51">
        <f>VLOOKUP(C40,Bolts!A:B,2,FALSE)</f>
        <v>0</v>
      </c>
      <c r="Q40" s="52">
        <f t="shared" si="19"/>
        <v>0</v>
      </c>
    </row>
    <row r="41" spans="1:17" s="2" customFormat="1" ht="12" customHeight="1" x14ac:dyDescent="0.25">
      <c r="A41" s="4">
        <v>509</v>
      </c>
      <c r="B41" s="2">
        <v>3</v>
      </c>
      <c r="C41" s="122" t="s">
        <v>330</v>
      </c>
      <c r="D41" s="325"/>
      <c r="E41" s="326"/>
      <c r="F41" s="108">
        <f>VLOOKUP(C41,Bolts!A:L,5,0)</f>
        <v>0</v>
      </c>
      <c r="G41" s="108">
        <f>VLOOKUP(C41,Bolts!A:L,6,0)</f>
        <v>0</v>
      </c>
      <c r="H41" s="108">
        <f>VLOOKUP(C41,Bolts!A:L,7,0)</f>
        <v>0</v>
      </c>
      <c r="I41" s="109"/>
      <c r="J41" s="46">
        <f>VLOOKUP(C41,Bolts!A:L,8,0)</f>
        <v>0</v>
      </c>
      <c r="K41" s="46">
        <f>VLOOKUP(C41,Bolts!A:L,9,0)</f>
        <v>0</v>
      </c>
      <c r="L41" s="46">
        <f>VLOOKUP(C41,Bolts!A:L,10,0)</f>
        <v>0</v>
      </c>
      <c r="M41" s="46">
        <f>VLOOKUP(C41,Bolts!A:L,11,0)</f>
        <v>0</v>
      </c>
      <c r="N41" s="130">
        <f>VLOOKUP(C41,Bolts!A:L,12,0)</f>
        <v>0</v>
      </c>
      <c r="O41" s="47">
        <f t="shared" ca="1" si="18"/>
        <v>3</v>
      </c>
      <c r="P41" s="51">
        <f>VLOOKUP(C41,Bolts!A:B,2,FALSE)</f>
        <v>0</v>
      </c>
      <c r="Q41" s="52">
        <f t="shared" si="19"/>
        <v>0</v>
      </c>
    </row>
    <row r="42" spans="1:17" s="2" customFormat="1" ht="12" customHeight="1" x14ac:dyDescent="0.25">
      <c r="A42" s="4">
        <v>510</v>
      </c>
      <c r="B42" s="2">
        <v>4</v>
      </c>
      <c r="C42" s="122" t="s">
        <v>275</v>
      </c>
      <c r="D42" s="325"/>
      <c r="E42" s="326"/>
      <c r="F42" s="108">
        <f>VLOOKUP(C42,Bolts!A:L,5,0)</f>
        <v>0</v>
      </c>
      <c r="G42" s="108">
        <f>VLOOKUP(C42,Bolts!A:L,6,0)</f>
        <v>0</v>
      </c>
      <c r="H42" s="108">
        <f>VLOOKUP(C42,Bolts!A:L,7,0)</f>
        <v>0</v>
      </c>
      <c r="I42" s="109"/>
      <c r="J42" s="46">
        <f>VLOOKUP(C42,Bolts!A:L,8,0)</f>
        <v>0</v>
      </c>
      <c r="K42" s="46">
        <f>VLOOKUP(C42,Bolts!A:L,9,0)</f>
        <v>0</v>
      </c>
      <c r="L42" s="46">
        <f>VLOOKUP(C42,Bolts!A:L,10,0)</f>
        <v>0</v>
      </c>
      <c r="M42" s="46">
        <f>VLOOKUP(C42,Bolts!A:L,11,0)</f>
        <v>0</v>
      </c>
      <c r="N42" s="130">
        <f>VLOOKUP(C42,Bolts!A:L,12,0)</f>
        <v>0</v>
      </c>
      <c r="O42" s="47">
        <f t="shared" ca="1" si="18"/>
        <v>4</v>
      </c>
      <c r="P42" s="51">
        <f>VLOOKUP(C42,Bolts!A:B,2,FALSE)</f>
        <v>0</v>
      </c>
      <c r="Q42" s="52">
        <f t="shared" si="19"/>
        <v>0</v>
      </c>
    </row>
    <row r="43" spans="1:17" s="2" customFormat="1" ht="12" customHeight="1" thickBot="1" x14ac:dyDescent="0.3">
      <c r="A43" s="4">
        <v>511</v>
      </c>
      <c r="B43" s="2">
        <v>2</v>
      </c>
      <c r="C43" s="122" t="s">
        <v>1005</v>
      </c>
      <c r="D43" s="325"/>
      <c r="E43" s="326"/>
      <c r="F43" s="108">
        <f>VLOOKUP(C43,Bolts!A:L,5,0)</f>
        <v>0</v>
      </c>
      <c r="G43" s="108">
        <f>VLOOKUP(C43,Bolts!A:L,6,0)</f>
        <v>0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t="shared" ref="O43" ca="1" si="20">B43*$L$2</f>
        <v>2</v>
      </c>
      <c r="P43" s="51">
        <f>VLOOKUP(C43,Bolts!A:B,2,FALSE)</f>
        <v>0</v>
      </c>
      <c r="Q43" s="52">
        <f t="shared" ref="Q43" si="21">B43*P43</f>
        <v>0</v>
      </c>
    </row>
    <row r="44" spans="1:17" s="2" customFormat="1" ht="12" customHeight="1" thickBot="1" x14ac:dyDescent="0.3">
      <c r="A44" s="34"/>
      <c r="B44" s="35"/>
      <c r="C44" s="35"/>
      <c r="D44" s="316"/>
      <c r="E44" s="317"/>
      <c r="F44" s="35"/>
      <c r="G44" s="35"/>
      <c r="H44" s="309"/>
      <c r="I44" s="310"/>
      <c r="J44" s="36"/>
      <c r="K44" s="36"/>
      <c r="L44" s="36"/>
      <c r="M44" s="37"/>
      <c r="N44" s="132"/>
      <c r="O44" s="38"/>
      <c r="P44" s="99" t="s">
        <v>43</v>
      </c>
      <c r="Q44" s="104">
        <f>SUM(Q5:Q42)</f>
        <v>3040.29</v>
      </c>
    </row>
  </sheetData>
  <sheetProtection selectLockedCells="1"/>
  <mergeCells count="72">
    <mergeCell ref="D43:E43"/>
    <mergeCell ref="D44:E44"/>
    <mergeCell ref="H44:I44"/>
    <mergeCell ref="D30:E30"/>
    <mergeCell ref="H30:I30"/>
    <mergeCell ref="D42:E42"/>
    <mergeCell ref="D32:E32"/>
    <mergeCell ref="H32:I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27:E27"/>
    <mergeCell ref="H27:I27"/>
    <mergeCell ref="D28:E28"/>
    <mergeCell ref="H28:I28"/>
    <mergeCell ref="D29:E29"/>
    <mergeCell ref="H29:I29"/>
    <mergeCell ref="D31:E31"/>
    <mergeCell ref="H31:I31"/>
    <mergeCell ref="D24:E24"/>
    <mergeCell ref="H24:I24"/>
    <mergeCell ref="D25:E25"/>
    <mergeCell ref="H25:I25"/>
    <mergeCell ref="D26:E26"/>
    <mergeCell ref="H26:I26"/>
    <mergeCell ref="D20:E20"/>
    <mergeCell ref="H20:I20"/>
    <mergeCell ref="D22:E22"/>
    <mergeCell ref="H22:I22"/>
    <mergeCell ref="D23:E23"/>
    <mergeCell ref="H23:I23"/>
    <mergeCell ref="D21:E21"/>
    <mergeCell ref="H21:I21"/>
    <mergeCell ref="D17:E17"/>
    <mergeCell ref="H17:I17"/>
    <mergeCell ref="D18:E18"/>
    <mergeCell ref="H18:I18"/>
    <mergeCell ref="D19:E19"/>
    <mergeCell ref="H19:I19"/>
    <mergeCell ref="D14:E14"/>
    <mergeCell ref="H14:I14"/>
    <mergeCell ref="D15:E15"/>
    <mergeCell ref="H15:I15"/>
    <mergeCell ref="D16:E16"/>
    <mergeCell ref="H16:I16"/>
    <mergeCell ref="D11:E11"/>
    <mergeCell ref="H11:I11"/>
    <mergeCell ref="D12:E12"/>
    <mergeCell ref="H12:I12"/>
    <mergeCell ref="D13:E13"/>
    <mergeCell ref="H13:I13"/>
    <mergeCell ref="D1:E1"/>
    <mergeCell ref="D4:E4"/>
    <mergeCell ref="H4:I4"/>
    <mergeCell ref="D10:E10"/>
    <mergeCell ref="H10:I10"/>
    <mergeCell ref="D5:E5"/>
    <mergeCell ref="H5:I5"/>
    <mergeCell ref="D9:E9"/>
    <mergeCell ref="H9:I9"/>
    <mergeCell ref="D8:E8"/>
    <mergeCell ref="H8:I8"/>
    <mergeCell ref="D6:E6"/>
    <mergeCell ref="H6:I6"/>
    <mergeCell ref="D7:E7"/>
    <mergeCell ref="H7:I7"/>
  </mergeCells>
  <conditionalFormatting sqref="M22 M32:M43">
    <cfRule type="cellIs" dxfId="1054" priority="19" stopIfTrue="1" operator="lessThanOrEqual">
      <formula>$L22</formula>
    </cfRule>
    <cfRule type="cellIs" dxfId="1053" priority="20" operator="greaterThan">
      <formula>L22</formula>
    </cfRule>
  </conditionalFormatting>
  <conditionalFormatting sqref="M23:M31">
    <cfRule type="cellIs" dxfId="1052" priority="3" stopIfTrue="1" operator="lessThanOrEqual">
      <formula>$L23</formula>
    </cfRule>
    <cfRule type="cellIs" dxfId="1051" priority="4" operator="greaterThan">
      <formula>L23</formula>
    </cfRule>
  </conditionalFormatting>
  <conditionalFormatting sqref="M8">
    <cfRule type="cellIs" dxfId="1050" priority="1" stopIfTrue="1" operator="lessThanOrEqual">
      <formula>$L8</formula>
    </cfRule>
    <cfRule type="cellIs" dxfId="1049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8996359-4792-49DE-8C17-FF6D7E42109D}">
          <x14:formula1>
            <xm:f>Bolts!$A:$A</xm:f>
          </x14:formula1>
          <xm:sqref>C32:C43</xm:sqref>
        </x14:dataValidation>
        <x14:dataValidation type="list" allowBlank="1" showInputMessage="1" showErrorMessage="1" xr:uid="{12A30DB7-DDB8-44BC-B04F-9651E2C91693}">
          <x14:formula1>
            <xm:f>Assemblies!$E:$E</xm:f>
          </x14:formula1>
          <xm:sqref>C5:C8</xm:sqref>
        </x14:dataValidation>
        <x14:dataValidation type="list" allowBlank="1" showInputMessage="1" showErrorMessage="1" xr:uid="{9B4903D9-72E3-4BF7-BEBA-3BAAB03CE479}">
          <x14:formula1>
            <xm:f>Machined!$C:$C</xm:f>
          </x14:formula1>
          <xm:sqref>C9:C21</xm:sqref>
        </x14:dataValidation>
        <x14:dataValidation type="list" allowBlank="1" showInputMessage="1" showErrorMessage="1" xr:uid="{B6B3B806-5E73-47DB-9C23-80C2825AE114}">
          <x14:formula1>
            <xm:f>Purchased!$A:$A</xm:f>
          </x14:formula1>
          <xm:sqref>C20:C31</xm:sqref>
        </x14:dataValidation>
      </x14:dataValidations>
    </ext>
  </extLst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172A2-0985-44A0-86BE-8A5A1ED59C6D}">
  <sheetPr codeName="Sheet248">
    <tabColor theme="3" tint="0.79998168889431442"/>
  </sheetPr>
  <dimension ref="A1:Q14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'6.2.3'!C5</f>
        <v>PG10.6.2.3.1.0.A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'6.2.3'!D5</f>
        <v>Tube Present Sensor Assy</v>
      </c>
      <c r="D3" s="85" t="s">
        <v>50</v>
      </c>
      <c r="E3" s="86" t="str">
        <f ca="1">MID(CELL("filename",A1),FIND("]",CELL("filename",A1))+1,256)</f>
        <v>6.2.3.1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1006</v>
      </c>
      <c r="D5" s="314" t="str">
        <f>VLOOKUP(C5,Machined!C:X,2,0)</f>
        <v>TUBE PRESENT SENSOR BRACKET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45526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45548</v>
      </c>
      <c r="M5" s="44">
        <f>IF(VLOOKUP($C5,Machined!C:Z,21,0) = 0, " ", VLOOKUP($C5,Machined!C:Z,21,0))</f>
        <v>45548</v>
      </c>
      <c r="N5" s="129">
        <f>IF(VLOOKUP($C5,Machined!C:Z,22,0) = 0, " ", VLOOKUP($C5,Machined!C:Z,22,0))</f>
        <v>55702</v>
      </c>
      <c r="O5" s="45">
        <f ca="1">B5*$L$2</f>
        <v>2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 t="s">
        <v>975</v>
      </c>
      <c r="D7" s="325" t="str">
        <f>VLOOKUP(C7,Purchased!A:B,2,0)</f>
        <v>Keyence COMPACT LASER SENSOR, M8 CONNECTOR, 250MM RANGE</v>
      </c>
      <c r="E7" s="326"/>
      <c r="F7" s="108" t="str">
        <f>IF(VLOOKUP($C7,Purchased!A:Z,11,0) = 0, " ", VLOOKUP($C7,Purchased!A:Z,11,0))</f>
        <v>KEYENCE</v>
      </c>
      <c r="G7" s="108" t="str">
        <f>IF(VLOOKUP($C7,Purchased!A:Z,12,0)=0, " ", VLOOKUP($C7,Purchased!A:Z,12,0))</f>
        <v>KEYENCE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45516</v>
      </c>
      <c r="K7" s="46">
        <f>IF(VLOOKUP(C7,Purchased!A:R,14,0)=0, " ", VLOOKUP(C7,Purchased!A:R,14,0))</f>
        <v>45516</v>
      </c>
      <c r="L7" s="46">
        <f>IF(VLOOKUP(C7,Purchased!A:R,15,0)=0, " ", VLOOKUP(C7,Purchased!A:R,15,0))</f>
        <v>45518</v>
      </c>
      <c r="M7" s="46">
        <f>IF(VLOOKUP(C7,Purchased!A:R,16,0)=0, " ",VLOOKUP(C7,Purchased!A:R,16,0))</f>
        <v>45526</v>
      </c>
      <c r="N7" s="130">
        <f>IF(VLOOKUP(C7,Purchased!A:R,17,0)=0, " ", VLOOKUP(C7,Purchased!A:R,17,0))</f>
        <v>45526</v>
      </c>
      <c r="O7" s="47">
        <f t="shared" ref="O7:O11" ca="1" si="0">B7*$L$2</f>
        <v>2</v>
      </c>
      <c r="P7" s="51">
        <f>VLOOKUP(C7,Purchased!A:D,3,FALSE)</f>
        <v>575</v>
      </c>
      <c r="Q7" s="52">
        <f t="shared" ref="Q7:Q11" si="1">B7*P7</f>
        <v>575</v>
      </c>
    </row>
    <row r="8" spans="1:17" s="2" customFormat="1" ht="12" customHeight="1" x14ac:dyDescent="0.25">
      <c r="A8" s="4">
        <v>302</v>
      </c>
      <c r="B8" s="2">
        <v>1</v>
      </c>
      <c r="C8" s="135" t="s">
        <v>796</v>
      </c>
      <c r="D8" s="325" t="str">
        <f>VLOOKUP(C8,Purchased!A:B,2,0)</f>
        <v>Keyence AMPLIFIER BRACKET FOR LR-X100C SENSOR</v>
      </c>
      <c r="E8" s="326"/>
      <c r="F8" s="108" t="str">
        <f>IF(VLOOKUP($C8,Purchased!A:Z,11,0) = 0, " ", VLOOKUP($C8,Purchased!A:Z,11,0))</f>
        <v>KEYENCE</v>
      </c>
      <c r="G8" s="108" t="str">
        <f>IF(VLOOKUP($C8,Purchased!A:Z,12,0)=0, " ", VLOOKUP($C8,Purchased!A:Z,12,0))</f>
        <v>KEYENCE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45516</v>
      </c>
      <c r="K8" s="46">
        <f>IF(VLOOKUP(C8,Purchased!A:R,14,0)=0, " ", VLOOKUP(C8,Purchased!A:R,14,0))</f>
        <v>45516</v>
      </c>
      <c r="L8" s="46">
        <f>IF(VLOOKUP(C8,Purchased!A:R,15,0)=0, " ", VLOOKUP(C8,Purchased!A:R,15,0))</f>
        <v>45518</v>
      </c>
      <c r="M8" s="46">
        <f>IF(VLOOKUP(C8,Purchased!A:R,16,0)=0, " ",VLOOKUP(C8,Purchased!A:R,16,0))</f>
        <v>45526</v>
      </c>
      <c r="N8" s="130">
        <f>IF(VLOOKUP(C8,Purchased!A:R,17,0)=0, " ", VLOOKUP(C8,Purchased!A:R,17,0))</f>
        <v>45526</v>
      </c>
      <c r="O8" s="47">
        <f t="shared" ca="1" si="0"/>
        <v>2</v>
      </c>
      <c r="P8" s="51">
        <f>VLOOKUP(C8,Purchased!A:D,3,FALSE)</f>
        <v>12</v>
      </c>
      <c r="Q8" s="52">
        <f t="shared" si="1"/>
        <v>12</v>
      </c>
    </row>
    <row r="9" spans="1:17" s="2" customFormat="1" ht="12" customHeight="1" x14ac:dyDescent="0.25">
      <c r="A9" s="4">
        <v>303</v>
      </c>
      <c r="B9" s="2">
        <v>1</v>
      </c>
      <c r="C9" s="135" t="s">
        <v>976</v>
      </c>
      <c r="D9" s="325" t="str">
        <f>VLOOKUP(C9,Purchased!A:B,2,0)</f>
        <v>Keyence LR-X SENSOR BRACKET</v>
      </c>
      <c r="E9" s="326"/>
      <c r="F9" s="108" t="str">
        <f>IF(VLOOKUP($C9,Purchased!A:Z,11,0) = 0, " ", VLOOKUP($C9,Purchased!A:Z,11,0))</f>
        <v>KEYENCE</v>
      </c>
      <c r="G9" s="108" t="str">
        <f>IF(VLOOKUP($C9,Purchased!A:Z,12,0)=0, " ", VLOOKUP($C9,Purchased!A:Z,12,0))</f>
        <v>KEYENCE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45516</v>
      </c>
      <c r="K9" s="46">
        <f>IF(VLOOKUP(C9,Purchased!A:R,14,0)=0, " ", VLOOKUP(C9,Purchased!A:R,14,0))</f>
        <v>45516</v>
      </c>
      <c r="L9" s="46">
        <f>IF(VLOOKUP(C9,Purchased!A:R,15,0)=0, " ", VLOOKUP(C9,Purchased!A:R,15,0))</f>
        <v>45518</v>
      </c>
      <c r="M9" s="46">
        <f>IF(VLOOKUP(C9,Purchased!A:R,16,0)=0, " ",VLOOKUP(C9,Purchased!A:R,16,0))</f>
        <v>45526</v>
      </c>
      <c r="N9" s="130">
        <f>IF(VLOOKUP(C9,Purchased!A:R,17,0)=0, " ", VLOOKUP(C9,Purchased!A:R,17,0))</f>
        <v>45526</v>
      </c>
      <c r="O9" s="47">
        <f t="shared" ca="1" si="0"/>
        <v>2</v>
      </c>
      <c r="P9" s="51">
        <f>VLOOKUP(C9,Purchased!A:D,3,FALSE)</f>
        <v>84</v>
      </c>
      <c r="Q9" s="52">
        <f t="shared" si="1"/>
        <v>84</v>
      </c>
    </row>
    <row r="10" spans="1:17" s="2" customFormat="1" ht="12" customHeight="1" x14ac:dyDescent="0.25">
      <c r="A10" s="4">
        <v>304</v>
      </c>
      <c r="B10" s="2">
        <v>1</v>
      </c>
      <c r="C10" s="135" t="s">
        <v>977</v>
      </c>
      <c r="D10" s="325" t="str">
        <f>VLOOKUP(C10,Purchased!A:B,2,0)</f>
        <v>Keyence SENSOR ADJUSTMENT SHAFT</v>
      </c>
      <c r="E10" s="326"/>
      <c r="F10" s="108" t="str">
        <f>IF(VLOOKUP($C10,Purchased!A:Z,11,0) = 0, " ", VLOOKUP($C10,Purchased!A:Z,11,0))</f>
        <v>KEYENCE</v>
      </c>
      <c r="G10" s="108" t="str">
        <f>IF(VLOOKUP($C10,Purchased!A:Z,12,0)=0, " ", VLOOKUP($C10,Purchased!A:Z,12,0))</f>
        <v>KEYENCE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45516</v>
      </c>
      <c r="K10" s="46">
        <f>IF(VLOOKUP(C10,Purchased!A:R,14,0)=0, " ", VLOOKUP(C10,Purchased!A:R,14,0))</f>
        <v>45516</v>
      </c>
      <c r="L10" s="46">
        <f>IF(VLOOKUP(C10,Purchased!A:R,15,0)=0, " ", VLOOKUP(C10,Purchased!A:R,15,0))</f>
        <v>45518</v>
      </c>
      <c r="M10" s="46">
        <f>IF(VLOOKUP(C10,Purchased!A:R,16,0)=0, " ",VLOOKUP(C10,Purchased!A:R,16,0))</f>
        <v>45526</v>
      </c>
      <c r="N10" s="130">
        <f>IF(VLOOKUP(C10,Purchased!A:R,17,0)=0, " ", VLOOKUP(C10,Purchased!A:R,17,0))</f>
        <v>45526</v>
      </c>
      <c r="O10" s="47">
        <f t="shared" ca="1" si="0"/>
        <v>2</v>
      </c>
      <c r="P10" s="51">
        <f>VLOOKUP(C10,Purchased!A:D,3,FALSE)</f>
        <v>36</v>
      </c>
      <c r="Q10" s="52">
        <f t="shared" si="1"/>
        <v>36</v>
      </c>
    </row>
    <row r="11" spans="1:17" s="2" customFormat="1" ht="12" customHeight="1" x14ac:dyDescent="0.25">
      <c r="A11" s="4">
        <v>305</v>
      </c>
      <c r="B11" s="2">
        <v>1</v>
      </c>
      <c r="C11" s="135" t="s">
        <v>220</v>
      </c>
      <c r="D11" s="325" t="str">
        <f>VLOOKUP(C11,Purchased!A:B,2,0)</f>
        <v>M8 4PIN TO FLYING LEAD 7.5M CABLE</v>
      </c>
      <c r="E11" s="326"/>
      <c r="F11" s="108" t="str">
        <f>IF(VLOOKUP($C11,Purchased!A:Z,11,0) = 0, " ", VLOOKUP($C11,Purchased!A:Z,11,0))</f>
        <v>MURR</v>
      </c>
      <c r="G11" s="108" t="str">
        <f>IF(VLOOKUP($C11,Purchased!A:Z,12,0)=0, " ", VLOOKUP($C11,Purchased!A:Z,12,0))</f>
        <v>MURR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0"/>
        <v>2</v>
      </c>
      <c r="P11" s="51">
        <f>VLOOKUP(C11,Purchased!A:D,3,FALSE)</f>
        <v>0</v>
      </c>
      <c r="Q11" s="52">
        <f t="shared" si="1"/>
        <v>0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thickBot="1" x14ac:dyDescent="0.3">
      <c r="A13" s="4">
        <v>501</v>
      </c>
      <c r="B13" s="2">
        <v>2</v>
      </c>
      <c r="C13" s="122" t="s">
        <v>196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ref="O13" ca="1" si="2">B13*$L$2</f>
        <v>4</v>
      </c>
      <c r="P13" s="51">
        <f>VLOOKUP(C13,Bolts!A:B,2,FALSE)</f>
        <v>0</v>
      </c>
      <c r="Q13" s="52">
        <f t="shared" ref="Q13" si="3">B13*P13</f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707</v>
      </c>
    </row>
  </sheetData>
  <sheetProtection selectLockedCells="1"/>
  <mergeCells count="22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D13:E13"/>
    <mergeCell ref="D14:E14"/>
    <mergeCell ref="H14:I14"/>
    <mergeCell ref="D10:E10"/>
    <mergeCell ref="H10:I10"/>
    <mergeCell ref="D11:E11"/>
    <mergeCell ref="H11:I11"/>
    <mergeCell ref="D12:E12"/>
    <mergeCell ref="H12:I12"/>
  </mergeCells>
  <conditionalFormatting sqref="M6 M12">
    <cfRule type="cellIs" dxfId="1048" priority="11" stopIfTrue="1" operator="lessThanOrEqual">
      <formula>$L6</formula>
    </cfRule>
    <cfRule type="cellIs" dxfId="1047" priority="12" operator="greaterThan">
      <formula>L6</formula>
    </cfRule>
  </conditionalFormatting>
  <conditionalFormatting sqref="M7">
    <cfRule type="cellIs" dxfId="1046" priority="9" stopIfTrue="1" operator="lessThanOrEqual">
      <formula>$L7</formula>
    </cfRule>
    <cfRule type="cellIs" dxfId="1045" priority="10" operator="greaterThan">
      <formula>L7</formula>
    </cfRule>
  </conditionalFormatting>
  <conditionalFormatting sqref="M8">
    <cfRule type="cellIs" dxfId="1044" priority="7" stopIfTrue="1" operator="lessThanOrEqual">
      <formula>$L8</formula>
    </cfRule>
    <cfRule type="cellIs" dxfId="1043" priority="8" operator="greaterThan">
      <formula>L8</formula>
    </cfRule>
  </conditionalFormatting>
  <conditionalFormatting sqref="M9">
    <cfRule type="cellIs" dxfId="1042" priority="5" stopIfTrue="1" operator="lessThanOrEqual">
      <formula>$L9</formula>
    </cfRule>
    <cfRule type="cellIs" dxfId="1041" priority="6" operator="greaterThan">
      <formula>L9</formula>
    </cfRule>
  </conditionalFormatting>
  <conditionalFormatting sqref="M10:M11">
    <cfRule type="cellIs" dxfId="1040" priority="3" stopIfTrue="1" operator="lessThanOrEqual">
      <formula>$L10</formula>
    </cfRule>
    <cfRule type="cellIs" dxfId="1039" priority="4" operator="greaterThan">
      <formula>L10</formula>
    </cfRule>
  </conditionalFormatting>
  <conditionalFormatting sqref="M13">
    <cfRule type="cellIs" dxfId="1038" priority="1" stopIfTrue="1" operator="lessThanOrEqual">
      <formula>$L13</formula>
    </cfRule>
    <cfRule type="cellIs" dxfId="1037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ECEE3A2-5408-45E6-A02D-13765F91C6DE}">
          <x14:formula1>
            <xm:f>Bolts!$A:$A</xm:f>
          </x14:formula1>
          <xm:sqref>C12:C13</xm:sqref>
        </x14:dataValidation>
        <x14:dataValidation type="list" allowBlank="1" showInputMessage="1" showErrorMessage="1" xr:uid="{2768C58F-730F-4A54-8204-E7C73BD340C0}">
          <x14:formula1>
            <xm:f>Machined!$C:$C</xm:f>
          </x14:formula1>
          <xm:sqref>C5</xm:sqref>
        </x14:dataValidation>
        <x14:dataValidation type="list" allowBlank="1" showInputMessage="1" showErrorMessage="1" xr:uid="{366CB242-59B9-4613-8C3C-088A2A3E9902}">
          <x14:formula1>
            <xm:f>Purchased!$A:$A</xm:f>
          </x14:formula1>
          <xm:sqref>C6:C11</xm:sqref>
        </x14:dataValidation>
      </x14:dataValidations>
    </ext>
  </extLst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EA921-1E57-4A06-8DC2-A84116EF4086}">
  <sheetPr codeName="Sheet254">
    <tabColor theme="3" tint="0.79998168889431442"/>
  </sheetPr>
  <dimension ref="A1:Q11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'6.2.3'!C6</f>
        <v>PG10.6.2.3.2.0.A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'6.2.3'!D6</f>
        <v>11-Inch Pusher Stop Assy</v>
      </c>
      <c r="D3" s="85" t="s">
        <v>50</v>
      </c>
      <c r="E3" s="86" t="str">
        <f ca="1">MID(CELL("filename",A1),FIND("]",CELL("filename",A1))+1,256)</f>
        <v>6.2.3.2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1007</v>
      </c>
      <c r="D5" s="314" t="str">
        <f>VLOOKUP(C5,Machined!C:X,2,0)</f>
        <v>11-Inch Pusher Stop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Xometry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45527</v>
      </c>
      <c r="K5" s="44">
        <f>IF(VLOOKUP($C5,Machined!C:Z,19,0) = 0, " ", VLOOKUP($C5,Machined!C:Z,19,0))</f>
        <v>45530</v>
      </c>
      <c r="L5" s="44">
        <f>IF(VLOOKUP($C5,Machined!C:Z,20,0) = 0, " ", VLOOKUP($C5,Machined!C:Z,20,0))</f>
        <v>45560</v>
      </c>
      <c r="M5" s="44">
        <f>IF(VLOOKUP($C5,Machined!C:Z,21,0) = 0, " ", VLOOKUP($C5,Machined!C:Z,21,0))</f>
        <v>45560</v>
      </c>
      <c r="N5" s="129">
        <f>IF(VLOOKUP($C5,Machined!C:Z,22,0) = 0, " ", VLOOKUP($C5,Machined!C:Z,22,0))</f>
        <v>55706</v>
      </c>
      <c r="O5" s="45">
        <f ca="1">B5*$L$2</f>
        <v>2</v>
      </c>
      <c r="P5" s="49">
        <f>VLOOKUP(C5,Machined!C:F,3,0)</f>
        <v>66.540000000000006</v>
      </c>
      <c r="Q5" s="50">
        <f>B5*P5</f>
        <v>66.540000000000006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1008</v>
      </c>
      <c r="D7" s="325" t="str">
        <f>VLOOKUP(C7,Purchased!A:B,2,0)</f>
        <v>GN 300.1-30-M4-12-SW Adjustable handles with threaded screw</v>
      </c>
      <c r="E7" s="326"/>
      <c r="F7" s="108" t="str">
        <f>IF(VLOOKUP($C7,Purchased!A:Z,11,0) = 0, " ", VLOOKUP($C7,Purchased!A:Z,11,0))</f>
        <v>ELESA</v>
      </c>
      <c r="G7" s="108" t="str">
        <f>IF(VLOOKUP($C7,Purchased!A:Z,12,0)=0, " ", VLOOKUP($C7,Purchased!A:Z,12,0))</f>
        <v>ELESA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45506</v>
      </c>
      <c r="K7" s="46">
        <f>IF(VLOOKUP(C7,Purchased!A:R,14,0)=0, " ", VLOOKUP(C7,Purchased!A:R,14,0))</f>
        <v>45506</v>
      </c>
      <c r="L7" s="46">
        <f>IF(VLOOKUP(C7,Purchased!A:R,15,0)=0, " ", VLOOKUP(C7,Purchased!A:R,15,0))</f>
        <v>45526</v>
      </c>
      <c r="M7" s="46">
        <f>IF(VLOOKUP(C7,Purchased!A:R,16,0)=0, " ",VLOOKUP(C7,Purchased!A:R,16,0))</f>
        <v>45551</v>
      </c>
      <c r="N7" s="130">
        <f>IF(VLOOKUP(C7,Purchased!A:R,17,0)=0, " ", VLOOKUP(C7,Purchased!A:R,17,0))</f>
        <v>45551</v>
      </c>
      <c r="O7" s="47">
        <f t="shared" ref="O7:O8" ca="1" si="0">B7*$L$2</f>
        <v>4</v>
      </c>
      <c r="P7" s="51">
        <f>VLOOKUP(C7,Purchased!A:D,3,FALSE)</f>
        <v>7.78</v>
      </c>
      <c r="Q7" s="52">
        <f t="shared" ref="Q7:Q8" si="1">B7*P7</f>
        <v>15.56</v>
      </c>
    </row>
    <row r="8" spans="1:17" s="2" customFormat="1" ht="12" customHeight="1" x14ac:dyDescent="0.25">
      <c r="A8" s="4">
        <v>302</v>
      </c>
      <c r="B8" s="2">
        <v>2</v>
      </c>
      <c r="C8" s="135" t="s">
        <v>1004</v>
      </c>
      <c r="D8" s="325" t="str">
        <f>VLOOKUP(C8,Purchased!A:B,2,0)</f>
        <v>18-8 Stainless Steel Key-Locking Inserts with Thin Wall, M4 x 0.7 mm Thread, 5.25 mm Installed Length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ca="1" si="0"/>
        <v>4</v>
      </c>
      <c r="P8" s="51">
        <f>VLOOKUP(C8,Purchased!A:D,3,FALSE)</f>
        <v>9.98</v>
      </c>
      <c r="Q8" s="52">
        <f t="shared" si="1"/>
        <v>19.96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C10" s="122"/>
      <c r="D10" s="325"/>
      <c r="E10" s="326"/>
      <c r="F10" s="108"/>
      <c r="G10" s="108"/>
      <c r="H10" s="108"/>
      <c r="I10" s="109"/>
      <c r="J10" s="46"/>
      <c r="K10" s="46"/>
      <c r="L10" s="46"/>
      <c r="M10" s="46"/>
      <c r="N10" s="130"/>
      <c r="O10" s="47"/>
      <c r="P10" s="51"/>
      <c r="Q10" s="52"/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102.06</v>
      </c>
    </row>
  </sheetData>
  <sheetProtection selectLockedCells="1"/>
  <mergeCells count="16">
    <mergeCell ref="D10:E10"/>
    <mergeCell ref="D11:E11"/>
    <mergeCell ref="H11:I11"/>
    <mergeCell ref="D9:E9"/>
    <mergeCell ref="H9:I9"/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 M9">
    <cfRule type="cellIs" dxfId="1036" priority="11" stopIfTrue="1" operator="lessThanOrEqual">
      <formula>$L6</formula>
    </cfRule>
    <cfRule type="cellIs" dxfId="1035" priority="12" operator="greaterThan">
      <formula>L6</formula>
    </cfRule>
  </conditionalFormatting>
  <conditionalFormatting sqref="M7">
    <cfRule type="cellIs" dxfId="1034" priority="9" stopIfTrue="1" operator="lessThanOrEqual">
      <formula>$L7</formula>
    </cfRule>
    <cfRule type="cellIs" dxfId="1033" priority="10" operator="greaterThan">
      <formula>L7</formula>
    </cfRule>
  </conditionalFormatting>
  <conditionalFormatting sqref="M8">
    <cfRule type="cellIs" dxfId="1032" priority="7" stopIfTrue="1" operator="lessThanOrEqual">
      <formula>$L8</formula>
    </cfRule>
    <cfRule type="cellIs" dxfId="1031" priority="8" operator="greaterThan">
      <formula>L8</formula>
    </cfRule>
  </conditionalFormatting>
  <conditionalFormatting sqref="M10">
    <cfRule type="cellIs" dxfId="1030" priority="1" stopIfTrue="1" operator="lessThanOrEqual">
      <formula>$L10</formula>
    </cfRule>
    <cfRule type="cellIs" dxfId="1029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3D4260-31E8-4D42-86F9-FAF53568D136}">
          <x14:formula1>
            <xm:f>Bolts!$A:$A</xm:f>
          </x14:formula1>
          <xm:sqref>C9:C10</xm:sqref>
        </x14:dataValidation>
        <x14:dataValidation type="list" allowBlank="1" showInputMessage="1" showErrorMessage="1" xr:uid="{AE557F42-A37A-4D1A-9553-FC89F2755DA4}">
          <x14:formula1>
            <xm:f>Machined!$C:$C</xm:f>
          </x14:formula1>
          <xm:sqref>C5</xm:sqref>
        </x14:dataValidation>
        <x14:dataValidation type="list" allowBlank="1" showInputMessage="1" showErrorMessage="1" xr:uid="{EF7D8AF6-D266-46BC-8067-D39586EE23FF}">
          <x14:formula1>
            <xm:f>Purchased!$A:$A</xm:f>
          </x14:formula1>
          <xm:sqref>C6:C8</xm:sqref>
        </x14:dataValidation>
      </x14:dataValidations>
    </ext>
  </extLst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1FB7-F2C5-4D73-B630-75CB5E3465DA}">
  <sheetPr codeName="Sheet255">
    <tabColor theme="3" tint="0.79998168889431442"/>
  </sheetPr>
  <dimension ref="A1:Q11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'6.2.3'!C7</f>
        <v>PG10.6.2.3.3.0.A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'6.2.3'!D7</f>
        <v>6-Inch Pusher Stop Assy</v>
      </c>
      <c r="D3" s="85" t="s">
        <v>50</v>
      </c>
      <c r="E3" s="86" t="str">
        <f ca="1">MID(CELL("filename",A1),FIND("]",CELL("filename",A1))+1,256)</f>
        <v>6.2.3.3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1009</v>
      </c>
      <c r="D5" s="314" t="str">
        <f>VLOOKUP(C5,Machined!C:X,2,0)</f>
        <v>6-Inch Pusher Stop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Xometry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45527</v>
      </c>
      <c r="K5" s="44">
        <f>IF(VLOOKUP($C5,Machined!C:Z,19,0) = 0, " ", VLOOKUP($C5,Machined!C:Z,19,0))</f>
        <v>45530</v>
      </c>
      <c r="L5" s="44">
        <f>IF(VLOOKUP($C5,Machined!C:Z,20,0) = 0, " ", VLOOKUP($C5,Machined!C:Z,20,0))</f>
        <v>45560</v>
      </c>
      <c r="M5" s="44">
        <f>IF(VLOOKUP($C5,Machined!C:Z,21,0) = 0, " ", VLOOKUP($C5,Machined!C:Z,21,0))</f>
        <v>45560</v>
      </c>
      <c r="N5" s="129">
        <f>IF(VLOOKUP($C5,Machined!C:Z,22,0) = 0, " ", VLOOKUP($C5,Machined!C:Z,22,0))</f>
        <v>55706</v>
      </c>
      <c r="O5" s="45">
        <f ca="1">B5*$L$2</f>
        <v>2</v>
      </c>
      <c r="P5" s="49">
        <f>VLOOKUP(C5,Machined!C:F,3,0)</f>
        <v>64.03</v>
      </c>
      <c r="Q5" s="50">
        <f>B5*P5</f>
        <v>64.03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1008</v>
      </c>
      <c r="D7" s="325" t="str">
        <f>VLOOKUP(C7,Purchased!A:B,2,0)</f>
        <v>GN 300.1-30-M4-12-SW Adjustable handles with threaded screw</v>
      </c>
      <c r="E7" s="326"/>
      <c r="F7" s="108" t="str">
        <f>IF(VLOOKUP($C7,Purchased!A:Z,11,0) = 0, " ", VLOOKUP($C7,Purchased!A:Z,11,0))</f>
        <v>ELESA</v>
      </c>
      <c r="G7" s="108" t="str">
        <f>IF(VLOOKUP($C7,Purchased!A:Z,12,0)=0, " ", VLOOKUP($C7,Purchased!A:Z,12,0))</f>
        <v>ELESA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45506</v>
      </c>
      <c r="K7" s="46">
        <f>IF(VLOOKUP(C7,Purchased!A:R,14,0)=0, " ", VLOOKUP(C7,Purchased!A:R,14,0))</f>
        <v>45506</v>
      </c>
      <c r="L7" s="46">
        <f>IF(VLOOKUP(C7,Purchased!A:R,15,0)=0, " ", VLOOKUP(C7,Purchased!A:R,15,0))</f>
        <v>45526</v>
      </c>
      <c r="M7" s="46">
        <f>IF(VLOOKUP(C7,Purchased!A:R,16,0)=0, " ",VLOOKUP(C7,Purchased!A:R,16,0))</f>
        <v>45551</v>
      </c>
      <c r="N7" s="130">
        <f>IF(VLOOKUP(C7,Purchased!A:R,17,0)=0, " ", VLOOKUP(C7,Purchased!A:R,17,0))</f>
        <v>45551</v>
      </c>
      <c r="O7" s="47">
        <f t="shared" ref="O7:O8" ca="1" si="0">B7*$L$2</f>
        <v>4</v>
      </c>
      <c r="P7" s="51">
        <f>VLOOKUP(C7,Purchased!A:D,3,FALSE)</f>
        <v>7.78</v>
      </c>
      <c r="Q7" s="52">
        <f t="shared" ref="Q7:Q8" si="1">B7*P7</f>
        <v>15.56</v>
      </c>
    </row>
    <row r="8" spans="1:17" s="2" customFormat="1" ht="12" customHeight="1" x14ac:dyDescent="0.25">
      <c r="A8" s="4">
        <v>302</v>
      </c>
      <c r="B8" s="2">
        <v>2</v>
      </c>
      <c r="C8" s="135" t="s">
        <v>1004</v>
      </c>
      <c r="D8" s="325" t="str">
        <f>VLOOKUP(C8,Purchased!A:B,2,0)</f>
        <v>18-8 Stainless Steel Key-Locking Inserts with Thin Wall, M4 x 0.7 mm Thread, 5.25 mm Installed Length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ca="1" si="0"/>
        <v>4</v>
      </c>
      <c r="P8" s="51">
        <f>VLOOKUP(C8,Purchased!A:D,3,FALSE)</f>
        <v>9.98</v>
      </c>
      <c r="Q8" s="52">
        <f t="shared" si="1"/>
        <v>19.96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C10" s="122"/>
      <c r="D10" s="325"/>
      <c r="E10" s="326"/>
      <c r="F10" s="108"/>
      <c r="G10" s="108"/>
      <c r="H10" s="108"/>
      <c r="I10" s="109"/>
      <c r="J10" s="46"/>
      <c r="K10" s="46"/>
      <c r="L10" s="46"/>
      <c r="M10" s="46"/>
      <c r="N10" s="130"/>
      <c r="O10" s="47"/>
      <c r="P10" s="51"/>
      <c r="Q10" s="52"/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99.550000000000011</v>
      </c>
    </row>
  </sheetData>
  <sheetProtection selectLockedCells="1"/>
  <mergeCells count="16">
    <mergeCell ref="D10:E10"/>
    <mergeCell ref="D11:E11"/>
    <mergeCell ref="H11:I11"/>
    <mergeCell ref="D9:E9"/>
    <mergeCell ref="H9:I9"/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 M9">
    <cfRule type="cellIs" dxfId="1028" priority="11" stopIfTrue="1" operator="lessThanOrEqual">
      <formula>$L6</formula>
    </cfRule>
    <cfRule type="cellIs" dxfId="1027" priority="12" operator="greaterThan">
      <formula>L6</formula>
    </cfRule>
  </conditionalFormatting>
  <conditionalFormatting sqref="M7">
    <cfRule type="cellIs" dxfId="1026" priority="9" stopIfTrue="1" operator="lessThanOrEqual">
      <formula>$L7</formula>
    </cfRule>
    <cfRule type="cellIs" dxfId="1025" priority="10" operator="greaterThan">
      <formula>L7</formula>
    </cfRule>
  </conditionalFormatting>
  <conditionalFormatting sqref="M8">
    <cfRule type="cellIs" dxfId="1024" priority="7" stopIfTrue="1" operator="lessThanOrEqual">
      <formula>$L8</formula>
    </cfRule>
    <cfRule type="cellIs" dxfId="1023" priority="8" operator="greaterThan">
      <formula>L8</formula>
    </cfRule>
  </conditionalFormatting>
  <conditionalFormatting sqref="M10">
    <cfRule type="cellIs" dxfId="1022" priority="1" stopIfTrue="1" operator="lessThanOrEqual">
      <formula>$L10</formula>
    </cfRule>
    <cfRule type="cellIs" dxfId="1021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0804D00-3B17-48E1-BEC9-34047CC52FE1}">
          <x14:formula1>
            <xm:f>Bolts!$A:$A</xm:f>
          </x14:formula1>
          <xm:sqref>C9:C10</xm:sqref>
        </x14:dataValidation>
        <x14:dataValidation type="list" allowBlank="1" showInputMessage="1" showErrorMessage="1" xr:uid="{0036706E-96AA-4AA5-BCA9-D1A791EF0CD4}">
          <x14:formula1>
            <xm:f>Machined!$C:$C</xm:f>
          </x14:formula1>
          <xm:sqref>C5</xm:sqref>
        </x14:dataValidation>
        <x14:dataValidation type="list" allowBlank="1" showInputMessage="1" showErrorMessage="1" xr:uid="{35AFEC1E-A7F8-4009-8DD7-98861AFD3540}">
          <x14:formula1>
            <xm:f>Purchased!$A:$A</xm:f>
          </x14:formula1>
          <xm:sqref>C6:C8</xm:sqref>
        </x14:dataValidation>
      </x14:dataValidations>
    </ext>
  </extLst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517A6-C1B9-48D9-81DC-F2B9B4D3E13B}">
  <sheetPr codeName="Sheet149">
    <tabColor theme="9" tint="0.59999389629810485"/>
  </sheetPr>
  <dimension ref="A1:Q8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'6'!C10</f>
        <v>PG10.6.3.0.A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'6'!D10</f>
        <v>Tube Insert Assy B Side</v>
      </c>
      <c r="D3" s="85" t="s">
        <v>50</v>
      </c>
      <c r="E3" s="86" t="str">
        <f ca="1">MID(CELL("filename",A1),FIND("]",CELL("filename",A1))+1,256)</f>
        <v>6.3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1010</v>
      </c>
      <c r="D5" s="336" t="str">
        <f ca="1">VLOOKUP(C5,Assemblies!E:P,2,0)</f>
        <v>Tube PNP Assy B Side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7" ca="1" si="0">B5*$L$2</f>
        <v>1</v>
      </c>
      <c r="P5" s="117">
        <f>'6.3.1'!Q32</f>
        <v>5580.0662999999995</v>
      </c>
      <c r="Q5" s="118">
        <f t="shared" ref="Q5:Q7" si="1">B5*P5</f>
        <v>5580.0662999999995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1011</v>
      </c>
      <c r="D6" s="314" t="str">
        <f ca="1">VLOOKUP(C6,Assemblies!E:P,2,0)</f>
        <v>Tube Rotate Assy B Side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'6.3.2'!Q32</f>
        <v>1948.6399999999996</v>
      </c>
      <c r="Q6" s="103">
        <f t="shared" si="1"/>
        <v>1948.6399999999996</v>
      </c>
    </row>
    <row r="7" spans="1:17" s="2" customFormat="1" ht="12.75" customHeight="1" thickBot="1" x14ac:dyDescent="0.25">
      <c r="A7" s="150" t="s">
        <v>58</v>
      </c>
      <c r="B7" s="1">
        <v>1</v>
      </c>
      <c r="C7" s="145" t="s">
        <v>1012</v>
      </c>
      <c r="D7" s="314" t="str">
        <f ca="1">VLOOKUP(C7,Assemblies!E:P,2,0)</f>
        <v>Tube Pusher Assy B Side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'6.3.3'!Q44</f>
        <v>3040.29</v>
      </c>
      <c r="Q7" s="103">
        <f t="shared" si="1"/>
        <v>3040.29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10568.996299999999</v>
      </c>
    </row>
  </sheetData>
  <mergeCells count="11">
    <mergeCell ref="D1:E1"/>
    <mergeCell ref="D4:E4"/>
    <mergeCell ref="H4:I4"/>
    <mergeCell ref="D5:E5"/>
    <mergeCell ref="H5:I5"/>
    <mergeCell ref="D8:E8"/>
    <mergeCell ref="H8:I8"/>
    <mergeCell ref="D7:E7"/>
    <mergeCell ref="H7:I7"/>
    <mergeCell ref="D6:E6"/>
    <mergeCell ref="H6:I6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CE1961-37DB-45AB-8EA7-3C7D1F3A6B5C}">
          <x14:formula1>
            <xm:f>Assemblies!$E:$E</xm:f>
          </x14:formula1>
          <xm:sqref>C5:C7</xm:sqref>
        </x14:dataValidation>
      </x14:dataValidations>
    </ext>
  </extLst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26C61-FDC7-4972-AF7B-A906B889C248}">
  <sheetPr codeName="Sheet150">
    <tabColor theme="6" tint="0.59999389629810485"/>
  </sheetPr>
  <dimension ref="A1:Q32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'6.3'!C5</f>
        <v>PG10.6.3.1.0.A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'6.3'!D5</f>
        <v>Tube PNP Assy B Side</v>
      </c>
      <c r="D3" s="85" t="s">
        <v>50</v>
      </c>
      <c r="E3" s="86" t="str">
        <f ca="1">MID(CELL("filename",A1),FIND("]",CELL("filename",A1))+1,256)</f>
        <v>6.3.1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1013</v>
      </c>
      <c r="D5" s="336" t="str">
        <f ca="1">VLOOKUP(C5,Assemblies!E:P,2,0)</f>
        <v>Pick Cylinder Stop Assy B Side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8" ca="1" si="0">B5*$L$2</f>
        <v>1</v>
      </c>
      <c r="P5" s="117">
        <f>'6.3.1.1'!Q21</f>
        <v>677.81</v>
      </c>
      <c r="Q5" s="118">
        <f t="shared" ref="Q5:Q8" si="1">B5*P5</f>
        <v>677.81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1014</v>
      </c>
      <c r="D6" s="314" t="str">
        <f ca="1">VLOOKUP(C6,Assemblies!E:P,2,0)</f>
        <v>Speed Control Tube PNP Assy B Side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'6.3.1.2'!Q18</f>
        <v>142.12</v>
      </c>
      <c r="Q6" s="103">
        <f t="shared" si="1"/>
        <v>142.12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1015</v>
      </c>
      <c r="D7" s="314" t="str">
        <f ca="1">VLOOKUP(C7,Assemblies!E:P,2,0)</f>
        <v>Air Cylinder Mount Assy B Side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'6.3.1.3'!Q24</f>
        <v>1510.2662999999998</v>
      </c>
      <c r="Q7" s="103">
        <f t="shared" si="1"/>
        <v>1510.2662999999998</v>
      </c>
    </row>
    <row r="8" spans="1:17" s="2" customFormat="1" ht="12.75" customHeight="1" x14ac:dyDescent="0.2">
      <c r="A8" s="150" t="s">
        <v>60</v>
      </c>
      <c r="B8" s="1">
        <v>1</v>
      </c>
      <c r="C8" s="145" t="s">
        <v>1016</v>
      </c>
      <c r="D8" s="314" t="str">
        <f ca="1">VLOOKUP(C8,Assemblies!E:P,2,0)</f>
        <v>Tube Gripper Assy B Side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'6.3.1.4'!Q29</f>
        <v>1451.3899999999999</v>
      </c>
      <c r="Q8" s="103">
        <f t="shared" si="1"/>
        <v>1451.3899999999999</v>
      </c>
    </row>
    <row r="9" spans="1:17" s="2" customFormat="1" ht="12.75" customHeight="1" x14ac:dyDescent="0.2">
      <c r="A9" s="150" t="s">
        <v>62</v>
      </c>
      <c r="B9" s="1">
        <v>1</v>
      </c>
      <c r="C9" s="145" t="s">
        <v>925</v>
      </c>
      <c r="D9" s="314" t="str">
        <f ca="1">VLOOKUP(C9,Assemblies!E:P,2,0)</f>
        <v>Cuff Present Sensor Assy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ref="O9" ca="1" si="2">B9*$L$2</f>
        <v>1</v>
      </c>
      <c r="P9" s="147">
        <f>'6.3.1.4'!Q30</f>
        <v>0</v>
      </c>
      <c r="Q9" s="103">
        <f t="shared" ref="Q9" si="3">B9*P9</f>
        <v>0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77">
        <v>1</v>
      </c>
      <c r="B11" s="20">
        <v>1</v>
      </c>
      <c r="C11" s="121" t="s">
        <v>926</v>
      </c>
      <c r="D11" s="314" t="str">
        <f>VLOOKUP(C11,Machined!C:X,2,0)</f>
        <v>PNP Mounting Plate</v>
      </c>
      <c r="E11" s="329"/>
      <c r="F11" s="107" t="str">
        <f>VLOOKUP($C11,Machined!C:Z,13,0)</f>
        <v>MIC-6 CAST ALUMINUM</v>
      </c>
      <c r="G11" s="44" t="str">
        <f>IF(VLOOKUP($C11,Machined!C:Z,16,0) = 0, " ", VLOOKUP($C11,Machined!C:Z,16,0))</f>
        <v>Bemox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MIC-6 CAST ALUMINUM</v>
      </c>
      <c r="J11" s="44">
        <f>IF(VLOOKUP($C11,Machined!C:Z,18,0) = 0, " ", VLOOKUP($C11,Machined!C:Z,18,0))</f>
        <v>45463</v>
      </c>
      <c r="K11" s="44">
        <f>IF(VLOOKUP($C11,Machined!C:Z,19,0) = 0, " ", VLOOKUP($C11,Machined!C:Z,19,0))</f>
        <v>45467</v>
      </c>
      <c r="L11" s="44">
        <f>IF(VLOOKUP($C11,Machined!C:Z,20,0) = 0, " ", VLOOKUP($C11,Machined!C:Z,20,0))</f>
        <v>45504</v>
      </c>
      <c r="M11" s="44">
        <f>IF(VLOOKUP($C11,Machined!C:Z,21,0) = 0, " ", VLOOKUP($C11,Machined!C:Z,21,0))</f>
        <v>45504</v>
      </c>
      <c r="N11" s="129">
        <f>IF(VLOOKUP($C11,Machined!C:Z,22,0) = 0, " ", VLOOKUP($C11,Machined!C:Z,22,0))</f>
        <v>55572</v>
      </c>
      <c r="O11" s="45">
        <f t="shared" ref="O11:O12" ca="1" si="4">B11*$L$2</f>
        <v>1</v>
      </c>
      <c r="P11" s="49">
        <f>VLOOKUP(C11,Machined!C:F,3,0)</f>
        <v>439.75</v>
      </c>
      <c r="Q11" s="50">
        <f t="shared" ref="Q11:Q12" si="5">B11*P11</f>
        <v>439.75</v>
      </c>
    </row>
    <row r="12" spans="1:17" s="2" customFormat="1" ht="12.75" customHeight="1" x14ac:dyDescent="0.25">
      <c r="A12" s="77">
        <v>2</v>
      </c>
      <c r="B12" s="20">
        <v>2</v>
      </c>
      <c r="C12" s="121" t="s">
        <v>927</v>
      </c>
      <c r="D12" s="314" t="str">
        <f>VLOOKUP(C12,Machined!C:X,2,0)</f>
        <v>Bearing Block</v>
      </c>
      <c r="E12" s="329"/>
      <c r="F12" s="107" t="str">
        <f>VLOOKUP($C12,Machined!C:Z,13,0)</f>
        <v>6061-T6 ALUMINUM</v>
      </c>
      <c r="G12" s="44" t="str">
        <f>IF(VLOOKUP($C12,Machined!C:Z,16,0) = 0, " ", VLOOKUP($C12,Machined!C:Z,16,0))</f>
        <v>Bemox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6061-T6 ALUMINUM</v>
      </c>
      <c r="J12" s="44">
        <f>IF(VLOOKUP($C12,Machined!C:Z,18,0) = 0, " ", VLOOKUP($C12,Machined!C:Z,18,0))</f>
        <v>45463</v>
      </c>
      <c r="K12" s="44">
        <f>IF(VLOOKUP($C12,Machined!C:Z,19,0) = 0, " ", VLOOKUP($C12,Machined!C:Z,19,0))</f>
        <v>45467</v>
      </c>
      <c r="L12" s="44">
        <f>IF(VLOOKUP($C12,Machined!C:Z,20,0) = 0, " ", VLOOKUP($C12,Machined!C:Z,20,0))</f>
        <v>45504</v>
      </c>
      <c r="M12" s="44">
        <f>IF(VLOOKUP($C12,Machined!C:Z,21,0) = 0, " ", VLOOKUP($C12,Machined!C:Z,21,0))</f>
        <v>45504</v>
      </c>
      <c r="N12" s="129">
        <f>IF(VLOOKUP($C12,Machined!C:Z,22,0) = 0, " ", VLOOKUP($C12,Machined!C:Z,22,0))</f>
        <v>55572</v>
      </c>
      <c r="O12" s="45">
        <f t="shared" ca="1" si="4"/>
        <v>2</v>
      </c>
      <c r="P12" s="49">
        <f>VLOOKUP(C12,Machined!C:F,3,0)</f>
        <v>228</v>
      </c>
      <c r="Q12" s="50">
        <f t="shared" si="5"/>
        <v>456</v>
      </c>
    </row>
    <row r="13" spans="1:17" s="2" customFormat="1" ht="12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" customHeight="1" x14ac:dyDescent="0.25">
      <c r="A14" s="4">
        <v>301</v>
      </c>
      <c r="B14" s="2">
        <v>2</v>
      </c>
      <c r="C14" s="135" t="s">
        <v>928</v>
      </c>
      <c r="D14" s="325" t="str">
        <f>VLOOKUP(C14,Purchased!A:B,2,0)</f>
        <v>15 mm Wide X 340 mm Long Guide Rail for Ball Bearing Carriage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45481</v>
      </c>
      <c r="K14" s="46">
        <f>IF(VLOOKUP(C14,Purchased!A:R,14,0)=0, " ", VLOOKUP(C14,Purchased!A:R,14,0))</f>
        <v>45481</v>
      </c>
      <c r="L14" s="46">
        <f>IF(VLOOKUP(C14,Purchased!A:R,15,0)=0, " ", VLOOKUP(C14,Purchased!A:R,15,0))</f>
        <v>45481</v>
      </c>
      <c r="M14" s="46">
        <f>IF(VLOOKUP(C14,Purchased!A:R,16,0)=0, " ",VLOOKUP(C14,Purchased!A:R,16,0))</f>
        <v>45482</v>
      </c>
      <c r="N14" s="130">
        <f>IF(VLOOKUP(C14,Purchased!A:R,17,0)=0, " ", VLOOKUP(C14,Purchased!A:R,17,0))</f>
        <v>45482</v>
      </c>
      <c r="O14" s="47">
        <f t="shared" ref="O14:O23" ca="1" si="6">B14*$L$2</f>
        <v>2</v>
      </c>
      <c r="P14" s="51">
        <f>VLOOKUP(C14,Purchased!A:D,3,FALSE)</f>
        <v>108.8</v>
      </c>
      <c r="Q14" s="52">
        <f t="shared" ref="Q14:Q23" si="7">B14*P14</f>
        <v>217.6</v>
      </c>
    </row>
    <row r="15" spans="1:17" s="2" customFormat="1" ht="12" customHeight="1" x14ac:dyDescent="0.25">
      <c r="A15" s="4">
        <v>302</v>
      </c>
      <c r="B15" s="2">
        <v>2</v>
      </c>
      <c r="C15" s="135" t="s">
        <v>929</v>
      </c>
      <c r="D15" s="325" t="str">
        <f>VLOOKUP(C15,Purchased!A:B,2,0)</f>
        <v>Flange-Mounted Linear Ball Bearing, Round Flange, 25mm Shaft Diameter, 
112mm x 62mm x 62mm</v>
      </c>
      <c r="E15" s="326"/>
      <c r="F15" s="108" t="str">
        <f>IF(VLOOKUP($C15,Purchased!A:Z,11,0) = 0, " ", VLOOKUP($C15,Purchased!A:Z,11,0))</f>
        <v>PBC</v>
      </c>
      <c r="G15" s="108" t="str">
        <f>IF(VLOOKUP($C15,Purchased!A:Z,12,0)=0, " ", VLOOKUP($C15,Purchased!A:Z,12,0))</f>
        <v>BDI</v>
      </c>
      <c r="H15" s="327" t="str">
        <f>IF(VLOOKUP($C15,Purchased!A:Z,13,0)=0, " ", VLOOKUP($C15,Purchased!A:Z,13,0))</f>
        <v>#  21563309 EPF25GW</v>
      </c>
      <c r="I15" s="328"/>
      <c r="J15" s="46">
        <f>IF(VLOOKUP($C15,Purchased!A:Z,14,0)=0, " ", VLOOKUP($C15,Purchased!A:Z,14,0))</f>
        <v>45460</v>
      </c>
      <c r="K15" s="46">
        <f>IF(VLOOKUP(C15,Purchased!A:R,14,0)=0, " ", VLOOKUP(C15,Purchased!A:R,14,0))</f>
        <v>45460</v>
      </c>
      <c r="L15" s="46">
        <f>IF(VLOOKUP(C15,Purchased!A:R,15,0)=0, " ", VLOOKUP(C15,Purchased!A:R,15,0))</f>
        <v>45462</v>
      </c>
      <c r="M15" s="46">
        <f>IF(VLOOKUP(C15,Purchased!A:R,16,0)=0, " ",VLOOKUP(C15,Purchased!A:R,16,0))</f>
        <v>45495</v>
      </c>
      <c r="N15" s="130">
        <f>IF(VLOOKUP(C15,Purchased!A:R,17,0)=0, " ", VLOOKUP(C15,Purchased!A:R,17,0))</f>
        <v>45495</v>
      </c>
      <c r="O15" s="47">
        <f t="shared" ca="1" si="6"/>
        <v>2</v>
      </c>
      <c r="P15" s="51">
        <f>VLOOKUP(C15,Purchased!A:D,3,FALSE)</f>
        <v>85.86</v>
      </c>
      <c r="Q15" s="52">
        <f t="shared" si="7"/>
        <v>171.72</v>
      </c>
    </row>
    <row r="16" spans="1:17" s="2" customFormat="1" ht="12" customHeight="1" x14ac:dyDescent="0.25">
      <c r="A16" s="4">
        <v>303</v>
      </c>
      <c r="B16" s="2">
        <v>2</v>
      </c>
      <c r="C16" s="135" t="s">
        <v>305</v>
      </c>
      <c r="D16" s="325" t="str">
        <f>VLOOKUP(C16,Purchased!A:B,2,0)</f>
        <v>Auto Switch, Solid State, General Purpose, M8-3Pin Connector, 0.5m Cord 
Length</v>
      </c>
      <c r="E16" s="326"/>
      <c r="F16" s="108" t="str">
        <f>IF(VLOOKUP($C16,Purchased!A:Z,11,0) = 0, " ", VLOOKUP($C16,Purchased!A:Z,11,0))</f>
        <v>SMC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10 more PO 55692</v>
      </c>
      <c r="I16" s="328"/>
      <c r="J16" s="46">
        <f>IF(VLOOKUP($C16,Purchased!A:Z,14,0)=0, " ", VLOOKUP($C16,Purchased!A:Z,14,0))</f>
        <v>45489</v>
      </c>
      <c r="K16" s="46">
        <f>IF(VLOOKUP(C16,Purchased!A:R,14,0)=0, " ", VLOOKUP(C16,Purchased!A:R,14,0))</f>
        <v>45489</v>
      </c>
      <c r="L16" s="46">
        <f>IF(VLOOKUP(C16,Purchased!A:R,15,0)=0, " ", VLOOKUP(C16,Purchased!A:R,15,0))</f>
        <v>45489</v>
      </c>
      <c r="M16" s="46">
        <f>IF(VLOOKUP(C16,Purchased!A:R,16,0)=0, " ",VLOOKUP(C16,Purchased!A:R,16,0))</f>
        <v>45510</v>
      </c>
      <c r="N16" s="130">
        <f>IF(VLOOKUP(C16,Purchased!A:R,17,0)=0, " ", VLOOKUP(C16,Purchased!A:R,17,0))</f>
        <v>45513</v>
      </c>
      <c r="O16" s="47">
        <f t="shared" ca="1" si="6"/>
        <v>2</v>
      </c>
      <c r="P16" s="51">
        <f>VLOOKUP(C16,Purchased!A:D,3,FALSE)</f>
        <v>38.64</v>
      </c>
      <c r="Q16" s="52">
        <f t="shared" si="7"/>
        <v>77.28</v>
      </c>
    </row>
    <row r="17" spans="1:17" s="2" customFormat="1" ht="12" customHeight="1" x14ac:dyDescent="0.25">
      <c r="A17" s="4">
        <v>304</v>
      </c>
      <c r="B17" s="2">
        <v>2</v>
      </c>
      <c r="C17" s="135" t="s">
        <v>930</v>
      </c>
      <c r="D17" s="325" t="str">
        <f>VLOOKUP(C17,Purchased!A:B,2,0)</f>
        <v>Switch Spacer for D-M9PSAPC</v>
      </c>
      <c r="E17" s="326"/>
      <c r="F17" s="108" t="str">
        <f>IF(VLOOKUP($C17,Purchased!A:Z,11,0) = 0, " ", VLOOKUP($C17,Purchased!A:Z,11,0))</f>
        <v>SMC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>4 more PO 55692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45489</v>
      </c>
      <c r="M17" s="46">
        <f>IF(VLOOKUP(C17,Purchased!A:R,16,0)=0, " ",VLOOKUP(C17,Purchased!A:R,16,0))</f>
        <v>45510</v>
      </c>
      <c r="N17" s="130">
        <f>IF(VLOOKUP(C17,Purchased!A:R,17,0)=0, " ", VLOOKUP(C17,Purchased!A:R,17,0))</f>
        <v>45513</v>
      </c>
      <c r="O17" s="47">
        <f t="shared" ca="1" si="6"/>
        <v>2</v>
      </c>
      <c r="P17" s="51">
        <f>VLOOKUP(C17,Purchased!A:D,3,FALSE)</f>
        <v>2.44</v>
      </c>
      <c r="Q17" s="52">
        <f t="shared" si="7"/>
        <v>4.88</v>
      </c>
    </row>
    <row r="18" spans="1:17" s="2" customFormat="1" ht="12" customHeight="1" x14ac:dyDescent="0.25">
      <c r="A18" s="4">
        <v>305</v>
      </c>
      <c r="B18" s="2">
        <v>2</v>
      </c>
      <c r="C18" s="135" t="s">
        <v>931</v>
      </c>
      <c r="D18" s="325" t="str">
        <f>VLOOKUP(C18,Purchased!A:B,2,0)</f>
        <v>KQ2 unifit straight fitting 1/8in port to 6mm dia tubing</v>
      </c>
      <c r="E18" s="326"/>
      <c r="F18" s="108" t="str">
        <f>IF(VLOOKUP($C18,Purchased!A:Z,11,0) = 0, " ", VLOOKUP($C18,Purchased!A:Z,11,0))</f>
        <v>SMC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45491</v>
      </c>
      <c r="M18" s="46">
        <f>IF(VLOOKUP(C18,Purchased!A:R,16,0)=0, " ",VLOOKUP(C18,Purchased!A:R,16,0))</f>
        <v>45520</v>
      </c>
      <c r="N18" s="130">
        <f>IF(VLOOKUP(C18,Purchased!A:R,17,0)=0, " ", VLOOKUP(C18,Purchased!A:R,17,0))</f>
        <v>45511</v>
      </c>
      <c r="O18" s="47">
        <f t="shared" ca="1" si="6"/>
        <v>2</v>
      </c>
      <c r="P18" s="51">
        <f>VLOOKUP(C18,Purchased!A:D,3,FALSE)</f>
        <v>1.7</v>
      </c>
      <c r="Q18" s="52">
        <f t="shared" si="7"/>
        <v>3.4</v>
      </c>
    </row>
    <row r="19" spans="1:17" s="2" customFormat="1" ht="12" customHeight="1" x14ac:dyDescent="0.25">
      <c r="A19" s="4">
        <v>306</v>
      </c>
      <c r="B19" s="2">
        <v>2</v>
      </c>
      <c r="C19" s="135" t="s">
        <v>799</v>
      </c>
      <c r="D19" s="325" t="str">
        <f>VLOOKUP(C19,Purchased!A:B,2,0)</f>
        <v>Speed Controller One Touch Fitting, 6mm dia tubing</v>
      </c>
      <c r="E19" s="326"/>
      <c r="F19" s="108" t="str">
        <f>IF(VLOOKUP($C19,Purchased!A:Z,11,0) = 0, " ", VLOOKUP($C19,Purchased!A:Z,11,0))</f>
        <v>SMC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>10 more PO 55692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45491</v>
      </c>
      <c r="M19" s="46">
        <f>IF(VLOOKUP(C19,Purchased!A:R,16,0)=0, " ",VLOOKUP(C19,Purchased!A:R,16,0))</f>
        <v>45520</v>
      </c>
      <c r="N19" s="130">
        <f>IF(VLOOKUP(C19,Purchased!A:R,17,0)=0, " ", VLOOKUP(C19,Purchased!A:R,17,0))</f>
        <v>45511</v>
      </c>
      <c r="O19" s="47">
        <f t="shared" ca="1" si="6"/>
        <v>2</v>
      </c>
      <c r="P19" s="51">
        <f>VLOOKUP(C19,Purchased!A:D,3,FALSE)</f>
        <v>14.87</v>
      </c>
      <c r="Q19" s="52">
        <f t="shared" si="7"/>
        <v>29.74</v>
      </c>
    </row>
    <row r="20" spans="1:17" s="2" customFormat="1" ht="12" customHeight="1" x14ac:dyDescent="0.25">
      <c r="A20" s="4">
        <v>307</v>
      </c>
      <c r="B20" s="2">
        <v>2</v>
      </c>
      <c r="C20" s="135" t="s">
        <v>932</v>
      </c>
      <c r="D20" s="325" t="str">
        <f>VLOOKUP(C20,Purchased!A:B,2,0)</f>
        <v>Floating bracket for MY3 series 25mm bore</v>
      </c>
      <c r="E20" s="326"/>
      <c r="F20" s="108" t="str">
        <f>IF(VLOOKUP($C20,Purchased!A:Z,11,0) = 0, " ", VLOOKUP($C20,Purchased!A:Z,11,0))</f>
        <v>SMC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45489</v>
      </c>
      <c r="K20" s="46">
        <f>IF(VLOOKUP(C20,Purchased!A:R,14,0)=0, " ", VLOOKUP(C20,Purchased!A:R,14,0))</f>
        <v>45489</v>
      </c>
      <c r="L20" s="46">
        <f>IF(VLOOKUP(C20,Purchased!A:R,15,0)=0, " ", VLOOKUP(C20,Purchased!A:R,15,0))</f>
        <v>45489</v>
      </c>
      <c r="M20" s="46">
        <f>IF(VLOOKUP(C20,Purchased!A:R,16,0)=0, " ",VLOOKUP(C20,Purchased!A:R,16,0))</f>
        <v>45510</v>
      </c>
      <c r="N20" s="130">
        <f>IF(VLOOKUP(C20,Purchased!A:R,17,0)=0, " ", VLOOKUP(C20,Purchased!A:R,17,0))</f>
        <v>45513</v>
      </c>
      <c r="O20" s="47">
        <f t="shared" ca="1" si="6"/>
        <v>2</v>
      </c>
      <c r="P20" s="51">
        <f>VLOOKUP(C20,Purchased!A:D,3,FALSE)</f>
        <v>31.94</v>
      </c>
      <c r="Q20" s="52">
        <f t="shared" si="7"/>
        <v>63.88</v>
      </c>
    </row>
    <row r="21" spans="1:17" s="2" customFormat="1" ht="12" customHeight="1" x14ac:dyDescent="0.25">
      <c r="A21" s="4">
        <v>308</v>
      </c>
      <c r="B21" s="2">
        <v>1</v>
      </c>
      <c r="C21" s="135" t="s">
        <v>933</v>
      </c>
      <c r="D21" s="325" t="str">
        <f>VLOOKUP(C21,Purchased!A:B,2,0)</f>
        <v>MY3 Rodless cylinder, 25mm bore, 200mm stroke</v>
      </c>
      <c r="E21" s="326"/>
      <c r="F21" s="108" t="str">
        <f>IF(VLOOKUP($C21,Purchased!A:Z,11,0) = 0, " ", VLOOKUP($C21,Purchased!A:Z,11,0))</f>
        <v>SMC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45489</v>
      </c>
      <c r="K21" s="46">
        <f>IF(VLOOKUP(C21,Purchased!A:R,14,0)=0, " ", VLOOKUP(C21,Purchased!A:R,14,0))</f>
        <v>45489</v>
      </c>
      <c r="L21" s="46">
        <f>IF(VLOOKUP(C21,Purchased!A:R,15,0)=0, " ", VLOOKUP(C21,Purchased!A:R,15,0))</f>
        <v>45489</v>
      </c>
      <c r="M21" s="46">
        <f>IF(VLOOKUP(C21,Purchased!A:R,16,0)=0, " ",VLOOKUP(C21,Purchased!A:R,16,0))</f>
        <v>45510</v>
      </c>
      <c r="N21" s="130">
        <f>IF(VLOOKUP(C21,Purchased!A:R,17,0)=0, " ", VLOOKUP(C21,Purchased!A:R,17,0))</f>
        <v>45541</v>
      </c>
      <c r="O21" s="47">
        <f t="shared" ca="1" si="6"/>
        <v>1</v>
      </c>
      <c r="P21" s="51">
        <f>VLOOKUP(C21,Purchased!A:D,3,FALSE)</f>
        <v>308.31</v>
      </c>
      <c r="Q21" s="52">
        <f t="shared" si="7"/>
        <v>308.31</v>
      </c>
    </row>
    <row r="22" spans="1:17" s="2" customFormat="1" ht="12" customHeight="1" x14ac:dyDescent="0.25">
      <c r="A22" s="4">
        <v>309</v>
      </c>
      <c r="B22" s="2">
        <v>1</v>
      </c>
      <c r="C22" s="135" t="s">
        <v>934</v>
      </c>
      <c r="D22" s="325" t="str">
        <f>VLOOKUP(C22,Purchased!A:B,2,0)</f>
        <v>Coiled tubing, 6mm OD 4mm OD, dual tubes</v>
      </c>
      <c r="E22" s="326"/>
      <c r="F22" s="108" t="str">
        <f>IF(VLOOKUP($C22,Purchased!A:Z,11,0) = 0, " ", VLOOKUP($C22,Purchased!A:Z,11,0))</f>
        <v>SMC</v>
      </c>
      <c r="G22" s="108" t="str">
        <f>IF(VLOOKUP($C22,Purchased!A:Z,12,0)=0, " ", VLOOKUP($C22,Purchased!A:Z,12,0))</f>
        <v>AAP</v>
      </c>
      <c r="H22" s="327" t="str">
        <f>IF(VLOOKUP($C22,Purchased!A:Z,13,0)=0, " ", VLOOKUP($C22,Purchased!A:Z,13,0))</f>
        <v xml:space="preserve"> </v>
      </c>
      <c r="I22" s="328"/>
      <c r="J22" s="46" t="str">
        <f>IF(VLOOKUP($C22,Purchased!A:Z,14,0)=0, " ", VLOOKUP($C22,Purchased!A:Z,14,0))</f>
        <v>N/A</v>
      </c>
      <c r="K22" s="46" t="str">
        <f>IF(VLOOKUP(C22,Purchased!A:R,14,0)=0, " ", VLOOKUP(C22,Purchased!A:R,14,0))</f>
        <v>N/A</v>
      </c>
      <c r="L22" s="46">
        <f>IF(VLOOKUP(C22,Purchased!A:R,15,0)=0, " ", VLOOKUP(C22,Purchased!A:R,15,0))</f>
        <v>45524</v>
      </c>
      <c r="M22" s="46">
        <f>IF(VLOOKUP(C22,Purchased!A:R,16,0)=0, " ",VLOOKUP(C22,Purchased!A:R,16,0))</f>
        <v>45547</v>
      </c>
      <c r="N22" s="130">
        <f>IF(VLOOKUP(C22,Purchased!A:R,17,0)=0, " ", VLOOKUP(C22,Purchased!A:R,17,0))</f>
        <v>45530</v>
      </c>
      <c r="O22" s="47">
        <f t="shared" ca="1" si="6"/>
        <v>1</v>
      </c>
      <c r="P22" s="51">
        <f>VLOOKUP(C22,Purchased!A:D,3,FALSE)</f>
        <v>25.92</v>
      </c>
      <c r="Q22" s="52">
        <f t="shared" si="7"/>
        <v>25.92</v>
      </c>
    </row>
    <row r="23" spans="1:17" s="2" customFormat="1" ht="12" customHeight="1" x14ac:dyDescent="0.25">
      <c r="A23" s="4">
        <v>310</v>
      </c>
      <c r="B23" s="2">
        <v>2</v>
      </c>
      <c r="C23" s="135" t="s">
        <v>306</v>
      </c>
      <c r="D23" s="325" t="str">
        <f>VLOOKUP(C23,Purchased!A:B,2,0)</f>
        <v>M8 female 0° A-cod. with cable, PVC 3x0.25 bk UL/CSA 10m</v>
      </c>
      <c r="E23" s="326"/>
      <c r="F23" s="108" t="str">
        <f>IF(VLOOKUP($C23,Purchased!A:Z,11,0) = 0, " ", VLOOKUP($C23,Purchased!A:Z,11,0))</f>
        <v>MURR</v>
      </c>
      <c r="G23" s="108" t="str">
        <f>IF(VLOOKUP($C23,Purchased!A:Z,12,0)=0, " ", VLOOKUP($C23,Purchased!A:Z,12,0))</f>
        <v>MURR</v>
      </c>
      <c r="H23" s="327" t="str">
        <f>IF(VLOOKUP($C23,Purchased!A:Z,13,0)=0, " ", VLOOKUP($C23,Purchased!A:Z,13,0))</f>
        <v xml:space="preserve"> </v>
      </c>
      <c r="I23" s="328"/>
      <c r="J23" s="46">
        <f>IF(VLOOKUP($C23,Purchased!A:Z,14,0)=0, " ", VLOOKUP($C23,Purchased!A:Z,14,0))</f>
        <v>45506</v>
      </c>
      <c r="K23" s="46">
        <f>IF(VLOOKUP(C23,Purchased!A:R,14,0)=0, " ", VLOOKUP(C23,Purchased!A:R,14,0))</f>
        <v>45506</v>
      </c>
      <c r="L23" s="46" t="str">
        <f>IF(VLOOKUP(C23,Purchased!A:R,15,0)=0, " ", VLOOKUP(C23,Purchased!A:R,15,0))</f>
        <v xml:space="preserve"> </v>
      </c>
      <c r="M23" s="46" t="str">
        <f>IF(VLOOKUP(C23,Purchased!A:R,16,0)=0, " ",VLOOKUP(C23,Purchased!A:R,16,0))</f>
        <v xml:space="preserve"> </v>
      </c>
      <c r="N23" s="130" t="str">
        <f>IF(VLOOKUP(C23,Purchased!A:R,17,0)=0, " ", VLOOKUP(C23,Purchased!A:R,17,0))</f>
        <v xml:space="preserve"> </v>
      </c>
      <c r="O23" s="47">
        <f t="shared" ca="1" si="6"/>
        <v>2</v>
      </c>
      <c r="P23" s="51">
        <f>VLOOKUP(C23,Purchased!A:D,3,FALSE)</f>
        <v>0</v>
      </c>
      <c r="Q23" s="52">
        <f t="shared" si="7"/>
        <v>0</v>
      </c>
    </row>
    <row r="24" spans="1:17" s="2" customFormat="1" ht="12" customHeight="1" x14ac:dyDescent="0.25">
      <c r="A24" s="25"/>
      <c r="B24" s="26"/>
      <c r="C24" s="26"/>
      <c r="D24" s="332"/>
      <c r="E24" s="333"/>
      <c r="F24" s="26"/>
      <c r="G24" s="26"/>
      <c r="H24" s="322"/>
      <c r="I24" s="323"/>
      <c r="J24" s="27"/>
      <c r="K24" s="27"/>
      <c r="L24" s="27"/>
      <c r="M24" s="28"/>
      <c r="N24" s="29"/>
      <c r="O24" s="29"/>
      <c r="P24" s="148"/>
      <c r="Q24" s="149"/>
    </row>
    <row r="25" spans="1:17" s="2" customFormat="1" ht="12" customHeight="1" x14ac:dyDescent="0.25">
      <c r="A25" s="4">
        <v>501</v>
      </c>
      <c r="B25" s="2">
        <v>4</v>
      </c>
      <c r="C25" s="122" t="s">
        <v>823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ref="O25:O31" ca="1" si="8">B25*$L$2</f>
        <v>4</v>
      </c>
      <c r="P25" s="51">
        <f>VLOOKUP(C25,Bolts!A:B,2,FALSE)</f>
        <v>0</v>
      </c>
      <c r="Q25" s="52">
        <f t="shared" ref="Q25:Q31" si="9">B25*P25</f>
        <v>0</v>
      </c>
    </row>
    <row r="26" spans="1:17" s="2" customFormat="1" ht="12" customHeight="1" x14ac:dyDescent="0.25">
      <c r="A26" s="4">
        <v>502</v>
      </c>
      <c r="B26" s="2">
        <v>8</v>
      </c>
      <c r="C26" s="122" t="s">
        <v>107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8"/>
        <v>8</v>
      </c>
      <c r="P26" s="51">
        <f>VLOOKUP(C26,Bolts!A:B,2,FALSE)</f>
        <v>0</v>
      </c>
      <c r="Q26" s="52">
        <f t="shared" si="9"/>
        <v>0</v>
      </c>
    </row>
    <row r="27" spans="1:17" s="2" customFormat="1" ht="12" customHeight="1" x14ac:dyDescent="0.25">
      <c r="A27" s="4">
        <v>503</v>
      </c>
      <c r="B27" s="2">
        <v>12</v>
      </c>
      <c r="C27" s="122" t="s">
        <v>617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8"/>
        <v>12</v>
      </c>
      <c r="P27" s="51">
        <f>VLOOKUP(C27,Bolts!A:B,2,FALSE)</f>
        <v>0</v>
      </c>
      <c r="Q27" s="52">
        <f t="shared" si="9"/>
        <v>0</v>
      </c>
    </row>
    <row r="28" spans="1:17" s="2" customFormat="1" ht="12" customHeight="1" x14ac:dyDescent="0.25">
      <c r="A28" s="4">
        <v>504</v>
      </c>
      <c r="B28" s="2">
        <v>12</v>
      </c>
      <c r="C28" s="122" t="s">
        <v>349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8"/>
        <v>12</v>
      </c>
      <c r="P28" s="51">
        <f>VLOOKUP(C28,Bolts!A:B,2,FALSE)</f>
        <v>0</v>
      </c>
      <c r="Q28" s="52">
        <f t="shared" si="9"/>
        <v>0</v>
      </c>
    </row>
    <row r="29" spans="1:17" s="2" customFormat="1" ht="12" customHeight="1" x14ac:dyDescent="0.25">
      <c r="A29" s="4">
        <v>505</v>
      </c>
      <c r="B29" s="2">
        <v>4</v>
      </c>
      <c r="C29" s="122" t="s">
        <v>830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8"/>
        <v>4</v>
      </c>
      <c r="P29" s="51">
        <f>VLOOKUP(C29,Bolts!A:B,2,FALSE)</f>
        <v>0</v>
      </c>
      <c r="Q29" s="52">
        <f t="shared" si="9"/>
        <v>0</v>
      </c>
    </row>
    <row r="30" spans="1:17" s="2" customFormat="1" ht="12" customHeight="1" x14ac:dyDescent="0.25">
      <c r="A30" s="4">
        <v>506</v>
      </c>
      <c r="B30" s="2">
        <v>4</v>
      </c>
      <c r="C30" s="122" t="s">
        <v>95</v>
      </c>
      <c r="D30" s="325"/>
      <c r="E30" s="326"/>
      <c r="F30" s="108">
        <f>VLOOKUP(C30,Bolts!A:L,5,0)</f>
        <v>0</v>
      </c>
      <c r="G30" s="108">
        <f>VLOOKUP(C30,Bolts!A:L,6,0)</f>
        <v>0</v>
      </c>
      <c r="H30" s="108">
        <f>VLOOKUP(C30,Bolts!A:L,7,0)</f>
        <v>0</v>
      </c>
      <c r="I30" s="109"/>
      <c r="J30" s="46">
        <f>VLOOKUP(C30,Bolts!A:L,8,0)</f>
        <v>0</v>
      </c>
      <c r="K30" s="46">
        <f>VLOOKUP(C30,Bolts!A:L,9,0)</f>
        <v>0</v>
      </c>
      <c r="L30" s="46">
        <f>VLOOKUP(C30,Bolts!A:L,10,0)</f>
        <v>0</v>
      </c>
      <c r="M30" s="46">
        <f>VLOOKUP(C30,Bolts!A:L,11,0)</f>
        <v>0</v>
      </c>
      <c r="N30" s="130">
        <f>VLOOKUP(C30,Bolts!A:L,12,0)</f>
        <v>0</v>
      </c>
      <c r="O30" s="47">
        <f t="shared" ca="1" si="8"/>
        <v>4</v>
      </c>
      <c r="P30" s="51">
        <f>VLOOKUP(C30,Bolts!A:B,2,FALSE)</f>
        <v>0</v>
      </c>
      <c r="Q30" s="52">
        <f t="shared" si="9"/>
        <v>0</v>
      </c>
    </row>
    <row r="31" spans="1:17" s="2" customFormat="1" ht="12" customHeight="1" thickBot="1" x14ac:dyDescent="0.3">
      <c r="A31" s="4">
        <v>507</v>
      </c>
      <c r="B31" s="2">
        <v>12</v>
      </c>
      <c r="C31" s="122" t="s">
        <v>660</v>
      </c>
      <c r="D31" s="325"/>
      <c r="E31" s="326"/>
      <c r="F31" s="108">
        <f>VLOOKUP(C31,Bolts!A:L,5,0)</f>
        <v>0</v>
      </c>
      <c r="G31" s="108">
        <f>VLOOKUP(C31,Bolts!A:L,6,0)</f>
        <v>0</v>
      </c>
      <c r="H31" s="108">
        <f>VLOOKUP(C31,Bolts!A:L,7,0)</f>
        <v>0</v>
      </c>
      <c r="I31" s="109"/>
      <c r="J31" s="46">
        <f>VLOOKUP(C31,Bolts!A:L,8,0)</f>
        <v>0</v>
      </c>
      <c r="K31" s="46">
        <f>VLOOKUP(C31,Bolts!A:L,9,0)</f>
        <v>0</v>
      </c>
      <c r="L31" s="46">
        <f>VLOOKUP(C31,Bolts!A:L,10,0)</f>
        <v>0</v>
      </c>
      <c r="M31" s="46">
        <f>VLOOKUP(C31,Bolts!A:L,11,0)</f>
        <v>0</v>
      </c>
      <c r="N31" s="130">
        <f>VLOOKUP(C31,Bolts!A:L,12,0)</f>
        <v>0</v>
      </c>
      <c r="O31" s="47">
        <f t="shared" ca="1" si="8"/>
        <v>12</v>
      </c>
      <c r="P31" s="51">
        <f>VLOOKUP(C31,Bolts!A:B,2,FALSE)</f>
        <v>0</v>
      </c>
      <c r="Q31" s="52">
        <f t="shared" si="9"/>
        <v>0</v>
      </c>
    </row>
    <row r="32" spans="1:17" s="2" customFormat="1" ht="12" customHeight="1" thickBot="1" x14ac:dyDescent="0.3">
      <c r="A32" s="34"/>
      <c r="B32" s="35"/>
      <c r="C32" s="35"/>
      <c r="D32" s="316"/>
      <c r="E32" s="317"/>
      <c r="F32" s="35"/>
      <c r="G32" s="35"/>
      <c r="H32" s="309"/>
      <c r="I32" s="310"/>
      <c r="J32" s="36"/>
      <c r="K32" s="36"/>
      <c r="L32" s="36"/>
      <c r="M32" s="37"/>
      <c r="N32" s="132"/>
      <c r="O32" s="38"/>
      <c r="P32" s="99" t="s">
        <v>43</v>
      </c>
      <c r="Q32" s="104">
        <f>SUM(Q5:Q31)</f>
        <v>5580.0662999999995</v>
      </c>
    </row>
  </sheetData>
  <mergeCells count="52">
    <mergeCell ref="D30:E30"/>
    <mergeCell ref="D31:E31"/>
    <mergeCell ref="D32:E32"/>
    <mergeCell ref="H32:I32"/>
    <mergeCell ref="D25:E25"/>
    <mergeCell ref="D26:E26"/>
    <mergeCell ref="D27:E27"/>
    <mergeCell ref="D28:E28"/>
    <mergeCell ref="D29:E29"/>
    <mergeCell ref="D22:E22"/>
    <mergeCell ref="H22:I22"/>
    <mergeCell ref="D23:E23"/>
    <mergeCell ref="H23:I23"/>
    <mergeCell ref="D24:E24"/>
    <mergeCell ref="H24:I24"/>
    <mergeCell ref="D19:E19"/>
    <mergeCell ref="H19:I19"/>
    <mergeCell ref="D20:E20"/>
    <mergeCell ref="H20:I20"/>
    <mergeCell ref="D21:E21"/>
    <mergeCell ref="H21:I21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D12:E12"/>
    <mergeCell ref="H12:I12"/>
    <mergeCell ref="D7:E7"/>
    <mergeCell ref="H7:I7"/>
    <mergeCell ref="D8:E8"/>
    <mergeCell ref="H8:I8"/>
    <mergeCell ref="D10:E10"/>
    <mergeCell ref="H10:I10"/>
    <mergeCell ref="D11:E11"/>
    <mergeCell ref="H11:I11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10 M13 M24:M31">
    <cfRule type="cellIs" dxfId="1020" priority="23" stopIfTrue="1" operator="lessThanOrEqual">
      <formula>$L10</formula>
    </cfRule>
    <cfRule type="cellIs" dxfId="1019" priority="24" operator="greaterThan">
      <formula>L10</formula>
    </cfRule>
  </conditionalFormatting>
  <conditionalFormatting sqref="M14">
    <cfRule type="cellIs" dxfId="1018" priority="19" stopIfTrue="1" operator="lessThanOrEqual">
      <formula>$L14</formula>
    </cfRule>
    <cfRule type="cellIs" dxfId="1017" priority="20" operator="greaterThan">
      <formula>L14</formula>
    </cfRule>
  </conditionalFormatting>
  <conditionalFormatting sqref="M15">
    <cfRule type="cellIs" dxfId="1016" priority="17" stopIfTrue="1" operator="lessThanOrEqual">
      <formula>$L15</formula>
    </cfRule>
    <cfRule type="cellIs" dxfId="1015" priority="18" operator="greaterThan">
      <formula>L15</formula>
    </cfRule>
  </conditionalFormatting>
  <conditionalFormatting sqref="M16">
    <cfRule type="cellIs" dxfId="1014" priority="15" stopIfTrue="1" operator="lessThanOrEqual">
      <formula>$L16</formula>
    </cfRule>
    <cfRule type="cellIs" dxfId="1013" priority="16" operator="greaterThan">
      <formula>L16</formula>
    </cfRule>
  </conditionalFormatting>
  <conditionalFormatting sqref="M17:M23">
    <cfRule type="cellIs" dxfId="1012" priority="1" stopIfTrue="1" operator="lessThanOrEqual">
      <formula>$L17</formula>
    </cfRule>
    <cfRule type="cellIs" dxfId="1011" priority="2" operator="greaterThan">
      <formula>L17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5DBEE99-C4FD-4FEB-8400-03895EB8B3FF}">
          <x14:formula1>
            <xm:f>Bolts!$A:$A</xm:f>
          </x14:formula1>
          <xm:sqref>C24:C31</xm:sqref>
        </x14:dataValidation>
        <x14:dataValidation type="list" allowBlank="1" showInputMessage="1" showErrorMessage="1" xr:uid="{27D1EEC9-909F-4CF4-83CC-F904570B1800}">
          <x14:formula1>
            <xm:f>Assemblies!$E:$E</xm:f>
          </x14:formula1>
          <xm:sqref>C11:C12 C5:C9</xm:sqref>
        </x14:dataValidation>
        <x14:dataValidation type="list" allowBlank="1" showInputMessage="1" showErrorMessage="1" xr:uid="{FAAB5508-C689-4D98-892F-7AC6605E4B44}">
          <x14:formula1>
            <xm:f>Machined!$C:$C</xm:f>
          </x14:formula1>
          <xm:sqref>C10 C14:C18</xm:sqref>
        </x14:dataValidation>
        <x14:dataValidation type="list" allowBlank="1" showInputMessage="1" showErrorMessage="1" xr:uid="{2D6D0357-5D42-4CA8-94D2-5D6D104EA8E0}">
          <x14:formula1>
            <xm:f>Purchased!$A:$A</xm:f>
          </x14:formula1>
          <xm:sqref>C13 C19:C23</xm:sqref>
        </x14:dataValidation>
      </x14:dataValidations>
    </ext>
  </extLst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FDBB9-7206-483D-8A44-834D3059AE31}">
  <sheetPr codeName="Sheet151">
    <tabColor theme="3" tint="0.79998168889431442"/>
  </sheetPr>
  <dimension ref="A1:Q21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'6.3.1'!C5</f>
        <v>PG10.6.3.1.1.0.A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'6.3.1'!D5</f>
        <v>Pick Cylinder Stop Assy B Side</v>
      </c>
      <c r="D3" s="85" t="s">
        <v>50</v>
      </c>
      <c r="E3" s="86" t="str">
        <f ca="1">MID(CELL("filename",A1),FIND("]",CELL("filename",A1))+1,256)</f>
        <v>6.3.1.1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">
        <v>1</v>
      </c>
      <c r="C5" s="121" t="s">
        <v>935</v>
      </c>
      <c r="D5" s="314" t="str">
        <f>VLOOKUP(C5,Machined!C:X,2,0)</f>
        <v>CYLINDER STOP BASE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t="shared" ref="O5:O8" ca="1" si="0">B5*$L$2</f>
        <v>1</v>
      </c>
      <c r="P5" s="49">
        <f>VLOOKUP(C5,Machined!C:F,3,0)</f>
        <v>237</v>
      </c>
      <c r="Q5" s="50">
        <f t="shared" ref="Q5:Q8" si="1">B5*P5</f>
        <v>237</v>
      </c>
    </row>
    <row r="6" spans="1:17" s="2" customFormat="1" ht="12.75" customHeight="1" x14ac:dyDescent="0.25">
      <c r="A6" s="77">
        <v>2</v>
      </c>
      <c r="B6" s="20">
        <v>1</v>
      </c>
      <c r="C6" s="121" t="s">
        <v>936</v>
      </c>
      <c r="D6" s="314" t="str">
        <f>VLOOKUP(C6,Machined!C:X,2,0)</f>
        <v>STOP ADJUSTMENT BLOCK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45463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55572</v>
      </c>
      <c r="O6" s="45">
        <f t="shared" ca="1" si="0"/>
        <v>1</v>
      </c>
      <c r="P6" s="49">
        <f>VLOOKUP(C6,Machined!C:F,3,0)</f>
        <v>91</v>
      </c>
      <c r="Q6" s="50">
        <f t="shared" si="1"/>
        <v>91</v>
      </c>
    </row>
    <row r="7" spans="1:17" s="2" customFormat="1" ht="12.75" customHeight="1" x14ac:dyDescent="0.25">
      <c r="A7" s="77">
        <v>3</v>
      </c>
      <c r="B7" s="20">
        <v>1</v>
      </c>
      <c r="C7" s="121" t="s">
        <v>937</v>
      </c>
      <c r="D7" s="314" t="str">
        <f>VLOOKUP(C7,Machined!C:X,2,0)</f>
        <v>CYLINDER STOP BLOCK</v>
      </c>
      <c r="E7" s="329"/>
      <c r="F7" s="107" t="str">
        <f>VLOOKUP($C7,Machined!C:Z,13,0)</f>
        <v>1018 COLD ROLLED STEEL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1018 COLD ROLLED STEEL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1</v>
      </c>
      <c r="P7" s="49">
        <f>VLOOKUP(C7,Machined!C:F,3,0)</f>
        <v>156</v>
      </c>
      <c r="Q7" s="50">
        <f t="shared" si="1"/>
        <v>156</v>
      </c>
    </row>
    <row r="8" spans="1:17" s="2" customFormat="1" ht="12.75" customHeight="1" x14ac:dyDescent="0.25">
      <c r="A8" s="77">
        <v>4</v>
      </c>
      <c r="B8" s="20">
        <v>2</v>
      </c>
      <c r="C8" s="121" t="s">
        <v>938</v>
      </c>
      <c r="D8" s="314" t="str">
        <f>VLOOKUP(C8,Machined!C:X,2,0)</f>
        <v>CYLINDER STOP CLAMP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45463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55572</v>
      </c>
      <c r="O8" s="45">
        <f t="shared" ca="1" si="0"/>
        <v>2</v>
      </c>
      <c r="P8" s="49">
        <f>VLOOKUP(C8,Machined!C:F,3,0)</f>
        <v>34.25</v>
      </c>
      <c r="Q8" s="50">
        <f t="shared" si="1"/>
        <v>68.5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1</v>
      </c>
      <c r="C10" s="135" t="s">
        <v>939</v>
      </c>
      <c r="D10" s="325" t="str">
        <f>VLOOKUP(C10,Purchased!A:B,2,0)</f>
        <v>Knurled head, hex socket, M8 X 1.25, 50mm L</v>
      </c>
      <c r="E10" s="326"/>
      <c r="F10" s="108" t="str">
        <f>IF(VLOOKUP($C10,Purchased!A:Z,11,0) = 0, " ", VLOOKUP($C10,Purchased!A:Z,11,0))</f>
        <v>MISUMI</v>
      </c>
      <c r="G10" s="108" t="str">
        <f>IF(VLOOKUP($C10,Purchased!A:Z,12,0)=0, " ", VLOOKUP($C10,Purchased!A:Z,12,0))</f>
        <v>MISUMI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45483</v>
      </c>
      <c r="K10" s="46">
        <f>IF(VLOOKUP(C10,Purchased!A:R,14,0)=0, " ", VLOOKUP(C10,Purchased!A:R,14,0))</f>
        <v>45483</v>
      </c>
      <c r="L10" s="46">
        <f>IF(VLOOKUP(C10,Purchased!A:R,15,0)=0, " ", VLOOKUP(C10,Purchased!A:R,15,0))</f>
        <v>45483</v>
      </c>
      <c r="M10" s="46">
        <f>IF(VLOOKUP(C10,Purchased!A:R,16,0)=0, " ",VLOOKUP(C10,Purchased!A:R,16,0))</f>
        <v>45512</v>
      </c>
      <c r="N10" s="130">
        <f>IF(VLOOKUP(C10,Purchased!A:R,17,0)=0, " ", VLOOKUP(C10,Purchased!A:R,17,0))</f>
        <v>45512</v>
      </c>
      <c r="O10" s="47">
        <f t="shared" ref="O10:O14" ca="1" si="2">B10*$L$2</f>
        <v>1</v>
      </c>
      <c r="P10" s="51">
        <f>VLOOKUP(C10,Purchased!A:D,3,FALSE)</f>
        <v>11.77</v>
      </c>
      <c r="Q10" s="52">
        <f t="shared" ref="Q10:Q14" si="3">B10*P10</f>
        <v>11.77</v>
      </c>
    </row>
    <row r="11" spans="1:17" s="2" customFormat="1" ht="12" customHeight="1" x14ac:dyDescent="0.25">
      <c r="A11" s="4">
        <v>302</v>
      </c>
      <c r="B11" s="2">
        <v>1</v>
      </c>
      <c r="C11" s="135" t="s">
        <v>306</v>
      </c>
      <c r="D11" s="325" t="str">
        <f>VLOOKUP(C11,Purchased!A:B,2,0)</f>
        <v>M8 female 0° A-cod. with cable, PVC 3x0.25 bk UL/CSA 10m</v>
      </c>
      <c r="E11" s="326"/>
      <c r="F11" s="108" t="str">
        <f>IF(VLOOKUP($C11,Purchased!A:Z,11,0) = 0, " ", VLOOKUP($C11,Purchased!A:Z,11,0))</f>
        <v>MURR</v>
      </c>
      <c r="G11" s="108" t="str">
        <f>IF(VLOOKUP($C11,Purchased!A:Z,12,0)=0, " ", VLOOKUP($C11,Purchased!A:Z,12,0))</f>
        <v>MURR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2"/>
        <v>1</v>
      </c>
      <c r="P11" s="51">
        <f>VLOOKUP(C11,Purchased!A:D,3,FALSE)</f>
        <v>0</v>
      </c>
      <c r="Q11" s="52">
        <f t="shared" si="3"/>
        <v>0</v>
      </c>
    </row>
    <row r="12" spans="1:17" s="2" customFormat="1" ht="12" customHeight="1" x14ac:dyDescent="0.25">
      <c r="A12" s="4">
        <v>303</v>
      </c>
      <c r="B12" s="2">
        <v>4</v>
      </c>
      <c r="C12" s="135" t="s">
        <v>940</v>
      </c>
      <c r="D12" s="325" t="str">
        <f>VLOOKUP(C12,Purchased!A:B,2,0)</f>
        <v>Clamping Levers with Eccentrical Cam, M6 thread GN.67091</v>
      </c>
      <c r="E12" s="326"/>
      <c r="F12" s="108" t="str">
        <f>IF(VLOOKUP($C12,Purchased!A:Z,11,0) = 0, " ", VLOOKUP($C12,Purchased!A:Z,11,0))</f>
        <v>ELESA</v>
      </c>
      <c r="G12" s="108" t="str">
        <f>IF(VLOOKUP($C12,Purchased!A:Z,12,0)=0, " ", VLOOKUP($C12,Purchased!A:Z,12,0))</f>
        <v>ELESA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45506</v>
      </c>
      <c r="K12" s="46">
        <f>IF(VLOOKUP(C12,Purchased!A:R,14,0)=0, " ", VLOOKUP(C12,Purchased!A:R,14,0))</f>
        <v>45506</v>
      </c>
      <c r="L12" s="46">
        <f>IF(VLOOKUP(C12,Purchased!A:R,15,0)=0, " ", VLOOKUP(C12,Purchased!A:R,15,0))</f>
        <v>45526</v>
      </c>
      <c r="M12" s="46">
        <f>IF(VLOOKUP(C12,Purchased!A:R,16,0)=0, " ",VLOOKUP(C12,Purchased!A:R,16,0))</f>
        <v>45551</v>
      </c>
      <c r="N12" s="130">
        <f>IF(VLOOKUP(C12,Purchased!A:R,17,0)=0, " ", VLOOKUP(C12,Purchased!A:R,17,0))</f>
        <v>45551</v>
      </c>
      <c r="O12" s="47">
        <f t="shared" ca="1" si="2"/>
        <v>4</v>
      </c>
      <c r="P12" s="51">
        <f>VLOOKUP(C12,Purchased!A:D,3,FALSE)</f>
        <v>20.76</v>
      </c>
      <c r="Q12" s="52">
        <f t="shared" si="3"/>
        <v>83.04</v>
      </c>
    </row>
    <row r="13" spans="1:17" s="2" customFormat="1" ht="12" customHeight="1" x14ac:dyDescent="0.25">
      <c r="A13" s="4">
        <v>304</v>
      </c>
      <c r="B13" s="2">
        <v>1</v>
      </c>
      <c r="C13" s="135" t="s">
        <v>941</v>
      </c>
      <c r="D13" s="325" t="str">
        <f>VLOOKUP(C13,Purchased!A:B,2,0)</f>
        <v>Adhesive-Back Ruler, Yellow Steel, Reads Left to Right, mm Graduations, 3 M 
Long, 1/4" Wide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2"/>
        <v>1</v>
      </c>
      <c r="P13" s="51">
        <f>VLOOKUP(C13,Purchased!A:D,3,FALSE)</f>
        <v>0</v>
      </c>
      <c r="Q13" s="52">
        <f t="shared" si="3"/>
        <v>0</v>
      </c>
    </row>
    <row r="14" spans="1:17" s="2" customFormat="1" ht="12" customHeight="1" x14ac:dyDescent="0.25">
      <c r="A14" s="4">
        <v>305</v>
      </c>
      <c r="B14" s="2">
        <v>1</v>
      </c>
      <c r="C14" s="135" t="s">
        <v>942</v>
      </c>
      <c r="D14" s="325" t="str">
        <f>VLOOKUP(C14,Purchased!A:B,2,0)</f>
        <v>Proximity Sensor, 3mm sensing distance</v>
      </c>
      <c r="E14" s="326"/>
      <c r="F14" s="108" t="str">
        <f>IF(VLOOKUP($C14,Purchased!A:Z,11,0) = 0, " ", VLOOKUP($C14,Purchased!A:Z,11,0))</f>
        <v>MICRO DETECTORS</v>
      </c>
      <c r="G14" s="108" t="str">
        <f>IF(VLOOKUP($C14,Purchased!A:Z,12,0)=0, " ", VLOOKUP($C14,Purchased!A:Z,12,0))</f>
        <v>AUTO DIRECT</v>
      </c>
      <c r="H14" s="327" t="str">
        <f>IF(VLOOKUP($C14,Purchased!A:Z,13,0)=0, " ", VLOOKUP($C14,Purchased!A:Z,13,0))</f>
        <v>1 IN NULINE STOCK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 t="str">
        <f>IF(VLOOKUP(C14,Purchased!A:R,15,0)=0, " ", VLOOKUP(C14,Purchased!A:R,15,0))</f>
        <v xml:space="preserve"> 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2"/>
        <v>1</v>
      </c>
      <c r="P14" s="51">
        <f>VLOOKUP(C14,Purchased!A:D,3,FALSE)</f>
        <v>30.5</v>
      </c>
      <c r="Q14" s="52">
        <f t="shared" si="3"/>
        <v>30.5</v>
      </c>
    </row>
    <row r="15" spans="1:17" s="2" customFormat="1" ht="12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" customHeight="1" x14ac:dyDescent="0.25">
      <c r="A16" s="4">
        <v>501</v>
      </c>
      <c r="B16" s="2">
        <v>4</v>
      </c>
      <c r="C16" s="122" t="s">
        <v>943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ref="O16:O20" ca="1" si="4">B16*$L$2</f>
        <v>4</v>
      </c>
      <c r="P16" s="51">
        <f>VLOOKUP(C16,Bolts!A:B,2,FALSE)</f>
        <v>0</v>
      </c>
      <c r="Q16" s="52">
        <f t="shared" ref="Q16:Q20" si="5">B16*P16</f>
        <v>0</v>
      </c>
    </row>
    <row r="17" spans="1:17" s="2" customFormat="1" ht="12" customHeight="1" x14ac:dyDescent="0.25">
      <c r="A17" s="4">
        <v>502</v>
      </c>
      <c r="B17" s="2">
        <v>2</v>
      </c>
      <c r="C17" s="122" t="s">
        <v>807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4"/>
        <v>2</v>
      </c>
      <c r="P17" s="51">
        <f>VLOOKUP(C17,Bolts!A:B,2,FALSE)</f>
        <v>0</v>
      </c>
      <c r="Q17" s="52">
        <f t="shared" si="5"/>
        <v>0</v>
      </c>
    </row>
    <row r="18" spans="1:17" s="2" customFormat="1" ht="12" customHeight="1" x14ac:dyDescent="0.25">
      <c r="A18" s="4">
        <v>503</v>
      </c>
      <c r="B18" s="2">
        <v>2</v>
      </c>
      <c r="C18" s="122" t="s">
        <v>808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ca="1" si="4"/>
        <v>2</v>
      </c>
      <c r="P18" s="51">
        <f>VLOOKUP(C18,Bolts!A:B,2,FALSE)</f>
        <v>0</v>
      </c>
      <c r="Q18" s="52">
        <f t="shared" si="5"/>
        <v>0</v>
      </c>
    </row>
    <row r="19" spans="1:17" s="2" customFormat="1" ht="12" customHeight="1" x14ac:dyDescent="0.25">
      <c r="A19" s="4">
        <v>504</v>
      </c>
      <c r="B19" s="2">
        <v>2</v>
      </c>
      <c r="C19" s="122" t="s">
        <v>617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4"/>
        <v>2</v>
      </c>
      <c r="P19" s="51">
        <f>VLOOKUP(C19,Bolts!A:B,2,FALSE)</f>
        <v>0</v>
      </c>
      <c r="Q19" s="52">
        <f t="shared" si="5"/>
        <v>0</v>
      </c>
    </row>
    <row r="20" spans="1:17" s="2" customFormat="1" ht="12" customHeight="1" thickBot="1" x14ac:dyDescent="0.3">
      <c r="A20" s="4">
        <v>505</v>
      </c>
      <c r="B20" s="2">
        <v>4</v>
      </c>
      <c r="C20" s="122" t="s">
        <v>174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4"/>
        <v>4</v>
      </c>
      <c r="P20" s="51">
        <f>VLOOKUP(C20,Bolts!A:B,2,FALSE)</f>
        <v>0</v>
      </c>
      <c r="Q20" s="52">
        <f t="shared" si="5"/>
        <v>0</v>
      </c>
    </row>
    <row r="21" spans="1:17" s="2" customFormat="1" ht="12" customHeight="1" thickBot="1" x14ac:dyDescent="0.3">
      <c r="A21" s="34"/>
      <c r="B21" s="35"/>
      <c r="C21" s="35"/>
      <c r="D21" s="316"/>
      <c r="E21" s="317"/>
      <c r="F21" s="35"/>
      <c r="G21" s="35"/>
      <c r="H21" s="309"/>
      <c r="I21" s="310"/>
      <c r="J21" s="36"/>
      <c r="K21" s="36"/>
      <c r="L21" s="36"/>
      <c r="M21" s="37"/>
      <c r="N21" s="132"/>
      <c r="O21" s="38"/>
      <c r="P21" s="99" t="s">
        <v>43</v>
      </c>
      <c r="Q21" s="104">
        <f>SUM(Q5:Q20)</f>
        <v>677.81</v>
      </c>
    </row>
  </sheetData>
  <mergeCells count="32">
    <mergeCell ref="D21:E21"/>
    <mergeCell ref="H21:I21"/>
    <mergeCell ref="D16:E16"/>
    <mergeCell ref="D17:E17"/>
    <mergeCell ref="D18:E18"/>
    <mergeCell ref="D19:E19"/>
    <mergeCell ref="D20:E20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9 M15:M20">
    <cfRule type="cellIs" dxfId="1010" priority="11" stopIfTrue="1" operator="lessThanOrEqual">
      <formula>$L9</formula>
    </cfRule>
    <cfRule type="cellIs" dxfId="1009" priority="12" operator="greaterThan">
      <formula>L9</formula>
    </cfRule>
  </conditionalFormatting>
  <conditionalFormatting sqref="M10">
    <cfRule type="cellIs" dxfId="1008" priority="9" stopIfTrue="1" operator="lessThanOrEqual">
      <formula>$L10</formula>
    </cfRule>
    <cfRule type="cellIs" dxfId="1007" priority="10" operator="greaterThan">
      <formula>L10</formula>
    </cfRule>
  </conditionalFormatting>
  <conditionalFormatting sqref="M11">
    <cfRule type="cellIs" dxfId="1006" priority="7" stopIfTrue="1" operator="lessThanOrEqual">
      <formula>$L11</formula>
    </cfRule>
    <cfRule type="cellIs" dxfId="1005" priority="8" operator="greaterThan">
      <formula>L11</formula>
    </cfRule>
  </conditionalFormatting>
  <conditionalFormatting sqref="M12">
    <cfRule type="cellIs" dxfId="1004" priority="5" stopIfTrue="1" operator="lessThanOrEqual">
      <formula>$L12</formula>
    </cfRule>
    <cfRule type="cellIs" dxfId="1003" priority="6" operator="greaterThan">
      <formula>L12</formula>
    </cfRule>
  </conditionalFormatting>
  <conditionalFormatting sqref="M13">
    <cfRule type="cellIs" dxfId="1002" priority="3" stopIfTrue="1" operator="lessThanOrEqual">
      <formula>$L13</formula>
    </cfRule>
    <cfRule type="cellIs" dxfId="1001" priority="4" operator="greaterThan">
      <formula>L13</formula>
    </cfRule>
  </conditionalFormatting>
  <conditionalFormatting sqref="M14">
    <cfRule type="cellIs" dxfId="1000" priority="1" stopIfTrue="1" operator="lessThanOrEqual">
      <formula>$L14</formula>
    </cfRule>
    <cfRule type="cellIs" dxfId="999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7E174C4-CA1F-482A-8DA4-A7299127394F}">
          <x14:formula1>
            <xm:f>Bolts!$A:$A</xm:f>
          </x14:formula1>
          <xm:sqref>C15:C20</xm:sqref>
        </x14:dataValidation>
        <x14:dataValidation type="list" allowBlank="1" showInputMessage="1" showErrorMessage="1" xr:uid="{925E1AD5-B092-45CF-B64F-60CBAF4CD6F7}">
          <x14:formula1>
            <xm:f>Machined!$C:$C</xm:f>
          </x14:formula1>
          <xm:sqref>C5:C8</xm:sqref>
        </x14:dataValidation>
        <x14:dataValidation type="list" allowBlank="1" showInputMessage="1" showErrorMessage="1" xr:uid="{2E6E8487-063F-4DD1-AF39-13D851012B9B}">
          <x14:formula1>
            <xm:f>Purchased!$A:$A</xm:f>
          </x14:formula1>
          <xm:sqref>C9:C14</xm:sqref>
        </x14:dataValidation>
      </x14:dataValidations>
    </ext>
  </extLst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9C86-F07E-48D5-A092-A21960220ACC}">
  <sheetPr codeName="Sheet152">
    <tabColor theme="3" tint="0.79998168889431442"/>
  </sheetPr>
  <dimension ref="A1:Q18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'6.3.1'!C6</f>
        <v>PG10.6.3.1.2.0.A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'6.3.1'!D6</f>
        <v>Speed Control Tube PNP Assy B Side</v>
      </c>
      <c r="D3" s="85" t="s">
        <v>50</v>
      </c>
      <c r="E3" s="86" t="str">
        <f ca="1">MID(CELL("filename",A1),FIND("]",CELL("filename",A1))+1,256)</f>
        <v>6.3.1.2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3869</v>
      </c>
      <c r="D5" s="314" t="str">
        <f>VLOOKUP(C5,Machined!C:X,2,0)</f>
        <v>Bulkhead Bracket Upper B Side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 xml:space="preserve"> </v>
      </c>
      <c r="H5" s="320" t="str">
        <f>IF(VLOOKUP($C5,Machined!C:Z,17,0) = 0, " ", VLOOKUP($C5,Machined!C:Z,17,0))</f>
        <v>Nuline to modify Rev A to B</v>
      </c>
      <c r="I5" s="321" t="str">
        <f>IF(VLOOKUP($C5,Machined!$C:$Y,13,0) = 0, " ", VLOOKUP($C5,Machined!$C:$Y,13,0))</f>
        <v>304 STAINLESS STEEL</v>
      </c>
      <c r="J5" s="44" t="str">
        <f>IF(VLOOKUP($C5,Machined!C:Z,18,0) = 0, " ", VLOOKUP($C5,Machined!C:Z,18,0))</f>
        <v>N/A</v>
      </c>
      <c r="K5" s="44" t="str">
        <f>IF(VLOOKUP($C5,Machined!C:Z,19,0) = 0, " ", VLOOKUP($C5,Machined!C:Z,19,0))</f>
        <v>N/A</v>
      </c>
      <c r="L5" s="44" t="str">
        <f>IF(VLOOKUP($C5,Machined!C:Z,20,0) = 0, " ", VLOOKUP($C5,Machined!C:Z,20,0))</f>
        <v>N/A</v>
      </c>
      <c r="M5" s="44" t="str">
        <f>IF(VLOOKUP($C5,Machined!C:Z,21,0) = 0, " ", VLOOKUP($C5,Machined!C:Z,21,0))</f>
        <v>N/A</v>
      </c>
      <c r="N5" s="129" t="str">
        <f>IF(VLOOKUP($C5,Machined!C:Z,22,0) = 0, " ", VLOOKUP($C5,Machined!C:Z,22,0))</f>
        <v>N/A</v>
      </c>
      <c r="O5" s="45">
        <f t="shared" ref="O5:O6" ca="1" si="0">B5*$L$2</f>
        <v>1</v>
      </c>
      <c r="P5" s="49">
        <f>VLOOKUP(C5,Machined!C:F,3,0)</f>
        <v>0</v>
      </c>
      <c r="Q5" s="50">
        <f t="shared" ref="Q5:Q6" si="1">B5*P5</f>
        <v>0</v>
      </c>
    </row>
    <row r="6" spans="1:17" s="2" customFormat="1" ht="12.75" customHeight="1" x14ac:dyDescent="0.25">
      <c r="A6" s="77">
        <v>2</v>
      </c>
      <c r="B6" s="20">
        <v>1</v>
      </c>
      <c r="C6" s="121" t="s">
        <v>944</v>
      </c>
      <c r="D6" s="314" t="str">
        <f>VLOOKUP(C6,Machined!C:X,2,0)</f>
        <v>Flow Control Bracket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Proto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45510</v>
      </c>
      <c r="L6" s="44">
        <f>IF(VLOOKUP($C6,Machined!C:Z,20,0) = 0, " ", VLOOKUP($C6,Machined!C:Z,20,0))</f>
        <v>45540</v>
      </c>
      <c r="M6" s="44">
        <f>IF(VLOOKUP($C6,Machined!C:Z,21,0) = 0, " ", VLOOKUP($C6,Machined!C:Z,21,0))</f>
        <v>45540</v>
      </c>
      <c r="N6" s="129">
        <f>IF(VLOOKUP($C6,Machined!C:Z,22,0) = 0, " ", VLOOKUP($C6,Machined!C:Z,22,0))</f>
        <v>55658</v>
      </c>
      <c r="O6" s="45">
        <f t="shared" ca="1" si="0"/>
        <v>1</v>
      </c>
      <c r="P6" s="49">
        <f>VLOOKUP(C6,Machined!C:F,3,0)</f>
        <v>82.76</v>
      </c>
      <c r="Q6" s="50">
        <f t="shared" si="1"/>
        <v>82.76</v>
      </c>
    </row>
    <row r="7" spans="1:17" s="2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x14ac:dyDescent="0.25">
      <c r="A8" s="4">
        <v>301</v>
      </c>
      <c r="B8" s="2">
        <v>2</v>
      </c>
      <c r="C8" s="135" t="s">
        <v>945</v>
      </c>
      <c r="D8" s="325" t="str">
        <f>VLOOKUP(C8,Purchased!A:B,2,0)</f>
        <v>Speed Controller, Elbow, One Touch Fitting1/8 port to 6mm dia tubing</v>
      </c>
      <c r="E8" s="326"/>
      <c r="F8" s="108" t="str">
        <f>IF(VLOOKUP($C8,Purchased!A:Z,11,0) = 0, " ", VLOOKUP($C8,Purchased!A:Z,11,0))</f>
        <v>SMC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45489</v>
      </c>
      <c r="K8" s="46">
        <f>IF(VLOOKUP(C8,Purchased!A:R,14,0)=0, " ", VLOOKUP(C8,Purchased!A:R,14,0))</f>
        <v>45489</v>
      </c>
      <c r="L8" s="46">
        <f>IF(VLOOKUP(C8,Purchased!A:R,15,0)=0, " ", VLOOKUP(C8,Purchased!A:R,15,0))</f>
        <v>45491</v>
      </c>
      <c r="M8" s="46">
        <f>IF(VLOOKUP(C8,Purchased!A:R,16,0)=0, " ",VLOOKUP(C8,Purchased!A:R,16,0))</f>
        <v>45520</v>
      </c>
      <c r="N8" s="130">
        <f>IF(VLOOKUP(C8,Purchased!A:R,17,0)=0, " ", VLOOKUP(C8,Purchased!A:R,17,0))</f>
        <v>45511</v>
      </c>
      <c r="O8" s="47">
        <f t="shared" ref="O8:O11" ca="1" si="2">B8*$L$2</f>
        <v>2</v>
      </c>
      <c r="P8" s="51">
        <f>VLOOKUP(C8,Purchased!A:D,3,FALSE)</f>
        <v>9.3800000000000008</v>
      </c>
      <c r="Q8" s="52">
        <f t="shared" ref="Q8:Q11" si="3">B8*P8</f>
        <v>18.760000000000002</v>
      </c>
    </row>
    <row r="9" spans="1:17" s="2" customFormat="1" ht="12" customHeight="1" x14ac:dyDescent="0.25">
      <c r="A9" s="4">
        <v>302</v>
      </c>
      <c r="B9" s="2">
        <v>2</v>
      </c>
      <c r="C9" s="135" t="s">
        <v>946</v>
      </c>
      <c r="D9" s="325" t="str">
        <f>VLOOKUP(C9,Purchased!A:B,2,0)</f>
        <v>KQ2 uni fit one touch fitting, bulk head, straight, 6mm dia tubing, 1/8 port</v>
      </c>
      <c r="E9" s="326"/>
      <c r="F9" s="108" t="str">
        <f>IF(VLOOKUP($C9,Purchased!A:Z,11,0) = 0, " ", VLOOKUP($C9,Purchased!A:Z,11,0))</f>
        <v>SMC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45489</v>
      </c>
      <c r="K9" s="46">
        <f>IF(VLOOKUP(C9,Purchased!A:R,14,0)=0, " ", VLOOKUP(C9,Purchased!A:R,14,0))</f>
        <v>45489</v>
      </c>
      <c r="L9" s="46">
        <f>IF(VLOOKUP(C9,Purchased!A:R,15,0)=0, " ", VLOOKUP(C9,Purchased!A:R,15,0))</f>
        <v>45491</v>
      </c>
      <c r="M9" s="46">
        <f>IF(VLOOKUP(C9,Purchased!A:R,16,0)=0, " ",VLOOKUP(C9,Purchased!A:R,16,0))</f>
        <v>45520</v>
      </c>
      <c r="N9" s="130">
        <f>IF(VLOOKUP(C9,Purchased!A:R,17,0)=0, " ", VLOOKUP(C9,Purchased!A:R,17,0))</f>
        <v>45511</v>
      </c>
      <c r="O9" s="47">
        <f t="shared" ca="1" si="2"/>
        <v>2</v>
      </c>
      <c r="P9" s="51">
        <f>VLOOKUP(C9,Purchased!A:D,3,FALSE)</f>
        <v>3.78</v>
      </c>
      <c r="Q9" s="52">
        <f t="shared" si="3"/>
        <v>7.56</v>
      </c>
    </row>
    <row r="10" spans="1:17" s="2" customFormat="1" ht="12" customHeight="1" x14ac:dyDescent="0.25">
      <c r="A10" s="4">
        <v>303</v>
      </c>
      <c r="B10" s="2">
        <v>2</v>
      </c>
      <c r="C10" s="135" t="s">
        <v>800</v>
      </c>
      <c r="D10" s="325" t="str">
        <f>VLOOKUP(C10,Purchased!A:B,2,0)</f>
        <v>Speed controller flange 20 series</v>
      </c>
      <c r="E10" s="326"/>
      <c r="F10" s="108" t="str">
        <f>IF(VLOOKUP($C10,Purchased!A:Z,11,0) = 0, " ", VLOOKUP($C10,Purchased!A:Z,11,0))</f>
        <v>SMC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45489</v>
      </c>
      <c r="K10" s="46">
        <f>IF(VLOOKUP(C10,Purchased!A:R,14,0)=0, " ", VLOOKUP(C10,Purchased!A:R,14,0))</f>
        <v>45489</v>
      </c>
      <c r="L10" s="46">
        <f>IF(VLOOKUP(C10,Purchased!A:R,15,0)=0, " ", VLOOKUP(C10,Purchased!A:R,15,0))</f>
        <v>45491</v>
      </c>
      <c r="M10" s="46">
        <f>IF(VLOOKUP(C10,Purchased!A:R,16,0)=0, " ",VLOOKUP(C10,Purchased!A:R,16,0))</f>
        <v>45520</v>
      </c>
      <c r="N10" s="130">
        <f>IF(VLOOKUP(C10,Purchased!A:R,17,0)=0, " ", VLOOKUP(C10,Purchased!A:R,17,0))</f>
        <v>45511</v>
      </c>
      <c r="O10" s="47">
        <f t="shared" ca="1" si="2"/>
        <v>2</v>
      </c>
      <c r="P10" s="51">
        <f>VLOOKUP(C10,Purchased!A:D,3,FALSE)</f>
        <v>1.65</v>
      </c>
      <c r="Q10" s="52">
        <f t="shared" si="3"/>
        <v>3.3</v>
      </c>
    </row>
    <row r="11" spans="1:17" s="2" customFormat="1" ht="12" customHeight="1" x14ac:dyDescent="0.25">
      <c r="A11" s="4">
        <v>304</v>
      </c>
      <c r="B11" s="2">
        <v>2</v>
      </c>
      <c r="C11" s="135" t="s">
        <v>799</v>
      </c>
      <c r="D11" s="325" t="str">
        <f>VLOOKUP(C11,Purchased!A:B,2,0)</f>
        <v>Speed Controller One Touch Fitting, 6mm dia tubing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10 more PO 55692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2"/>
        <v>2</v>
      </c>
      <c r="P11" s="51">
        <f>VLOOKUP(C11,Purchased!A:D,3,FALSE)</f>
        <v>14.87</v>
      </c>
      <c r="Q11" s="52">
        <f t="shared" si="3"/>
        <v>29.74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501</v>
      </c>
      <c r="B13" s="2">
        <v>4</v>
      </c>
      <c r="C13" s="122" t="s">
        <v>197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ref="O13:O17" ca="1" si="4">B13*$L$2</f>
        <v>4</v>
      </c>
      <c r="P13" s="51">
        <f>VLOOKUP(C13,Bolts!A:B,2,FALSE)</f>
        <v>0</v>
      </c>
      <c r="Q13" s="52">
        <f t="shared" ref="Q13:Q17" si="5">B13*P13</f>
        <v>0</v>
      </c>
    </row>
    <row r="14" spans="1:17" s="2" customFormat="1" ht="12" customHeight="1" x14ac:dyDescent="0.25">
      <c r="A14" s="4">
        <v>502</v>
      </c>
      <c r="B14" s="2">
        <v>6</v>
      </c>
      <c r="C14" s="122" t="s">
        <v>808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t="shared" ca="1" si="4"/>
        <v>6</v>
      </c>
      <c r="P14" s="51">
        <f>VLOOKUP(C14,Bolts!A:B,2,FALSE)</f>
        <v>0</v>
      </c>
      <c r="Q14" s="52">
        <f t="shared" si="5"/>
        <v>0</v>
      </c>
    </row>
    <row r="15" spans="1:17" s="2" customFormat="1" ht="12" customHeight="1" x14ac:dyDescent="0.25">
      <c r="A15" s="4">
        <v>503</v>
      </c>
      <c r="B15" s="2">
        <v>4</v>
      </c>
      <c r="C15" s="122" t="s">
        <v>943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ca="1" si="4"/>
        <v>4</v>
      </c>
      <c r="P15" s="51">
        <f>VLOOKUP(C15,Bolts!A:B,2,FALSE)</f>
        <v>0</v>
      </c>
      <c r="Q15" s="52">
        <f t="shared" si="5"/>
        <v>0</v>
      </c>
    </row>
    <row r="16" spans="1:17" s="2" customFormat="1" ht="12" customHeight="1" x14ac:dyDescent="0.25">
      <c r="A16" s="4">
        <v>504</v>
      </c>
      <c r="B16" s="2">
        <v>2</v>
      </c>
      <c r="C16" s="122" t="s">
        <v>807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ca="1" si="4"/>
        <v>2</v>
      </c>
      <c r="P16" s="51">
        <f>VLOOKUP(C16,Bolts!A:B,2,FALSE)</f>
        <v>0</v>
      </c>
      <c r="Q16" s="52">
        <f t="shared" si="5"/>
        <v>0</v>
      </c>
    </row>
    <row r="17" spans="1:17" s="2" customFormat="1" ht="12" customHeight="1" thickBot="1" x14ac:dyDescent="0.3">
      <c r="A17" s="4">
        <v>505</v>
      </c>
      <c r="B17" s="2">
        <v>2</v>
      </c>
      <c r="C17" s="122" t="s">
        <v>107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4"/>
        <v>2</v>
      </c>
      <c r="P17" s="51">
        <f>VLOOKUP(C17,Bolts!A:B,2,FALSE)</f>
        <v>0</v>
      </c>
      <c r="Q17" s="52">
        <f t="shared" si="5"/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SUM(Q5:Q17)</f>
        <v>142.12</v>
      </c>
    </row>
  </sheetData>
  <mergeCells count="26">
    <mergeCell ref="D18:E18"/>
    <mergeCell ref="H18:I18"/>
    <mergeCell ref="D13:E13"/>
    <mergeCell ref="D14:E14"/>
    <mergeCell ref="D15:E15"/>
    <mergeCell ref="D16:E16"/>
    <mergeCell ref="D17:E17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7 M12:M17">
    <cfRule type="cellIs" dxfId="998" priority="9" stopIfTrue="1" operator="lessThanOrEqual">
      <formula>$L7</formula>
    </cfRule>
    <cfRule type="cellIs" dxfId="997" priority="10" operator="greaterThan">
      <formula>L7</formula>
    </cfRule>
  </conditionalFormatting>
  <conditionalFormatting sqref="M8">
    <cfRule type="cellIs" dxfId="996" priority="7" stopIfTrue="1" operator="lessThanOrEqual">
      <formula>$L8</formula>
    </cfRule>
    <cfRule type="cellIs" dxfId="995" priority="8" operator="greaterThan">
      <formula>L8</formula>
    </cfRule>
  </conditionalFormatting>
  <conditionalFormatting sqref="M9">
    <cfRule type="cellIs" dxfId="994" priority="5" stopIfTrue="1" operator="lessThanOrEqual">
      <formula>$L9</formula>
    </cfRule>
    <cfRule type="cellIs" dxfId="993" priority="6" operator="greaterThan">
      <formula>L9</formula>
    </cfRule>
  </conditionalFormatting>
  <conditionalFormatting sqref="M10">
    <cfRule type="cellIs" dxfId="992" priority="3" stopIfTrue="1" operator="lessThanOrEqual">
      <formula>$L10</formula>
    </cfRule>
    <cfRule type="cellIs" dxfId="991" priority="4" operator="greaterThan">
      <formula>L10</formula>
    </cfRule>
  </conditionalFormatting>
  <conditionalFormatting sqref="M11">
    <cfRule type="cellIs" dxfId="990" priority="1" stopIfTrue="1" operator="lessThanOrEqual">
      <formula>$L11</formula>
    </cfRule>
    <cfRule type="cellIs" dxfId="989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34357-468A-4B5C-B698-D26CE3421D59}">
          <x14:formula1>
            <xm:f>Bolts!$A:$A</xm:f>
          </x14:formula1>
          <xm:sqref>C12:C17</xm:sqref>
        </x14:dataValidation>
        <x14:dataValidation type="list" allowBlank="1" showInputMessage="1" showErrorMessage="1" xr:uid="{423792B8-EEF3-4226-884B-E4A7B6745D6A}">
          <x14:formula1>
            <xm:f>Machined!$C:$C</xm:f>
          </x14:formula1>
          <xm:sqref>C5:C6</xm:sqref>
        </x14:dataValidation>
        <x14:dataValidation type="list" allowBlank="1" showInputMessage="1" showErrorMessage="1" xr:uid="{807DB886-761D-40AB-A271-FEAC90999B82}">
          <x14:formula1>
            <xm:f>Purchased!$A:$A</xm:f>
          </x14:formula1>
          <xm:sqref>C7:C11</xm:sqref>
        </x14:dataValidation>
      </x14:dataValidations>
    </ext>
  </extLst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F809-C71A-483A-8CC1-E7AA597FDDA9}">
  <sheetPr codeName="Sheet153">
    <tabColor theme="3" tint="0.79998168889431442"/>
  </sheetPr>
  <dimension ref="A1:Q24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'6.3.1'!C7</f>
        <v>PG10.6.3.1.3.0.A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'6.3.1'!D7</f>
        <v>Air Cylinder Mount Assy B Side</v>
      </c>
      <c r="D3" s="85" t="s">
        <v>50</v>
      </c>
      <c r="E3" s="86" t="str">
        <f ca="1">MID(CELL("filename",A1),FIND("]",CELL("filename",A1))+1,256)</f>
        <v>6.3.1.3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1017</v>
      </c>
      <c r="D5" s="314" t="str">
        <f>VLOOKUP(C5,Machined!C:X,2,0)</f>
        <v>Actuator Mount Plate B Side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t="shared" ref="O5:O8" ca="1" si="0">B5*$L$2</f>
        <v>1</v>
      </c>
      <c r="P5" s="49">
        <f>VLOOKUP(C5,Machined!C:F,3,0)</f>
        <v>351</v>
      </c>
      <c r="Q5" s="50">
        <f t="shared" ref="Q5:Q8" si="1">B5*P5</f>
        <v>351</v>
      </c>
    </row>
    <row r="6" spans="1:17" s="2" customFormat="1" ht="12.75" customHeight="1" x14ac:dyDescent="0.25">
      <c r="A6" s="77">
        <v>2</v>
      </c>
      <c r="B6" s="20">
        <v>3</v>
      </c>
      <c r="C6" s="121" t="s">
        <v>948</v>
      </c>
      <c r="D6" s="314" t="str">
        <f>VLOOKUP(C6,Machined!C:X,2,0)</f>
        <v>Profile Bearing Spacer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45463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55572</v>
      </c>
      <c r="O6" s="45">
        <f t="shared" ca="1" si="0"/>
        <v>3</v>
      </c>
      <c r="P6" s="49">
        <f>VLOOKUP(C6,Machined!C:F,3,0)</f>
        <v>40.33</v>
      </c>
      <c r="Q6" s="50">
        <f t="shared" si="1"/>
        <v>120.99</v>
      </c>
    </row>
    <row r="7" spans="1:17" s="2" customFormat="1" ht="12.75" customHeight="1" x14ac:dyDescent="0.25">
      <c r="A7" s="77">
        <v>3</v>
      </c>
      <c r="B7" s="20">
        <v>4</v>
      </c>
      <c r="C7" s="121" t="s">
        <v>949</v>
      </c>
      <c r="D7" s="314" t="str">
        <f>VLOOKUP(C7,Machined!C:X,2,0)</f>
        <v>Round Bearing Spacer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4</v>
      </c>
      <c r="P7" s="49">
        <f>VLOOKUP(C7,Machined!C:F,3,0)</f>
        <v>34.94</v>
      </c>
      <c r="Q7" s="50">
        <f t="shared" si="1"/>
        <v>139.76</v>
      </c>
    </row>
    <row r="8" spans="1:17" s="2" customFormat="1" ht="12.75" customHeight="1" x14ac:dyDescent="0.25">
      <c r="A8" s="77">
        <v>4</v>
      </c>
      <c r="B8" s="20">
        <v>1</v>
      </c>
      <c r="C8" s="121" t="s">
        <v>950</v>
      </c>
      <c r="D8" s="314" t="str">
        <f>VLOOKUP(C8,Machined!C:X,2,0)</f>
        <v>Cylinder Stop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Craig Miller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45468</v>
      </c>
      <c r="K8" s="44">
        <f>IF(VLOOKUP($C8,Machined!C:Z,19,0) = 0, " ", VLOOKUP($C8,Machined!C:Z,19,0))</f>
        <v>45470</v>
      </c>
      <c r="L8" s="44">
        <f>IF(VLOOKUP($C8,Machined!C:Z,20,0) = 0, " ", VLOOKUP($C8,Machined!C:Z,20,0))</f>
        <v>45495</v>
      </c>
      <c r="M8" s="44">
        <f>IF(VLOOKUP($C8,Machined!C:Z,21,0) = 0, " ", VLOOKUP($C8,Machined!C:Z,21,0))</f>
        <v>45495</v>
      </c>
      <c r="N8" s="129">
        <f>IF(VLOOKUP($C8,Machined!C:Z,22,0) = 0, " ", VLOOKUP($C8,Machined!C:Z,22,0))</f>
        <v>55576</v>
      </c>
      <c r="O8" s="45">
        <f t="shared" ca="1" si="0"/>
        <v>1</v>
      </c>
      <c r="P8" s="49">
        <f>VLOOKUP(C8,Machined!C:F,3,0)</f>
        <v>135</v>
      </c>
      <c r="Q8" s="50">
        <f t="shared" si="1"/>
        <v>135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2</v>
      </c>
      <c r="C10" s="135" t="s">
        <v>951</v>
      </c>
      <c r="D10" s="325" t="str">
        <f>VLOOKUP(C10,Purchased!A:B,2,0)</f>
        <v>Dowel Pin 52100 Alloy Steel, 4 mm Diameter, 10 mm Long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45482</v>
      </c>
      <c r="N10" s="130">
        <f>IF(VLOOKUP(C10,Purchased!A:R,17,0)=0, " ", VLOOKUP(C10,Purchased!A:R,17,0))</f>
        <v>45482</v>
      </c>
      <c r="O10" s="47">
        <f t="shared" ref="O10:O18" ca="1" si="2">B10*$L$2</f>
        <v>2</v>
      </c>
      <c r="P10" s="51">
        <f>VLOOKUP(C10,Purchased!A:D,3,FALSE)</f>
        <v>12.14</v>
      </c>
      <c r="Q10" s="52">
        <f t="shared" ref="Q10:Q18" si="3">B10*P10</f>
        <v>24.28</v>
      </c>
    </row>
    <row r="11" spans="1:17" s="2" customFormat="1" ht="12" customHeight="1" x14ac:dyDescent="0.25">
      <c r="A11" s="4">
        <v>302</v>
      </c>
      <c r="B11" s="2">
        <v>4</v>
      </c>
      <c r="C11" s="135" t="s">
        <v>952</v>
      </c>
      <c r="D11" s="325" t="str">
        <f>VLOOKUP(C11,Purchased!A:B,2,0)</f>
        <v>Mounted Linear Ball Bearing, Fixed Alignment, 36 mm Length, 42 mm Wide., 28 
mm Height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ca="1" si="2"/>
        <v>4</v>
      </c>
      <c r="P11" s="51">
        <f>VLOOKUP(C11,Purchased!A:D,3,FALSE)</f>
        <v>47.52</v>
      </c>
      <c r="Q11" s="52">
        <f t="shared" si="3"/>
        <v>190.08</v>
      </c>
    </row>
    <row r="12" spans="1:17" s="2" customFormat="1" ht="12" customHeight="1" x14ac:dyDescent="0.25">
      <c r="A12" s="4">
        <v>303</v>
      </c>
      <c r="B12" s="2">
        <v>1</v>
      </c>
      <c r="C12" s="135" t="s">
        <v>305</v>
      </c>
      <c r="D12" s="325" t="str">
        <f>VLOOKUP(C12,Purchased!A:B,2,0)</f>
        <v>Auto Switch, Solid State, General Purpose, M8-3Pin Connector, 0.5m Cord 
Length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10 more PO 55692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45489</v>
      </c>
      <c r="M12" s="46">
        <f>IF(VLOOKUP(C12,Purchased!A:R,16,0)=0, " ",VLOOKUP(C12,Purchased!A:R,16,0))</f>
        <v>45510</v>
      </c>
      <c r="N12" s="130">
        <f>IF(VLOOKUP(C12,Purchased!A:R,17,0)=0, " ", VLOOKUP(C12,Purchased!A:R,17,0))</f>
        <v>45513</v>
      </c>
      <c r="O12" s="47">
        <f t="shared" ca="1" si="2"/>
        <v>1</v>
      </c>
      <c r="P12" s="51">
        <f>VLOOKUP(C12,Purchased!A:D,3,FALSE)</f>
        <v>38.64</v>
      </c>
      <c r="Q12" s="52">
        <f t="shared" si="3"/>
        <v>38.64</v>
      </c>
    </row>
    <row r="13" spans="1:17" s="2" customFormat="1" ht="12" customHeight="1" x14ac:dyDescent="0.25">
      <c r="A13" s="4">
        <v>304</v>
      </c>
      <c r="B13" s="2">
        <v>2</v>
      </c>
      <c r="C13" s="135" t="s">
        <v>953</v>
      </c>
      <c r="D13" s="325" t="str">
        <f>VLOOKUP(C13,Purchased!A:B,2,0)</f>
        <v>KQ2 unifit elbow 1/8 port to 6mm dia tubing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2"/>
        <v>2</v>
      </c>
      <c r="P13" s="51">
        <f>VLOOKUP(C13,Purchased!A:D,3,FALSE)</f>
        <v>1.56</v>
      </c>
      <c r="Q13" s="52">
        <f t="shared" si="3"/>
        <v>3.12</v>
      </c>
    </row>
    <row r="14" spans="1:17" s="2" customFormat="1" ht="12" customHeight="1" x14ac:dyDescent="0.25">
      <c r="A14" s="4">
        <v>305</v>
      </c>
      <c r="B14" s="2">
        <v>1</v>
      </c>
      <c r="C14" s="135" t="s">
        <v>954</v>
      </c>
      <c r="D14" s="325" t="str">
        <f>VLOOKUP(C14,Purchased!A:B,2,0)</f>
        <v>CDM2 air cylinder, axial foot, 32mm bore, 300mm stroke, air cusion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45489</v>
      </c>
      <c r="M14" s="46">
        <f>IF(VLOOKUP(C14,Purchased!A:R,16,0)=0, " ",VLOOKUP(C14,Purchased!A:R,16,0))</f>
        <v>45510</v>
      </c>
      <c r="N14" s="130">
        <f>IF(VLOOKUP(C14,Purchased!A:R,17,0)=0, " ", VLOOKUP(C14,Purchased!A:R,17,0))</f>
        <v>45513</v>
      </c>
      <c r="O14" s="47">
        <f t="shared" ca="1" si="2"/>
        <v>1</v>
      </c>
      <c r="P14" s="51">
        <f>VLOOKUP(C14,Purchased!A:D,3,FALSE)</f>
        <v>114.5463</v>
      </c>
      <c r="Q14" s="52">
        <f t="shared" si="3"/>
        <v>114.5463</v>
      </c>
    </row>
    <row r="15" spans="1:17" s="2" customFormat="1" ht="12" customHeight="1" x14ac:dyDescent="0.25">
      <c r="A15" s="4">
        <v>306</v>
      </c>
      <c r="B15" s="2">
        <v>1</v>
      </c>
      <c r="C15" s="135" t="s">
        <v>955</v>
      </c>
      <c r="D15" s="325" t="str">
        <f>VLOOKUP(C15,Purchased!A:B,2,0)</f>
        <v>JA floating joint, 25/30mm bore, M10 thread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45489</v>
      </c>
      <c r="M15" s="46">
        <f>IF(VLOOKUP(C15,Purchased!A:R,16,0)=0, " ",VLOOKUP(C15,Purchased!A:R,16,0))</f>
        <v>45510</v>
      </c>
      <c r="N15" s="130">
        <f>IF(VLOOKUP(C15,Purchased!A:R,17,0)=0, " ", VLOOKUP(C15,Purchased!A:R,17,0))</f>
        <v>45513</v>
      </c>
      <c r="O15" s="47">
        <f t="shared" ca="1" si="2"/>
        <v>1</v>
      </c>
      <c r="P15" s="51">
        <f>VLOOKUP(C15,Purchased!A:D,3,FALSE)</f>
        <v>31.07</v>
      </c>
      <c r="Q15" s="52">
        <f t="shared" si="3"/>
        <v>31.07</v>
      </c>
    </row>
    <row r="16" spans="1:17" s="2" customFormat="1" ht="12" customHeight="1" x14ac:dyDescent="0.25">
      <c r="A16" s="4">
        <v>307</v>
      </c>
      <c r="B16" s="2">
        <v>1</v>
      </c>
      <c r="C16" s="135" t="s">
        <v>306</v>
      </c>
      <c r="D16" s="325" t="str">
        <f>VLOOKUP(C16,Purchased!A:B,2,0)</f>
        <v>M8 female 0° A-cod. with cable, PVC 3x0.25 bk UL/CSA 10m</v>
      </c>
      <c r="E16" s="326"/>
      <c r="F16" s="108" t="str">
        <f>IF(VLOOKUP($C16,Purchased!A:Z,11,0) = 0, " ", VLOOKUP($C16,Purchased!A:Z,11,0))</f>
        <v>MURR</v>
      </c>
      <c r="G16" s="108" t="str">
        <f>IF(VLOOKUP($C16,Purchased!A:Z,12,0)=0, " ", VLOOKUP($C16,Purchased!A:Z,12,0))</f>
        <v>MURR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45506</v>
      </c>
      <c r="K16" s="46">
        <f>IF(VLOOKUP(C16,Purchased!A:R,14,0)=0, " ", VLOOKUP(C16,Purchased!A:R,14,0))</f>
        <v>45506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2"/>
        <v>1</v>
      </c>
      <c r="P16" s="51">
        <f>VLOOKUP(C16,Purchased!A:D,3,FALSE)</f>
        <v>0</v>
      </c>
      <c r="Q16" s="52">
        <f t="shared" si="3"/>
        <v>0</v>
      </c>
    </row>
    <row r="17" spans="1:17" s="2" customFormat="1" ht="12" customHeight="1" x14ac:dyDescent="0.25">
      <c r="A17" s="4">
        <v>308</v>
      </c>
      <c r="B17" s="2">
        <v>1</v>
      </c>
      <c r="C17" s="135" t="s">
        <v>956</v>
      </c>
      <c r="D17" s="325" t="str">
        <f>VLOOKUP(C17,Purchased!A:B,2,0)</f>
        <v>Mounting bracket for auto switch</v>
      </c>
      <c r="E17" s="326"/>
      <c r="F17" s="108" t="str">
        <f>IF(VLOOKUP($C17,Purchased!A:Z,11,0) = 0, " ", VLOOKUP($C17,Purchased!A:Z,11,0))</f>
        <v>SMC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45491</v>
      </c>
      <c r="M17" s="46">
        <f>IF(VLOOKUP(C17,Purchased!A:R,16,0)=0, " ",VLOOKUP(C17,Purchased!A:R,16,0))</f>
        <v>45520</v>
      </c>
      <c r="N17" s="130">
        <f>IF(VLOOKUP(C17,Purchased!A:R,17,0)=0, " ", VLOOKUP(C17,Purchased!A:R,17,0))</f>
        <v>45511</v>
      </c>
      <c r="O17" s="47">
        <f t="shared" ca="1" si="2"/>
        <v>1</v>
      </c>
      <c r="P17" s="51">
        <f>VLOOKUP(C17,Purchased!A:D,3,FALSE)</f>
        <v>4.87</v>
      </c>
      <c r="Q17" s="52">
        <f t="shared" si="3"/>
        <v>4.87</v>
      </c>
    </row>
    <row r="18" spans="1:17" s="2" customFormat="1" ht="12" customHeight="1" x14ac:dyDescent="0.25">
      <c r="A18" s="4">
        <v>309</v>
      </c>
      <c r="B18" s="2">
        <v>3</v>
      </c>
      <c r="C18" s="135" t="s">
        <v>957</v>
      </c>
      <c r="D18" s="325" t="str">
        <f>VLOOKUP(C18,Purchased!A:B,2,0)</f>
        <v>Ball Bearing Carriage for 15 mm Wide Rail</v>
      </c>
      <c r="E18" s="326"/>
      <c r="F18" s="108" t="str">
        <f>IF(VLOOKUP($C18,Purchased!A:Z,11,0) = 0, " ", VLOOKUP($C18,Purchased!A:Z,11,0))</f>
        <v>MCM</v>
      </c>
      <c r="G18" s="108" t="str">
        <f>IF(VLOOKUP($C18,Purchased!A:Z,12,0)=0, " ", VLOOKUP($C18,Purchased!A:Z,12,0))</f>
        <v>MCM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45481</v>
      </c>
      <c r="K18" s="46">
        <f>IF(VLOOKUP(C18,Purchased!A:R,14,0)=0, " ", VLOOKUP(C18,Purchased!A:R,14,0))</f>
        <v>45481</v>
      </c>
      <c r="L18" s="46">
        <f>IF(VLOOKUP(C18,Purchased!A:R,15,0)=0, " ", VLOOKUP(C18,Purchased!A:R,15,0))</f>
        <v>45481</v>
      </c>
      <c r="M18" s="46">
        <f>IF(VLOOKUP(C18,Purchased!A:R,16,0)=0, " ",VLOOKUP(C18,Purchased!A:R,16,0))</f>
        <v>45482</v>
      </c>
      <c r="N18" s="130">
        <f>IF(VLOOKUP(C18,Purchased!A:R,17,0)=0, " ", VLOOKUP(C18,Purchased!A:R,17,0))</f>
        <v>45482</v>
      </c>
      <c r="O18" s="47">
        <f t="shared" ca="1" si="2"/>
        <v>3</v>
      </c>
      <c r="P18" s="51">
        <f>VLOOKUP(C18,Purchased!A:D,3,FALSE)</f>
        <v>118.97</v>
      </c>
      <c r="Q18" s="52">
        <f t="shared" si="3"/>
        <v>356.90999999999997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501</v>
      </c>
      <c r="B20" s="2">
        <v>4</v>
      </c>
      <c r="C20" s="122" t="s">
        <v>174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ref="O20:O23" ca="1" si="4">B20*$L$2</f>
        <v>4</v>
      </c>
      <c r="P20" s="51">
        <f>VLOOKUP(C20,Bolts!A:B,2,FALSE)</f>
        <v>0</v>
      </c>
      <c r="Q20" s="52">
        <f t="shared" ref="Q20:Q23" si="5">B20*P20</f>
        <v>0</v>
      </c>
    </row>
    <row r="21" spans="1:17" s="2" customFormat="1" ht="12" customHeight="1" x14ac:dyDescent="0.25">
      <c r="A21" s="4">
        <v>502</v>
      </c>
      <c r="B21" s="2">
        <v>12</v>
      </c>
      <c r="C21" s="122" t="s">
        <v>506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4"/>
        <v>12</v>
      </c>
      <c r="P21" s="51">
        <f>VLOOKUP(C21,Bolts!A:B,2,FALSE)</f>
        <v>0</v>
      </c>
      <c r="Q21" s="52">
        <f t="shared" si="5"/>
        <v>0</v>
      </c>
    </row>
    <row r="22" spans="1:17" s="2" customFormat="1" ht="12" customHeight="1" x14ac:dyDescent="0.25">
      <c r="A22" s="4">
        <v>503</v>
      </c>
      <c r="B22" s="2">
        <v>16</v>
      </c>
      <c r="C22" s="122" t="s">
        <v>958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4"/>
        <v>16</v>
      </c>
      <c r="P22" s="51">
        <f>VLOOKUP(C22,Bolts!A:B,2,FALSE)</f>
        <v>0</v>
      </c>
      <c r="Q22" s="52">
        <f t="shared" si="5"/>
        <v>0</v>
      </c>
    </row>
    <row r="23" spans="1:17" s="2" customFormat="1" ht="12" customHeight="1" thickBot="1" x14ac:dyDescent="0.3">
      <c r="A23" s="4">
        <v>504</v>
      </c>
      <c r="B23" s="2">
        <v>1</v>
      </c>
      <c r="C23" s="122" t="s">
        <v>959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4"/>
        <v>1</v>
      </c>
      <c r="P23" s="51">
        <f>VLOOKUP(C23,Bolts!A:B,2,FALSE)</f>
        <v>0</v>
      </c>
      <c r="Q23" s="52">
        <f t="shared" si="5"/>
        <v>0</v>
      </c>
    </row>
    <row r="24" spans="1:17" s="2" customFormat="1" ht="12" customHeight="1" thickBot="1" x14ac:dyDescent="0.3">
      <c r="A24" s="34"/>
      <c r="B24" s="35"/>
      <c r="C24" s="35"/>
      <c r="D24" s="316"/>
      <c r="E24" s="317"/>
      <c r="F24" s="35"/>
      <c r="G24" s="35"/>
      <c r="H24" s="309"/>
      <c r="I24" s="310"/>
      <c r="J24" s="36"/>
      <c r="K24" s="36"/>
      <c r="L24" s="36"/>
      <c r="M24" s="37"/>
      <c r="N24" s="132"/>
      <c r="O24" s="38"/>
      <c r="P24" s="99" t="s">
        <v>43</v>
      </c>
      <c r="Q24" s="104">
        <f>SUM(Q5:Q23)</f>
        <v>1510.2662999999998</v>
      </c>
    </row>
  </sheetData>
  <mergeCells count="39">
    <mergeCell ref="D23:E23"/>
    <mergeCell ref="D24:E24"/>
    <mergeCell ref="H24:I24"/>
    <mergeCell ref="D19:E19"/>
    <mergeCell ref="H19:I19"/>
    <mergeCell ref="D20:E20"/>
    <mergeCell ref="D21:E21"/>
    <mergeCell ref="D22:E22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9 M19:M23">
    <cfRule type="cellIs" dxfId="988" priority="19" stopIfTrue="1" operator="lessThanOrEqual">
      <formula>$L9</formula>
    </cfRule>
    <cfRule type="cellIs" dxfId="987" priority="20" operator="greaterThan">
      <formula>L9</formula>
    </cfRule>
  </conditionalFormatting>
  <conditionalFormatting sqref="M10">
    <cfRule type="cellIs" dxfId="986" priority="17" stopIfTrue="1" operator="lessThanOrEqual">
      <formula>$L10</formula>
    </cfRule>
    <cfRule type="cellIs" dxfId="985" priority="18" operator="greaterThan">
      <formula>L10</formula>
    </cfRule>
  </conditionalFormatting>
  <conditionalFormatting sqref="M11:M17">
    <cfRule type="cellIs" dxfId="984" priority="3" stopIfTrue="1" operator="lessThanOrEqual">
      <formula>$L11</formula>
    </cfRule>
    <cfRule type="cellIs" dxfId="983" priority="4" operator="greaterThan">
      <formula>L11</formula>
    </cfRule>
  </conditionalFormatting>
  <conditionalFormatting sqref="M18">
    <cfRule type="cellIs" dxfId="982" priority="1" stopIfTrue="1" operator="lessThanOrEqual">
      <formula>$L18</formula>
    </cfRule>
    <cfRule type="cellIs" dxfId="981" priority="2" operator="greaterThan">
      <formula>L18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E4181A-2A64-4A3E-B85A-8F25A2BD9C12}">
          <x14:formula1>
            <xm:f>Bolts!$A:$A</xm:f>
          </x14:formula1>
          <xm:sqref>C19:C23</xm:sqref>
        </x14:dataValidation>
        <x14:dataValidation type="list" allowBlank="1" showInputMessage="1" showErrorMessage="1" xr:uid="{86ED457A-B156-4735-981B-CD170AB04097}">
          <x14:formula1>
            <xm:f>Machined!$C:$C</xm:f>
          </x14:formula1>
          <xm:sqref>C5:C8</xm:sqref>
        </x14:dataValidation>
        <x14:dataValidation type="list" allowBlank="1" showInputMessage="1" showErrorMessage="1" xr:uid="{E2E6120D-C263-4A33-A3F5-CEB94A603868}">
          <x14:formula1>
            <xm:f>Purchased!$A:$A</xm:f>
          </x14:formula1>
          <xm:sqref>C9:C18</xm:sqref>
        </x14:dataValidation>
      </x14:dataValidations>
    </ext>
  </extLst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9FDC-A605-4A87-8BC5-276DBAE376D3}">
  <sheetPr codeName="Sheet154">
    <tabColor theme="3" tint="0.79998168889431442"/>
  </sheetPr>
  <dimension ref="A1:Q29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'6.3.1'!C8</f>
        <v>PG10.6.3.1.4.0.A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'6.3.1'!D8</f>
        <v>Tube Gripper Assy B Side</v>
      </c>
      <c r="D3" s="85" t="s">
        <v>50</v>
      </c>
      <c r="E3" s="86" t="str">
        <f ca="1">MID(CELL("filename",A1),FIND("]",CELL("filename",A1))+1,256)</f>
        <v>6.3.1.4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960</v>
      </c>
      <c r="D5" s="314" t="str">
        <f>VLOOKUP(C5,Machined!C:X,2,0)</f>
        <v>Gripper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t="shared" ref="O5:O8" ca="1" si="0">B5*$L$2</f>
        <v>1</v>
      </c>
      <c r="P5" s="49">
        <f>VLOOKUP(C5,Machined!C:F,3,0)</f>
        <v>108.5</v>
      </c>
      <c r="Q5" s="50">
        <f t="shared" ref="Q5:Q8" si="1">B5*P5</f>
        <v>108.5</v>
      </c>
    </row>
    <row r="6" spans="1:17" s="2" customFormat="1" ht="12.75" customHeight="1" x14ac:dyDescent="0.25">
      <c r="A6" s="77">
        <v>2</v>
      </c>
      <c r="B6" s="20">
        <v>2</v>
      </c>
      <c r="C6" s="121" t="s">
        <v>961</v>
      </c>
      <c r="D6" s="314" t="str">
        <f>VLOOKUP(C6,Machined!C:X,2,0)</f>
        <v>Tube Gripper Block</v>
      </c>
      <c r="E6" s="329"/>
      <c r="F6" s="107" t="str">
        <f>VLOOKUP($C6,Machined!C:Z,13,0)</f>
        <v>3D PRINTED, PETG, RED</v>
      </c>
      <c r="G6" s="44" t="str">
        <f>IF(VLOOKUP($C6,Machined!C:Z,16,0) = 0, " ", VLOOKUP($C6,Machined!C:Z,16,0))</f>
        <v>NULINE</v>
      </c>
      <c r="H6" s="320" t="str">
        <f>IF(VLOOKUP($C6,Machined!C:Z,17,0) = 0, " ", VLOOKUP($C6,Machined!C:Z,17,0))</f>
        <v>SEE TREVOR</v>
      </c>
      <c r="I6" s="321" t="str">
        <f>IF(VLOOKUP($C6,Machined!$C:$Y,13,0) = 0, " ", VLOOKUP($C6,Machined!$C:$Y,13,0))</f>
        <v>3D PRINTED, PETG, RED</v>
      </c>
      <c r="J6" s="44" t="str">
        <f>IF(VLOOKUP($C6,Machined!C:Z,18,0) = 0, " ", VLOOKUP($C6,Machined!C:Z,18,0))</f>
        <v>N/A</v>
      </c>
      <c r="K6" s="44" t="str">
        <f>IF(VLOOKUP($C6,Machined!C:Z,19,0) = 0, " ", VLOOKUP($C6,Machined!C:Z,19,0))</f>
        <v>N/A</v>
      </c>
      <c r="L6" s="44" t="str">
        <f>IF(VLOOKUP($C6,Machined!C:Z,20,0) = 0, " ", VLOOKUP($C6,Machined!C:Z,20,0))</f>
        <v>N/A</v>
      </c>
      <c r="M6" s="44" t="str">
        <f>IF(VLOOKUP($C6,Machined!C:Z,21,0) = 0, " ", VLOOKUP($C6,Machined!C:Z,21,0))</f>
        <v>N/A</v>
      </c>
      <c r="N6" s="129" t="str">
        <f>IF(VLOOKUP($C6,Machined!C:Z,22,0) = 0, " ", VLOOKUP($C6,Machined!C:Z,22,0))</f>
        <v>N/A</v>
      </c>
      <c r="O6" s="45">
        <f t="shared" ca="1" si="0"/>
        <v>2</v>
      </c>
      <c r="P6" s="49">
        <f>VLOOKUP(C6,Machined!C:F,3,0)</f>
        <v>0</v>
      </c>
      <c r="Q6" s="50">
        <f t="shared" si="1"/>
        <v>0</v>
      </c>
    </row>
    <row r="7" spans="1:17" s="2" customFormat="1" ht="12.75" customHeight="1" x14ac:dyDescent="0.25">
      <c r="A7" s="77">
        <v>3</v>
      </c>
      <c r="B7" s="20">
        <v>2</v>
      </c>
      <c r="C7" s="121" t="s">
        <v>962</v>
      </c>
      <c r="D7" s="314" t="str">
        <f>VLOOKUP(C7,Machined!C:X,2,0)</f>
        <v>Tube Gripper Mount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2</v>
      </c>
      <c r="P7" s="49">
        <f>VLOOKUP(C7,Machined!C:F,3,0)</f>
        <v>163.5</v>
      </c>
      <c r="Q7" s="50">
        <f t="shared" si="1"/>
        <v>327</v>
      </c>
    </row>
    <row r="8" spans="1:17" s="2" customFormat="1" ht="12.75" customHeight="1" x14ac:dyDescent="0.25">
      <c r="A8" s="77">
        <v>4</v>
      </c>
      <c r="B8" s="20">
        <v>1</v>
      </c>
      <c r="C8" s="121" t="s">
        <v>3867</v>
      </c>
      <c r="D8" s="314" t="str">
        <f>VLOOKUP(C8,Machined!C:X,2,0)</f>
        <v>Bulkhead Bracket Lower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 xml:space="preserve"> </v>
      </c>
      <c r="H8" s="320" t="str">
        <f>IF(VLOOKUP($C8,Machined!C:Z,17,0) = 0, " ", VLOOKUP($C8,Machined!C:Z,17,0))</f>
        <v>Nuline to modify Rev A to B</v>
      </c>
      <c r="I8" s="321" t="str">
        <f>IF(VLOOKUP($C8,Machined!$C:$Y,13,0) = 0, " ", VLOOKUP($C8,Machined!$C:$Y,13,0))</f>
        <v>304 STAINLESS STEEL</v>
      </c>
      <c r="J8" s="44" t="str">
        <f>IF(VLOOKUP($C8,Machined!C:Z,18,0) = 0, " ", VLOOKUP($C8,Machined!C:Z,18,0))</f>
        <v>N/A</v>
      </c>
      <c r="K8" s="44" t="str">
        <f>IF(VLOOKUP($C8,Machined!C:Z,19,0) = 0, " ", VLOOKUP($C8,Machined!C:Z,19,0))</f>
        <v>N/A</v>
      </c>
      <c r="L8" s="44" t="str">
        <f>IF(VLOOKUP($C8,Machined!C:Z,20,0) = 0, " ", VLOOKUP($C8,Machined!C:Z,20,0))</f>
        <v>N/A</v>
      </c>
      <c r="M8" s="44" t="str">
        <f>IF(VLOOKUP($C8,Machined!C:Z,21,0) = 0, " ", VLOOKUP($C8,Machined!C:Z,21,0))</f>
        <v>N/A</v>
      </c>
      <c r="N8" s="129" t="str">
        <f>IF(VLOOKUP($C8,Machined!C:Z,22,0) = 0, " ", VLOOKUP($C8,Machined!C:Z,22,0))</f>
        <v>N/A</v>
      </c>
      <c r="O8" s="45">
        <f t="shared" ca="1" si="0"/>
        <v>1</v>
      </c>
      <c r="P8" s="49">
        <f>VLOOKUP(C8,Machined!C:F,3,0)</f>
        <v>0</v>
      </c>
      <c r="Q8" s="50">
        <f t="shared" si="1"/>
        <v>0</v>
      </c>
    </row>
    <row r="9" spans="1:17" s="2" customFormat="1" ht="12" customHeight="1" x14ac:dyDescent="0.2">
      <c r="A9" s="25"/>
      <c r="B9" s="26"/>
      <c r="C9" s="26"/>
      <c r="D9" s="332"/>
      <c r="E9" s="346"/>
      <c r="F9" s="26"/>
      <c r="G9" s="26"/>
      <c r="H9" s="322"/>
      <c r="I9" s="322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6</v>
      </c>
      <c r="C10" s="135" t="s">
        <v>963</v>
      </c>
      <c r="D10" s="325" t="str">
        <f>VLOOKUP(C10,Purchased!A:B,2,0)</f>
        <v>Brass Tapered Heat-Set Inserts for Plastic, M5 x 0.8 mm Thread Size, 11.1 mm 
Installed Length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45482</v>
      </c>
      <c r="N10" s="130">
        <f>IF(VLOOKUP(C10,Purchased!A:R,17,0)=0, " ", VLOOKUP(C10,Purchased!A:R,17,0))</f>
        <v>45482</v>
      </c>
      <c r="O10" s="47">
        <f t="shared" ref="O10:O21" ca="1" si="2">B10*$L$2</f>
        <v>6</v>
      </c>
      <c r="P10" s="51">
        <f>VLOOKUP(C10,Purchased!A:D,3,FALSE)</f>
        <v>10.73</v>
      </c>
      <c r="Q10" s="52">
        <f t="shared" ref="Q10:Q21" si="3">B10*P10</f>
        <v>64.38</v>
      </c>
    </row>
    <row r="11" spans="1:17" s="2" customFormat="1" ht="12" customHeight="1" x14ac:dyDescent="0.25">
      <c r="A11" s="4">
        <v>302</v>
      </c>
      <c r="B11" s="2">
        <v>2</v>
      </c>
      <c r="C11" s="135" t="s">
        <v>931</v>
      </c>
      <c r="D11" s="325" t="str">
        <f>VLOOKUP(C11,Purchased!A:B,2,0)</f>
        <v>KQ2 unifit straight fitting 1/8in port to 6mm dia tubing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2"/>
        <v>2</v>
      </c>
      <c r="P11" s="51">
        <f>VLOOKUP(C11,Purchased!A:D,3,FALSE)</f>
        <v>1.7</v>
      </c>
      <c r="Q11" s="52">
        <f t="shared" si="3"/>
        <v>3.4</v>
      </c>
    </row>
    <row r="12" spans="1:17" s="2" customFormat="1" ht="12" customHeight="1" x14ac:dyDescent="0.25">
      <c r="A12" s="4">
        <v>303</v>
      </c>
      <c r="B12" s="2">
        <v>2</v>
      </c>
      <c r="C12" s="135" t="s">
        <v>964</v>
      </c>
      <c r="D12" s="325" t="str">
        <f>VLOOKUP(C12,Purchased!A:B,2,0)</f>
        <v>KQ2 one touch fitting, elbow, 6mm dia tubing, plug in male end 6mm dia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45491</v>
      </c>
      <c r="M12" s="46">
        <f>IF(VLOOKUP(C12,Purchased!A:R,16,0)=0, " ",VLOOKUP(C12,Purchased!A:R,16,0))</f>
        <v>45520</v>
      </c>
      <c r="N12" s="130">
        <f>IF(VLOOKUP(C12,Purchased!A:R,17,0)=0, " ", VLOOKUP(C12,Purchased!A:R,17,0))</f>
        <v>45511</v>
      </c>
      <c r="O12" s="47">
        <f t="shared" ca="1" si="2"/>
        <v>2</v>
      </c>
      <c r="P12" s="51">
        <f>VLOOKUP(C12,Purchased!A:D,3,FALSE)</f>
        <v>1.33</v>
      </c>
      <c r="Q12" s="52">
        <f t="shared" si="3"/>
        <v>2.66</v>
      </c>
    </row>
    <row r="13" spans="1:17" s="2" customFormat="1" ht="12" customHeight="1" x14ac:dyDescent="0.25">
      <c r="A13" s="4">
        <v>304</v>
      </c>
      <c r="B13" s="2">
        <v>2</v>
      </c>
      <c r="C13" s="135" t="s">
        <v>965</v>
      </c>
      <c r="D13" s="325" t="str">
        <f>VLOOKUP(C13,Purchased!A:B,2,0)</f>
        <v>KQ2 uni fit one touch fitting, bulk head, straight, 6mm dia tubing both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2"/>
        <v>2</v>
      </c>
      <c r="P13" s="51">
        <f>VLOOKUP(C13,Purchased!A:D,3,FALSE)</f>
        <v>3.48</v>
      </c>
      <c r="Q13" s="52">
        <f t="shared" si="3"/>
        <v>6.96</v>
      </c>
    </row>
    <row r="14" spans="1:17" s="2" customFormat="1" ht="12" customHeight="1" x14ac:dyDescent="0.25">
      <c r="A14" s="4">
        <v>305</v>
      </c>
      <c r="B14" s="2">
        <v>2</v>
      </c>
      <c r="C14" s="135" t="s">
        <v>966</v>
      </c>
      <c r="D14" s="325" t="str">
        <f>VLOOKUP(C14,Purchased!A:B,2,0)</f>
        <v>MFS magnetic Field Sensor</v>
      </c>
      <c r="E14" s="326"/>
      <c r="F14" s="108" t="str">
        <f>IF(VLOOKUP($C14,Purchased!A:Z,11,0) = 0, " ", VLOOKUP($C14,Purchased!A:Z,11,0))</f>
        <v>Zimmer</v>
      </c>
      <c r="G14" s="108" t="str">
        <f>IF(VLOOKUP($C14,Purchased!A:Z,12,0)=0, " ", VLOOKUP($C14,Purchased!A:Z,12,0))</f>
        <v>Zimmer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45482</v>
      </c>
      <c r="K14" s="46">
        <f>IF(VLOOKUP(C14,Purchased!A:R,14,0)=0, " ", VLOOKUP(C14,Purchased!A:R,14,0))</f>
        <v>45482</v>
      </c>
      <c r="L14" s="46">
        <f>IF(VLOOKUP(C14,Purchased!A:R,15,0)=0, " ", VLOOKUP(C14,Purchased!A:R,15,0))</f>
        <v>45482</v>
      </c>
      <c r="M14" s="46">
        <f>IF(VLOOKUP(C14,Purchased!A:R,16,0)=0, " ",VLOOKUP(C14,Purchased!A:R,16,0))</f>
        <v>45512</v>
      </c>
      <c r="N14" s="130">
        <f>IF(VLOOKUP(C14,Purchased!A:R,17,0)=0, " ", VLOOKUP(C14,Purchased!A:R,17,0))</f>
        <v>45512</v>
      </c>
      <c r="O14" s="47">
        <f t="shared" ca="1" si="2"/>
        <v>2</v>
      </c>
      <c r="P14" s="51">
        <f>VLOOKUP(C14,Purchased!A:D,3,FALSE)</f>
        <v>95.3</v>
      </c>
      <c r="Q14" s="52">
        <f t="shared" si="3"/>
        <v>190.6</v>
      </c>
    </row>
    <row r="15" spans="1:17" s="2" customFormat="1" ht="12" customHeight="1" x14ac:dyDescent="0.25">
      <c r="A15" s="4">
        <v>306</v>
      </c>
      <c r="B15" s="2">
        <v>1</v>
      </c>
      <c r="C15" s="135" t="s">
        <v>967</v>
      </c>
      <c r="D15" s="325" t="str">
        <f>VLOOKUP(C15,Purchased!A:B,2,0)</f>
        <v xml:space="preserve">GK 2 jaw radial gripper </v>
      </c>
      <c r="E15" s="326"/>
      <c r="F15" s="108" t="str">
        <f>IF(VLOOKUP($C15,Purchased!A:Z,11,0) = 0, " ", VLOOKUP($C15,Purchased!A:Z,11,0))</f>
        <v>Zimmer</v>
      </c>
      <c r="G15" s="108" t="str">
        <f>IF(VLOOKUP($C15,Purchased!A:Z,12,0)=0, " ", VLOOKUP($C15,Purchased!A:Z,12,0))</f>
        <v>Zimmer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45482</v>
      </c>
      <c r="K15" s="46">
        <f>IF(VLOOKUP(C15,Purchased!A:R,14,0)=0, " ", VLOOKUP(C15,Purchased!A:R,14,0))</f>
        <v>45482</v>
      </c>
      <c r="L15" s="46">
        <f>IF(VLOOKUP(C15,Purchased!A:R,15,0)=0, " ", VLOOKUP(C15,Purchased!A:R,15,0))</f>
        <v>45482</v>
      </c>
      <c r="M15" s="46">
        <f>IF(VLOOKUP(C15,Purchased!A:R,16,0)=0, " ",VLOOKUP(C15,Purchased!A:R,16,0))</f>
        <v>45512</v>
      </c>
      <c r="N15" s="130">
        <f>IF(VLOOKUP(C15,Purchased!A:R,17,0)=0, " ", VLOOKUP(C15,Purchased!A:R,17,0))</f>
        <v>45512</v>
      </c>
      <c r="O15" s="47">
        <f t="shared" ca="1" si="2"/>
        <v>1</v>
      </c>
      <c r="P15" s="51">
        <f>VLOOKUP(C15,Purchased!A:D,3,FALSE)</f>
        <v>546.4</v>
      </c>
      <c r="Q15" s="52">
        <f t="shared" si="3"/>
        <v>546.4</v>
      </c>
    </row>
    <row r="16" spans="1:17" s="2" customFormat="1" ht="12" customHeight="1" x14ac:dyDescent="0.25">
      <c r="A16" s="4">
        <v>307</v>
      </c>
      <c r="B16" s="2">
        <v>1</v>
      </c>
      <c r="C16" s="135" t="s">
        <v>968</v>
      </c>
      <c r="D16" s="325" t="str">
        <f>VLOOKUP(C16,Purchased!A:B,2,0)</f>
        <v>T-Coupler M12 male / 2x M8 female A-cod. 4-pol. / 2x 3-pol</v>
      </c>
      <c r="E16" s="326"/>
      <c r="F16" s="108" t="str">
        <f>IF(VLOOKUP($C16,Purchased!A:Z,11,0) = 0, " ", VLOOKUP($C16,Purchased!A:Z,11,0))</f>
        <v>MURR</v>
      </c>
      <c r="G16" s="108" t="str">
        <f>IF(VLOOKUP($C16,Purchased!A:Z,12,0)=0, " ", VLOOKUP($C16,Purchased!A:Z,12,0))</f>
        <v>MURR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45506</v>
      </c>
      <c r="K16" s="46">
        <f>IF(VLOOKUP(C16,Purchased!A:R,14,0)=0, " ", VLOOKUP(C16,Purchased!A:R,14,0))</f>
        <v>45506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2"/>
        <v>1</v>
      </c>
      <c r="P16" s="51">
        <f>VLOOKUP(C16,Purchased!A:D,3,FALSE)</f>
        <v>0</v>
      </c>
      <c r="Q16" s="52">
        <f t="shared" si="3"/>
        <v>0</v>
      </c>
    </row>
    <row r="17" spans="1:17" s="2" customFormat="1" ht="12" customHeight="1" x14ac:dyDescent="0.25">
      <c r="A17" s="4">
        <v>308</v>
      </c>
      <c r="B17" s="2">
        <v>1</v>
      </c>
      <c r="C17" s="135" t="s">
        <v>969</v>
      </c>
      <c r="D17" s="325" t="str">
        <f>VLOOKUP(C17,Purchased!A:B,2,0)</f>
        <v>M12 male 0° A-cod. IDC 4-pol., 0.25 - 0.5mm, 4 - 5,1mm</v>
      </c>
      <c r="E17" s="326"/>
      <c r="F17" s="108" t="str">
        <f>IF(VLOOKUP($C17,Purchased!A:Z,11,0) = 0, " ", VLOOKUP($C17,Purchased!A:Z,11,0))</f>
        <v>MURR</v>
      </c>
      <c r="G17" s="108" t="str">
        <f>IF(VLOOKUP($C17,Purchased!A:Z,12,0)=0, " ", VLOOKUP($C17,Purchased!A:Z,12,0))</f>
        <v>MURR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45506</v>
      </c>
      <c r="K17" s="46">
        <f>IF(VLOOKUP(C17,Purchased!A:R,14,0)=0, " ", VLOOKUP(C17,Purchased!A:R,14,0))</f>
        <v>45506</v>
      </c>
      <c r="L17" s="46" t="str">
        <f>IF(VLOOKUP(C17,Purchased!A:R,15,0)=0, " ", VLOOKUP(C17,Purchased!A:R,15,0))</f>
        <v xml:space="preserve"> </v>
      </c>
      <c r="M17" s="46" t="str">
        <f>IF(VLOOKUP(C17,Purchased!A:R,16,0)=0, " ",VLOOKUP(C17,Purchased!A:R,16,0))</f>
        <v xml:space="preserve"> </v>
      </c>
      <c r="N17" s="130" t="str">
        <f>IF(VLOOKUP(C17,Purchased!A:R,17,0)=0, " ", VLOOKUP(C17,Purchased!A:R,17,0))</f>
        <v xml:space="preserve"> </v>
      </c>
      <c r="O17" s="47">
        <f t="shared" ca="1" si="2"/>
        <v>1</v>
      </c>
      <c r="P17" s="51">
        <f>VLOOKUP(C17,Purchased!A:D,3,FALSE)</f>
        <v>0</v>
      </c>
      <c r="Q17" s="52">
        <f t="shared" si="3"/>
        <v>0</v>
      </c>
    </row>
    <row r="18" spans="1:17" s="2" customFormat="1" ht="12" customHeight="1" x14ac:dyDescent="0.25">
      <c r="A18" s="4">
        <v>309</v>
      </c>
      <c r="B18" s="2">
        <v>1</v>
      </c>
      <c r="C18" s="135" t="s">
        <v>106</v>
      </c>
      <c r="D18" s="325" t="str">
        <f>VLOOKUP(C18,Purchased!A:B,2,0)</f>
        <v>M12 female 0° A-cod. with cable, PVC 4x0.34 bk UL/CSA 5m</v>
      </c>
      <c r="E18" s="326"/>
      <c r="F18" s="108" t="str">
        <f>IF(VLOOKUP($C18,Purchased!A:Z,11,0) = 0, " ", VLOOKUP($C18,Purchased!A:Z,11,0))</f>
        <v>MURR</v>
      </c>
      <c r="G18" s="108" t="str">
        <f>IF(VLOOKUP($C18,Purchased!A:Z,12,0)=0, " ", VLOOKUP($C18,Purchased!A:Z,12,0))</f>
        <v>MURR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45506</v>
      </c>
      <c r="K18" s="46">
        <f>IF(VLOOKUP(C18,Purchased!A:R,14,0)=0, " ", VLOOKUP(C18,Purchased!A:R,14,0))</f>
        <v>45506</v>
      </c>
      <c r="L18" s="46" t="str">
        <f>IF(VLOOKUP(C18,Purchased!A:R,15,0)=0, " ", VLOOKUP(C18,Purchased!A:R,15,0))</f>
        <v xml:space="preserve"> </v>
      </c>
      <c r="M18" s="46" t="str">
        <f>IF(VLOOKUP(C18,Purchased!A:R,16,0)=0, " ",VLOOKUP(C18,Purchased!A:R,16,0))</f>
        <v xml:space="preserve"> </v>
      </c>
      <c r="N18" s="130" t="str">
        <f>IF(VLOOKUP(C18,Purchased!A:R,17,0)=0, " ", VLOOKUP(C18,Purchased!A:R,17,0))</f>
        <v xml:space="preserve"> </v>
      </c>
      <c r="O18" s="47">
        <f t="shared" ca="1" si="2"/>
        <v>1</v>
      </c>
      <c r="P18" s="51">
        <f>VLOOKUP(C18,Purchased!A:D,3,FALSE)</f>
        <v>0</v>
      </c>
      <c r="Q18" s="52">
        <f t="shared" si="3"/>
        <v>0</v>
      </c>
    </row>
    <row r="19" spans="1:17" s="2" customFormat="1" ht="12" customHeight="1" x14ac:dyDescent="0.25">
      <c r="A19" s="4">
        <v>310</v>
      </c>
      <c r="B19" s="2">
        <v>2</v>
      </c>
      <c r="C19" s="135" t="s">
        <v>970</v>
      </c>
      <c r="D19" s="325" t="str">
        <f>VLOOKUP(C19,Purchased!A:B,2,0)</f>
        <v>MDC, Cordset, 4 Pole, Female Straight, 3.3M (Extended), 4A, Yellow, Coiled 
PUR Cable, Nickel Plated Brass</v>
      </c>
      <c r="E19" s="326"/>
      <c r="F19" s="108" t="str">
        <f>IF(VLOOKUP($C19,Purchased!A:Z,11,0) = 0, " ", VLOOKUP($C19,Purchased!A:Z,11,0))</f>
        <v>MENCOM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 t="str">
        <f>IF(VLOOKUP(C19,Purchased!A:R,15,0)=0, " ", VLOOKUP(C19,Purchased!A:R,15,0))</f>
        <v xml:space="preserve"> </v>
      </c>
      <c r="M19" s="46" t="str">
        <f>IF(VLOOKUP(C19,Purchased!A:R,16,0)=0, " ",VLOOKUP(C19,Purchased!A:R,16,0))</f>
        <v xml:space="preserve"> </v>
      </c>
      <c r="N19" s="130" t="str">
        <f>IF(VLOOKUP(C19,Purchased!A:R,17,0)=0, " ", VLOOKUP(C19,Purchased!A:R,17,0))</f>
        <v xml:space="preserve"> </v>
      </c>
      <c r="O19" s="47">
        <f t="shared" ca="1" si="2"/>
        <v>2</v>
      </c>
      <c r="P19" s="51">
        <f>VLOOKUP(C19,Purchased!A:D,3,FALSE)</f>
        <v>78.67</v>
      </c>
      <c r="Q19" s="52">
        <f t="shared" si="3"/>
        <v>157.34</v>
      </c>
    </row>
    <row r="20" spans="1:17" s="2" customFormat="1" ht="12" customHeight="1" x14ac:dyDescent="0.25">
      <c r="A20" s="4">
        <v>311</v>
      </c>
      <c r="B20" s="2">
        <v>2</v>
      </c>
      <c r="C20" s="135" t="s">
        <v>971</v>
      </c>
      <c r="D20" s="325" t="str">
        <f>VLOOKUP(C20,Purchased!A:B,2,0)</f>
        <v>Linear Motion Shaft, 1055 Carbon Steel, 12 mm Diameter, 500 mm Long</v>
      </c>
      <c r="E20" s="326"/>
      <c r="F20" s="108" t="str">
        <f>IF(VLOOKUP($C20,Purchased!A:Z,11,0) = 0, " ", VLOOKUP($C20,Purchased!A:Z,11,0))</f>
        <v>Thomson</v>
      </c>
      <c r="G20" s="108" t="str">
        <f>IF(VLOOKUP($C20,Purchased!A:Z,12,0)=0, " ", VLOOKUP($C20,Purchased!A:Z,12,0))</f>
        <v>BDI</v>
      </c>
      <c r="H20" s="327" t="str">
        <f>IF(VLOOKUP($C20,Purchased!A:Z,13,0)=0, " ", VLOOKUP($C20,Purchased!A:Z,13,0))</f>
        <v># 842907 - QS12mm 500</v>
      </c>
      <c r="I20" s="328"/>
      <c r="J20" s="46">
        <f>IF(VLOOKUP($C20,Purchased!A:Z,14,0)=0, " ", VLOOKUP($C20,Purchased!A:Z,14,0))</f>
        <v>45460</v>
      </c>
      <c r="K20" s="46">
        <f>IF(VLOOKUP(C20,Purchased!A:R,14,0)=0, " ", VLOOKUP(C20,Purchased!A:R,14,0))</f>
        <v>45460</v>
      </c>
      <c r="L20" s="46">
        <f>IF(VLOOKUP(C20,Purchased!A:R,15,0)=0, " ", VLOOKUP(C20,Purchased!A:R,15,0))</f>
        <v>45462</v>
      </c>
      <c r="M20" s="46">
        <f>IF(VLOOKUP(C20,Purchased!A:R,16,0)=0, " ",VLOOKUP(C20,Purchased!A:R,16,0))</f>
        <v>45495</v>
      </c>
      <c r="N20" s="130">
        <f>IF(VLOOKUP(C20,Purchased!A:R,17,0)=0, " ", VLOOKUP(C20,Purchased!A:R,17,0))</f>
        <v>45495</v>
      </c>
      <c r="O20" s="47">
        <f t="shared" ca="1" si="2"/>
        <v>2</v>
      </c>
      <c r="P20" s="51">
        <f>VLOOKUP(C20,Purchased!A:D,3,FALSE)</f>
        <v>16.559999999999999</v>
      </c>
      <c r="Q20" s="52">
        <f t="shared" si="3"/>
        <v>33.119999999999997</v>
      </c>
    </row>
    <row r="21" spans="1:17" s="2" customFormat="1" ht="12" customHeight="1" x14ac:dyDescent="0.25">
      <c r="A21" s="4">
        <v>312</v>
      </c>
      <c r="B21" s="2">
        <v>1</v>
      </c>
      <c r="C21" s="135" t="s">
        <v>972</v>
      </c>
      <c r="D21" s="325" t="str">
        <f>VLOOKUP(C21,Purchased!A:B,2,0)</f>
        <v>SAME AS 95495K66, Adhesive-Back Bumpers, Polyurethane Rubber, 3/8" OD, 
1/8" High, Durometer 65A</v>
      </c>
      <c r="E21" s="326"/>
      <c r="F21" s="108" t="str">
        <f>IF(VLOOKUP($C21,Purchased!A:Z,11,0) = 0, " ", VLOOKUP($C21,Purchased!A:Z,11,0))</f>
        <v>MCM</v>
      </c>
      <c r="G21" s="108" t="str">
        <f>IF(VLOOKUP($C21,Purchased!A:Z,12,0)=0, " ", VLOOKUP($C21,Purchased!A:Z,12,0))</f>
        <v>MCM</v>
      </c>
      <c r="H21" s="327" t="str">
        <f>IF(VLOOKUP($C21,Purchased!A:Z,13,0)=0, " ", VLOOKUP($C21,Purchased!A:Z,13,0))</f>
        <v>Nuline Stock</v>
      </c>
      <c r="I21" s="328"/>
      <c r="J21" s="46" t="str">
        <f>IF(VLOOKUP($C21,Purchased!A:Z,14,0)=0, " ", VLOOKUP($C21,Purchased!A:Z,14,0))</f>
        <v>N/A</v>
      </c>
      <c r="K21" s="46" t="str">
        <f>IF(VLOOKUP(C21,Purchased!A:R,14,0)=0, " ", VLOOKUP(C21,Purchased!A:R,14,0))</f>
        <v>N/A</v>
      </c>
      <c r="L21" s="46" t="str">
        <f>IF(VLOOKUP(C21,Purchased!A:R,15,0)=0, " ", VLOOKUP(C21,Purchased!A:R,15,0))</f>
        <v>N/A</v>
      </c>
      <c r="M21" s="46" t="str">
        <f>IF(VLOOKUP(C21,Purchased!A:R,16,0)=0, " ",VLOOKUP(C21,Purchased!A:R,16,0))</f>
        <v>N/A</v>
      </c>
      <c r="N21" s="130" t="str">
        <f>IF(VLOOKUP(C21,Purchased!A:R,17,0)=0, " ", VLOOKUP(C21,Purchased!A:R,17,0))</f>
        <v>N/A</v>
      </c>
      <c r="O21" s="47">
        <f t="shared" ca="1" si="2"/>
        <v>1</v>
      </c>
      <c r="P21" s="51">
        <f>VLOOKUP(C21,Purchased!A:D,3,FALSE)</f>
        <v>11.03</v>
      </c>
      <c r="Q21" s="52">
        <f t="shared" si="3"/>
        <v>11.03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501</v>
      </c>
      <c r="B23" s="2">
        <v>2</v>
      </c>
      <c r="C23" s="122" t="s">
        <v>333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ref="O23:O28" ca="1" si="4">B23*$L$2</f>
        <v>2</v>
      </c>
      <c r="P23" s="51">
        <f>VLOOKUP(C23,Bolts!A:B,2,FALSE)</f>
        <v>0</v>
      </c>
      <c r="Q23" s="52">
        <f t="shared" ref="Q23:Q28" si="5">B23*P23</f>
        <v>0</v>
      </c>
    </row>
    <row r="24" spans="1:17" s="2" customFormat="1" ht="12" customHeight="1" x14ac:dyDescent="0.25">
      <c r="A24" s="4">
        <v>502</v>
      </c>
      <c r="B24" s="2">
        <v>14</v>
      </c>
      <c r="C24" s="122" t="s">
        <v>107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4"/>
        <v>14</v>
      </c>
      <c r="P24" s="51">
        <f>VLOOKUP(C24,Bolts!A:B,2,FALSE)</f>
        <v>0</v>
      </c>
      <c r="Q24" s="52">
        <f t="shared" si="5"/>
        <v>0</v>
      </c>
    </row>
    <row r="25" spans="1:17" s="2" customFormat="1" ht="12" customHeight="1" x14ac:dyDescent="0.25">
      <c r="A25" s="4">
        <v>503</v>
      </c>
      <c r="B25" s="2">
        <v>2</v>
      </c>
      <c r="C25" s="122" t="s">
        <v>660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4"/>
        <v>2</v>
      </c>
      <c r="P25" s="51">
        <f>VLOOKUP(C25,Bolts!A:B,2,FALSE)</f>
        <v>0</v>
      </c>
      <c r="Q25" s="52">
        <f t="shared" si="5"/>
        <v>0</v>
      </c>
    </row>
    <row r="26" spans="1:17" s="2" customFormat="1" ht="12" customHeight="1" x14ac:dyDescent="0.25">
      <c r="A26" s="4">
        <v>504</v>
      </c>
      <c r="B26" s="2">
        <v>1</v>
      </c>
      <c r="C26" s="122" t="s">
        <v>973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4"/>
        <v>1</v>
      </c>
      <c r="P26" s="51">
        <f>VLOOKUP(C26,Bolts!A:B,2,FALSE)</f>
        <v>0</v>
      </c>
      <c r="Q26" s="52">
        <f t="shared" si="5"/>
        <v>0</v>
      </c>
    </row>
    <row r="27" spans="1:17" s="2" customFormat="1" ht="12" customHeight="1" x14ac:dyDescent="0.25">
      <c r="A27" s="4">
        <v>505</v>
      </c>
      <c r="B27" s="2">
        <v>1</v>
      </c>
      <c r="C27" s="122" t="s">
        <v>274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4"/>
        <v>1</v>
      </c>
      <c r="P27" s="51">
        <f>VLOOKUP(C27,Bolts!A:B,2,FALSE)</f>
        <v>0</v>
      </c>
      <c r="Q27" s="52">
        <f t="shared" si="5"/>
        <v>0</v>
      </c>
    </row>
    <row r="28" spans="1:17" s="2" customFormat="1" ht="12" customHeight="1" thickBot="1" x14ac:dyDescent="0.3">
      <c r="A28" s="4">
        <v>506</v>
      </c>
      <c r="B28" s="2">
        <v>1</v>
      </c>
      <c r="C28" s="122" t="s">
        <v>329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4"/>
        <v>1</v>
      </c>
      <c r="P28" s="51">
        <f>VLOOKUP(C28,Bolts!A:B,2,FALSE)</f>
        <v>0</v>
      </c>
      <c r="Q28" s="52">
        <f t="shared" si="5"/>
        <v>0</v>
      </c>
    </row>
    <row r="29" spans="1:17" s="2" customFormat="1" ht="12" customHeight="1" thickBot="1" x14ac:dyDescent="0.3">
      <c r="A29" s="34"/>
      <c r="B29" s="35"/>
      <c r="C29" s="35"/>
      <c r="D29" s="316"/>
      <c r="E29" s="317"/>
      <c r="F29" s="35"/>
      <c r="G29" s="35"/>
      <c r="H29" s="309"/>
      <c r="I29" s="310"/>
      <c r="J29" s="36"/>
      <c r="K29" s="36"/>
      <c r="L29" s="36"/>
      <c r="M29" s="37"/>
      <c r="N29" s="132"/>
      <c r="O29" s="38"/>
      <c r="P29" s="99" t="s">
        <v>43</v>
      </c>
      <c r="Q29" s="104">
        <f>SUM(Q5:Q28)</f>
        <v>1451.3899999999999</v>
      </c>
    </row>
  </sheetData>
  <mergeCells count="47">
    <mergeCell ref="D26:E26"/>
    <mergeCell ref="D27:E27"/>
    <mergeCell ref="D28:E28"/>
    <mergeCell ref="D29:E29"/>
    <mergeCell ref="H29:I29"/>
    <mergeCell ref="D22:E22"/>
    <mergeCell ref="H22:I22"/>
    <mergeCell ref="D23:E23"/>
    <mergeCell ref="D24:E24"/>
    <mergeCell ref="D25:E25"/>
    <mergeCell ref="D19:E19"/>
    <mergeCell ref="H19:I19"/>
    <mergeCell ref="D20:E20"/>
    <mergeCell ref="H20:I20"/>
    <mergeCell ref="D21:E21"/>
    <mergeCell ref="H21:I21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6:E6"/>
    <mergeCell ref="H6:I6"/>
    <mergeCell ref="D5:E5"/>
    <mergeCell ref="H5:I5"/>
  </mergeCells>
  <conditionalFormatting sqref="M9 M22:M28">
    <cfRule type="cellIs" dxfId="980" priority="25" stopIfTrue="1" operator="lessThanOrEqual">
      <formula>$L9</formula>
    </cfRule>
    <cfRule type="cellIs" dxfId="979" priority="26" operator="greaterThan">
      <formula>L9</formula>
    </cfRule>
  </conditionalFormatting>
  <conditionalFormatting sqref="M10">
    <cfRule type="cellIs" dxfId="978" priority="23" stopIfTrue="1" operator="lessThanOrEqual">
      <formula>$L10</formula>
    </cfRule>
    <cfRule type="cellIs" dxfId="977" priority="24" operator="greaterThan">
      <formula>L10</formula>
    </cfRule>
  </conditionalFormatting>
  <conditionalFormatting sqref="M11">
    <cfRule type="cellIs" dxfId="976" priority="21" stopIfTrue="1" operator="lessThanOrEqual">
      <formula>$L11</formula>
    </cfRule>
    <cfRule type="cellIs" dxfId="975" priority="22" operator="greaterThan">
      <formula>L11</formula>
    </cfRule>
  </conditionalFormatting>
  <conditionalFormatting sqref="M12">
    <cfRule type="cellIs" dxfId="974" priority="19" stopIfTrue="1" operator="lessThanOrEqual">
      <formula>$L12</formula>
    </cfRule>
    <cfRule type="cellIs" dxfId="973" priority="20" operator="greaterThan">
      <formula>L12</formula>
    </cfRule>
  </conditionalFormatting>
  <conditionalFormatting sqref="M13">
    <cfRule type="cellIs" dxfId="972" priority="17" stopIfTrue="1" operator="lessThanOrEqual">
      <formula>$L13</formula>
    </cfRule>
    <cfRule type="cellIs" dxfId="971" priority="18" operator="greaterThan">
      <formula>L13</formula>
    </cfRule>
  </conditionalFormatting>
  <conditionalFormatting sqref="M14">
    <cfRule type="cellIs" dxfId="970" priority="15" stopIfTrue="1" operator="lessThanOrEqual">
      <formula>$L14</formula>
    </cfRule>
    <cfRule type="cellIs" dxfId="969" priority="16" operator="greaterThan">
      <formula>L14</formula>
    </cfRule>
  </conditionalFormatting>
  <conditionalFormatting sqref="M15">
    <cfRule type="cellIs" dxfId="968" priority="13" stopIfTrue="1" operator="lessThanOrEqual">
      <formula>$L15</formula>
    </cfRule>
    <cfRule type="cellIs" dxfId="967" priority="14" operator="greaterThan">
      <formula>L15</formula>
    </cfRule>
  </conditionalFormatting>
  <conditionalFormatting sqref="M16">
    <cfRule type="cellIs" dxfId="966" priority="11" stopIfTrue="1" operator="lessThanOrEqual">
      <formula>$L16</formula>
    </cfRule>
    <cfRule type="cellIs" dxfId="965" priority="12" operator="greaterThan">
      <formula>L16</formula>
    </cfRule>
  </conditionalFormatting>
  <conditionalFormatting sqref="M17">
    <cfRule type="cellIs" dxfId="964" priority="9" stopIfTrue="1" operator="lessThanOrEqual">
      <formula>$L17</formula>
    </cfRule>
    <cfRule type="cellIs" dxfId="963" priority="10" operator="greaterThan">
      <formula>L17</formula>
    </cfRule>
  </conditionalFormatting>
  <conditionalFormatting sqref="M18">
    <cfRule type="cellIs" dxfId="962" priority="7" stopIfTrue="1" operator="lessThanOrEqual">
      <formula>$L18</formula>
    </cfRule>
    <cfRule type="cellIs" dxfId="961" priority="8" operator="greaterThan">
      <formula>L18</formula>
    </cfRule>
  </conditionalFormatting>
  <conditionalFormatting sqref="M19">
    <cfRule type="cellIs" dxfId="960" priority="5" stopIfTrue="1" operator="lessThanOrEqual">
      <formula>$L19</formula>
    </cfRule>
    <cfRule type="cellIs" dxfId="959" priority="6" operator="greaterThan">
      <formula>L19</formula>
    </cfRule>
  </conditionalFormatting>
  <conditionalFormatting sqref="M20">
    <cfRule type="cellIs" dxfId="958" priority="3" stopIfTrue="1" operator="lessThanOrEqual">
      <formula>$L20</formula>
    </cfRule>
    <cfRule type="cellIs" dxfId="957" priority="4" operator="greaterThan">
      <formula>L20</formula>
    </cfRule>
  </conditionalFormatting>
  <conditionalFormatting sqref="M21">
    <cfRule type="cellIs" dxfId="956" priority="1" stopIfTrue="1" operator="lessThanOrEqual">
      <formula>$L21</formula>
    </cfRule>
    <cfRule type="cellIs" dxfId="955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AF947B-9CB9-4BA8-94F2-A77CF658392C}">
          <x14:formula1>
            <xm:f>Bolts!$A:$A</xm:f>
          </x14:formula1>
          <xm:sqref>C22:C28</xm:sqref>
        </x14:dataValidation>
        <x14:dataValidation type="list" allowBlank="1" showInputMessage="1" showErrorMessage="1" xr:uid="{344986EB-ED60-4AC7-B224-D6B08F0778DE}">
          <x14:formula1>
            <xm:f>Machined!$C:$C</xm:f>
          </x14:formula1>
          <xm:sqref>C5:C8</xm:sqref>
        </x14:dataValidation>
        <x14:dataValidation type="list" allowBlank="1" showInputMessage="1" showErrorMessage="1" xr:uid="{44EA2540-FAA6-4D06-9C50-45CC6F36297A}">
          <x14:formula1>
            <xm:f>Purchased!$A:$A</xm:f>
          </x14:formula1>
          <xm:sqref>C9:C21</xm:sqref>
        </x14:dataValidation>
      </x14:dataValidations>
    </ext>
  </extLst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F517-B6A0-41C3-80CA-C7BC3A89319E}">
  <sheetPr codeName="Sheet155">
    <tabColor theme="6" tint="0.59999389629810485"/>
  </sheetPr>
  <dimension ref="A1:Q32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'6.3'!C6</f>
        <v>PG10.6.3.2.0.A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'6.3'!D6</f>
        <v>Tube Rotate Assy B Side</v>
      </c>
      <c r="D3" s="85" t="s">
        <v>50</v>
      </c>
      <c r="E3" s="86" t="str">
        <f ca="1">MID(CELL("filename",A1),FIND("]",CELL("filename",A1))+1,256)</f>
        <v>6.3.2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978</v>
      </c>
      <c r="D5" s="314" t="str">
        <f>VLOOKUP(C5,Machined!C:X,2,0)</f>
        <v>Pin Block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ca="1">B5*$L$2</f>
        <v>1</v>
      </c>
      <c r="P5" s="49">
        <f>VLOOKUP(C5,Machined!C:F,3,0)</f>
        <v>263</v>
      </c>
      <c r="Q5" s="50">
        <f>B5*P5</f>
        <v>263</v>
      </c>
    </row>
    <row r="6" spans="1:17" s="2" customFormat="1" ht="12.75" customHeight="1" x14ac:dyDescent="0.25">
      <c r="A6" s="77">
        <v>2</v>
      </c>
      <c r="B6" s="20">
        <v>1</v>
      </c>
      <c r="C6" s="121" t="s">
        <v>979</v>
      </c>
      <c r="D6" s="314" t="str">
        <f>VLOOKUP(C6,Machined!C:X,2,0)</f>
        <v xml:space="preserve">Pin 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45468</v>
      </c>
      <c r="K6" s="44">
        <f>IF(VLOOKUP($C6,Machined!C:Z,19,0) = 0, " ", VLOOKUP($C6,Machined!C:Z,19,0))</f>
        <v>45470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55576</v>
      </c>
      <c r="O6" s="45">
        <f t="shared" ref="O6:O7" ca="1" si="0">B6*$L$2</f>
        <v>1</v>
      </c>
      <c r="P6" s="49">
        <f>VLOOKUP(C6,Machined!C:F,3,0)</f>
        <v>73.75</v>
      </c>
      <c r="Q6" s="50">
        <f t="shared" ref="Q6:Q7" si="1">B6*P6</f>
        <v>73.75</v>
      </c>
    </row>
    <row r="7" spans="1:17" s="2" customFormat="1" ht="12.75" customHeight="1" x14ac:dyDescent="0.25">
      <c r="A7" s="77">
        <v>3</v>
      </c>
      <c r="B7" s="20">
        <v>1</v>
      </c>
      <c r="C7" s="121" t="s">
        <v>980</v>
      </c>
      <c r="D7" s="314" t="str">
        <f>VLOOKUP(C7,Machined!C:X,2,0)</f>
        <v>Cylinder Mount Plate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45463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55572</v>
      </c>
      <c r="O7" s="45">
        <f t="shared" ca="1" si="0"/>
        <v>1</v>
      </c>
      <c r="P7" s="49">
        <f>VLOOKUP(C7,Machined!C:F,3,0)</f>
        <v>108.5</v>
      </c>
      <c r="Q7" s="50">
        <f t="shared" si="1"/>
        <v>108.5</v>
      </c>
    </row>
    <row r="8" spans="1:17" s="2" customFormat="1" ht="12.75" customHeight="1" x14ac:dyDescent="0.25">
      <c r="A8" s="77">
        <v>4</v>
      </c>
      <c r="B8" s="20">
        <v>1</v>
      </c>
      <c r="C8" s="121" t="s">
        <v>981</v>
      </c>
      <c r="D8" s="314" t="str">
        <f>VLOOKUP(C8,Machined!C:X,2,0)</f>
        <v>Rotary Mount Plate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45463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55572</v>
      </c>
      <c r="O8" s="45">
        <f ca="1">B8*$L$2</f>
        <v>1</v>
      </c>
      <c r="P8" s="49">
        <f>VLOOKUP(C8,Machined!C:F,3,0)</f>
        <v>116</v>
      </c>
      <c r="Q8" s="50">
        <f>B8*P8</f>
        <v>116</v>
      </c>
    </row>
    <row r="9" spans="1:17" s="2" customFormat="1" ht="12.75" customHeight="1" x14ac:dyDescent="0.25">
      <c r="A9" s="77">
        <v>5</v>
      </c>
      <c r="B9" s="20">
        <v>2</v>
      </c>
      <c r="C9" s="121" t="s">
        <v>982</v>
      </c>
      <c r="D9" s="314" t="str">
        <f>VLOOKUP(C9,Machined!C:X,2,0)</f>
        <v>Rotary Gusset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Bemox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45463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55572</v>
      </c>
      <c r="O9" s="45">
        <f t="shared" ref="O9" ca="1" si="2">B9*$L$2</f>
        <v>2</v>
      </c>
      <c r="P9" s="49">
        <f>VLOOKUP(C9,Machined!C:F,3,0)</f>
        <v>205.5</v>
      </c>
      <c r="Q9" s="50">
        <f t="shared" ref="Q9" si="3">B9*P9</f>
        <v>411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2</v>
      </c>
      <c r="C11" s="135" t="s">
        <v>983</v>
      </c>
      <c r="D11" s="325" t="str">
        <f>VLOOKUP(C11,Purchased!A:B,2,0)</f>
        <v>Autoswitch Mount 11mm dia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ref="O11:O22" ca="1" si="4">B11*$L$2</f>
        <v>2</v>
      </c>
      <c r="P11" s="51">
        <f>VLOOKUP(C11,Purchased!A:D,3,FALSE)</f>
        <v>6.02</v>
      </c>
      <c r="Q11" s="52">
        <f t="shared" ref="Q11:Q22" si="5">B11*P11</f>
        <v>12.04</v>
      </c>
    </row>
    <row r="12" spans="1:17" s="2" customFormat="1" ht="12" customHeight="1" x14ac:dyDescent="0.25">
      <c r="A12" s="4">
        <v>302</v>
      </c>
      <c r="B12" s="2">
        <v>4</v>
      </c>
      <c r="C12" s="135" t="s">
        <v>305</v>
      </c>
      <c r="D12" s="325" t="str">
        <f>VLOOKUP(C12,Purchased!A:B,2,0)</f>
        <v>Auto Switch, Solid State, General Purpose, M8-3Pin Connector, 0.5m Cord 
Length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10 more PO 55692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45489</v>
      </c>
      <c r="M12" s="46">
        <f>IF(VLOOKUP(C12,Purchased!A:R,16,0)=0, " ",VLOOKUP(C12,Purchased!A:R,16,0))</f>
        <v>45510</v>
      </c>
      <c r="N12" s="130">
        <f>IF(VLOOKUP(C12,Purchased!A:R,17,0)=0, " ", VLOOKUP(C12,Purchased!A:R,17,0))</f>
        <v>45513</v>
      </c>
      <c r="O12" s="47">
        <f t="shared" ca="1" si="4"/>
        <v>4</v>
      </c>
      <c r="P12" s="51">
        <f>VLOOKUP(C12,Purchased!A:D,3,FALSE)</f>
        <v>38.64</v>
      </c>
      <c r="Q12" s="52">
        <f t="shared" si="5"/>
        <v>154.56</v>
      </c>
    </row>
    <row r="13" spans="1:17" s="2" customFormat="1" ht="12" customHeight="1" x14ac:dyDescent="0.25">
      <c r="A13" s="4">
        <v>303</v>
      </c>
      <c r="B13" s="2">
        <v>2</v>
      </c>
      <c r="C13" s="135" t="s">
        <v>797</v>
      </c>
      <c r="D13" s="325" t="str">
        <f>VLOOKUP(C13,Purchased!A:B,2,0)</f>
        <v>Speed Controller, 100 series 4mm tubing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4"/>
        <v>2</v>
      </c>
      <c r="P13" s="51">
        <f>VLOOKUP(C13,Purchased!A:D,3,FALSE)</f>
        <v>11.25</v>
      </c>
      <c r="Q13" s="52">
        <f t="shared" si="5"/>
        <v>22.5</v>
      </c>
    </row>
    <row r="14" spans="1:17" s="2" customFormat="1" ht="12" customHeight="1" x14ac:dyDescent="0.25">
      <c r="A14" s="4">
        <v>304</v>
      </c>
      <c r="B14" s="2">
        <v>2</v>
      </c>
      <c r="C14" s="135" t="s">
        <v>798</v>
      </c>
      <c r="D14" s="325" t="str">
        <f>VLOOKUP(C14,Purchased!A:B,2,0)</f>
        <v>Speed controller flange 10 series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45491</v>
      </c>
      <c r="M14" s="46">
        <f>IF(VLOOKUP(C14,Purchased!A:R,16,0)=0, " ",VLOOKUP(C14,Purchased!A:R,16,0))</f>
        <v>45520</v>
      </c>
      <c r="N14" s="130">
        <f>IF(VLOOKUP(C14,Purchased!A:R,17,0)=0, " ", VLOOKUP(C14,Purchased!A:R,17,0))</f>
        <v>45511</v>
      </c>
      <c r="O14" s="47">
        <f t="shared" ca="1" si="4"/>
        <v>2</v>
      </c>
      <c r="P14" s="51">
        <f>VLOOKUP(C14,Purchased!A:D,3,FALSE)</f>
        <v>1.65</v>
      </c>
      <c r="Q14" s="52">
        <f t="shared" si="5"/>
        <v>3.3</v>
      </c>
    </row>
    <row r="15" spans="1:17" s="2" customFormat="1" ht="12" customHeight="1" x14ac:dyDescent="0.25">
      <c r="A15" s="4">
        <v>305</v>
      </c>
      <c r="B15" s="2">
        <v>2</v>
      </c>
      <c r="C15" s="135" t="s">
        <v>657</v>
      </c>
      <c r="D15" s="325" t="str">
        <f>VLOOKUP(C15,Purchased!A:B,2,0)</f>
        <v>KQ2 unifit, elbow, 4mm dia tubing, M5 port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20 more PO 55692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45491</v>
      </c>
      <c r="M15" s="46">
        <f>IF(VLOOKUP(C15,Purchased!A:R,16,0)=0, " ",VLOOKUP(C15,Purchased!A:R,16,0))</f>
        <v>45520</v>
      </c>
      <c r="N15" s="130">
        <f>IF(VLOOKUP(C15,Purchased!A:R,17,0)=0, " ", VLOOKUP(C15,Purchased!A:R,17,0))</f>
        <v>45511</v>
      </c>
      <c r="O15" s="47">
        <f t="shared" ca="1" si="4"/>
        <v>2</v>
      </c>
      <c r="P15" s="51">
        <f>VLOOKUP(C15,Purchased!A:D,3,FALSE)</f>
        <v>1.43</v>
      </c>
      <c r="Q15" s="52">
        <f t="shared" si="5"/>
        <v>2.86</v>
      </c>
    </row>
    <row r="16" spans="1:17" s="2" customFormat="1" ht="12" customHeight="1" x14ac:dyDescent="0.25">
      <c r="A16" s="4">
        <v>306</v>
      </c>
      <c r="B16" s="2">
        <v>2</v>
      </c>
      <c r="C16" s="135" t="s">
        <v>799</v>
      </c>
      <c r="D16" s="325" t="str">
        <f>VLOOKUP(C16,Purchased!A:B,2,0)</f>
        <v>Speed Controller One Touch Fitting, 6mm dia tubing</v>
      </c>
      <c r="E16" s="326"/>
      <c r="F16" s="108" t="str">
        <f>IF(VLOOKUP($C16,Purchased!A:Z,11,0) = 0, " ", VLOOKUP($C16,Purchased!A:Z,11,0))</f>
        <v>SMC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10 more PO 55692</v>
      </c>
      <c r="I16" s="328"/>
      <c r="J16" s="46">
        <f>IF(VLOOKUP($C16,Purchased!A:Z,14,0)=0, " ", VLOOKUP($C16,Purchased!A:Z,14,0))</f>
        <v>45489</v>
      </c>
      <c r="K16" s="46">
        <f>IF(VLOOKUP(C16,Purchased!A:R,14,0)=0, " ", VLOOKUP(C16,Purchased!A:R,14,0))</f>
        <v>45489</v>
      </c>
      <c r="L16" s="46">
        <f>IF(VLOOKUP(C16,Purchased!A:R,15,0)=0, " ", VLOOKUP(C16,Purchased!A:R,15,0))</f>
        <v>45491</v>
      </c>
      <c r="M16" s="46">
        <f>IF(VLOOKUP(C16,Purchased!A:R,16,0)=0, " ",VLOOKUP(C16,Purchased!A:R,16,0))</f>
        <v>45520</v>
      </c>
      <c r="N16" s="130">
        <f>IF(VLOOKUP(C16,Purchased!A:R,17,0)=0, " ", VLOOKUP(C16,Purchased!A:R,17,0))</f>
        <v>45511</v>
      </c>
      <c r="O16" s="47">
        <f t="shared" ca="1" si="4"/>
        <v>2</v>
      </c>
      <c r="P16" s="51">
        <f>VLOOKUP(C16,Purchased!A:D,3,FALSE)</f>
        <v>14.87</v>
      </c>
      <c r="Q16" s="52">
        <f t="shared" si="5"/>
        <v>29.74</v>
      </c>
    </row>
    <row r="17" spans="1:17" s="2" customFormat="1" ht="12" customHeight="1" x14ac:dyDescent="0.25">
      <c r="A17" s="4">
        <v>307</v>
      </c>
      <c r="B17" s="2">
        <v>2</v>
      </c>
      <c r="C17" s="135" t="s">
        <v>800</v>
      </c>
      <c r="D17" s="325" t="str">
        <f>VLOOKUP(C17,Purchased!A:B,2,0)</f>
        <v>Speed controller flange 20 series</v>
      </c>
      <c r="E17" s="326"/>
      <c r="F17" s="108" t="str">
        <f>IF(VLOOKUP($C17,Purchased!A:Z,11,0) = 0, " ", VLOOKUP($C17,Purchased!A:Z,11,0))</f>
        <v>SMC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45491</v>
      </c>
      <c r="M17" s="46">
        <f>IF(VLOOKUP(C17,Purchased!A:R,16,0)=0, " ",VLOOKUP(C17,Purchased!A:R,16,0))</f>
        <v>45520</v>
      </c>
      <c r="N17" s="130">
        <f>IF(VLOOKUP(C17,Purchased!A:R,17,0)=0, " ", VLOOKUP(C17,Purchased!A:R,17,0))</f>
        <v>45511</v>
      </c>
      <c r="O17" s="47">
        <f t="shared" ca="1" si="4"/>
        <v>2</v>
      </c>
      <c r="P17" s="51">
        <f>VLOOKUP(C17,Purchased!A:D,3,FALSE)</f>
        <v>1.65</v>
      </c>
      <c r="Q17" s="52">
        <f t="shared" si="5"/>
        <v>3.3</v>
      </c>
    </row>
    <row r="18" spans="1:17" s="2" customFormat="1" ht="12" customHeight="1" x14ac:dyDescent="0.25">
      <c r="A18" s="4">
        <v>308</v>
      </c>
      <c r="B18" s="2">
        <v>2</v>
      </c>
      <c r="C18" s="135" t="s">
        <v>826</v>
      </c>
      <c r="D18" s="325" t="str">
        <f>VLOOKUP(C18,Purchased!A:B,2,0)</f>
        <v>KQ2, elbow fitting, 6mm dia, M5 port</v>
      </c>
      <c r="E18" s="326"/>
      <c r="F18" s="108" t="str">
        <f>IF(VLOOKUP($C18,Purchased!A:Z,11,0) = 0, " ", VLOOKUP($C18,Purchased!A:Z,11,0))</f>
        <v>SMC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45491</v>
      </c>
      <c r="M18" s="46">
        <f>IF(VLOOKUP(C18,Purchased!A:R,16,0)=0, " ",VLOOKUP(C18,Purchased!A:R,16,0))</f>
        <v>45520</v>
      </c>
      <c r="N18" s="130">
        <f>IF(VLOOKUP(C18,Purchased!A:R,17,0)=0, " ", VLOOKUP(C18,Purchased!A:R,17,0))</f>
        <v>45511</v>
      </c>
      <c r="O18" s="47">
        <f t="shared" ca="1" si="4"/>
        <v>2</v>
      </c>
      <c r="P18" s="51">
        <f>VLOOKUP(C18,Purchased!A:D,3,FALSE)</f>
        <v>1.74</v>
      </c>
      <c r="Q18" s="52">
        <f t="shared" si="5"/>
        <v>3.48</v>
      </c>
    </row>
    <row r="19" spans="1:17" s="2" customFormat="1" ht="12" customHeight="1" x14ac:dyDescent="0.25">
      <c r="A19" s="4">
        <v>309</v>
      </c>
      <c r="B19" s="2">
        <v>1</v>
      </c>
      <c r="C19" s="135" t="s">
        <v>984</v>
      </c>
      <c r="D19" s="325" t="str">
        <f>VLOOKUP(C19,Purchased!A:B,2,0)</f>
        <v>MSQ, Rotary Table, Rack &amp; Pinion, Shock Absorber, 20 mm</v>
      </c>
      <c r="E19" s="326"/>
      <c r="F19" s="108" t="str">
        <f>IF(VLOOKUP($C19,Purchased!A:Z,11,0) = 0, " ", VLOOKUP($C19,Purchased!A:Z,11,0))</f>
        <v>SMC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45489</v>
      </c>
      <c r="M19" s="46">
        <f>IF(VLOOKUP(C19,Purchased!A:R,16,0)=0, " ",VLOOKUP(C19,Purchased!A:R,16,0))</f>
        <v>45510</v>
      </c>
      <c r="N19" s="130">
        <f>IF(VLOOKUP(C19,Purchased!A:R,17,0)=0, " ", VLOOKUP(C19,Purchased!A:R,17,0))</f>
        <v>45513</v>
      </c>
      <c r="O19" s="47">
        <f t="shared" ca="1" si="4"/>
        <v>1</v>
      </c>
      <c r="P19" s="51">
        <f>VLOOKUP(C19,Purchased!A:D,3,FALSE)</f>
        <v>671.16</v>
      </c>
      <c r="Q19" s="52">
        <f t="shared" si="5"/>
        <v>671.16</v>
      </c>
    </row>
    <row r="20" spans="1:17" s="2" customFormat="1" ht="12" customHeight="1" x14ac:dyDescent="0.25">
      <c r="A20" s="4">
        <v>310</v>
      </c>
      <c r="B20" s="2">
        <v>1</v>
      </c>
      <c r="C20" s="135" t="s">
        <v>985</v>
      </c>
      <c r="D20" s="325" t="str">
        <f>VLOOKUP(C20,Purchased!A:B,2,0)</f>
        <v>CDJ2-Z Double Acting Single Rod Air Cylinder, 10mm bore, 75mm stroke</v>
      </c>
      <c r="E20" s="326"/>
      <c r="F20" s="108" t="str">
        <f>IF(VLOOKUP($C20,Purchased!A:Z,11,0) = 0, " ", VLOOKUP($C20,Purchased!A:Z,11,0))</f>
        <v>SMC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45489</v>
      </c>
      <c r="K20" s="46">
        <f>IF(VLOOKUP(C20,Purchased!A:R,14,0)=0, " ", VLOOKUP(C20,Purchased!A:R,14,0))</f>
        <v>45489</v>
      </c>
      <c r="L20" s="46">
        <f>IF(VLOOKUP(C20,Purchased!A:R,15,0)=0, " ", VLOOKUP(C20,Purchased!A:R,15,0))</f>
        <v>45489</v>
      </c>
      <c r="M20" s="46">
        <f>IF(VLOOKUP(C20,Purchased!A:R,16,0)=0, " ",VLOOKUP(C20,Purchased!A:R,16,0))</f>
        <v>45510</v>
      </c>
      <c r="N20" s="130">
        <f>IF(VLOOKUP(C20,Purchased!A:R,17,0)=0, " ", VLOOKUP(C20,Purchased!A:R,17,0))</f>
        <v>45513</v>
      </c>
      <c r="O20" s="47">
        <f t="shared" ca="1" si="4"/>
        <v>1</v>
      </c>
      <c r="P20" s="51">
        <f>VLOOKUP(C20,Purchased!A:D,3,FALSE)</f>
        <v>35.74</v>
      </c>
      <c r="Q20" s="52">
        <f t="shared" si="5"/>
        <v>35.74</v>
      </c>
    </row>
    <row r="21" spans="1:17" s="2" customFormat="1" ht="12" customHeight="1" x14ac:dyDescent="0.25">
      <c r="A21" s="4">
        <v>311</v>
      </c>
      <c r="B21" s="2">
        <v>3</v>
      </c>
      <c r="C21" s="135" t="s">
        <v>986</v>
      </c>
      <c r="D21" s="325" t="str">
        <f>VLOOKUP(C21,Purchased!A:B,2,0)</f>
        <v>Light Duty Dry-Running Nylon Sleeve Bearing for 10 mm Shaft Diameter, for 14 mm Housing ID, 25 mm Long</v>
      </c>
      <c r="E21" s="326"/>
      <c r="F21" s="108" t="str">
        <f>IF(VLOOKUP($C21,Purchased!A:Z,11,0) = 0, " ", VLOOKUP($C21,Purchased!A:Z,11,0))</f>
        <v>MCM</v>
      </c>
      <c r="G21" s="108" t="str">
        <f>IF(VLOOKUP($C21,Purchased!A:Z,12,0)=0, " ", VLOOKUP($C21,Purchased!A:Z,12,0))</f>
        <v>MCM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45481</v>
      </c>
      <c r="K21" s="46">
        <f>IF(VLOOKUP(C21,Purchased!A:R,14,0)=0, " ", VLOOKUP(C21,Purchased!A:R,14,0))</f>
        <v>45481</v>
      </c>
      <c r="L21" s="46">
        <f>IF(VLOOKUP(C21,Purchased!A:R,15,0)=0, " ", VLOOKUP(C21,Purchased!A:R,15,0))</f>
        <v>45481</v>
      </c>
      <c r="M21" s="46">
        <f>IF(VLOOKUP(C21,Purchased!A:R,16,0)=0, " ",VLOOKUP(C21,Purchased!A:R,16,0))</f>
        <v>45482</v>
      </c>
      <c r="N21" s="130">
        <f>IF(VLOOKUP(C21,Purchased!A:R,17,0)=0, " ", VLOOKUP(C21,Purchased!A:R,17,0))</f>
        <v>45482</v>
      </c>
      <c r="O21" s="47">
        <f t="shared" ca="1" si="4"/>
        <v>3</v>
      </c>
      <c r="P21" s="51">
        <f>VLOOKUP(C21,Purchased!A:D,3,FALSE)</f>
        <v>12.57</v>
      </c>
      <c r="Q21" s="52">
        <f t="shared" si="5"/>
        <v>37.71</v>
      </c>
    </row>
    <row r="22" spans="1:17" s="2" customFormat="1" ht="12" customHeight="1" x14ac:dyDescent="0.25">
      <c r="A22" s="4">
        <v>312</v>
      </c>
      <c r="B22" s="2">
        <v>4</v>
      </c>
      <c r="C22" s="135" t="s">
        <v>306</v>
      </c>
      <c r="D22" s="325" t="str">
        <f>VLOOKUP(C22,Purchased!A:B,2,0)</f>
        <v>M8 female 0° A-cod. with cable, PVC 3x0.25 bk UL/CSA 10m</v>
      </c>
      <c r="E22" s="326"/>
      <c r="F22" s="108" t="str">
        <f>IF(VLOOKUP($C22,Purchased!A:Z,11,0) = 0, " ", VLOOKUP($C22,Purchased!A:Z,11,0))</f>
        <v>MURR</v>
      </c>
      <c r="G22" s="108" t="str">
        <f>IF(VLOOKUP($C22,Purchased!A:Z,12,0)=0, " ", VLOOKUP($C22,Purchased!A:Z,12,0))</f>
        <v>MURR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45506</v>
      </c>
      <c r="K22" s="46">
        <f>IF(VLOOKUP(C22,Purchased!A:R,14,0)=0, " ", VLOOKUP(C22,Purchased!A:R,14,0))</f>
        <v>45506</v>
      </c>
      <c r="L22" s="46" t="str">
        <f>IF(VLOOKUP(C22,Purchased!A:R,15,0)=0, " ", VLOOKUP(C22,Purchased!A:R,15,0))</f>
        <v xml:space="preserve"> </v>
      </c>
      <c r="M22" s="46" t="str">
        <f>IF(VLOOKUP(C22,Purchased!A:R,16,0)=0, " ",VLOOKUP(C22,Purchased!A:R,16,0))</f>
        <v xml:space="preserve"> </v>
      </c>
      <c r="N22" s="130" t="str">
        <f>IF(VLOOKUP(C22,Purchased!A:R,17,0)=0, " ", VLOOKUP(C22,Purchased!A:R,17,0))</f>
        <v xml:space="preserve"> </v>
      </c>
      <c r="O22" s="47">
        <f t="shared" ca="1" si="4"/>
        <v>4</v>
      </c>
      <c r="P22" s="51">
        <f>VLOOKUP(C22,Purchased!A:D,3,FALSE)</f>
        <v>0</v>
      </c>
      <c r="Q22" s="52">
        <f t="shared" si="5"/>
        <v>0</v>
      </c>
    </row>
    <row r="23" spans="1:17" s="2" customFormat="1" ht="12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" customHeight="1" x14ac:dyDescent="0.25">
      <c r="A24" s="4">
        <v>501</v>
      </c>
      <c r="B24" s="2">
        <v>2</v>
      </c>
      <c r="C24" s="122" t="s">
        <v>806</v>
      </c>
      <c r="D24" s="325"/>
      <c r="E24" s="326"/>
      <c r="F24" s="108">
        <f>VLOOKUP(C24,Bolts!A:L,5,0)</f>
        <v>0</v>
      </c>
      <c r="G24" s="108" t="str">
        <f>VLOOKUP(C24,Bolts!A:L,6,0)</f>
        <v xml:space="preserve"> 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ref="O24:O31" ca="1" si="6">B24*$L$2</f>
        <v>2</v>
      </c>
      <c r="P24" s="51">
        <f>VLOOKUP(C24,Bolts!A:B,2,FALSE)</f>
        <v>0</v>
      </c>
      <c r="Q24" s="52">
        <f t="shared" ref="Q24:Q31" si="7">B24*P24</f>
        <v>0</v>
      </c>
    </row>
    <row r="25" spans="1:17" s="2" customFormat="1" ht="12" customHeight="1" x14ac:dyDescent="0.25">
      <c r="A25" s="4">
        <v>502</v>
      </c>
      <c r="B25" s="2">
        <v>2</v>
      </c>
      <c r="C25" s="122" t="s">
        <v>807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6"/>
        <v>2</v>
      </c>
      <c r="P25" s="51">
        <f>VLOOKUP(C25,Bolts!A:B,2,FALSE)</f>
        <v>0</v>
      </c>
      <c r="Q25" s="52">
        <f t="shared" si="7"/>
        <v>0</v>
      </c>
    </row>
    <row r="26" spans="1:17" s="2" customFormat="1" ht="12" customHeight="1" x14ac:dyDescent="0.25">
      <c r="A26" s="4">
        <v>503</v>
      </c>
      <c r="B26" s="2">
        <v>4</v>
      </c>
      <c r="C26" s="122" t="s">
        <v>808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6"/>
        <v>4</v>
      </c>
      <c r="P26" s="51">
        <f>VLOOKUP(C26,Bolts!A:B,2,FALSE)</f>
        <v>0</v>
      </c>
      <c r="Q26" s="52">
        <f t="shared" si="7"/>
        <v>0</v>
      </c>
    </row>
    <row r="27" spans="1:17" s="2" customFormat="1" ht="12" customHeight="1" x14ac:dyDescent="0.25">
      <c r="A27" s="4">
        <v>504</v>
      </c>
      <c r="B27" s="2">
        <v>8</v>
      </c>
      <c r="C27" s="122" t="s">
        <v>776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6"/>
        <v>8</v>
      </c>
      <c r="P27" s="51">
        <f>VLOOKUP(C27,Bolts!A:B,2,FALSE)</f>
        <v>0</v>
      </c>
      <c r="Q27" s="52">
        <f t="shared" si="7"/>
        <v>0</v>
      </c>
    </row>
    <row r="28" spans="1:17" s="2" customFormat="1" ht="12" customHeight="1" x14ac:dyDescent="0.25">
      <c r="A28" s="4">
        <v>505</v>
      </c>
      <c r="B28" s="2">
        <v>8</v>
      </c>
      <c r="C28" s="122" t="s">
        <v>349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6"/>
        <v>8</v>
      </c>
      <c r="P28" s="51">
        <f>VLOOKUP(C28,Bolts!A:B,2,FALSE)</f>
        <v>0</v>
      </c>
      <c r="Q28" s="52">
        <f t="shared" si="7"/>
        <v>0</v>
      </c>
    </row>
    <row r="29" spans="1:17" s="2" customFormat="1" ht="12" customHeight="1" x14ac:dyDescent="0.25">
      <c r="A29" s="4">
        <v>506</v>
      </c>
      <c r="B29" s="2">
        <v>4</v>
      </c>
      <c r="C29" s="122" t="s">
        <v>809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6"/>
        <v>4</v>
      </c>
      <c r="P29" s="51">
        <f>VLOOKUP(C29,Bolts!A:B,2,FALSE)</f>
        <v>0</v>
      </c>
      <c r="Q29" s="52">
        <f t="shared" si="7"/>
        <v>0</v>
      </c>
    </row>
    <row r="30" spans="1:17" s="2" customFormat="1" ht="12" customHeight="1" x14ac:dyDescent="0.25">
      <c r="A30" s="4">
        <v>507</v>
      </c>
      <c r="B30" s="2">
        <v>4</v>
      </c>
      <c r="C30" s="122" t="s">
        <v>660</v>
      </c>
      <c r="D30" s="325"/>
      <c r="E30" s="326"/>
      <c r="F30" s="108">
        <f>VLOOKUP(C30,Bolts!A:L,5,0)</f>
        <v>0</v>
      </c>
      <c r="G30" s="108">
        <f>VLOOKUP(C30,Bolts!A:L,6,0)</f>
        <v>0</v>
      </c>
      <c r="H30" s="108">
        <f>VLOOKUP(C30,Bolts!A:L,7,0)</f>
        <v>0</v>
      </c>
      <c r="I30" s="109"/>
      <c r="J30" s="46">
        <f>VLOOKUP(C30,Bolts!A:L,8,0)</f>
        <v>0</v>
      </c>
      <c r="K30" s="46">
        <f>VLOOKUP(C30,Bolts!A:L,9,0)</f>
        <v>0</v>
      </c>
      <c r="L30" s="46">
        <f>VLOOKUP(C30,Bolts!A:L,10,0)</f>
        <v>0</v>
      </c>
      <c r="M30" s="46">
        <f>VLOOKUP(C30,Bolts!A:L,11,0)</f>
        <v>0</v>
      </c>
      <c r="N30" s="130">
        <f>VLOOKUP(C30,Bolts!A:L,12,0)</f>
        <v>0</v>
      </c>
      <c r="O30" s="47">
        <f t="shared" ca="1" si="6"/>
        <v>4</v>
      </c>
      <c r="P30" s="51">
        <f>VLOOKUP(C30,Bolts!A:B,2,FALSE)</f>
        <v>0</v>
      </c>
      <c r="Q30" s="52">
        <f t="shared" si="7"/>
        <v>0</v>
      </c>
    </row>
    <row r="31" spans="1:17" s="2" customFormat="1" ht="12" customHeight="1" thickBot="1" x14ac:dyDescent="0.3">
      <c r="A31" s="4">
        <v>508</v>
      </c>
      <c r="B31" s="2">
        <v>2</v>
      </c>
      <c r="C31" s="122" t="s">
        <v>872</v>
      </c>
      <c r="D31" s="325"/>
      <c r="E31" s="326"/>
      <c r="F31" s="108">
        <f>VLOOKUP(C31,Bolts!A:L,5,0)</f>
        <v>0</v>
      </c>
      <c r="G31" s="108">
        <f>VLOOKUP(C31,Bolts!A:L,6,0)</f>
        <v>0</v>
      </c>
      <c r="H31" s="108">
        <f>VLOOKUP(C31,Bolts!A:L,7,0)</f>
        <v>0</v>
      </c>
      <c r="I31" s="109"/>
      <c r="J31" s="46">
        <f>VLOOKUP(C31,Bolts!A:L,8,0)</f>
        <v>0</v>
      </c>
      <c r="K31" s="46">
        <f>VLOOKUP(C31,Bolts!A:L,9,0)</f>
        <v>0</v>
      </c>
      <c r="L31" s="46">
        <f>VLOOKUP(C31,Bolts!A:L,10,0)</f>
        <v>0</v>
      </c>
      <c r="M31" s="46">
        <f>VLOOKUP(C31,Bolts!A:L,11,0)</f>
        <v>0</v>
      </c>
      <c r="N31" s="130">
        <f>VLOOKUP(C31,Bolts!A:L,12,0)</f>
        <v>0</v>
      </c>
      <c r="O31" s="47">
        <f t="shared" ca="1" si="6"/>
        <v>2</v>
      </c>
      <c r="P31" s="51">
        <f>VLOOKUP(C31,Bolts!A:B,2,FALSE)</f>
        <v>0</v>
      </c>
      <c r="Q31" s="52">
        <f t="shared" si="7"/>
        <v>0</v>
      </c>
    </row>
    <row r="32" spans="1:17" s="2" customFormat="1" ht="12" customHeight="1" thickBot="1" x14ac:dyDescent="0.3">
      <c r="A32" s="34"/>
      <c r="B32" s="35"/>
      <c r="C32" s="35"/>
      <c r="D32" s="316"/>
      <c r="E32" s="317"/>
      <c r="F32" s="35"/>
      <c r="G32" s="35"/>
      <c r="H32" s="309"/>
      <c r="I32" s="310"/>
      <c r="J32" s="36"/>
      <c r="K32" s="36"/>
      <c r="L32" s="36"/>
      <c r="M32" s="37"/>
      <c r="N32" s="132"/>
      <c r="O32" s="38"/>
      <c r="P32" s="99" t="s">
        <v>43</v>
      </c>
      <c r="Q32" s="104">
        <f>SUM(Q5:Q31)</f>
        <v>1948.6399999999996</v>
      </c>
    </row>
  </sheetData>
  <sheetProtection selectLockedCells="1"/>
  <mergeCells count="51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25:E25"/>
    <mergeCell ref="D19:E19"/>
    <mergeCell ref="H19:I19"/>
    <mergeCell ref="D20:E20"/>
    <mergeCell ref="H20:I20"/>
    <mergeCell ref="D21:E21"/>
    <mergeCell ref="H21:I21"/>
    <mergeCell ref="D22:E22"/>
    <mergeCell ref="H22:I22"/>
    <mergeCell ref="D23:E23"/>
    <mergeCell ref="H23:I23"/>
    <mergeCell ref="D24:E24"/>
    <mergeCell ref="D32:E32"/>
    <mergeCell ref="H32:I32"/>
    <mergeCell ref="D26:E26"/>
    <mergeCell ref="D27:E27"/>
    <mergeCell ref="D28:E28"/>
    <mergeCell ref="D29:E29"/>
    <mergeCell ref="D30:E30"/>
    <mergeCell ref="D31:E31"/>
  </mergeCells>
  <conditionalFormatting sqref="M10 M23:M31">
    <cfRule type="cellIs" dxfId="954" priority="25" stopIfTrue="1" operator="lessThanOrEqual">
      <formula>$L10</formula>
    </cfRule>
    <cfRule type="cellIs" dxfId="953" priority="26" operator="greaterThan">
      <formula>L10</formula>
    </cfRule>
  </conditionalFormatting>
  <conditionalFormatting sqref="M11:M12">
    <cfRule type="cellIs" dxfId="952" priority="21" stopIfTrue="1" operator="lessThanOrEqual">
      <formula>$L11</formula>
    </cfRule>
    <cfRule type="cellIs" dxfId="951" priority="22" operator="greaterThan">
      <formula>L11</formula>
    </cfRule>
  </conditionalFormatting>
  <conditionalFormatting sqref="M13">
    <cfRule type="cellIs" dxfId="950" priority="19" stopIfTrue="1" operator="lessThanOrEqual">
      <formula>$L13</formula>
    </cfRule>
    <cfRule type="cellIs" dxfId="949" priority="20" operator="greaterThan">
      <formula>L13</formula>
    </cfRule>
  </conditionalFormatting>
  <conditionalFormatting sqref="M14">
    <cfRule type="cellIs" dxfId="948" priority="17" stopIfTrue="1" operator="lessThanOrEqual">
      <formula>$L14</formula>
    </cfRule>
    <cfRule type="cellIs" dxfId="947" priority="18" operator="greaterThan">
      <formula>L14</formula>
    </cfRule>
  </conditionalFormatting>
  <conditionalFormatting sqref="M15">
    <cfRule type="cellIs" dxfId="946" priority="15" stopIfTrue="1" operator="lessThanOrEqual">
      <formula>$L15</formula>
    </cfRule>
    <cfRule type="cellIs" dxfId="945" priority="16" operator="greaterThan">
      <formula>L15</formula>
    </cfRule>
  </conditionalFormatting>
  <conditionalFormatting sqref="M16">
    <cfRule type="cellIs" dxfId="944" priority="13" stopIfTrue="1" operator="lessThanOrEqual">
      <formula>$L16</formula>
    </cfRule>
    <cfRule type="cellIs" dxfId="943" priority="14" operator="greaterThan">
      <formula>L16</formula>
    </cfRule>
  </conditionalFormatting>
  <conditionalFormatting sqref="M17">
    <cfRule type="cellIs" dxfId="942" priority="11" stopIfTrue="1" operator="lessThanOrEqual">
      <formula>$L17</formula>
    </cfRule>
    <cfRule type="cellIs" dxfId="941" priority="12" operator="greaterThan">
      <formula>L17</formula>
    </cfRule>
  </conditionalFormatting>
  <conditionalFormatting sqref="M18">
    <cfRule type="cellIs" dxfId="940" priority="9" stopIfTrue="1" operator="lessThanOrEqual">
      <formula>$L18</formula>
    </cfRule>
    <cfRule type="cellIs" dxfId="939" priority="10" operator="greaterThan">
      <formula>L18</formula>
    </cfRule>
  </conditionalFormatting>
  <conditionalFormatting sqref="M19">
    <cfRule type="cellIs" dxfId="938" priority="7" stopIfTrue="1" operator="lessThanOrEqual">
      <formula>$L19</formula>
    </cfRule>
    <cfRule type="cellIs" dxfId="937" priority="8" operator="greaterThan">
      <formula>L19</formula>
    </cfRule>
  </conditionalFormatting>
  <conditionalFormatting sqref="M20">
    <cfRule type="cellIs" dxfId="936" priority="5" stopIfTrue="1" operator="lessThanOrEqual">
      <formula>$L20</formula>
    </cfRule>
    <cfRule type="cellIs" dxfId="935" priority="6" operator="greaterThan">
      <formula>L20</formula>
    </cfRule>
  </conditionalFormatting>
  <conditionalFormatting sqref="M21">
    <cfRule type="cellIs" dxfId="934" priority="3" stopIfTrue="1" operator="lessThanOrEqual">
      <formula>$L21</formula>
    </cfRule>
    <cfRule type="cellIs" dxfId="933" priority="4" operator="greaterThan">
      <formula>L21</formula>
    </cfRule>
  </conditionalFormatting>
  <conditionalFormatting sqref="M22">
    <cfRule type="cellIs" dxfId="932" priority="1" stopIfTrue="1" operator="lessThanOrEqual">
      <formula>$L22</formula>
    </cfRule>
    <cfRule type="cellIs" dxfId="931" priority="2" operator="greaterThan">
      <formula>L22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2AE7780-24C0-42E3-9014-F3F5E576386C}">
          <x14:formula1>
            <xm:f>Bolts!$A:$A</xm:f>
          </x14:formula1>
          <xm:sqref>C23:C31</xm:sqref>
        </x14:dataValidation>
        <x14:dataValidation type="list" allowBlank="1" showInputMessage="1" showErrorMessage="1" xr:uid="{F4827058-65B3-4CE5-844B-53C40466ED40}">
          <x14:formula1>
            <xm:f>Machined!$C:$C</xm:f>
          </x14:formula1>
          <xm:sqref>C5:C9</xm:sqref>
        </x14:dataValidation>
        <x14:dataValidation type="list" allowBlank="1" showInputMessage="1" showErrorMessage="1" xr:uid="{B3205F34-818E-4FE7-A68E-0596F3B16B0F}">
          <x14:formula1>
            <xm:f>Purchased!$A:$A</xm:f>
          </x14:formula1>
          <xm:sqref>C10:C22</xm:sqref>
        </x14:dataValidation>
      </x14:dataValidations>
    </ext>
  </extLst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9B208-1D0A-4550-AE3F-C41BD58C4857}">
  <sheetPr codeName="Sheet156">
    <tabColor theme="6" tint="0.59999389629810485"/>
  </sheetPr>
  <dimension ref="A1:Q44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'6.3'!C7</f>
        <v>PG10.6.3.3.0.A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'6.3'!D7</f>
        <v>Tube Pusher Assy B Side</v>
      </c>
      <c r="D3" s="85" t="s">
        <v>50</v>
      </c>
      <c r="E3" s="86" t="str">
        <f ca="1">MID(CELL("filename",A1),FIND("]",CELL("filename",A1))+1,256)</f>
        <v>6.3.3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50" t="s">
        <v>54</v>
      </c>
      <c r="B5" s="1">
        <v>1</v>
      </c>
      <c r="C5" s="145" t="s">
        <v>987</v>
      </c>
      <c r="D5" s="314" t="str">
        <f ca="1">VLOOKUP(C5,Assemblies!E:P,2,0)</f>
        <v>Tube Present Sensor Assy</v>
      </c>
      <c r="E5" s="315"/>
      <c r="F5" s="32"/>
      <c r="G5" s="32"/>
      <c r="H5" s="303"/>
      <c r="I5" s="303"/>
      <c r="J5" s="28"/>
      <c r="K5" s="28"/>
      <c r="L5" s="28"/>
      <c r="M5" s="28"/>
      <c r="N5" s="33"/>
      <c r="O5" s="146">
        <f t="shared" ref="O5:O7" ca="1" si="0">B5*$L$2</f>
        <v>1</v>
      </c>
      <c r="P5" s="147">
        <f>'6.2.3.1'!Q14</f>
        <v>707</v>
      </c>
      <c r="Q5" s="103">
        <f t="shared" ref="Q5:Q7" si="1">B5*P5</f>
        <v>707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988</v>
      </c>
      <c r="D6" s="314" t="str">
        <f ca="1">VLOOKUP(C6,Assemblies!E:P,2,0)</f>
        <v>11-Inch Pusher Stop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'6.2.3.2'!Q11</f>
        <v>102.06</v>
      </c>
      <c r="Q6" s="103">
        <f t="shared" si="1"/>
        <v>102.06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989</v>
      </c>
      <c r="D7" s="314" t="str">
        <f ca="1">VLOOKUP(C7,Assemblies!E:P,2,0)</f>
        <v>6-Inch Pusher Stop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'6.2.3.3'!Q11</f>
        <v>99.550000000000011</v>
      </c>
      <c r="Q7" s="103">
        <f t="shared" si="1"/>
        <v>99.550000000000011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77">
        <v>1</v>
      </c>
      <c r="B9" s="20">
        <v>1</v>
      </c>
      <c r="C9" s="121" t="s">
        <v>990</v>
      </c>
      <c r="D9" s="314" t="str">
        <f>VLOOKUP(C9,Machined!C:X,2,0)</f>
        <v>Tube Pusher Block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Bemox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45463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55572</v>
      </c>
      <c r="O9" s="45">
        <f ca="1">B9*$L$2</f>
        <v>1</v>
      </c>
      <c r="P9" s="49">
        <f>VLOOKUP(C9,Machined!C:F,3,0)</f>
        <v>147.33000000000001</v>
      </c>
      <c r="Q9" s="50">
        <f>B9*P9</f>
        <v>147.33000000000001</v>
      </c>
    </row>
    <row r="10" spans="1:17" s="2" customFormat="1" ht="12.75" customHeight="1" x14ac:dyDescent="0.25">
      <c r="A10" s="77">
        <v>2</v>
      </c>
      <c r="B10" s="20">
        <v>1</v>
      </c>
      <c r="C10" s="121" t="s">
        <v>991</v>
      </c>
      <c r="D10" s="314" t="str">
        <f>VLOOKUP(C10,Machined!C:X,2,0)</f>
        <v>Tube Pusher Plate</v>
      </c>
      <c r="E10" s="329"/>
      <c r="F10" s="107" t="str">
        <f>VLOOKUP($C10,Machined!C:Z,13,0)</f>
        <v>6061-T6 ALUMINUM</v>
      </c>
      <c r="G10" s="44" t="str">
        <f>IF(VLOOKUP($C10,Machined!C:Z,16,0) = 0, " ", VLOOKUP($C10,Machined!C:Z,16,0))</f>
        <v>NULINE</v>
      </c>
      <c r="H10" s="320" t="str">
        <f>IF(VLOOKUP($C10,Machined!C:Z,17,0) = 0, " ", VLOOKUP($C10,Machined!C:Z,17,0))</f>
        <v>Modify from Rev A</v>
      </c>
      <c r="I10" s="321" t="str">
        <f>IF(VLOOKUP($C10,Machined!$C:$Y,13,0) = 0, " ", VLOOKUP($C10,Machined!$C:$Y,13,0))</f>
        <v>6061-T6 ALUMINUM</v>
      </c>
      <c r="J10" s="44" t="str">
        <f>IF(VLOOKUP($C10,Machined!C:Z,18,0) = 0, " ", VLOOKUP($C10,Machined!C:Z,18,0))</f>
        <v>N/A</v>
      </c>
      <c r="K10" s="44" t="str">
        <f>IF(VLOOKUP($C10,Machined!C:Z,19,0) = 0, " ", VLOOKUP($C10,Machined!C:Z,19,0))</f>
        <v>N/A</v>
      </c>
      <c r="L10" s="44" t="str">
        <f>IF(VLOOKUP($C10,Machined!C:Z,20,0) = 0, " ", VLOOKUP($C10,Machined!C:Z,20,0))</f>
        <v>N/A</v>
      </c>
      <c r="M10" s="44" t="str">
        <f>IF(VLOOKUP($C10,Machined!C:Z,21,0) = 0, " ", VLOOKUP($C10,Machined!C:Z,21,0))</f>
        <v>N/A</v>
      </c>
      <c r="N10" s="129" t="str">
        <f>IF(VLOOKUP($C10,Machined!C:Z,22,0) = 0, " ", VLOOKUP($C10,Machined!C:Z,22,0))</f>
        <v>N/A</v>
      </c>
      <c r="O10" s="45">
        <f t="shared" ref="O10:O11" ca="1" si="2">B10*$L$2</f>
        <v>1</v>
      </c>
      <c r="P10" s="49">
        <f>VLOOKUP(C10,Machined!C:F,3,0)</f>
        <v>0</v>
      </c>
      <c r="Q10" s="50">
        <f t="shared" ref="Q10:Q11" si="3">B10*P10</f>
        <v>0</v>
      </c>
    </row>
    <row r="11" spans="1:17" s="2" customFormat="1" ht="12.75" customHeight="1" x14ac:dyDescent="0.25">
      <c r="A11" s="77">
        <v>3</v>
      </c>
      <c r="B11" s="20">
        <v>1</v>
      </c>
      <c r="C11" s="121" t="s">
        <v>992</v>
      </c>
      <c r="D11" s="314" t="str">
        <f>VLOOKUP(C11,Machined!C:X,2,0)</f>
        <v>Pusher Actuator Mount</v>
      </c>
      <c r="E11" s="329"/>
      <c r="F11" s="107" t="str">
        <f>VLOOKUP($C11,Machined!C:Z,13,0)</f>
        <v>MIC-6 CAST ALUMINUM</v>
      </c>
      <c r="G11" s="44" t="str">
        <f>IF(VLOOKUP($C11,Machined!C:Z,16,0) = 0, " ", VLOOKUP($C11,Machined!C:Z,16,0))</f>
        <v>NULINE</v>
      </c>
      <c r="H11" s="320" t="str">
        <f>IF(VLOOKUP($C11,Machined!C:Z,17,0) = 0, " ", VLOOKUP($C11,Machined!C:Z,17,0))</f>
        <v>Modify from Rev A</v>
      </c>
      <c r="I11" s="321" t="str">
        <f>IF(VLOOKUP($C11,Machined!$C:$Y,13,0) = 0, " ", VLOOKUP($C11,Machined!$C:$Y,13,0))</f>
        <v>MIC-6 CAST ALUMINUM</v>
      </c>
      <c r="J11" s="44" t="str">
        <f>IF(VLOOKUP($C11,Machined!C:Z,18,0) = 0, " ", VLOOKUP($C11,Machined!C:Z,18,0))</f>
        <v>N/A</v>
      </c>
      <c r="K11" s="44" t="str">
        <f>IF(VLOOKUP($C11,Machined!C:Z,19,0) = 0, " ", VLOOKUP($C11,Machined!C:Z,19,0))</f>
        <v>N/A</v>
      </c>
      <c r="L11" s="44" t="str">
        <f>IF(VLOOKUP($C11,Machined!C:Z,20,0) = 0, " ", VLOOKUP($C11,Machined!C:Z,20,0))</f>
        <v>N/A</v>
      </c>
      <c r="M11" s="44" t="str">
        <f>IF(VLOOKUP($C11,Machined!C:Z,21,0) = 0, " ", VLOOKUP($C11,Machined!C:Z,21,0))</f>
        <v>N/A</v>
      </c>
      <c r="N11" s="129" t="str">
        <f>IF(VLOOKUP($C11,Machined!C:Z,22,0) = 0, " ", VLOOKUP($C11,Machined!C:Z,22,0))</f>
        <v>N/A</v>
      </c>
      <c r="O11" s="45">
        <f t="shared" ca="1" si="2"/>
        <v>1</v>
      </c>
      <c r="P11" s="49">
        <f>VLOOKUP(C11,Machined!C:F,3,0)</f>
        <v>0</v>
      </c>
      <c r="Q11" s="50">
        <f t="shared" si="3"/>
        <v>0</v>
      </c>
    </row>
    <row r="12" spans="1:17" s="2" customFormat="1" ht="12.75" customHeight="1" x14ac:dyDescent="0.25">
      <c r="A12" s="77">
        <v>4</v>
      </c>
      <c r="B12" s="20">
        <v>1</v>
      </c>
      <c r="C12" s="121" t="s">
        <v>993</v>
      </c>
      <c r="D12" s="314" t="str">
        <f>VLOOKUP(C12,Machined!C:X,2,0)</f>
        <v>Pusher Gusset Left</v>
      </c>
      <c r="E12" s="329"/>
      <c r="F12" s="107" t="str">
        <f>VLOOKUP($C12,Machined!C:Z,13,0)</f>
        <v>304 STAINLESS STEEL</v>
      </c>
      <c r="G12" s="44" t="str">
        <f>IF(VLOOKUP($C12,Machined!C:Z,16,0) = 0, " ", VLOOKUP($C12,Machined!C:Z,16,0))</f>
        <v>Proto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304 STAINLESS STEEL</v>
      </c>
      <c r="J12" s="44">
        <f>IF(VLOOKUP($C12,Machined!C:Z,18,0) = 0, " ", VLOOKUP($C12,Machined!C:Z,18,0))</f>
        <v>45495</v>
      </c>
      <c r="K12" s="44">
        <f>IF(VLOOKUP($C12,Machined!C:Z,19,0) = 0, " ", VLOOKUP($C12,Machined!C:Z,19,0))</f>
        <v>45510</v>
      </c>
      <c r="L12" s="44">
        <f>IF(VLOOKUP($C12,Machined!C:Z,20,0) = 0, " ", VLOOKUP($C12,Machined!C:Z,20,0))</f>
        <v>45540</v>
      </c>
      <c r="M12" s="44">
        <f>IF(VLOOKUP($C12,Machined!C:Z,21,0) = 0, " ", VLOOKUP($C12,Machined!C:Z,21,0))</f>
        <v>45540</v>
      </c>
      <c r="N12" s="129">
        <f>IF(VLOOKUP($C12,Machined!C:Z,22,0) = 0, " ", VLOOKUP($C12,Machined!C:Z,22,0))</f>
        <v>55658</v>
      </c>
      <c r="O12" s="45">
        <f ca="1">B12*$L$2</f>
        <v>1</v>
      </c>
      <c r="P12" s="49">
        <f>VLOOKUP(C12,Machined!C:F,3,0)</f>
        <v>83</v>
      </c>
      <c r="Q12" s="50">
        <f>B12*P12</f>
        <v>83</v>
      </c>
    </row>
    <row r="13" spans="1:17" s="2" customFormat="1" ht="12.75" customHeight="1" x14ac:dyDescent="0.25">
      <c r="A13" s="77">
        <v>5</v>
      </c>
      <c r="B13" s="20">
        <v>1</v>
      </c>
      <c r="C13" s="121" t="s">
        <v>994</v>
      </c>
      <c r="D13" s="314" t="str">
        <f>VLOOKUP(C13,Machined!C:X,2,0)</f>
        <v>Pusher Gusset Right</v>
      </c>
      <c r="E13" s="329"/>
      <c r="F13" s="107" t="str">
        <f>VLOOKUP($C13,Machined!C:Z,13,0)</f>
        <v>304 STAINLESS STEEL</v>
      </c>
      <c r="G13" s="44" t="str">
        <f>IF(VLOOKUP($C13,Machined!C:Z,16,0) = 0, " ", VLOOKUP($C13,Machined!C:Z,16,0))</f>
        <v>Proto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304 STAINLESS STEEL</v>
      </c>
      <c r="J13" s="44">
        <f>IF(VLOOKUP($C13,Machined!C:Z,18,0) = 0, " ", VLOOKUP($C13,Machined!C:Z,18,0))</f>
        <v>45495</v>
      </c>
      <c r="K13" s="44">
        <f>IF(VLOOKUP($C13,Machined!C:Z,19,0) = 0, " ", VLOOKUP($C13,Machined!C:Z,19,0))</f>
        <v>45510</v>
      </c>
      <c r="L13" s="44">
        <f>IF(VLOOKUP($C13,Machined!C:Z,20,0) = 0, " ", VLOOKUP($C13,Machined!C:Z,20,0))</f>
        <v>45540</v>
      </c>
      <c r="M13" s="44">
        <f>IF(VLOOKUP($C13,Machined!C:Z,21,0) = 0, " ", VLOOKUP($C13,Machined!C:Z,21,0))</f>
        <v>45540</v>
      </c>
      <c r="N13" s="129">
        <f>IF(VLOOKUP($C13,Machined!C:Z,22,0) = 0, " ", VLOOKUP($C13,Machined!C:Z,22,0))</f>
        <v>55658</v>
      </c>
      <c r="O13" s="45">
        <f t="shared" ref="O13:O14" ca="1" si="4">B13*$L$2</f>
        <v>1</v>
      </c>
      <c r="P13" s="49">
        <f>VLOOKUP(C13,Machined!C:F,3,0)</f>
        <v>0</v>
      </c>
      <c r="Q13" s="50">
        <f t="shared" ref="Q13:Q14" si="5">B13*P13</f>
        <v>0</v>
      </c>
    </row>
    <row r="14" spans="1:17" s="2" customFormat="1" ht="12.75" customHeight="1" x14ac:dyDescent="0.25">
      <c r="A14" s="77">
        <v>6</v>
      </c>
      <c r="B14" s="20">
        <v>1</v>
      </c>
      <c r="C14" s="121" t="s">
        <v>995</v>
      </c>
      <c r="D14" s="314" t="str">
        <f>VLOOKUP(C14,Machined!C:X,2,0)</f>
        <v>Tube Pusher Mounting Plate</v>
      </c>
      <c r="E14" s="329"/>
      <c r="F14" s="107" t="str">
        <f>VLOOKUP($C14,Machined!C:Z,13,0)</f>
        <v>MIC-6 CAST ALUMINUM</v>
      </c>
      <c r="G14" s="44" t="str">
        <f>IF(VLOOKUP($C14,Machined!C:Z,16,0) = 0, " ", VLOOKUP($C14,Machined!C:Z,16,0))</f>
        <v>Bemox</v>
      </c>
      <c r="H14" s="320" t="str">
        <f>IF(VLOOKUP($C14,Machined!C:Z,17,0) = 0, " ", VLOOKUP($C14,Machined!C:Z,17,0))</f>
        <v>M5 Clearance holes do not go through, model needs to be updated. Part was modified in house</v>
      </c>
      <c r="I14" s="321" t="str">
        <f>IF(VLOOKUP($C14,Machined!$C:$Y,13,0) = 0, " ", VLOOKUP($C14,Machined!$C:$Y,13,0))</f>
        <v>MIC-6 CAST ALUMINUM</v>
      </c>
      <c r="J14" s="44">
        <f>IF(VLOOKUP($C14,Machined!C:Z,18,0) = 0, " ", VLOOKUP($C14,Machined!C:Z,18,0))</f>
        <v>45463</v>
      </c>
      <c r="K14" s="44">
        <f>IF(VLOOKUP($C14,Machined!C:Z,19,0) = 0, " ", VLOOKUP($C14,Machined!C:Z,19,0))</f>
        <v>45469</v>
      </c>
      <c r="L14" s="44">
        <f>IF(VLOOKUP($C14,Machined!C:Z,20,0) = 0, " ", VLOOKUP($C14,Machined!C:Z,20,0))</f>
        <v>45509</v>
      </c>
      <c r="M14" s="44">
        <f>IF(VLOOKUP($C14,Machined!C:Z,21,0) = 0, " ", VLOOKUP($C14,Machined!C:Z,21,0))</f>
        <v>45510</v>
      </c>
      <c r="N14" s="129">
        <f>IF(VLOOKUP($C14,Machined!C:Z,22,0) = 0, " ", VLOOKUP($C14,Machined!C:Z,22,0))</f>
        <v>55575</v>
      </c>
      <c r="O14" s="45">
        <f t="shared" ca="1" si="4"/>
        <v>1</v>
      </c>
      <c r="P14" s="49">
        <f>VLOOKUP(C14,Machined!C:F,3,0)</f>
        <v>419</v>
      </c>
      <c r="Q14" s="50">
        <f t="shared" si="5"/>
        <v>419</v>
      </c>
    </row>
    <row r="15" spans="1:17" s="2" customFormat="1" ht="12.75" customHeight="1" x14ac:dyDescent="0.25">
      <c r="A15" s="77">
        <v>7</v>
      </c>
      <c r="B15" s="20">
        <v>1</v>
      </c>
      <c r="C15" s="121" t="s">
        <v>996</v>
      </c>
      <c r="D15" s="314" t="str">
        <f>VLOOKUP(C15,Machined!C:X,2,0)</f>
        <v>Pusher Bearing Block</v>
      </c>
      <c r="E15" s="329"/>
      <c r="F15" s="107" t="str">
        <f>VLOOKUP($C15,Machined!C:Z,13,0)</f>
        <v>6061-T6 ALUMINUM</v>
      </c>
      <c r="G15" s="44" t="str">
        <f>IF(VLOOKUP($C15,Machined!C:Z,16,0) = 0, " ", VLOOKUP($C15,Machined!C:Z,16,0))</f>
        <v>Bemox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6061-T6 ALUMINUM</v>
      </c>
      <c r="J15" s="44">
        <f>IF(VLOOKUP($C15,Machined!C:Z,18,0) = 0, " ", VLOOKUP($C15,Machined!C:Z,18,0))</f>
        <v>45463</v>
      </c>
      <c r="K15" s="44">
        <f>IF(VLOOKUP($C15,Machined!C:Z,19,0) = 0, " ", VLOOKUP($C15,Machined!C:Z,19,0))</f>
        <v>45467</v>
      </c>
      <c r="L15" s="44">
        <f>IF(VLOOKUP($C15,Machined!C:Z,20,0) = 0, " ", VLOOKUP($C15,Machined!C:Z,20,0))</f>
        <v>45504</v>
      </c>
      <c r="M15" s="44">
        <f>IF(VLOOKUP($C15,Machined!C:Z,21,0) = 0, " ", VLOOKUP($C15,Machined!C:Z,21,0))</f>
        <v>45504</v>
      </c>
      <c r="N15" s="129">
        <f>IF(VLOOKUP($C15,Machined!C:Z,22,0) = 0, " ", VLOOKUP($C15,Machined!C:Z,22,0))</f>
        <v>55572</v>
      </c>
      <c r="O15" s="45">
        <f ca="1">B15*$L$2</f>
        <v>1</v>
      </c>
      <c r="P15" s="49">
        <f>VLOOKUP(C15,Machined!C:F,3,0)</f>
        <v>106</v>
      </c>
      <c r="Q15" s="50">
        <f>B15*P15</f>
        <v>106</v>
      </c>
    </row>
    <row r="16" spans="1:17" s="2" customFormat="1" ht="12.75" customHeight="1" x14ac:dyDescent="0.25">
      <c r="A16" s="77">
        <v>8</v>
      </c>
      <c r="B16" s="20">
        <v>1</v>
      </c>
      <c r="C16" s="121" t="s">
        <v>997</v>
      </c>
      <c r="D16" s="314" t="str">
        <f>VLOOKUP(C16,Machined!C:X,2,0)</f>
        <v>Pusher Gusset Plate Top</v>
      </c>
      <c r="E16" s="329"/>
      <c r="F16" s="107" t="str">
        <f>VLOOKUP($C16,Machined!C:Z,13,0)</f>
        <v>1018 COLD ROLLED STEEL</v>
      </c>
      <c r="G16" s="44" t="str">
        <f>IF(VLOOKUP($C16,Machined!C:Z,16,0) = 0, " ", VLOOKUP($C16,Machined!C:Z,16,0))</f>
        <v>Bemox</v>
      </c>
      <c r="H16" s="320" t="str">
        <f>IF(VLOOKUP($C16,Machined!C:Z,17,0) = 0, " ", VLOOKUP($C16,Machined!C:Z,17,0))</f>
        <v xml:space="preserve"> </v>
      </c>
      <c r="I16" s="321" t="str">
        <f>IF(VLOOKUP($C16,Machined!$C:$Y,13,0) = 0, " ", VLOOKUP($C16,Machined!$C:$Y,13,0))</f>
        <v>1018 COLD ROLLED STEEL</v>
      </c>
      <c r="J16" s="44">
        <f>IF(VLOOKUP($C16,Machined!C:Z,18,0) = 0, " ", VLOOKUP($C16,Machined!C:Z,18,0))</f>
        <v>45463</v>
      </c>
      <c r="K16" s="44">
        <f>IF(VLOOKUP($C16,Machined!C:Z,19,0) = 0, " ", VLOOKUP($C16,Machined!C:Z,19,0))</f>
        <v>45467</v>
      </c>
      <c r="L16" s="44">
        <f>IF(VLOOKUP($C16,Machined!C:Z,20,0) = 0, " ", VLOOKUP($C16,Machined!C:Z,20,0))</f>
        <v>45504</v>
      </c>
      <c r="M16" s="44">
        <f>IF(VLOOKUP($C16,Machined!C:Z,21,0) = 0, " ", VLOOKUP($C16,Machined!C:Z,21,0))</f>
        <v>45504</v>
      </c>
      <c r="N16" s="129">
        <f>IF(VLOOKUP($C16,Machined!C:Z,22,0) = 0, " ", VLOOKUP($C16,Machined!C:Z,22,0))</f>
        <v>55572</v>
      </c>
      <c r="O16" s="45">
        <f t="shared" ref="O16:O17" ca="1" si="6">B16*$L$2</f>
        <v>1</v>
      </c>
      <c r="P16" s="49">
        <f>VLOOKUP(C16,Machined!C:F,3,0)</f>
        <v>251</v>
      </c>
      <c r="Q16" s="50">
        <f t="shared" ref="Q16:Q17" si="7">B16*P16</f>
        <v>251</v>
      </c>
    </row>
    <row r="17" spans="1:17" s="2" customFormat="1" ht="12.75" customHeight="1" x14ac:dyDescent="0.25">
      <c r="A17" s="77">
        <v>9</v>
      </c>
      <c r="B17" s="20">
        <v>1</v>
      </c>
      <c r="C17" s="121" t="s">
        <v>998</v>
      </c>
      <c r="D17" s="314" t="str">
        <f>VLOOKUP(C17,Machined!C:X,2,0)</f>
        <v>Pusher Gusset Plate Bottom</v>
      </c>
      <c r="E17" s="329"/>
      <c r="F17" s="107" t="str">
        <f>VLOOKUP($C17,Machined!C:Z,13,0)</f>
        <v>1018 COLD ROLLED STEEL</v>
      </c>
      <c r="G17" s="44" t="str">
        <f>IF(VLOOKUP($C17,Machined!C:Z,16,0) = 0, " ", VLOOKUP($C17,Machined!C:Z,16,0))</f>
        <v>Bemox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1018 COLD ROLLED STEEL</v>
      </c>
      <c r="J17" s="44">
        <f>IF(VLOOKUP($C17,Machined!C:Z,18,0) = 0, " ", VLOOKUP($C17,Machined!C:Z,18,0))</f>
        <v>45463</v>
      </c>
      <c r="K17" s="44">
        <f>IF(VLOOKUP($C17,Machined!C:Z,19,0) = 0, " ", VLOOKUP($C17,Machined!C:Z,19,0))</f>
        <v>45467</v>
      </c>
      <c r="L17" s="44">
        <f>IF(VLOOKUP($C17,Machined!C:Z,20,0) = 0, " ", VLOOKUP($C17,Machined!C:Z,20,0))</f>
        <v>45504</v>
      </c>
      <c r="M17" s="44">
        <f>IF(VLOOKUP($C17,Machined!C:Z,21,0) = 0, " ", VLOOKUP($C17,Machined!C:Z,21,0))</f>
        <v>45504</v>
      </c>
      <c r="N17" s="129">
        <f>IF(VLOOKUP($C17,Machined!C:Z,22,0) = 0, " ", VLOOKUP($C17,Machined!C:Z,22,0))</f>
        <v>55572</v>
      </c>
      <c r="O17" s="45">
        <f t="shared" ca="1" si="6"/>
        <v>1</v>
      </c>
      <c r="P17" s="49">
        <f>VLOOKUP(C17,Machined!C:F,3,0)</f>
        <v>251</v>
      </c>
      <c r="Q17" s="50">
        <f t="shared" si="7"/>
        <v>251</v>
      </c>
    </row>
    <row r="18" spans="1:17" s="2" customFormat="1" ht="12.75" customHeight="1" x14ac:dyDescent="0.25">
      <c r="A18" s="77">
        <v>10</v>
      </c>
      <c r="B18" s="20">
        <v>1</v>
      </c>
      <c r="C18" s="121" t="s">
        <v>1018</v>
      </c>
      <c r="D18" s="314" t="str">
        <f>VLOOKUP(C18,Machined!C:X,2,0)</f>
        <v>Gusset Bracket B Side</v>
      </c>
      <c r="E18" s="329"/>
      <c r="F18" s="107" t="str">
        <f>VLOOKUP($C18,Machined!C:Z,13,0)</f>
        <v>304 STAINLESS STEEL</v>
      </c>
      <c r="G18" s="44" t="str">
        <f>IF(VLOOKUP($C18,Machined!C:Z,16,0) = 0, " ", VLOOKUP($C18,Machined!C:Z,16,0))</f>
        <v>Proto</v>
      </c>
      <c r="H18" s="320" t="str">
        <f>IF(VLOOKUP($C18,Machined!C:Z,17,0) = 0, " ", VLOOKUP($C18,Machined!C:Z,17,0))</f>
        <v xml:space="preserve"> </v>
      </c>
      <c r="I18" s="321" t="str">
        <f>IF(VLOOKUP($C18,Machined!$C:$Y,13,0) = 0, " ", VLOOKUP($C18,Machined!$C:$Y,13,0))</f>
        <v>304 STAINLESS STEEL</v>
      </c>
      <c r="J18" s="44">
        <f>IF(VLOOKUP($C18,Machined!C:Z,18,0) = 0, " ", VLOOKUP($C18,Machined!C:Z,18,0))</f>
        <v>45495</v>
      </c>
      <c r="K18" s="44">
        <f>IF(VLOOKUP($C18,Machined!C:Z,19,0) = 0, " ", VLOOKUP($C18,Machined!C:Z,19,0))</f>
        <v>45510</v>
      </c>
      <c r="L18" s="44">
        <f>IF(VLOOKUP($C18,Machined!C:Z,20,0) = 0, " ", VLOOKUP($C18,Machined!C:Z,20,0))</f>
        <v>45540</v>
      </c>
      <c r="M18" s="44">
        <f>IF(VLOOKUP($C18,Machined!C:Z,21,0) = 0, " ", VLOOKUP($C18,Machined!C:Z,21,0))</f>
        <v>45540</v>
      </c>
      <c r="N18" s="129">
        <f>IF(VLOOKUP($C18,Machined!C:Z,22,0) = 0, " ", VLOOKUP($C18,Machined!C:Z,22,0))</f>
        <v>55658</v>
      </c>
      <c r="O18" s="45">
        <f ca="1">B18*$L$2</f>
        <v>1</v>
      </c>
      <c r="P18" s="49">
        <f>VLOOKUP(C18,Machined!C:F,3,0)</f>
        <v>163.46</v>
      </c>
      <c r="Q18" s="50">
        <f>B18*P18</f>
        <v>163.46</v>
      </c>
    </row>
    <row r="19" spans="1:17" s="2" customFormat="1" ht="12" customHeight="1" x14ac:dyDescent="0.25">
      <c r="A19" s="77">
        <v>11</v>
      </c>
      <c r="B19" s="20">
        <v>2</v>
      </c>
      <c r="C19" s="121" t="s">
        <v>1000</v>
      </c>
      <c r="D19" s="314" t="str">
        <f>VLOOKUP(C19,Machined!C:X,2,0)</f>
        <v>Conveyor Bracket</v>
      </c>
      <c r="E19" s="329"/>
      <c r="F19" s="107" t="str">
        <f>VLOOKUP($C19,Machined!C:Z,13,0)</f>
        <v>6061-T6 ALUMINUM</v>
      </c>
      <c r="G19" s="44" t="str">
        <f>IF(VLOOKUP($C19,Machined!C:Z,16,0) = 0, " ", VLOOKUP($C19,Machined!C:Z,16,0))</f>
        <v>Bemox</v>
      </c>
      <c r="H19" s="320" t="str">
        <f>IF(VLOOKUP($C19,Machined!C:Z,17,0) = 0, " ", VLOOKUP($C19,Machined!C:Z,17,0))</f>
        <v xml:space="preserve"> </v>
      </c>
      <c r="I19" s="321" t="str">
        <f>IF(VLOOKUP($C19,Machined!$C:$Y,13,0) = 0, " ", VLOOKUP($C19,Machined!$C:$Y,13,0))</f>
        <v>6061-T6 ALUMINUM</v>
      </c>
      <c r="J19" s="44">
        <f>IF(VLOOKUP($C19,Machined!C:Z,18,0) = 0, " ", VLOOKUP($C19,Machined!C:Z,18,0))</f>
        <v>45463</v>
      </c>
      <c r="K19" s="44">
        <f>IF(VLOOKUP($C19,Machined!C:Z,19,0) = 0, " ", VLOOKUP($C19,Machined!C:Z,19,0))</f>
        <v>45467</v>
      </c>
      <c r="L19" s="44">
        <f>IF(VLOOKUP($C19,Machined!C:Z,20,0) = 0, " ", VLOOKUP($C19,Machined!C:Z,20,0))</f>
        <v>45504</v>
      </c>
      <c r="M19" s="44">
        <f>IF(VLOOKUP($C19,Machined!C:Z,21,0) = 0, " ", VLOOKUP($C19,Machined!C:Z,21,0))</f>
        <v>45504</v>
      </c>
      <c r="N19" s="129">
        <f>IF(VLOOKUP($C19,Machined!C:Z,22,0) = 0, " ", VLOOKUP($C19,Machined!C:Z,22,0))</f>
        <v>55572</v>
      </c>
      <c r="O19" s="45">
        <f t="shared" ref="O19:O21" ca="1" si="8">B19*$L$2</f>
        <v>2</v>
      </c>
      <c r="P19" s="49">
        <f>VLOOKUP(C19,Machined!C:F,3,0)</f>
        <v>48</v>
      </c>
      <c r="Q19" s="50">
        <f t="shared" ref="Q19:Q21" si="9">B19*P19</f>
        <v>96</v>
      </c>
    </row>
    <row r="20" spans="1:17" s="2" customFormat="1" ht="12" customHeight="1" x14ac:dyDescent="0.25">
      <c r="A20" s="77">
        <v>12</v>
      </c>
      <c r="B20" s="20">
        <v>2</v>
      </c>
      <c r="C20" s="121" t="s">
        <v>1001</v>
      </c>
      <c r="D20" s="314" t="str">
        <f>VLOOKUP(C20,Machined!C:X,2,0)</f>
        <v>Conveyor Bracket Washer</v>
      </c>
      <c r="E20" s="329"/>
      <c r="F20" s="107" t="str">
        <f>VLOOKUP($C20,Machined!C:Z,13,0)</f>
        <v>1018 COLD ROLLED STEEL</v>
      </c>
      <c r="G20" s="44" t="str">
        <f>IF(VLOOKUP($C20,Machined!C:Z,16,0) = 0, " ", VLOOKUP($C20,Machined!C:Z,16,0))</f>
        <v>Bemox</v>
      </c>
      <c r="H20" s="320" t="str">
        <f>IF(VLOOKUP($C20,Machined!C:Z,17,0) = 0, " ", VLOOKUP($C20,Machined!C:Z,17,0))</f>
        <v xml:space="preserve"> </v>
      </c>
      <c r="I20" s="321" t="str">
        <f>IF(VLOOKUP($C20,Machined!$C:$Y,13,0) = 0, " ", VLOOKUP($C20,Machined!$C:$Y,13,0))</f>
        <v>1018 COLD ROLLED STEEL</v>
      </c>
      <c r="J20" s="44">
        <f>IF(VLOOKUP($C20,Machined!C:Z,18,0) = 0, " ", VLOOKUP($C20,Machined!C:Z,18,0))</f>
        <v>45463</v>
      </c>
      <c r="K20" s="44">
        <f>IF(VLOOKUP($C20,Machined!C:Z,19,0) = 0, " ", VLOOKUP($C20,Machined!C:Z,19,0))</f>
        <v>45467</v>
      </c>
      <c r="L20" s="44">
        <f>IF(VLOOKUP($C20,Machined!C:Z,20,0) = 0, " ", VLOOKUP($C20,Machined!C:Z,20,0))</f>
        <v>45504</v>
      </c>
      <c r="M20" s="44">
        <f>IF(VLOOKUP($C20,Machined!C:Z,21,0) = 0, " ", VLOOKUP($C20,Machined!C:Z,21,0))</f>
        <v>45504</v>
      </c>
      <c r="N20" s="129">
        <f>IF(VLOOKUP($C20,Machined!C:Z,22,0) = 0, " ", VLOOKUP($C20,Machined!C:Z,22,0))</f>
        <v>55572</v>
      </c>
      <c r="O20" s="45">
        <f t="shared" ca="1" si="8"/>
        <v>2</v>
      </c>
      <c r="P20" s="49">
        <f>VLOOKUP(C20,Machined!C:F,3,0)</f>
        <v>30.5</v>
      </c>
      <c r="Q20" s="50">
        <f t="shared" si="9"/>
        <v>61</v>
      </c>
    </row>
    <row r="21" spans="1:17" s="2" customFormat="1" ht="12" customHeight="1" x14ac:dyDescent="0.25">
      <c r="A21" s="77">
        <v>13</v>
      </c>
      <c r="B21" s="20">
        <v>1</v>
      </c>
      <c r="C21" s="121" t="s">
        <v>792</v>
      </c>
      <c r="D21" s="314" t="str">
        <f>VLOOKUP(C21,Machined!C:X,2,0)</f>
        <v>Lead Nut Modification</v>
      </c>
      <c r="E21" s="329"/>
      <c r="F21" s="107" t="str">
        <f>VLOOKUP($C21,Machined!C:Z,13,0)</f>
        <v>PURCHASED PART</v>
      </c>
      <c r="G21" s="44" t="str">
        <f>IF(VLOOKUP($C21,Machined!C:Z,16,0) = 0, " ", VLOOKUP($C21,Machined!C:Z,16,0))</f>
        <v xml:space="preserve">Nuline </v>
      </c>
      <c r="H21" s="320" t="str">
        <f>IF(VLOOKUP($C21,Machined!C:Z,17,0) = 0, " ", VLOOKUP($C21,Machined!C:Z,17,0))</f>
        <v>P.O for material</v>
      </c>
      <c r="I21" s="321" t="str">
        <f>IF(VLOOKUP($C21,Machined!$C:$Y,13,0) = 0, " ", VLOOKUP($C21,Machined!$C:$Y,13,0))</f>
        <v>PURCHASED PART</v>
      </c>
      <c r="J21" s="44">
        <f>IF(VLOOKUP($C21,Machined!C:Z,18,0) = 0, " ", VLOOKUP($C21,Machined!C:Z,18,0))</f>
        <v>45496</v>
      </c>
      <c r="K21" s="44">
        <f>IF(VLOOKUP($C21,Machined!C:Z,19,0) = 0, " ", VLOOKUP($C21,Machined!C:Z,19,0))</f>
        <v>45496</v>
      </c>
      <c r="L21" s="44">
        <f>IF(VLOOKUP($C21,Machined!C:Z,20,0) = 0, " ", VLOOKUP($C21,Machined!C:Z,20,0))</f>
        <v>45531</v>
      </c>
      <c r="M21" s="44">
        <f>IF(VLOOKUP($C21,Machined!C:Z,21,0) = 0, " ", VLOOKUP($C21,Machined!C:Z,21,0))</f>
        <v>45531</v>
      </c>
      <c r="N21" s="129">
        <f>IF(VLOOKUP($C21,Machined!C:Z,22,0) = 0, " ", VLOOKUP($C21,Machined!C:Z,22,0))</f>
        <v>55621</v>
      </c>
      <c r="O21" s="45">
        <f t="shared" ca="1" si="8"/>
        <v>1</v>
      </c>
      <c r="P21" s="49">
        <f>VLOOKUP(C21,Machined!C:F,3,0)</f>
        <v>23.04</v>
      </c>
      <c r="Q21" s="50">
        <f t="shared" si="9"/>
        <v>23.04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301</v>
      </c>
      <c r="B23" s="2">
        <v>3</v>
      </c>
      <c r="C23" s="135" t="s">
        <v>305</v>
      </c>
      <c r="D23" s="325" t="str">
        <f>VLOOKUP(C23,Purchased!A:B,2,0)</f>
        <v>Auto Switch, Solid State, General Purpose, M8-3Pin Connector, 0.5m Cord 
Length</v>
      </c>
      <c r="E23" s="326"/>
      <c r="F23" s="108" t="str">
        <f>IF(VLOOKUP($C23,Purchased!A:Z,11,0) = 0, " ", VLOOKUP($C23,Purchased!A:Z,11,0))</f>
        <v>SMC</v>
      </c>
      <c r="G23" s="108" t="str">
        <f>IF(VLOOKUP($C23,Purchased!A:Z,12,0)=0, " ", VLOOKUP($C23,Purchased!A:Z,12,0))</f>
        <v>AAP</v>
      </c>
      <c r="H23" s="327" t="str">
        <f>IF(VLOOKUP($C23,Purchased!A:Z,13,0)=0, " ", VLOOKUP($C23,Purchased!A:Z,13,0))</f>
        <v>10 more PO 55692</v>
      </c>
      <c r="I23" s="328"/>
      <c r="J23" s="46">
        <f>IF(VLOOKUP($C23,Purchased!A:Z,14,0)=0, " ", VLOOKUP($C23,Purchased!A:Z,14,0))</f>
        <v>45489</v>
      </c>
      <c r="K23" s="46">
        <f>IF(VLOOKUP(C23,Purchased!A:R,14,0)=0, " ", VLOOKUP(C23,Purchased!A:R,14,0))</f>
        <v>45489</v>
      </c>
      <c r="L23" s="46">
        <f>IF(VLOOKUP(C23,Purchased!A:R,15,0)=0, " ", VLOOKUP(C23,Purchased!A:R,15,0))</f>
        <v>45489</v>
      </c>
      <c r="M23" s="46">
        <f>IF(VLOOKUP(C23,Purchased!A:R,16,0)=0, " ",VLOOKUP(C23,Purchased!A:R,16,0))</f>
        <v>45510</v>
      </c>
      <c r="N23" s="130">
        <f>IF(VLOOKUP(C23,Purchased!A:R,17,0)=0, " ", VLOOKUP(C23,Purchased!A:R,17,0))</f>
        <v>45513</v>
      </c>
      <c r="O23" s="47">
        <f t="shared" ref="O23:O30" ca="1" si="10">B23*$L$2</f>
        <v>3</v>
      </c>
      <c r="P23" s="51">
        <f>VLOOKUP(C23,Purchased!A:D,3,FALSE)</f>
        <v>38.64</v>
      </c>
      <c r="Q23" s="52">
        <f t="shared" ref="Q23:Q30" si="11">B23*P23</f>
        <v>115.92</v>
      </c>
    </row>
    <row r="24" spans="1:17" s="2" customFormat="1" ht="12" customHeight="1" x14ac:dyDescent="0.25">
      <c r="A24" s="4">
        <v>302</v>
      </c>
      <c r="B24" s="2">
        <v>3</v>
      </c>
      <c r="C24" s="135" t="s">
        <v>930</v>
      </c>
      <c r="D24" s="325" t="str">
        <f>VLOOKUP(C24,Purchased!A:B,2,0)</f>
        <v>Switch Spacer for D-M9PSAPC</v>
      </c>
      <c r="E24" s="326"/>
      <c r="F24" s="108" t="str">
        <f>IF(VLOOKUP($C24,Purchased!A:Z,11,0) = 0, " ", VLOOKUP($C24,Purchased!A:Z,11,0))</f>
        <v>SMC</v>
      </c>
      <c r="G24" s="108" t="str">
        <f>IF(VLOOKUP($C24,Purchased!A:Z,12,0)=0, " ", VLOOKUP($C24,Purchased!A:Z,12,0))</f>
        <v>AAP</v>
      </c>
      <c r="H24" s="327" t="str">
        <f>IF(VLOOKUP($C24,Purchased!A:Z,13,0)=0, " ", VLOOKUP($C24,Purchased!A:Z,13,0))</f>
        <v>4 more PO 55692</v>
      </c>
      <c r="I24" s="328"/>
      <c r="J24" s="46">
        <f>IF(VLOOKUP($C24,Purchased!A:Z,14,0)=0, " ", VLOOKUP($C24,Purchased!A:Z,14,0))</f>
        <v>45489</v>
      </c>
      <c r="K24" s="46">
        <f>IF(VLOOKUP(C24,Purchased!A:R,14,0)=0, " ", VLOOKUP(C24,Purchased!A:R,14,0))</f>
        <v>45489</v>
      </c>
      <c r="L24" s="46">
        <f>IF(VLOOKUP(C24,Purchased!A:R,15,0)=0, " ", VLOOKUP(C24,Purchased!A:R,15,0))</f>
        <v>45489</v>
      </c>
      <c r="M24" s="46">
        <f>IF(VLOOKUP(C24,Purchased!A:R,16,0)=0, " ",VLOOKUP(C24,Purchased!A:R,16,0))</f>
        <v>45510</v>
      </c>
      <c r="N24" s="130">
        <f>IF(VLOOKUP(C24,Purchased!A:R,17,0)=0, " ", VLOOKUP(C24,Purchased!A:R,17,0))</f>
        <v>45513</v>
      </c>
      <c r="O24" s="47">
        <f t="shared" ca="1" si="10"/>
        <v>3</v>
      </c>
      <c r="P24" s="51">
        <f>VLOOKUP(C24,Purchased!A:D,3,FALSE)</f>
        <v>2.44</v>
      </c>
      <c r="Q24" s="52">
        <f t="shared" si="11"/>
        <v>7.32</v>
      </c>
    </row>
    <row r="25" spans="1:17" s="2" customFormat="1" ht="12" customHeight="1" x14ac:dyDescent="0.25">
      <c r="A25" s="4">
        <v>303</v>
      </c>
      <c r="B25" s="2">
        <v>2</v>
      </c>
      <c r="C25" s="135" t="s">
        <v>1002</v>
      </c>
      <c r="D25" s="325" t="str">
        <f>VLOOKUP(C25,Purchased!A:B,2,0)</f>
        <v>KQ2 unifit, straight, 6mm dia tubing, M5 port</v>
      </c>
      <c r="E25" s="326"/>
      <c r="F25" s="108" t="str">
        <f>IF(VLOOKUP($C25,Purchased!A:Z,11,0) = 0, " ", VLOOKUP($C25,Purchased!A:Z,11,0))</f>
        <v>SMC</v>
      </c>
      <c r="G25" s="108" t="str">
        <f>IF(VLOOKUP($C25,Purchased!A:Z,12,0)=0, " ", VLOOKUP($C25,Purchased!A:Z,12,0))</f>
        <v>AAP</v>
      </c>
      <c r="H25" s="327" t="str">
        <f>IF(VLOOKUP($C25,Purchased!A:Z,13,0)=0, " ", VLOOKUP($C25,Purchased!A:Z,13,0))</f>
        <v xml:space="preserve"> </v>
      </c>
      <c r="I25" s="328"/>
      <c r="J25" s="46">
        <f>IF(VLOOKUP($C25,Purchased!A:Z,14,0)=0, " ", VLOOKUP($C25,Purchased!A:Z,14,0))</f>
        <v>45489</v>
      </c>
      <c r="K25" s="46">
        <f>IF(VLOOKUP(C25,Purchased!A:R,14,0)=0, " ", VLOOKUP(C25,Purchased!A:R,14,0))</f>
        <v>45489</v>
      </c>
      <c r="L25" s="46">
        <f>IF(VLOOKUP(C25,Purchased!A:R,15,0)=0, " ", VLOOKUP(C25,Purchased!A:R,15,0))</f>
        <v>45491</v>
      </c>
      <c r="M25" s="46">
        <f>IF(VLOOKUP(C25,Purchased!A:R,16,0)=0, " ",VLOOKUP(C25,Purchased!A:R,16,0))</f>
        <v>45520</v>
      </c>
      <c r="N25" s="130">
        <f>IF(VLOOKUP(C25,Purchased!A:R,17,0)=0, " ", VLOOKUP(C25,Purchased!A:R,17,0))</f>
        <v>45511</v>
      </c>
      <c r="O25" s="47">
        <f t="shared" ca="1" si="10"/>
        <v>2</v>
      </c>
      <c r="P25" s="51">
        <f>VLOOKUP(C25,Purchased!A:D,3,FALSE)</f>
        <v>1.63</v>
      </c>
      <c r="Q25" s="52">
        <f t="shared" si="11"/>
        <v>3.26</v>
      </c>
    </row>
    <row r="26" spans="1:17" s="2" customFormat="1" ht="12" customHeight="1" x14ac:dyDescent="0.25">
      <c r="A26" s="4">
        <v>304</v>
      </c>
      <c r="B26" s="2">
        <v>2</v>
      </c>
      <c r="C26" s="135" t="s">
        <v>799</v>
      </c>
      <c r="D26" s="325" t="str">
        <f>VLOOKUP(C26,Purchased!A:B,2,0)</f>
        <v>Speed Controller One Touch Fitting, 6mm dia tubing</v>
      </c>
      <c r="E26" s="326"/>
      <c r="F26" s="108" t="str">
        <f>IF(VLOOKUP($C26,Purchased!A:Z,11,0) = 0, " ", VLOOKUP($C26,Purchased!A:Z,11,0))</f>
        <v>SMC</v>
      </c>
      <c r="G26" s="108" t="str">
        <f>IF(VLOOKUP($C26,Purchased!A:Z,12,0)=0, " ", VLOOKUP($C26,Purchased!A:Z,12,0))</f>
        <v>AAP</v>
      </c>
      <c r="H26" s="327" t="str">
        <f>IF(VLOOKUP($C26,Purchased!A:Z,13,0)=0, " ", VLOOKUP($C26,Purchased!A:Z,13,0))</f>
        <v>10 more PO 55692</v>
      </c>
      <c r="I26" s="328"/>
      <c r="J26" s="46">
        <f>IF(VLOOKUP($C26,Purchased!A:Z,14,0)=0, " ", VLOOKUP($C26,Purchased!A:Z,14,0))</f>
        <v>45489</v>
      </c>
      <c r="K26" s="46">
        <f>IF(VLOOKUP(C26,Purchased!A:R,14,0)=0, " ", VLOOKUP(C26,Purchased!A:R,14,0))</f>
        <v>45489</v>
      </c>
      <c r="L26" s="46">
        <f>IF(VLOOKUP(C26,Purchased!A:R,15,0)=0, " ", VLOOKUP(C26,Purchased!A:R,15,0))</f>
        <v>45491</v>
      </c>
      <c r="M26" s="46">
        <f>IF(VLOOKUP(C26,Purchased!A:R,16,0)=0, " ",VLOOKUP(C26,Purchased!A:R,16,0))</f>
        <v>45520</v>
      </c>
      <c r="N26" s="130">
        <f>IF(VLOOKUP(C26,Purchased!A:R,17,0)=0, " ", VLOOKUP(C26,Purchased!A:R,17,0))</f>
        <v>45511</v>
      </c>
      <c r="O26" s="47">
        <f t="shared" ca="1" si="10"/>
        <v>2</v>
      </c>
      <c r="P26" s="51">
        <f>VLOOKUP(C26,Purchased!A:D,3,FALSE)</f>
        <v>14.87</v>
      </c>
      <c r="Q26" s="52">
        <f t="shared" si="11"/>
        <v>29.74</v>
      </c>
    </row>
    <row r="27" spans="1:17" s="2" customFormat="1" ht="12" customHeight="1" x14ac:dyDescent="0.25">
      <c r="A27" s="4">
        <v>305</v>
      </c>
      <c r="B27" s="2">
        <v>1</v>
      </c>
      <c r="C27" s="135" t="s">
        <v>1003</v>
      </c>
      <c r="D27" s="325" t="str">
        <f>VLOOKUP(C27,Purchased!A:B,2,0)</f>
        <v>MY3 Rodless cylinder, 16mm bore, 200mm stroke</v>
      </c>
      <c r="E27" s="326"/>
      <c r="F27" s="108" t="str">
        <f>IF(VLOOKUP($C27,Purchased!A:Z,11,0) = 0, " ", VLOOKUP($C27,Purchased!A:Z,11,0))</f>
        <v>SMC</v>
      </c>
      <c r="G27" s="108" t="str">
        <f>IF(VLOOKUP($C27,Purchased!A:Z,12,0)=0, " ", VLOOKUP($C27,Purchased!A:Z,12,0))</f>
        <v>AAP</v>
      </c>
      <c r="H27" s="327" t="str">
        <f>IF(VLOOKUP($C27,Purchased!A:Z,13,0)=0, " ", VLOOKUP($C27,Purchased!A:Z,13,0))</f>
        <v xml:space="preserve"> </v>
      </c>
      <c r="I27" s="328"/>
      <c r="J27" s="46">
        <f>IF(VLOOKUP($C27,Purchased!A:Z,14,0)=0, " ", VLOOKUP($C27,Purchased!A:Z,14,0))</f>
        <v>45489</v>
      </c>
      <c r="K27" s="46">
        <f>IF(VLOOKUP(C27,Purchased!A:R,14,0)=0, " ", VLOOKUP(C27,Purchased!A:R,14,0))</f>
        <v>45489</v>
      </c>
      <c r="L27" s="46">
        <f>IF(VLOOKUP(C27,Purchased!A:R,15,0)=0, " ", VLOOKUP(C27,Purchased!A:R,15,0))</f>
        <v>45489</v>
      </c>
      <c r="M27" s="46">
        <f>IF(VLOOKUP(C27,Purchased!A:R,16,0)=0, " ",VLOOKUP(C27,Purchased!A:R,16,0))</f>
        <v>45510</v>
      </c>
      <c r="N27" s="130">
        <f>IF(VLOOKUP(C27,Purchased!A:R,17,0)=0, " ", VLOOKUP(C27,Purchased!A:R,17,0))</f>
        <v>45541</v>
      </c>
      <c r="O27" s="47">
        <f t="shared" ca="1" si="10"/>
        <v>1</v>
      </c>
      <c r="P27" s="51">
        <f>VLOOKUP(C27,Purchased!A:D,3,FALSE)</f>
        <v>262.23</v>
      </c>
      <c r="Q27" s="52">
        <f t="shared" si="11"/>
        <v>262.23</v>
      </c>
    </row>
    <row r="28" spans="1:17" s="2" customFormat="1" ht="12" customHeight="1" x14ac:dyDescent="0.25">
      <c r="A28" s="4">
        <v>306</v>
      </c>
      <c r="B28" s="2">
        <v>1</v>
      </c>
      <c r="C28" s="135" t="s">
        <v>929</v>
      </c>
      <c r="D28" s="325" t="str">
        <f>VLOOKUP(C28,Purchased!A:B,2,0)</f>
        <v>Flange-Mounted Linear Ball Bearing, Round Flange, 25mm Shaft Diameter, 
112mm x 62mm x 62mm</v>
      </c>
      <c r="E28" s="326"/>
      <c r="F28" s="108" t="str">
        <f>IF(VLOOKUP($C28,Purchased!A:Z,11,0) = 0, " ", VLOOKUP($C28,Purchased!A:Z,11,0))</f>
        <v>PBC</v>
      </c>
      <c r="G28" s="108" t="str">
        <f>IF(VLOOKUP($C28,Purchased!A:Z,12,0)=0, " ", VLOOKUP($C28,Purchased!A:Z,12,0))</f>
        <v>BDI</v>
      </c>
      <c r="H28" s="327" t="str">
        <f>IF(VLOOKUP($C28,Purchased!A:Z,13,0)=0, " ", VLOOKUP($C28,Purchased!A:Z,13,0))</f>
        <v>#  21563309 EPF25GW</v>
      </c>
      <c r="I28" s="328"/>
      <c r="J28" s="46">
        <f>IF(VLOOKUP($C28,Purchased!A:Z,14,0)=0, " ", VLOOKUP($C28,Purchased!A:Z,14,0))</f>
        <v>45460</v>
      </c>
      <c r="K28" s="46">
        <f>IF(VLOOKUP(C28,Purchased!A:R,14,0)=0, " ", VLOOKUP(C28,Purchased!A:R,14,0))</f>
        <v>45460</v>
      </c>
      <c r="L28" s="46">
        <f>IF(VLOOKUP(C28,Purchased!A:R,15,0)=0, " ", VLOOKUP(C28,Purchased!A:R,15,0))</f>
        <v>45462</v>
      </c>
      <c r="M28" s="46">
        <f>IF(VLOOKUP(C28,Purchased!A:R,16,0)=0, " ",VLOOKUP(C28,Purchased!A:R,16,0))</f>
        <v>45495</v>
      </c>
      <c r="N28" s="130">
        <f>IF(VLOOKUP(C28,Purchased!A:R,17,0)=0, " ", VLOOKUP(C28,Purchased!A:R,17,0))</f>
        <v>45495</v>
      </c>
      <c r="O28" s="47">
        <f t="shared" ca="1" si="10"/>
        <v>1</v>
      </c>
      <c r="P28" s="51">
        <f>VLOOKUP(C28,Purchased!A:D,3,FALSE)</f>
        <v>85.86</v>
      </c>
      <c r="Q28" s="52">
        <f t="shared" si="11"/>
        <v>85.86</v>
      </c>
    </row>
    <row r="29" spans="1:17" s="2" customFormat="1" ht="12" customHeight="1" x14ac:dyDescent="0.25">
      <c r="A29" s="4">
        <v>307</v>
      </c>
      <c r="B29" s="2">
        <v>1</v>
      </c>
      <c r="C29" s="135" t="s">
        <v>795</v>
      </c>
      <c r="D29" s="325" t="str">
        <f>VLOOKUP(C29,Purchased!A:B,2,0)</f>
        <v>IGUS Flanged Lead Screw, 14mm dia</v>
      </c>
      <c r="E29" s="326"/>
      <c r="F29" s="108" t="str">
        <f>IF(VLOOKUP($C29,Purchased!A:Z,11,0) = 0, " ", VLOOKUP($C29,Purchased!A:Z,11,0))</f>
        <v>IGUS</v>
      </c>
      <c r="G29" s="108" t="str">
        <f>IF(VLOOKUP($C29,Purchased!A:Z,12,0)=0, " ", VLOOKUP($C29,Purchased!A:Z,12,0))</f>
        <v>IGUS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45489</v>
      </c>
      <c r="K29" s="46">
        <f>IF(VLOOKUP(C29,Purchased!A:R,14,0)=0, " ", VLOOKUP(C29,Purchased!A:R,14,0))</f>
        <v>45489</v>
      </c>
      <c r="L29" s="46">
        <f>IF(VLOOKUP(C29,Purchased!A:R,15,0)=0, " ", VLOOKUP(C29,Purchased!A:R,15,0))</f>
        <v>45489</v>
      </c>
      <c r="M29" s="46">
        <f>IF(VLOOKUP(C29,Purchased!A:R,16,0)=0, " ",VLOOKUP(C29,Purchased!A:R,16,0))</f>
        <v>45534</v>
      </c>
      <c r="N29" s="130">
        <f>IF(VLOOKUP(C29,Purchased!A:R,17,0)=0, " ", VLOOKUP(C29,Purchased!A:R,17,0))</f>
        <v>45534</v>
      </c>
      <c r="O29" s="47">
        <f t="shared" ca="1" si="10"/>
        <v>1</v>
      </c>
      <c r="P29" s="51">
        <f>VLOOKUP(C29,Purchased!A:D,3,FALSE)</f>
        <v>16.54</v>
      </c>
      <c r="Q29" s="52">
        <f t="shared" si="11"/>
        <v>16.54</v>
      </c>
    </row>
    <row r="30" spans="1:17" s="2" customFormat="1" ht="12" customHeight="1" x14ac:dyDescent="0.25">
      <c r="A30" s="4">
        <v>308</v>
      </c>
      <c r="B30" s="2">
        <v>3</v>
      </c>
      <c r="C30" s="135" t="s">
        <v>306</v>
      </c>
      <c r="D30" s="325" t="str">
        <f>VLOOKUP(C30,Purchased!A:B,2,0)</f>
        <v>M8 female 0° A-cod. with cable, PVC 3x0.25 bk UL/CSA 10m</v>
      </c>
      <c r="E30" s="326"/>
      <c r="F30" s="108" t="str">
        <f>IF(VLOOKUP($C30,Purchased!A:Z,11,0) = 0, " ", VLOOKUP($C30,Purchased!A:Z,11,0))</f>
        <v>MURR</v>
      </c>
      <c r="G30" s="108" t="str">
        <f>IF(VLOOKUP($C30,Purchased!A:Z,12,0)=0, " ", VLOOKUP($C30,Purchased!A:Z,12,0))</f>
        <v>MURR</v>
      </c>
      <c r="H30" s="327" t="str">
        <f>IF(VLOOKUP($C30,Purchased!A:Z,13,0)=0, " ", VLOOKUP($C30,Purchased!A:Z,13,0))</f>
        <v xml:space="preserve"> </v>
      </c>
      <c r="I30" s="328"/>
      <c r="J30" s="46">
        <f>IF(VLOOKUP($C30,Purchased!A:Z,14,0)=0, " ", VLOOKUP($C30,Purchased!A:Z,14,0))</f>
        <v>45506</v>
      </c>
      <c r="K30" s="46">
        <f>IF(VLOOKUP(C30,Purchased!A:R,14,0)=0, " ", VLOOKUP(C30,Purchased!A:R,14,0))</f>
        <v>45506</v>
      </c>
      <c r="L30" s="46" t="str">
        <f>IF(VLOOKUP(C30,Purchased!A:R,15,0)=0, " ", VLOOKUP(C30,Purchased!A:R,15,0))</f>
        <v xml:space="preserve"> </v>
      </c>
      <c r="M30" s="46" t="str">
        <f>IF(VLOOKUP(C30,Purchased!A:R,16,0)=0, " ",VLOOKUP(C30,Purchased!A:R,16,0))</f>
        <v xml:space="preserve"> </v>
      </c>
      <c r="N30" s="130" t="str">
        <f>IF(VLOOKUP(C30,Purchased!A:R,17,0)=0, " ", VLOOKUP(C30,Purchased!A:R,17,0))</f>
        <v xml:space="preserve"> </v>
      </c>
      <c r="O30" s="47">
        <f t="shared" ca="1" si="10"/>
        <v>3</v>
      </c>
      <c r="P30" s="51">
        <f>VLOOKUP(C30,Purchased!A:D,3,FALSE)</f>
        <v>0</v>
      </c>
      <c r="Q30" s="52">
        <f t="shared" si="11"/>
        <v>0</v>
      </c>
    </row>
    <row r="31" spans="1:17" s="2" customFormat="1" ht="12" customHeight="1" x14ac:dyDescent="0.25">
      <c r="A31" s="4">
        <v>309</v>
      </c>
      <c r="B31" s="2">
        <v>1</v>
      </c>
      <c r="C31" s="135" t="s">
        <v>1004</v>
      </c>
      <c r="D31" s="325" t="str">
        <f>VLOOKUP(C31,Purchased!A:B,2,0)</f>
        <v>18-8 Stainless Steel Key-Locking Inserts with Thin Wall, M4 x 0.7 mm Thread, 5.25 mm Installed Length</v>
      </c>
      <c r="E31" s="326"/>
      <c r="F31" s="108" t="str">
        <f>IF(VLOOKUP($C31,Purchased!A:Z,11,0) = 0, " ", VLOOKUP($C31,Purchased!A:Z,11,0))</f>
        <v>MCM</v>
      </c>
      <c r="G31" s="108" t="str">
        <f>IF(VLOOKUP($C31,Purchased!A:Z,12,0)=0, " ", VLOOKUP($C31,Purchased!A:Z,12,0))</f>
        <v>MCM</v>
      </c>
      <c r="H31" s="327" t="str">
        <f>IF(VLOOKUP($C31,Purchased!A:Z,13,0)=0, " ", VLOOKUP($C31,Purchased!A:Z,13,0))</f>
        <v xml:space="preserve"> </v>
      </c>
      <c r="I31" s="328"/>
      <c r="J31" s="46">
        <f>IF(VLOOKUP($C31,Purchased!A:Z,14,0)=0, " ", VLOOKUP($C31,Purchased!A:Z,14,0))</f>
        <v>45526</v>
      </c>
      <c r="K31" s="46">
        <f>IF(VLOOKUP(C31,Purchased!A:R,14,0)=0, " ", VLOOKUP(C31,Purchased!A:R,14,0))</f>
        <v>45526</v>
      </c>
      <c r="L31" s="46">
        <f>IF(VLOOKUP(C31,Purchased!A:R,15,0)=0, " ", VLOOKUP(C31,Purchased!A:R,15,0))</f>
        <v>45526</v>
      </c>
      <c r="M31" s="46" t="str">
        <f>IF(VLOOKUP(C31,Purchased!A:R,16,0)=0, " ",VLOOKUP(C31,Purchased!A:R,16,0))</f>
        <v xml:space="preserve"> </v>
      </c>
      <c r="N31" s="130" t="str">
        <f>IF(VLOOKUP(C31,Purchased!A:R,17,0)=0, " ", VLOOKUP(C31,Purchased!A:R,17,0))</f>
        <v xml:space="preserve"> </v>
      </c>
      <c r="O31" s="47">
        <f t="shared" ref="O31" ca="1" si="12">B31*$L$2</f>
        <v>1</v>
      </c>
      <c r="P31" s="51">
        <f>VLOOKUP(C31,Purchased!A:D,3,FALSE)</f>
        <v>9.98</v>
      </c>
      <c r="Q31" s="52">
        <f t="shared" ref="Q31" si="13">B31*P31</f>
        <v>9.98</v>
      </c>
    </row>
    <row r="32" spans="1:17" s="2" customFormat="1" ht="12" customHeight="1" x14ac:dyDescent="0.25">
      <c r="A32" s="25"/>
      <c r="B32" s="26"/>
      <c r="C32" s="26"/>
      <c r="D32" s="332"/>
      <c r="E32" s="333"/>
      <c r="F32" s="26"/>
      <c r="G32" s="26"/>
      <c r="H32" s="322"/>
      <c r="I32" s="323"/>
      <c r="J32" s="27"/>
      <c r="K32" s="27"/>
      <c r="L32" s="27"/>
      <c r="M32" s="28"/>
      <c r="N32" s="29"/>
      <c r="O32" s="29"/>
      <c r="P32" s="148"/>
      <c r="Q32" s="149"/>
    </row>
    <row r="33" spans="1:17" s="2" customFormat="1" ht="12" customHeight="1" x14ac:dyDescent="0.25">
      <c r="A33" s="4">
        <v>501</v>
      </c>
      <c r="B33" s="2">
        <v>4</v>
      </c>
      <c r="C33" s="122" t="s">
        <v>823</v>
      </c>
      <c r="D33" s="325"/>
      <c r="E33" s="326"/>
      <c r="F33" s="108">
        <f>VLOOKUP(C33,Bolts!A:L,5,0)</f>
        <v>0</v>
      </c>
      <c r="G33" s="108">
        <f>VLOOKUP(C33,Bolts!A:L,6,0)</f>
        <v>0</v>
      </c>
      <c r="H33" s="108">
        <f>VLOOKUP(C33,Bolts!A:L,7,0)</f>
        <v>0</v>
      </c>
      <c r="I33" s="109"/>
      <c r="J33" s="46">
        <f>VLOOKUP(C33,Bolts!A:L,8,0)</f>
        <v>0</v>
      </c>
      <c r="K33" s="46">
        <f>VLOOKUP(C33,Bolts!A:L,9,0)</f>
        <v>0</v>
      </c>
      <c r="L33" s="46">
        <f>VLOOKUP(C33,Bolts!A:L,10,0)</f>
        <v>0</v>
      </c>
      <c r="M33" s="46">
        <f>VLOOKUP(C33,Bolts!A:L,11,0)</f>
        <v>0</v>
      </c>
      <c r="N33" s="130">
        <f>VLOOKUP(C33,Bolts!A:L,12,0)</f>
        <v>0</v>
      </c>
      <c r="O33" s="47">
        <f t="shared" ref="O33:O43" ca="1" si="14">B33*$L$2</f>
        <v>4</v>
      </c>
      <c r="P33" s="51">
        <f>VLOOKUP(C33,Bolts!A:B,2,FALSE)</f>
        <v>0</v>
      </c>
      <c r="Q33" s="52">
        <f t="shared" ref="Q33:Q43" si="15">B33*P33</f>
        <v>0</v>
      </c>
    </row>
    <row r="34" spans="1:17" s="2" customFormat="1" ht="12" customHeight="1" x14ac:dyDescent="0.25">
      <c r="A34" s="4">
        <v>502</v>
      </c>
      <c r="B34" s="2">
        <v>11</v>
      </c>
      <c r="C34" s="122" t="s">
        <v>617</v>
      </c>
      <c r="D34" s="325"/>
      <c r="E34" s="326"/>
      <c r="F34" s="108">
        <f>VLOOKUP(C34,Bolts!A:L,5,0)</f>
        <v>0</v>
      </c>
      <c r="G34" s="108">
        <f>VLOOKUP(C34,Bolts!A:L,6,0)</f>
        <v>0</v>
      </c>
      <c r="H34" s="108">
        <f>VLOOKUP(C34,Bolts!A:L,7,0)</f>
        <v>0</v>
      </c>
      <c r="I34" s="109"/>
      <c r="J34" s="46">
        <f>VLOOKUP(C34,Bolts!A:L,8,0)</f>
        <v>0</v>
      </c>
      <c r="K34" s="46">
        <f>VLOOKUP(C34,Bolts!A:L,9,0)</f>
        <v>0</v>
      </c>
      <c r="L34" s="46">
        <f>VLOOKUP(C34,Bolts!A:L,10,0)</f>
        <v>0</v>
      </c>
      <c r="M34" s="46">
        <f>VLOOKUP(C34,Bolts!A:L,11,0)</f>
        <v>0</v>
      </c>
      <c r="N34" s="130">
        <f>VLOOKUP(C34,Bolts!A:L,12,0)</f>
        <v>0</v>
      </c>
      <c r="O34" s="47">
        <f t="shared" ca="1" si="14"/>
        <v>11</v>
      </c>
      <c r="P34" s="51">
        <f>VLOOKUP(C34,Bolts!A:B,2,FALSE)</f>
        <v>0</v>
      </c>
      <c r="Q34" s="52">
        <f t="shared" si="15"/>
        <v>0</v>
      </c>
    </row>
    <row r="35" spans="1:17" s="2" customFormat="1" ht="12" customHeight="1" x14ac:dyDescent="0.25">
      <c r="A35" s="4">
        <v>503</v>
      </c>
      <c r="B35" s="2">
        <v>8</v>
      </c>
      <c r="C35" s="122" t="s">
        <v>107</v>
      </c>
      <c r="D35" s="325"/>
      <c r="E35" s="326"/>
      <c r="F35" s="108">
        <f>VLOOKUP(C35,Bolts!A:L,5,0)</f>
        <v>0</v>
      </c>
      <c r="G35" s="108">
        <f>VLOOKUP(C35,Bolts!A:L,6,0)</f>
        <v>0</v>
      </c>
      <c r="H35" s="108">
        <f>VLOOKUP(C35,Bolts!A:L,7,0)</f>
        <v>0</v>
      </c>
      <c r="I35" s="109"/>
      <c r="J35" s="46">
        <f>VLOOKUP(C35,Bolts!A:L,8,0)</f>
        <v>0</v>
      </c>
      <c r="K35" s="46">
        <f>VLOOKUP(C35,Bolts!A:L,9,0)</f>
        <v>0</v>
      </c>
      <c r="L35" s="46">
        <f>VLOOKUP(C35,Bolts!A:L,10,0)</f>
        <v>0</v>
      </c>
      <c r="M35" s="46">
        <f>VLOOKUP(C35,Bolts!A:L,11,0)</f>
        <v>0</v>
      </c>
      <c r="N35" s="130">
        <f>VLOOKUP(C35,Bolts!A:L,12,0)</f>
        <v>0</v>
      </c>
      <c r="O35" s="47">
        <f t="shared" ca="1" si="14"/>
        <v>8</v>
      </c>
      <c r="P35" s="51">
        <f>VLOOKUP(C35,Bolts!A:B,2,FALSE)</f>
        <v>0</v>
      </c>
      <c r="Q35" s="52">
        <f t="shared" si="15"/>
        <v>0</v>
      </c>
    </row>
    <row r="36" spans="1:17" s="2" customFormat="1" ht="12" customHeight="1" x14ac:dyDescent="0.25">
      <c r="A36" s="4">
        <v>504</v>
      </c>
      <c r="B36" s="2">
        <v>8</v>
      </c>
      <c r="C36" s="122" t="s">
        <v>174</v>
      </c>
      <c r="D36" s="325"/>
      <c r="E36" s="326"/>
      <c r="F36" s="108">
        <f>VLOOKUP(C36,Bolts!A:L,5,0)</f>
        <v>0</v>
      </c>
      <c r="G36" s="108">
        <f>VLOOKUP(C36,Bolts!A:L,6,0)</f>
        <v>0</v>
      </c>
      <c r="H36" s="108">
        <f>VLOOKUP(C36,Bolts!A:L,7,0)</f>
        <v>0</v>
      </c>
      <c r="I36" s="109"/>
      <c r="J36" s="46">
        <f>VLOOKUP(C36,Bolts!A:L,8,0)</f>
        <v>0</v>
      </c>
      <c r="K36" s="46">
        <f>VLOOKUP(C36,Bolts!A:L,9,0)</f>
        <v>0</v>
      </c>
      <c r="L36" s="46">
        <f>VLOOKUP(C36,Bolts!A:L,10,0)</f>
        <v>0</v>
      </c>
      <c r="M36" s="46">
        <f>VLOOKUP(C36,Bolts!A:L,11,0)</f>
        <v>0</v>
      </c>
      <c r="N36" s="130">
        <f>VLOOKUP(C36,Bolts!A:L,12,0)</f>
        <v>0</v>
      </c>
      <c r="O36" s="47">
        <f t="shared" ca="1" si="14"/>
        <v>8</v>
      </c>
      <c r="P36" s="51">
        <f>VLOOKUP(C36,Bolts!A:B,2,FALSE)</f>
        <v>0</v>
      </c>
      <c r="Q36" s="52">
        <f t="shared" si="15"/>
        <v>0</v>
      </c>
    </row>
    <row r="37" spans="1:17" s="2" customFormat="1" ht="12" customHeight="1" x14ac:dyDescent="0.25">
      <c r="A37" s="4">
        <v>505</v>
      </c>
      <c r="B37" s="2">
        <v>16</v>
      </c>
      <c r="C37" s="122" t="s">
        <v>333</v>
      </c>
      <c r="D37" s="325"/>
      <c r="E37" s="326"/>
      <c r="F37" s="108">
        <f>VLOOKUP(C37,Bolts!A:L,5,0)</f>
        <v>0</v>
      </c>
      <c r="G37" s="108">
        <f>VLOOKUP(C37,Bolts!A:L,6,0)</f>
        <v>0</v>
      </c>
      <c r="H37" s="108">
        <f>VLOOKUP(C37,Bolts!A:L,7,0)</f>
        <v>0</v>
      </c>
      <c r="I37" s="109"/>
      <c r="J37" s="46">
        <f>VLOOKUP(C37,Bolts!A:L,8,0)</f>
        <v>0</v>
      </c>
      <c r="K37" s="46">
        <f>VLOOKUP(C37,Bolts!A:L,9,0)</f>
        <v>0</v>
      </c>
      <c r="L37" s="46">
        <f>VLOOKUP(C37,Bolts!A:L,10,0)</f>
        <v>0</v>
      </c>
      <c r="M37" s="46">
        <f>VLOOKUP(C37,Bolts!A:L,11,0)</f>
        <v>0</v>
      </c>
      <c r="N37" s="130">
        <f>VLOOKUP(C37,Bolts!A:L,12,0)</f>
        <v>0</v>
      </c>
      <c r="O37" s="47">
        <f t="shared" ca="1" si="14"/>
        <v>16</v>
      </c>
      <c r="P37" s="51">
        <f>VLOOKUP(C37,Bolts!A:B,2,FALSE)</f>
        <v>0</v>
      </c>
      <c r="Q37" s="52">
        <f t="shared" si="15"/>
        <v>0</v>
      </c>
    </row>
    <row r="38" spans="1:17" s="2" customFormat="1" ht="12" customHeight="1" x14ac:dyDescent="0.25">
      <c r="A38" s="4">
        <v>506</v>
      </c>
      <c r="B38" s="2">
        <v>6</v>
      </c>
      <c r="C38" s="122" t="s">
        <v>310</v>
      </c>
      <c r="D38" s="325"/>
      <c r="E38" s="326"/>
      <c r="F38" s="108">
        <f>VLOOKUP(C38,Bolts!A:L,5,0)</f>
        <v>0</v>
      </c>
      <c r="G38" s="108">
        <f>VLOOKUP(C38,Bolts!A:L,6,0)</f>
        <v>0</v>
      </c>
      <c r="H38" s="108">
        <f>VLOOKUP(C38,Bolts!A:L,7,0)</f>
        <v>0</v>
      </c>
      <c r="I38" s="109"/>
      <c r="J38" s="46">
        <f>VLOOKUP(C38,Bolts!A:L,8,0)</f>
        <v>0</v>
      </c>
      <c r="K38" s="46">
        <f>VLOOKUP(C38,Bolts!A:L,9,0)</f>
        <v>0</v>
      </c>
      <c r="L38" s="46">
        <f>VLOOKUP(C38,Bolts!A:L,10,0)</f>
        <v>0</v>
      </c>
      <c r="M38" s="46">
        <f>VLOOKUP(C38,Bolts!A:L,11,0)</f>
        <v>0</v>
      </c>
      <c r="N38" s="130">
        <f>VLOOKUP(C38,Bolts!A:L,12,0)</f>
        <v>0</v>
      </c>
      <c r="O38" s="47">
        <f t="shared" ca="1" si="14"/>
        <v>6</v>
      </c>
      <c r="P38" s="51">
        <f>VLOOKUP(C38,Bolts!A:B,2,FALSE)</f>
        <v>0</v>
      </c>
      <c r="Q38" s="52">
        <f t="shared" si="15"/>
        <v>0</v>
      </c>
    </row>
    <row r="39" spans="1:17" s="2" customFormat="1" ht="12" customHeight="1" x14ac:dyDescent="0.25">
      <c r="A39" s="4">
        <v>507</v>
      </c>
      <c r="B39" s="2">
        <v>4</v>
      </c>
      <c r="C39" s="122" t="s">
        <v>660</v>
      </c>
      <c r="D39" s="325"/>
      <c r="E39" s="326"/>
      <c r="F39" s="108">
        <f>VLOOKUP(C39,Bolts!A:L,5,0)</f>
        <v>0</v>
      </c>
      <c r="G39" s="108">
        <f>VLOOKUP(C39,Bolts!A:L,6,0)</f>
        <v>0</v>
      </c>
      <c r="H39" s="108">
        <f>VLOOKUP(C39,Bolts!A:L,7,0)</f>
        <v>0</v>
      </c>
      <c r="I39" s="109"/>
      <c r="J39" s="46">
        <f>VLOOKUP(C39,Bolts!A:L,8,0)</f>
        <v>0</v>
      </c>
      <c r="K39" s="46">
        <f>VLOOKUP(C39,Bolts!A:L,9,0)</f>
        <v>0</v>
      </c>
      <c r="L39" s="46">
        <f>VLOOKUP(C39,Bolts!A:L,10,0)</f>
        <v>0</v>
      </c>
      <c r="M39" s="46">
        <f>VLOOKUP(C39,Bolts!A:L,11,0)</f>
        <v>0</v>
      </c>
      <c r="N39" s="130">
        <f>VLOOKUP(C39,Bolts!A:L,12,0)</f>
        <v>0</v>
      </c>
      <c r="O39" s="47">
        <f t="shared" ca="1" si="14"/>
        <v>4</v>
      </c>
      <c r="P39" s="51">
        <f>VLOOKUP(C39,Bolts!A:B,2,FALSE)</f>
        <v>0</v>
      </c>
      <c r="Q39" s="52">
        <f t="shared" si="15"/>
        <v>0</v>
      </c>
    </row>
    <row r="40" spans="1:17" s="2" customFormat="1" ht="12" customHeight="1" x14ac:dyDescent="0.25">
      <c r="A40" s="4">
        <v>508</v>
      </c>
      <c r="B40" s="2">
        <v>2</v>
      </c>
      <c r="C40" s="122" t="s">
        <v>806</v>
      </c>
      <c r="D40" s="325"/>
      <c r="E40" s="326"/>
      <c r="F40" s="108">
        <f>VLOOKUP(C40,Bolts!A:L,5,0)</f>
        <v>0</v>
      </c>
      <c r="G40" s="108" t="str">
        <f>VLOOKUP(C40,Bolts!A:L,6,0)</f>
        <v xml:space="preserve"> </v>
      </c>
      <c r="H40" s="108">
        <f>VLOOKUP(C40,Bolts!A:L,7,0)</f>
        <v>0</v>
      </c>
      <c r="I40" s="109"/>
      <c r="J40" s="46">
        <f>VLOOKUP(C40,Bolts!A:L,8,0)</f>
        <v>0</v>
      </c>
      <c r="K40" s="46">
        <f>VLOOKUP(C40,Bolts!A:L,9,0)</f>
        <v>0</v>
      </c>
      <c r="L40" s="46">
        <f>VLOOKUP(C40,Bolts!A:L,10,0)</f>
        <v>0</v>
      </c>
      <c r="M40" s="46">
        <f>VLOOKUP(C40,Bolts!A:L,11,0)</f>
        <v>0</v>
      </c>
      <c r="N40" s="130">
        <f>VLOOKUP(C40,Bolts!A:L,12,0)</f>
        <v>0</v>
      </c>
      <c r="O40" s="47">
        <f t="shared" ca="1" si="14"/>
        <v>2</v>
      </c>
      <c r="P40" s="51">
        <f>VLOOKUP(C40,Bolts!A:B,2,FALSE)</f>
        <v>0</v>
      </c>
      <c r="Q40" s="52">
        <f t="shared" si="15"/>
        <v>0</v>
      </c>
    </row>
    <row r="41" spans="1:17" s="2" customFormat="1" ht="12" customHeight="1" x14ac:dyDescent="0.25">
      <c r="A41" s="4">
        <v>509</v>
      </c>
      <c r="B41" s="2">
        <v>3</v>
      </c>
      <c r="C41" s="122" t="s">
        <v>330</v>
      </c>
      <c r="D41" s="325"/>
      <c r="E41" s="326"/>
      <c r="F41" s="108">
        <f>VLOOKUP(C41,Bolts!A:L,5,0)</f>
        <v>0</v>
      </c>
      <c r="G41" s="108">
        <f>VLOOKUP(C41,Bolts!A:L,6,0)</f>
        <v>0</v>
      </c>
      <c r="H41" s="108">
        <f>VLOOKUP(C41,Bolts!A:L,7,0)</f>
        <v>0</v>
      </c>
      <c r="I41" s="109"/>
      <c r="J41" s="46">
        <f>VLOOKUP(C41,Bolts!A:L,8,0)</f>
        <v>0</v>
      </c>
      <c r="K41" s="46">
        <f>VLOOKUP(C41,Bolts!A:L,9,0)</f>
        <v>0</v>
      </c>
      <c r="L41" s="46">
        <f>VLOOKUP(C41,Bolts!A:L,10,0)</f>
        <v>0</v>
      </c>
      <c r="M41" s="46">
        <f>VLOOKUP(C41,Bolts!A:L,11,0)</f>
        <v>0</v>
      </c>
      <c r="N41" s="130">
        <f>VLOOKUP(C41,Bolts!A:L,12,0)</f>
        <v>0</v>
      </c>
      <c r="O41" s="47">
        <f t="shared" ca="1" si="14"/>
        <v>3</v>
      </c>
      <c r="P41" s="51">
        <f>VLOOKUP(C41,Bolts!A:B,2,FALSE)</f>
        <v>0</v>
      </c>
      <c r="Q41" s="52">
        <f t="shared" si="15"/>
        <v>0</v>
      </c>
    </row>
    <row r="42" spans="1:17" s="2" customFormat="1" ht="12" customHeight="1" x14ac:dyDescent="0.25">
      <c r="A42" s="4">
        <v>510</v>
      </c>
      <c r="B42" s="2">
        <v>4</v>
      </c>
      <c r="C42" s="122" t="s">
        <v>275</v>
      </c>
      <c r="D42" s="325"/>
      <c r="E42" s="326"/>
      <c r="F42" s="108">
        <f>VLOOKUP(C42,Bolts!A:L,5,0)</f>
        <v>0</v>
      </c>
      <c r="G42" s="108">
        <f>VLOOKUP(C42,Bolts!A:L,6,0)</f>
        <v>0</v>
      </c>
      <c r="H42" s="108">
        <f>VLOOKUP(C42,Bolts!A:L,7,0)</f>
        <v>0</v>
      </c>
      <c r="I42" s="109"/>
      <c r="J42" s="46">
        <f>VLOOKUP(C42,Bolts!A:L,8,0)</f>
        <v>0</v>
      </c>
      <c r="K42" s="46">
        <f>VLOOKUP(C42,Bolts!A:L,9,0)</f>
        <v>0</v>
      </c>
      <c r="L42" s="46">
        <f>VLOOKUP(C42,Bolts!A:L,10,0)</f>
        <v>0</v>
      </c>
      <c r="M42" s="46">
        <f>VLOOKUP(C42,Bolts!A:L,11,0)</f>
        <v>0</v>
      </c>
      <c r="N42" s="130">
        <f>VLOOKUP(C42,Bolts!A:L,12,0)</f>
        <v>0</v>
      </c>
      <c r="O42" s="47">
        <f t="shared" ca="1" si="14"/>
        <v>4</v>
      </c>
      <c r="P42" s="51">
        <f>VLOOKUP(C42,Bolts!A:B,2,FALSE)</f>
        <v>0</v>
      </c>
      <c r="Q42" s="52">
        <f t="shared" si="15"/>
        <v>0</v>
      </c>
    </row>
    <row r="43" spans="1:17" s="2" customFormat="1" ht="12" customHeight="1" thickBot="1" x14ac:dyDescent="0.3">
      <c r="A43" s="4">
        <v>511</v>
      </c>
      <c r="B43" s="2">
        <v>2</v>
      </c>
      <c r="C43" s="122" t="s">
        <v>1005</v>
      </c>
      <c r="D43" s="325"/>
      <c r="E43" s="326"/>
      <c r="F43" s="108">
        <f>VLOOKUP(C43,Bolts!A:L,5,0)</f>
        <v>0</v>
      </c>
      <c r="G43" s="108">
        <f>VLOOKUP(C43,Bolts!A:L,6,0)</f>
        <v>0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t="shared" ca="1" si="14"/>
        <v>2</v>
      </c>
      <c r="P43" s="51">
        <f>VLOOKUP(C43,Bolts!A:B,2,FALSE)</f>
        <v>0</v>
      </c>
      <c r="Q43" s="52">
        <f t="shared" si="15"/>
        <v>0</v>
      </c>
    </row>
    <row r="44" spans="1:17" s="2" customFormat="1" ht="12" customHeight="1" thickBot="1" x14ac:dyDescent="0.3">
      <c r="A44" s="34"/>
      <c r="B44" s="35"/>
      <c r="C44" s="35"/>
      <c r="D44" s="316"/>
      <c r="E44" s="317"/>
      <c r="F44" s="35"/>
      <c r="G44" s="35"/>
      <c r="H44" s="309"/>
      <c r="I44" s="310"/>
      <c r="J44" s="36"/>
      <c r="K44" s="36"/>
      <c r="L44" s="36"/>
      <c r="M44" s="37"/>
      <c r="N44" s="132"/>
      <c r="O44" s="38"/>
      <c r="P44" s="99" t="s">
        <v>43</v>
      </c>
      <c r="Q44" s="104">
        <f>SUM(Q5:Q42)</f>
        <v>3040.29</v>
      </c>
    </row>
  </sheetData>
  <sheetProtection selectLockedCells="1"/>
  <mergeCells count="72">
    <mergeCell ref="D10:E10"/>
    <mergeCell ref="H10:I10"/>
    <mergeCell ref="D1:E1"/>
    <mergeCell ref="D4:E4"/>
    <mergeCell ref="H4:I4"/>
    <mergeCell ref="D5:E5"/>
    <mergeCell ref="H5:I5"/>
    <mergeCell ref="D9:E9"/>
    <mergeCell ref="H9:I9"/>
    <mergeCell ref="D8:E8"/>
    <mergeCell ref="H8:I8"/>
    <mergeCell ref="D6:E6"/>
    <mergeCell ref="H6:I6"/>
    <mergeCell ref="D7:E7"/>
    <mergeCell ref="H7:I7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19:E19"/>
    <mergeCell ref="H19:I19"/>
    <mergeCell ref="D20:E20"/>
    <mergeCell ref="H20:I20"/>
    <mergeCell ref="D21:E21"/>
    <mergeCell ref="H21:I21"/>
    <mergeCell ref="D22:E22"/>
    <mergeCell ref="H22:I22"/>
    <mergeCell ref="D23:E23"/>
    <mergeCell ref="H23:I23"/>
    <mergeCell ref="D24:E24"/>
    <mergeCell ref="H24:I24"/>
    <mergeCell ref="D25:E25"/>
    <mergeCell ref="H25:I25"/>
    <mergeCell ref="D26:E26"/>
    <mergeCell ref="H26:I26"/>
    <mergeCell ref="D27:E27"/>
    <mergeCell ref="H27:I27"/>
    <mergeCell ref="D28:E28"/>
    <mergeCell ref="H28:I28"/>
    <mergeCell ref="D29:E29"/>
    <mergeCell ref="H29:I29"/>
    <mergeCell ref="D30:E30"/>
    <mergeCell ref="H30:I30"/>
    <mergeCell ref="D32:E32"/>
    <mergeCell ref="H32:I32"/>
    <mergeCell ref="D31:E31"/>
    <mergeCell ref="H31:I31"/>
    <mergeCell ref="H44:I44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4:E44"/>
    <mergeCell ref="D43:E43"/>
  </mergeCells>
  <conditionalFormatting sqref="M22 M32:M42">
    <cfRule type="cellIs" dxfId="930" priority="21" stopIfTrue="1" operator="lessThanOrEqual">
      <formula>$L22</formula>
    </cfRule>
    <cfRule type="cellIs" dxfId="929" priority="22" operator="greaterThan">
      <formula>L22</formula>
    </cfRule>
  </conditionalFormatting>
  <conditionalFormatting sqref="M23:M31">
    <cfRule type="cellIs" dxfId="928" priority="5" stopIfTrue="1" operator="lessThanOrEqual">
      <formula>$L23</formula>
    </cfRule>
    <cfRule type="cellIs" dxfId="927" priority="6" operator="greaterThan">
      <formula>L23</formula>
    </cfRule>
  </conditionalFormatting>
  <conditionalFormatting sqref="M8">
    <cfRule type="cellIs" dxfId="926" priority="3" stopIfTrue="1" operator="lessThanOrEqual">
      <formula>$L8</formula>
    </cfRule>
    <cfRule type="cellIs" dxfId="925" priority="4" operator="greaterThan">
      <formula>L8</formula>
    </cfRule>
  </conditionalFormatting>
  <conditionalFormatting sqref="M43">
    <cfRule type="cellIs" dxfId="924" priority="1" stopIfTrue="1" operator="lessThanOrEqual">
      <formula>$L43</formula>
    </cfRule>
    <cfRule type="cellIs" dxfId="923" priority="2" operator="greaterThan">
      <formula>L43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226B836-CFB8-4A96-8985-2A8D74D7593B}">
          <x14:formula1>
            <xm:f>Bolts!$A:$A</xm:f>
          </x14:formula1>
          <xm:sqref>C32:C43</xm:sqref>
        </x14:dataValidation>
        <x14:dataValidation type="list" allowBlank="1" showInputMessage="1" showErrorMessage="1" xr:uid="{4119C292-9829-43B2-8FED-7EED084C4D95}">
          <x14:formula1>
            <xm:f>Assemblies!$E:$E</xm:f>
          </x14:formula1>
          <xm:sqref>C5:C8</xm:sqref>
        </x14:dataValidation>
        <x14:dataValidation type="list" allowBlank="1" showInputMessage="1" showErrorMessage="1" xr:uid="{886D1D4C-4332-4979-BA58-AC33A125C8C9}">
          <x14:formula1>
            <xm:f>Machined!$C:$C</xm:f>
          </x14:formula1>
          <xm:sqref>C9:C21</xm:sqref>
        </x14:dataValidation>
        <x14:dataValidation type="list" allowBlank="1" showInputMessage="1" showErrorMessage="1" xr:uid="{7B2F0E4A-81B8-4AEE-9F01-5C6DEAF1C57C}">
          <x14:formula1>
            <xm:f>Purchased!$A:$A</xm:f>
          </x14:formula1>
          <xm:sqref>C20:C31</xm:sqref>
        </x14:dataValidation>
      </x14:dataValidations>
    </ext>
  </extLst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9447-4576-4F4D-8423-B653B74B682F}">
  <sheetPr codeName="Sheet157">
    <tabColor theme="9" tint="0.59999389629810485"/>
  </sheetPr>
  <dimension ref="A1:Q30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'6'!C11</f>
        <v>PG10.6.4.0.A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'6'!D11</f>
        <v>Cuff Support Assy A Side</v>
      </c>
      <c r="D3" s="85" t="s">
        <v>50</v>
      </c>
      <c r="E3" s="86" t="str">
        <f ca="1">MID(CELL("filename",A1),FIND("]",CELL("filename",A1))+1,256)</f>
        <v>6.4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1019</v>
      </c>
      <c r="D5" s="314" t="str">
        <f>VLOOKUP(C5,Machined!C:X,2,0)</f>
        <v>Cylinder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t="shared" ref="O5:O8" ca="1" si="0">B5*$L$2</f>
        <v>1</v>
      </c>
      <c r="P5" s="49">
        <f>VLOOKUP(C5,Machined!C:F,3,0)</f>
        <v>248.5</v>
      </c>
      <c r="Q5" s="50">
        <f t="shared" ref="Q5:Q8" si="1">B5*P5</f>
        <v>248.5</v>
      </c>
    </row>
    <row r="6" spans="1:17" s="2" customFormat="1" ht="12.75" customHeight="1" x14ac:dyDescent="0.25">
      <c r="A6" s="77">
        <v>2</v>
      </c>
      <c r="B6" s="20">
        <v>1</v>
      </c>
      <c r="C6" s="121" t="s">
        <v>1020</v>
      </c>
      <c r="D6" s="314" t="str">
        <f>VLOOKUP(C6,Machined!C:X,2,0)</f>
        <v>Cuff Pin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Dodd Mfg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45468</v>
      </c>
      <c r="K6" s="44">
        <f>IF(VLOOKUP($C6,Machined!C:Z,19,0) = 0, " ", VLOOKUP($C6,Machined!C:Z,19,0))</f>
        <v>45483</v>
      </c>
      <c r="L6" s="44">
        <f>IF(VLOOKUP($C6,Machined!C:Z,20,0) = 0, " ", VLOOKUP($C6,Machined!C:Z,20,0))</f>
        <v>45502</v>
      </c>
      <c r="M6" s="44">
        <f>IF(VLOOKUP($C6,Machined!C:Z,21,0) = 0, " ", VLOOKUP($C6,Machined!C:Z,21,0))</f>
        <v>45502</v>
      </c>
      <c r="N6" s="129">
        <f>IF(VLOOKUP($C6,Machined!C:Z,22,0) = 0, " ", VLOOKUP($C6,Machined!C:Z,22,0))</f>
        <v>55595</v>
      </c>
      <c r="O6" s="45">
        <f t="shared" ca="1" si="0"/>
        <v>1</v>
      </c>
      <c r="P6" s="49">
        <f>VLOOKUP(C6,Machined!C:F,3,0)</f>
        <v>187.5</v>
      </c>
      <c r="Q6" s="50">
        <f t="shared" si="1"/>
        <v>187.5</v>
      </c>
    </row>
    <row r="7" spans="1:17" s="2" customFormat="1" ht="12.75" customHeight="1" x14ac:dyDescent="0.25">
      <c r="A7" s="77">
        <v>3</v>
      </c>
      <c r="B7" s="20">
        <v>2</v>
      </c>
      <c r="C7" s="121" t="s">
        <v>791</v>
      </c>
      <c r="D7" s="314" t="str">
        <f>VLOOKUP(C7,Machined!C:X,2,0)</f>
        <v>Lead Screw Mounting Block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Craig Miller</v>
      </c>
      <c r="H7" s="320" t="str">
        <f>IF(VLOOKUP($C7,Machined!C:Z,17,0) = 0, " ", VLOOKUP($C7,Machined!C:Z,17,0))</f>
        <v>ordered 8 more 55629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45468</v>
      </c>
      <c r="K7" s="44">
        <f>IF(VLOOKUP($C7,Machined!C:Z,19,0) = 0, " ", VLOOKUP($C7,Machined!C:Z,19,0))</f>
        <v>45470</v>
      </c>
      <c r="L7" s="44">
        <f>IF(VLOOKUP($C7,Machined!C:Z,20,0) = 0, " ", VLOOKUP($C7,Machined!C:Z,20,0))</f>
        <v>45495</v>
      </c>
      <c r="M7" s="44">
        <f>IF(VLOOKUP($C7,Machined!C:Z,21,0) = 0, " ", VLOOKUP($C7,Machined!C:Z,21,0))</f>
        <v>45495</v>
      </c>
      <c r="N7" s="129">
        <f>IF(VLOOKUP($C7,Machined!C:Z,22,0) = 0, " ", VLOOKUP($C7,Machined!C:Z,22,0))</f>
        <v>55576</v>
      </c>
      <c r="O7" s="45">
        <f t="shared" ca="1" si="0"/>
        <v>2</v>
      </c>
      <c r="P7" s="49">
        <f>VLOOKUP(C7,Machined!C:F,3,0)</f>
        <v>45.5</v>
      </c>
      <c r="Q7" s="50">
        <f t="shared" si="1"/>
        <v>91</v>
      </c>
    </row>
    <row r="8" spans="1:17" s="2" customFormat="1" ht="12.75" customHeight="1" x14ac:dyDescent="0.25">
      <c r="A8" s="77">
        <v>4</v>
      </c>
      <c r="B8" s="20">
        <v>1</v>
      </c>
      <c r="C8" s="121" t="s">
        <v>792</v>
      </c>
      <c r="D8" s="314" t="str">
        <f>VLOOKUP(C8,Machined!C:X,2,0)</f>
        <v>Lead Nut Modification</v>
      </c>
      <c r="E8" s="329"/>
      <c r="F8" s="107" t="str">
        <f>VLOOKUP($C8,Machined!C:Z,13,0)</f>
        <v>PURCHASED PART</v>
      </c>
      <c r="G8" s="44" t="str">
        <f>IF(VLOOKUP($C8,Machined!C:Z,16,0) = 0, " ", VLOOKUP($C8,Machined!C:Z,16,0))</f>
        <v xml:space="preserve">Nuline </v>
      </c>
      <c r="H8" s="320" t="str">
        <f>IF(VLOOKUP($C8,Machined!C:Z,17,0) = 0, " ", VLOOKUP($C8,Machined!C:Z,17,0))</f>
        <v>P.O for material</v>
      </c>
      <c r="I8" s="321" t="str">
        <f>IF(VLOOKUP($C8,Machined!$C:$Y,13,0) = 0, " ", VLOOKUP($C8,Machined!$C:$Y,13,0))</f>
        <v>PURCHASED PART</v>
      </c>
      <c r="J8" s="44">
        <f>IF(VLOOKUP($C8,Machined!C:Z,18,0) = 0, " ", VLOOKUP($C8,Machined!C:Z,18,0))</f>
        <v>45496</v>
      </c>
      <c r="K8" s="44">
        <f>IF(VLOOKUP($C8,Machined!C:Z,19,0) = 0, " ", VLOOKUP($C8,Machined!C:Z,19,0))</f>
        <v>45496</v>
      </c>
      <c r="L8" s="44">
        <f>IF(VLOOKUP($C8,Machined!C:Z,20,0) = 0, " ", VLOOKUP($C8,Machined!C:Z,20,0))</f>
        <v>45531</v>
      </c>
      <c r="M8" s="44">
        <f>IF(VLOOKUP($C8,Machined!C:Z,21,0) = 0, " ", VLOOKUP($C8,Machined!C:Z,21,0))</f>
        <v>45531</v>
      </c>
      <c r="N8" s="129">
        <f>IF(VLOOKUP($C8,Machined!C:Z,22,0) = 0, " ", VLOOKUP($C8,Machined!C:Z,22,0))</f>
        <v>55621</v>
      </c>
      <c r="O8" s="45">
        <f t="shared" ca="1" si="0"/>
        <v>1</v>
      </c>
      <c r="P8" s="49">
        <f>VLOOKUP(C8,Machined!C:F,3,0)</f>
        <v>23.04</v>
      </c>
      <c r="Q8" s="50">
        <f t="shared" si="1"/>
        <v>23.04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2</v>
      </c>
      <c r="C10" s="135" t="s">
        <v>305</v>
      </c>
      <c r="D10" s="325" t="str">
        <f>VLOOKUP(C10,Purchased!A:B,2,0)</f>
        <v>Auto Switch, Solid State, General Purpose, M8-3Pin Connector, 0.5m Cord 
Length</v>
      </c>
      <c r="E10" s="326"/>
      <c r="F10" s="108" t="str">
        <f>IF(VLOOKUP($C10,Purchased!A:Z,11,0) = 0, " ", VLOOKUP($C10,Purchased!A:Z,11,0))</f>
        <v>SMC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>10 more PO 55692</v>
      </c>
      <c r="I10" s="328"/>
      <c r="J10" s="46">
        <f>IF(VLOOKUP($C10,Purchased!A:Z,14,0)=0, " ", VLOOKUP($C10,Purchased!A:Z,14,0))</f>
        <v>45489</v>
      </c>
      <c r="K10" s="46">
        <f>IF(VLOOKUP(C10,Purchased!A:R,14,0)=0, " ", VLOOKUP(C10,Purchased!A:R,14,0))</f>
        <v>45489</v>
      </c>
      <c r="L10" s="46">
        <f>IF(VLOOKUP(C10,Purchased!A:R,15,0)=0, " ", VLOOKUP(C10,Purchased!A:R,15,0))</f>
        <v>45489</v>
      </c>
      <c r="M10" s="46">
        <f>IF(VLOOKUP(C10,Purchased!A:R,16,0)=0, " ",VLOOKUP(C10,Purchased!A:R,16,0))</f>
        <v>45510</v>
      </c>
      <c r="N10" s="130">
        <f>IF(VLOOKUP(C10,Purchased!A:R,17,0)=0, " ", VLOOKUP(C10,Purchased!A:R,17,0))</f>
        <v>45513</v>
      </c>
      <c r="O10" s="47">
        <f t="shared" ref="O10:O20" ca="1" si="2">B10*$L$2</f>
        <v>2</v>
      </c>
      <c r="P10" s="51">
        <f>VLOOKUP(C10,Purchased!A:D,3,FALSE)</f>
        <v>38.64</v>
      </c>
      <c r="Q10" s="52">
        <f t="shared" ref="Q10:Q20" si="3">B10*P10</f>
        <v>77.28</v>
      </c>
    </row>
    <row r="11" spans="1:17" s="2" customFormat="1" ht="12" customHeight="1" x14ac:dyDescent="0.25">
      <c r="A11" s="4">
        <v>302</v>
      </c>
      <c r="B11" s="2">
        <v>2</v>
      </c>
      <c r="C11" s="135" t="s">
        <v>800</v>
      </c>
      <c r="D11" s="325" t="str">
        <f>VLOOKUP(C11,Purchased!A:B,2,0)</f>
        <v>Speed controller flange 20 series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2"/>
        <v>2</v>
      </c>
      <c r="P11" s="51">
        <f>VLOOKUP(C11,Purchased!A:D,3,FALSE)</f>
        <v>1.65</v>
      </c>
      <c r="Q11" s="52">
        <f t="shared" si="3"/>
        <v>3.3</v>
      </c>
    </row>
    <row r="12" spans="1:17" s="2" customFormat="1" ht="12" customHeight="1" x14ac:dyDescent="0.25">
      <c r="A12" s="4">
        <v>303</v>
      </c>
      <c r="B12" s="2">
        <v>2</v>
      </c>
      <c r="C12" s="135" t="s">
        <v>799</v>
      </c>
      <c r="D12" s="325" t="str">
        <f>VLOOKUP(C12,Purchased!A:B,2,0)</f>
        <v>Speed Controller One Touch Fitting, 6mm dia tubing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10 more PO 55692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45491</v>
      </c>
      <c r="M12" s="46">
        <f>IF(VLOOKUP(C12,Purchased!A:R,16,0)=0, " ",VLOOKUP(C12,Purchased!A:R,16,0))</f>
        <v>45520</v>
      </c>
      <c r="N12" s="130">
        <f>IF(VLOOKUP(C12,Purchased!A:R,17,0)=0, " ", VLOOKUP(C12,Purchased!A:R,17,0))</f>
        <v>45511</v>
      </c>
      <c r="O12" s="47">
        <f t="shared" ca="1" si="2"/>
        <v>2</v>
      </c>
      <c r="P12" s="51">
        <f>VLOOKUP(C12,Purchased!A:D,3,FALSE)</f>
        <v>14.87</v>
      </c>
      <c r="Q12" s="52">
        <f t="shared" si="3"/>
        <v>29.74</v>
      </c>
    </row>
    <row r="13" spans="1:17" s="2" customFormat="1" ht="12" customHeight="1" x14ac:dyDescent="0.25">
      <c r="A13" s="4">
        <v>304</v>
      </c>
      <c r="B13" s="2">
        <v>2</v>
      </c>
      <c r="C13" s="135" t="s">
        <v>931</v>
      </c>
      <c r="D13" s="325" t="str">
        <f>VLOOKUP(C13,Purchased!A:B,2,0)</f>
        <v>KQ2 unifit straight fitting 1/8in port to 6mm dia tubing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2"/>
        <v>2</v>
      </c>
      <c r="P13" s="51">
        <f>VLOOKUP(C13,Purchased!A:D,3,FALSE)</f>
        <v>1.7</v>
      </c>
      <c r="Q13" s="52">
        <f t="shared" si="3"/>
        <v>3.4</v>
      </c>
    </row>
    <row r="14" spans="1:17" s="2" customFormat="1" ht="12" customHeight="1" x14ac:dyDescent="0.25">
      <c r="A14" s="4">
        <v>305</v>
      </c>
      <c r="B14" s="2">
        <v>1</v>
      </c>
      <c r="C14" s="135" t="s">
        <v>1021</v>
      </c>
      <c r="D14" s="325" t="str">
        <f>VLOOKUP(C14,Purchased!A:B,2,0)</f>
        <v>CDQ compact air cylinder, 32mm bore, 50mm stroke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45489</v>
      </c>
      <c r="M14" s="46">
        <f>IF(VLOOKUP(C14,Purchased!A:R,16,0)=0, " ",VLOOKUP(C14,Purchased!A:R,16,0))</f>
        <v>45510</v>
      </c>
      <c r="N14" s="130">
        <f>IF(VLOOKUP(C14,Purchased!A:R,17,0)=0, " ", VLOOKUP(C14,Purchased!A:R,17,0))</f>
        <v>45513</v>
      </c>
      <c r="O14" s="47">
        <f t="shared" ca="1" si="2"/>
        <v>1</v>
      </c>
      <c r="P14" s="51">
        <f>VLOOKUP(C14,Purchased!A:D,3,FALSE)</f>
        <v>92.04</v>
      </c>
      <c r="Q14" s="52">
        <f t="shared" si="3"/>
        <v>92.04</v>
      </c>
    </row>
    <row r="15" spans="1:17" s="2" customFormat="1" ht="12" customHeight="1" x14ac:dyDescent="0.25">
      <c r="A15" s="4">
        <v>306</v>
      </c>
      <c r="B15" s="2">
        <v>1</v>
      </c>
      <c r="C15" s="135" t="s">
        <v>657</v>
      </c>
      <c r="D15" s="325" t="str">
        <f>VLOOKUP(C15,Purchased!A:B,2,0)</f>
        <v>KQ2 unifit, elbow, 4mm dia tubing, M5 port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20 more PO 55692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45491</v>
      </c>
      <c r="M15" s="46">
        <f>IF(VLOOKUP(C15,Purchased!A:R,16,0)=0, " ",VLOOKUP(C15,Purchased!A:R,16,0))</f>
        <v>45520</v>
      </c>
      <c r="N15" s="130">
        <f>IF(VLOOKUP(C15,Purchased!A:R,17,0)=0, " ", VLOOKUP(C15,Purchased!A:R,17,0))</f>
        <v>45511</v>
      </c>
      <c r="O15" s="47">
        <f t="shared" ca="1" si="2"/>
        <v>1</v>
      </c>
      <c r="P15" s="51">
        <f>VLOOKUP(C15,Purchased!A:D,3,FALSE)</f>
        <v>1.43</v>
      </c>
      <c r="Q15" s="52">
        <f t="shared" si="3"/>
        <v>1.43</v>
      </c>
    </row>
    <row r="16" spans="1:17" s="2" customFormat="1" ht="12" customHeight="1" x14ac:dyDescent="0.25">
      <c r="A16" s="4">
        <v>307</v>
      </c>
      <c r="B16" s="2">
        <v>2</v>
      </c>
      <c r="C16" s="135" t="s">
        <v>629</v>
      </c>
      <c r="D16" s="325" t="str">
        <f>VLOOKUP(C16,Purchased!A:B,2,0)</f>
        <v>15mm C1 Preload Runner Block</v>
      </c>
      <c r="E16" s="326"/>
      <c r="F16" s="108" t="str">
        <f>IF(VLOOKUP($C16,Purchased!A:Z,11,0) = 0, " ", VLOOKUP($C16,Purchased!A:Z,11,0))</f>
        <v>BRL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Ordered 24 additional PO 55645</v>
      </c>
      <c r="I16" s="328"/>
      <c r="J16" s="46">
        <f>IF(VLOOKUP($C16,Purchased!A:Z,14,0)=0, " ", VLOOKUP($C16,Purchased!A:Z,14,0))</f>
        <v>45461</v>
      </c>
      <c r="K16" s="46">
        <f>IF(VLOOKUP(C16,Purchased!A:R,14,0)=0, " ", VLOOKUP(C16,Purchased!A:R,14,0))</f>
        <v>45461</v>
      </c>
      <c r="L16" s="46">
        <f>IF(VLOOKUP(C16,Purchased!A:R,15,0)=0, " ", VLOOKUP(C16,Purchased!A:R,15,0))</f>
        <v>45462</v>
      </c>
      <c r="M16" s="46">
        <f>IF(VLOOKUP(C16,Purchased!A:R,16,0)=0, " ",VLOOKUP(C16,Purchased!A:R,16,0))</f>
        <v>45504</v>
      </c>
      <c r="N16" s="130">
        <f>IF(VLOOKUP(C16,Purchased!A:R,17,0)=0, " ", VLOOKUP(C16,Purchased!A:R,17,0))</f>
        <v>45504</v>
      </c>
      <c r="O16" s="47">
        <f t="shared" ca="1" si="2"/>
        <v>2</v>
      </c>
      <c r="P16" s="51">
        <f>VLOOKUP(C16,Purchased!A:D,3,FALSE)</f>
        <v>109.2133</v>
      </c>
      <c r="Q16" s="52">
        <f t="shared" si="3"/>
        <v>218.42660000000001</v>
      </c>
    </row>
    <row r="17" spans="1:17" s="2" customFormat="1" ht="12" customHeight="1" x14ac:dyDescent="0.25">
      <c r="A17" s="4">
        <v>308</v>
      </c>
      <c r="B17" s="2">
        <v>1</v>
      </c>
      <c r="C17" s="135" t="s">
        <v>795</v>
      </c>
      <c r="D17" s="325" t="str">
        <f>VLOOKUP(C17,Purchased!A:B,2,0)</f>
        <v>IGUS Flanged Lead Screw, 14mm dia</v>
      </c>
      <c r="E17" s="326"/>
      <c r="F17" s="108" t="str">
        <f>IF(VLOOKUP($C17,Purchased!A:Z,11,0) = 0, " ", VLOOKUP($C17,Purchased!A:Z,11,0))</f>
        <v>IGUS</v>
      </c>
      <c r="G17" s="108" t="str">
        <f>IF(VLOOKUP($C17,Purchased!A:Z,12,0)=0, " ", VLOOKUP($C17,Purchased!A:Z,12,0))</f>
        <v>IGUS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45489</v>
      </c>
      <c r="M17" s="46">
        <f>IF(VLOOKUP(C17,Purchased!A:R,16,0)=0, " ",VLOOKUP(C17,Purchased!A:R,16,0))</f>
        <v>45534</v>
      </c>
      <c r="N17" s="130">
        <f>IF(VLOOKUP(C17,Purchased!A:R,17,0)=0, " ", VLOOKUP(C17,Purchased!A:R,17,0))</f>
        <v>45534</v>
      </c>
      <c r="O17" s="47">
        <f t="shared" ca="1" si="2"/>
        <v>1</v>
      </c>
      <c r="P17" s="51">
        <f>VLOOKUP(C17,Purchased!A:D,3,FALSE)</f>
        <v>16.54</v>
      </c>
      <c r="Q17" s="52">
        <f t="shared" si="3"/>
        <v>16.54</v>
      </c>
    </row>
    <row r="18" spans="1:17" s="2" customFormat="1" ht="12" customHeight="1" x14ac:dyDescent="0.25">
      <c r="A18" s="4">
        <v>309</v>
      </c>
      <c r="B18" s="2">
        <v>2</v>
      </c>
      <c r="C18" s="135" t="s">
        <v>1022</v>
      </c>
      <c r="D18" s="325" t="str">
        <f>VLOOKUP(C18,Purchased!A:B,2,0)</f>
        <v>18-8 Stainless Steel Socket Head Screw, M5 x 0.80 mm Thread, 85 mm Long</v>
      </c>
      <c r="E18" s="326"/>
      <c r="F18" s="108" t="str">
        <f>IF(VLOOKUP($C18,Purchased!A:Z,11,0) = 0, " ", VLOOKUP($C18,Purchased!A:Z,11,0))</f>
        <v>MCM</v>
      </c>
      <c r="G18" s="108" t="str">
        <f>IF(VLOOKUP($C18,Purchased!A:Z,12,0)=0, " ", VLOOKUP($C18,Purchased!A:Z,12,0))</f>
        <v>MCM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45481</v>
      </c>
      <c r="K18" s="46">
        <f>IF(VLOOKUP(C18,Purchased!A:R,14,0)=0, " ", VLOOKUP(C18,Purchased!A:R,14,0))</f>
        <v>45481</v>
      </c>
      <c r="L18" s="46">
        <f>IF(VLOOKUP(C18,Purchased!A:R,15,0)=0, " ", VLOOKUP(C18,Purchased!A:R,15,0))</f>
        <v>45481</v>
      </c>
      <c r="M18" s="46">
        <f>IF(VLOOKUP(C18,Purchased!A:R,16,0)=0, " ",VLOOKUP(C18,Purchased!A:R,16,0))</f>
        <v>45482</v>
      </c>
      <c r="N18" s="130">
        <f>IF(VLOOKUP(C18,Purchased!A:R,17,0)=0, " ", VLOOKUP(C18,Purchased!A:R,17,0))</f>
        <v>45482</v>
      </c>
      <c r="O18" s="47">
        <f t="shared" ca="1" si="2"/>
        <v>2</v>
      </c>
      <c r="P18" s="51">
        <f>VLOOKUP(C18,Purchased!A:D,3,FALSE)</f>
        <v>19.96</v>
      </c>
      <c r="Q18" s="52">
        <f t="shared" si="3"/>
        <v>39.92</v>
      </c>
    </row>
    <row r="19" spans="1:17" s="2" customFormat="1" ht="12" customHeight="1" x14ac:dyDescent="0.25">
      <c r="A19" s="4">
        <v>310</v>
      </c>
      <c r="B19" s="2">
        <v>1</v>
      </c>
      <c r="C19" s="135" t="s">
        <v>1023</v>
      </c>
      <c r="D19" s="325" t="str">
        <f>VLOOKUP(C19,Purchased!A:B,2,0)</f>
        <v>High-Pressure Brass Pipe Fitting, Plug with External Hex Drive and Gasket, M5 x 
0.8 mm Male</v>
      </c>
      <c r="E19" s="326"/>
      <c r="F19" s="108" t="str">
        <f>IF(VLOOKUP($C19,Purchased!A:Z,11,0) = 0, " ", VLOOKUP($C19,Purchased!A:Z,11,0))</f>
        <v>MCM</v>
      </c>
      <c r="G19" s="108" t="str">
        <f>IF(VLOOKUP($C19,Purchased!A:Z,12,0)=0, " ", VLOOKUP($C19,Purchased!A:Z,12,0))</f>
        <v>MCM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45481</v>
      </c>
      <c r="K19" s="46">
        <f>IF(VLOOKUP(C19,Purchased!A:R,14,0)=0, " ", VLOOKUP(C19,Purchased!A:R,14,0))</f>
        <v>45481</v>
      </c>
      <c r="L19" s="46">
        <f>IF(VLOOKUP(C19,Purchased!A:R,15,0)=0, " ", VLOOKUP(C19,Purchased!A:R,15,0))</f>
        <v>45481</v>
      </c>
      <c r="M19" s="46">
        <f>IF(VLOOKUP(C19,Purchased!A:R,16,0)=0, " ",VLOOKUP(C19,Purchased!A:R,16,0))</f>
        <v>45482</v>
      </c>
      <c r="N19" s="130">
        <f>IF(VLOOKUP(C19,Purchased!A:R,17,0)=0, " ", VLOOKUP(C19,Purchased!A:R,17,0))</f>
        <v>45482</v>
      </c>
      <c r="O19" s="47">
        <f t="shared" ca="1" si="2"/>
        <v>1</v>
      </c>
      <c r="P19" s="51">
        <f>VLOOKUP(C19,Purchased!A:D,3,FALSE)</f>
        <v>6.68</v>
      </c>
      <c r="Q19" s="52">
        <f t="shared" si="3"/>
        <v>6.68</v>
      </c>
    </row>
    <row r="20" spans="1:17" s="2" customFormat="1" ht="12" customHeight="1" x14ac:dyDescent="0.25">
      <c r="A20" s="4">
        <v>311</v>
      </c>
      <c r="B20" s="2">
        <v>2</v>
      </c>
      <c r="C20" s="135" t="s">
        <v>306</v>
      </c>
      <c r="D20" s="325" t="str">
        <f>VLOOKUP(C20,Purchased!A:B,2,0)</f>
        <v>M8 female 0° A-cod. with cable, PVC 3x0.25 bk UL/CSA 10m</v>
      </c>
      <c r="E20" s="326"/>
      <c r="F20" s="108" t="str">
        <f>IF(VLOOKUP($C20,Purchased!A:Z,11,0) = 0, " ", VLOOKUP($C20,Purchased!A:Z,11,0))</f>
        <v>MURR</v>
      </c>
      <c r="G20" s="108" t="str">
        <f>IF(VLOOKUP($C20,Purchased!A:Z,12,0)=0, " ", VLOOKUP($C20,Purchased!A:Z,12,0))</f>
        <v>MURR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45506</v>
      </c>
      <c r="K20" s="46">
        <f>IF(VLOOKUP(C20,Purchased!A:R,14,0)=0, " ", VLOOKUP(C20,Purchased!A:R,14,0))</f>
        <v>45506</v>
      </c>
      <c r="L20" s="46" t="str">
        <f>IF(VLOOKUP(C20,Purchased!A:R,15,0)=0, " ", VLOOKUP(C20,Purchased!A:R,15,0))</f>
        <v xml:space="preserve"> </v>
      </c>
      <c r="M20" s="46" t="str">
        <f>IF(VLOOKUP(C20,Purchased!A:R,16,0)=0, " ",VLOOKUP(C20,Purchased!A:R,16,0))</f>
        <v xml:space="preserve"> </v>
      </c>
      <c r="N20" s="130" t="str">
        <f>IF(VLOOKUP(C20,Purchased!A:R,17,0)=0, " ", VLOOKUP(C20,Purchased!A:R,17,0))</f>
        <v xml:space="preserve"> </v>
      </c>
      <c r="O20" s="47">
        <f t="shared" ca="1" si="2"/>
        <v>2</v>
      </c>
      <c r="P20" s="51">
        <f>VLOOKUP(C20,Purchased!A:D,3,FALSE)</f>
        <v>0</v>
      </c>
      <c r="Q20" s="52">
        <f t="shared" si="3"/>
        <v>0</v>
      </c>
    </row>
    <row r="21" spans="1:17" s="2" customFormat="1" ht="12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" customHeight="1" x14ac:dyDescent="0.25">
      <c r="A22" s="4">
        <v>501</v>
      </c>
      <c r="B22" s="2">
        <v>4</v>
      </c>
      <c r="C22" s="122" t="s">
        <v>943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ca="1">B22*$L$2</f>
        <v>4</v>
      </c>
      <c r="P22" s="51">
        <f>VLOOKUP(C22,Bolts!A:B,2,FALSE)</f>
        <v>0</v>
      </c>
      <c r="Q22" s="52">
        <f>B22*P22</f>
        <v>0</v>
      </c>
    </row>
    <row r="23" spans="1:17" s="2" customFormat="1" ht="12" customHeight="1" x14ac:dyDescent="0.25">
      <c r="A23" s="4">
        <v>502</v>
      </c>
      <c r="B23" s="2">
        <v>4</v>
      </c>
      <c r="C23" s="122" t="s">
        <v>197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ref="O23:O29" ca="1" si="4">B23*$L$2</f>
        <v>4</v>
      </c>
      <c r="P23" s="51">
        <f>VLOOKUP(C23,Bolts!A:B,2,FALSE)</f>
        <v>0</v>
      </c>
      <c r="Q23" s="52">
        <f t="shared" ref="Q23:Q29" si="5">B23*P23</f>
        <v>0</v>
      </c>
    </row>
    <row r="24" spans="1:17" s="2" customFormat="1" ht="12" customHeight="1" x14ac:dyDescent="0.25">
      <c r="A24" s="4">
        <v>503</v>
      </c>
      <c r="B24" s="2">
        <v>2</v>
      </c>
      <c r="C24" s="122" t="s">
        <v>807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4"/>
        <v>2</v>
      </c>
      <c r="P24" s="51">
        <f>VLOOKUP(C24,Bolts!A:B,2,FALSE)</f>
        <v>0</v>
      </c>
      <c r="Q24" s="52">
        <f t="shared" si="5"/>
        <v>0</v>
      </c>
    </row>
    <row r="25" spans="1:17" s="2" customFormat="1" ht="12" customHeight="1" x14ac:dyDescent="0.25">
      <c r="A25" s="4">
        <v>504</v>
      </c>
      <c r="B25" s="2">
        <v>2</v>
      </c>
      <c r="C25" s="122" t="s">
        <v>808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4"/>
        <v>2</v>
      </c>
      <c r="P25" s="51">
        <f>VLOOKUP(C25,Bolts!A:B,2,FALSE)</f>
        <v>0</v>
      </c>
      <c r="Q25" s="52">
        <f t="shared" si="5"/>
        <v>0</v>
      </c>
    </row>
    <row r="26" spans="1:17" s="2" customFormat="1" ht="12" customHeight="1" x14ac:dyDescent="0.25">
      <c r="A26" s="4">
        <v>505</v>
      </c>
      <c r="B26" s="2">
        <v>2</v>
      </c>
      <c r="C26" s="122" t="s">
        <v>95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4"/>
        <v>2</v>
      </c>
      <c r="P26" s="51">
        <f>VLOOKUP(C26,Bolts!A:B,2,FALSE)</f>
        <v>0</v>
      </c>
      <c r="Q26" s="52">
        <f t="shared" si="5"/>
        <v>0</v>
      </c>
    </row>
    <row r="27" spans="1:17" s="2" customFormat="1" ht="12" customHeight="1" x14ac:dyDescent="0.25">
      <c r="A27" s="4">
        <v>506</v>
      </c>
      <c r="B27" s="2">
        <v>8</v>
      </c>
      <c r="C27" s="122" t="s">
        <v>830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4"/>
        <v>8</v>
      </c>
      <c r="P27" s="51">
        <f>VLOOKUP(C27,Bolts!A:B,2,FALSE)</f>
        <v>0</v>
      </c>
      <c r="Q27" s="52">
        <f t="shared" si="5"/>
        <v>0</v>
      </c>
    </row>
    <row r="28" spans="1:17" s="2" customFormat="1" ht="12" customHeight="1" x14ac:dyDescent="0.25">
      <c r="A28" s="4">
        <v>507</v>
      </c>
      <c r="B28" s="2">
        <v>4</v>
      </c>
      <c r="C28" s="122" t="s">
        <v>811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4"/>
        <v>4</v>
      </c>
      <c r="P28" s="51">
        <f>VLOOKUP(C28,Bolts!A:B,2,FALSE)</f>
        <v>0</v>
      </c>
      <c r="Q28" s="52">
        <f t="shared" si="5"/>
        <v>0</v>
      </c>
    </row>
    <row r="29" spans="1:17" s="2" customFormat="1" ht="12" customHeight="1" thickBot="1" x14ac:dyDescent="0.3">
      <c r="A29" s="4">
        <v>508</v>
      </c>
      <c r="B29" s="2">
        <v>8</v>
      </c>
      <c r="C29" s="122" t="s">
        <v>107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4"/>
        <v>8</v>
      </c>
      <c r="P29" s="51">
        <f>VLOOKUP(C29,Bolts!A:B,2,FALSE)</f>
        <v>0</v>
      </c>
      <c r="Q29" s="52">
        <f t="shared" si="5"/>
        <v>0</v>
      </c>
    </row>
    <row r="30" spans="1:17" s="2" customFormat="1" ht="12" customHeight="1" thickBot="1" x14ac:dyDescent="0.3">
      <c r="A30" s="34"/>
      <c r="B30" s="35"/>
      <c r="C30" s="35"/>
      <c r="D30" s="316"/>
      <c r="E30" s="317"/>
      <c r="F30" s="35"/>
      <c r="G30" s="35"/>
      <c r="H30" s="309"/>
      <c r="I30" s="310"/>
      <c r="J30" s="36"/>
      <c r="K30" s="36"/>
      <c r="L30" s="36"/>
      <c r="M30" s="37"/>
      <c r="N30" s="132"/>
      <c r="O30" s="38"/>
      <c r="P30" s="99" t="s">
        <v>43</v>
      </c>
      <c r="Q30" s="104">
        <f>SUM(Q5:Q29)</f>
        <v>1038.7965999999999</v>
      </c>
    </row>
  </sheetData>
  <mergeCells count="47">
    <mergeCell ref="D1:E1"/>
    <mergeCell ref="D4:E4"/>
    <mergeCell ref="H4:I4"/>
    <mergeCell ref="D6:E6"/>
    <mergeCell ref="H6:I6"/>
    <mergeCell ref="D5:E5"/>
    <mergeCell ref="H5:I5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19:E19"/>
    <mergeCell ref="H19:I19"/>
    <mergeCell ref="D20:E20"/>
    <mergeCell ref="H20:I20"/>
    <mergeCell ref="D21:E21"/>
    <mergeCell ref="H21:I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H30:I30"/>
  </mergeCells>
  <conditionalFormatting sqref="M9 M21:M29">
    <cfRule type="cellIs" dxfId="922" priority="23" stopIfTrue="1" operator="lessThanOrEqual">
      <formula>$L9</formula>
    </cfRule>
    <cfRule type="cellIs" dxfId="921" priority="24" operator="greaterThan">
      <formula>L9</formula>
    </cfRule>
  </conditionalFormatting>
  <conditionalFormatting sqref="M10:M20">
    <cfRule type="cellIs" dxfId="920" priority="1" stopIfTrue="1" operator="lessThanOrEqual">
      <formula>$L10</formula>
    </cfRule>
    <cfRule type="cellIs" dxfId="919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B14F9F1-5FC1-431B-9BF6-F2875BC2F066}">
          <x14:formula1>
            <xm:f>Bolts!$A:$A</xm:f>
          </x14:formula1>
          <xm:sqref>C21:C29</xm:sqref>
        </x14:dataValidation>
        <x14:dataValidation type="list" allowBlank="1" showInputMessage="1" showErrorMessage="1" xr:uid="{02C78A3A-0F1D-41BD-A1D1-FF49180DD629}">
          <x14:formula1>
            <xm:f>Machined!$C:$C</xm:f>
          </x14:formula1>
          <xm:sqref>C5:C8</xm:sqref>
        </x14:dataValidation>
        <x14:dataValidation type="list" allowBlank="1" showInputMessage="1" showErrorMessage="1" xr:uid="{0F0A22DF-BD4A-4648-97A3-06D2299C1564}">
          <x14:formula1>
            <xm:f>Purchased!$A:$A</xm:f>
          </x14:formula1>
          <xm:sqref>C9:C20</xm:sqref>
        </x14:dataValidation>
      </x14:dataValidations>
    </ext>
  </extLst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45885-94AB-4E89-A12F-EF2307CAE718}">
  <sheetPr codeName="Sheet158">
    <tabColor theme="9" tint="0.59999389629810485"/>
  </sheetPr>
  <dimension ref="A1:Q30"/>
  <sheetViews>
    <sheetView view="pageBreakPreview" topLeftCell="A4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'6'!C12</f>
        <v>PG10.6.5.0.A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'6'!D12</f>
        <v>Cuff Support Assy B Side</v>
      </c>
      <c r="D3" s="85" t="s">
        <v>50</v>
      </c>
      <c r="E3" s="86" t="str">
        <f ca="1">MID(CELL("filename",A1),FIND("]",CELL("filename",A1))+1,256)</f>
        <v>6.5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1019</v>
      </c>
      <c r="D5" s="314" t="str">
        <f>VLOOKUP(C5,Machined!C:X,2,0)</f>
        <v>Cylinder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45463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55572</v>
      </c>
      <c r="O5" s="45">
        <f ca="1">B5*$L$2</f>
        <v>1</v>
      </c>
      <c r="P5" s="49">
        <f>VLOOKUP(C5,Machined!C:F,3,0)</f>
        <v>248.5</v>
      </c>
      <c r="Q5" s="50">
        <f>B5*P5</f>
        <v>248.5</v>
      </c>
    </row>
    <row r="6" spans="1:17" s="2" customFormat="1" ht="12.75" customHeight="1" x14ac:dyDescent="0.25">
      <c r="A6" s="77">
        <v>2</v>
      </c>
      <c r="B6" s="20">
        <v>1</v>
      </c>
      <c r="C6" s="121" t="s">
        <v>1020</v>
      </c>
      <c r="D6" s="314" t="str">
        <f>VLOOKUP(C6,Machined!C:X,2,0)</f>
        <v>Cuff Pin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Dodd Mfg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45468</v>
      </c>
      <c r="K6" s="44">
        <f>IF(VLOOKUP($C6,Machined!C:Z,19,0) = 0, " ", VLOOKUP($C6,Machined!C:Z,19,0))</f>
        <v>45483</v>
      </c>
      <c r="L6" s="44">
        <f>IF(VLOOKUP($C6,Machined!C:Z,20,0) = 0, " ", VLOOKUP($C6,Machined!C:Z,20,0))</f>
        <v>45502</v>
      </c>
      <c r="M6" s="44">
        <f>IF(VLOOKUP($C6,Machined!C:Z,21,0) = 0, " ", VLOOKUP($C6,Machined!C:Z,21,0))</f>
        <v>45502</v>
      </c>
      <c r="N6" s="129">
        <f>IF(VLOOKUP($C6,Machined!C:Z,22,0) = 0, " ", VLOOKUP($C6,Machined!C:Z,22,0))</f>
        <v>55595</v>
      </c>
      <c r="O6" s="45">
        <f ca="1">B6*$L$2</f>
        <v>1</v>
      </c>
      <c r="P6" s="49">
        <f>VLOOKUP(C6,Machined!C:F,3,0)</f>
        <v>187.5</v>
      </c>
      <c r="Q6" s="50">
        <f>B6*P6</f>
        <v>187.5</v>
      </c>
    </row>
    <row r="7" spans="1:17" s="2" customFormat="1" ht="12.75" customHeight="1" x14ac:dyDescent="0.25">
      <c r="A7" s="77">
        <v>3</v>
      </c>
      <c r="B7" s="20">
        <v>2</v>
      </c>
      <c r="C7" s="121" t="s">
        <v>791</v>
      </c>
      <c r="D7" s="314" t="str">
        <f>VLOOKUP(C7,Machined!C:X,2,0)</f>
        <v>Lead Screw Mounting Block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Craig Miller</v>
      </c>
      <c r="H7" s="320" t="str">
        <f>IF(VLOOKUP($C7,Machined!C:Z,17,0) = 0, " ", VLOOKUP($C7,Machined!C:Z,17,0))</f>
        <v>ordered 8 more 55629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45468</v>
      </c>
      <c r="K7" s="44">
        <f>IF(VLOOKUP($C7,Machined!C:Z,19,0) = 0, " ", VLOOKUP($C7,Machined!C:Z,19,0))</f>
        <v>45470</v>
      </c>
      <c r="L7" s="44">
        <f>IF(VLOOKUP($C7,Machined!C:Z,20,0) = 0, " ", VLOOKUP($C7,Machined!C:Z,20,0))</f>
        <v>45495</v>
      </c>
      <c r="M7" s="44">
        <f>IF(VLOOKUP($C7,Machined!C:Z,21,0) = 0, " ", VLOOKUP($C7,Machined!C:Z,21,0))</f>
        <v>45495</v>
      </c>
      <c r="N7" s="129">
        <f>IF(VLOOKUP($C7,Machined!C:Z,22,0) = 0, " ", VLOOKUP($C7,Machined!C:Z,22,0))</f>
        <v>55576</v>
      </c>
      <c r="O7" s="45">
        <f ca="1">B7*$L$2</f>
        <v>2</v>
      </c>
      <c r="P7" s="49">
        <f>VLOOKUP(C7,Machined!C:F,3,0)</f>
        <v>45.5</v>
      </c>
      <c r="Q7" s="50">
        <f>B7*P7</f>
        <v>91</v>
      </c>
    </row>
    <row r="8" spans="1:17" s="2" customFormat="1" ht="12.75" customHeight="1" x14ac:dyDescent="0.25">
      <c r="A8" s="77">
        <v>4</v>
      </c>
      <c r="B8" s="20">
        <v>1</v>
      </c>
      <c r="C8" s="121" t="s">
        <v>792</v>
      </c>
      <c r="D8" s="314" t="str">
        <f>VLOOKUP(C8,Machined!C:X,2,0)</f>
        <v>Lead Nut Modification</v>
      </c>
      <c r="E8" s="329"/>
      <c r="F8" s="107" t="str">
        <f>VLOOKUP($C8,Machined!C:Z,13,0)</f>
        <v>PURCHASED PART</v>
      </c>
      <c r="G8" s="44" t="str">
        <f>IF(VLOOKUP($C8,Machined!C:Z,16,0) = 0, " ", VLOOKUP($C8,Machined!C:Z,16,0))</f>
        <v xml:space="preserve">Nuline </v>
      </c>
      <c r="H8" s="320" t="str">
        <f>IF(VLOOKUP($C8,Machined!C:Z,17,0) = 0, " ", VLOOKUP($C8,Machined!C:Z,17,0))</f>
        <v>P.O for material</v>
      </c>
      <c r="I8" s="321" t="str">
        <f>IF(VLOOKUP($C8,Machined!$C:$Y,13,0) = 0, " ", VLOOKUP($C8,Machined!$C:$Y,13,0))</f>
        <v>PURCHASED PART</v>
      </c>
      <c r="J8" s="44">
        <f>IF(VLOOKUP($C8,Machined!C:Z,18,0) = 0, " ", VLOOKUP($C8,Machined!C:Z,18,0))</f>
        <v>45496</v>
      </c>
      <c r="K8" s="44">
        <f>IF(VLOOKUP($C8,Machined!C:Z,19,0) = 0, " ", VLOOKUP($C8,Machined!C:Z,19,0))</f>
        <v>45496</v>
      </c>
      <c r="L8" s="44">
        <f>IF(VLOOKUP($C8,Machined!C:Z,20,0) = 0, " ", VLOOKUP($C8,Machined!C:Z,20,0))</f>
        <v>45531</v>
      </c>
      <c r="M8" s="44">
        <f>IF(VLOOKUP($C8,Machined!C:Z,21,0) = 0, " ", VLOOKUP($C8,Machined!C:Z,21,0))</f>
        <v>45531</v>
      </c>
      <c r="N8" s="129">
        <f>IF(VLOOKUP($C8,Machined!C:Z,22,0) = 0, " ", VLOOKUP($C8,Machined!C:Z,22,0))</f>
        <v>55621</v>
      </c>
      <c r="O8" s="45">
        <f ca="1">B8*$L$2</f>
        <v>1</v>
      </c>
      <c r="P8" s="49">
        <f>VLOOKUP(C8,Machined!C:F,3,0)</f>
        <v>23.04</v>
      </c>
      <c r="Q8" s="50">
        <f>B8*P8</f>
        <v>23.04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2</v>
      </c>
      <c r="C10" s="135" t="s">
        <v>305</v>
      </c>
      <c r="D10" s="325" t="str">
        <f>VLOOKUP(C10,Purchased!A:B,2,0)</f>
        <v>Auto Switch, Solid State, General Purpose, M8-3Pin Connector, 0.5m Cord 
Length</v>
      </c>
      <c r="E10" s="326"/>
      <c r="F10" s="108" t="str">
        <f>IF(VLOOKUP($C10,Purchased!A:Z,11,0) = 0, " ", VLOOKUP($C10,Purchased!A:Z,11,0))</f>
        <v>SMC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>10 more PO 55692</v>
      </c>
      <c r="I10" s="328"/>
      <c r="J10" s="46">
        <f>IF(VLOOKUP($C10,Purchased!A:Z,14,0)=0, " ", VLOOKUP($C10,Purchased!A:Z,14,0))</f>
        <v>45489</v>
      </c>
      <c r="K10" s="46">
        <f>IF(VLOOKUP(C10,Purchased!A:R,14,0)=0, " ", VLOOKUP(C10,Purchased!A:R,14,0))</f>
        <v>45489</v>
      </c>
      <c r="L10" s="46">
        <f>IF(VLOOKUP(C10,Purchased!A:R,15,0)=0, " ", VLOOKUP(C10,Purchased!A:R,15,0))</f>
        <v>45489</v>
      </c>
      <c r="M10" s="46">
        <f>IF(VLOOKUP(C10,Purchased!A:R,16,0)=0, " ",VLOOKUP(C10,Purchased!A:R,16,0))</f>
        <v>45510</v>
      </c>
      <c r="N10" s="130">
        <f>IF(VLOOKUP(C10,Purchased!A:R,17,0)=0, " ", VLOOKUP(C10,Purchased!A:R,17,0))</f>
        <v>45513</v>
      </c>
      <c r="O10" s="47">
        <f t="shared" ref="O10:O20" ca="1" si="0">B10*$L$2</f>
        <v>2</v>
      </c>
      <c r="P10" s="51">
        <f>VLOOKUP(C10,Purchased!A:D,3,FALSE)</f>
        <v>38.64</v>
      </c>
      <c r="Q10" s="52">
        <f t="shared" ref="Q10:Q20" si="1">B10*P10</f>
        <v>77.28</v>
      </c>
    </row>
    <row r="11" spans="1:17" s="2" customFormat="1" ht="12" customHeight="1" x14ac:dyDescent="0.25">
      <c r="A11" s="4">
        <v>302</v>
      </c>
      <c r="B11" s="2">
        <v>2</v>
      </c>
      <c r="C11" s="135" t="s">
        <v>800</v>
      </c>
      <c r="D11" s="325" t="str">
        <f>VLOOKUP(C11,Purchased!A:B,2,0)</f>
        <v>Speed controller flange 20 series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0"/>
        <v>2</v>
      </c>
      <c r="P11" s="51">
        <f>VLOOKUP(C11,Purchased!A:D,3,FALSE)</f>
        <v>1.65</v>
      </c>
      <c r="Q11" s="52">
        <f t="shared" si="1"/>
        <v>3.3</v>
      </c>
    </row>
    <row r="12" spans="1:17" s="2" customFormat="1" ht="12" customHeight="1" x14ac:dyDescent="0.25">
      <c r="A12" s="4">
        <v>303</v>
      </c>
      <c r="B12" s="2">
        <v>2</v>
      </c>
      <c r="C12" s="135" t="s">
        <v>799</v>
      </c>
      <c r="D12" s="325" t="str">
        <f>VLOOKUP(C12,Purchased!A:B,2,0)</f>
        <v>Speed Controller One Touch Fitting, 6mm dia tubing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>10 more PO 55692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45491</v>
      </c>
      <c r="M12" s="46">
        <f>IF(VLOOKUP(C12,Purchased!A:R,16,0)=0, " ",VLOOKUP(C12,Purchased!A:R,16,0))</f>
        <v>45520</v>
      </c>
      <c r="N12" s="130">
        <f>IF(VLOOKUP(C12,Purchased!A:R,17,0)=0, " ", VLOOKUP(C12,Purchased!A:R,17,0))</f>
        <v>45511</v>
      </c>
      <c r="O12" s="47">
        <f t="shared" ca="1" si="0"/>
        <v>2</v>
      </c>
      <c r="P12" s="51">
        <f>VLOOKUP(C12,Purchased!A:D,3,FALSE)</f>
        <v>14.87</v>
      </c>
      <c r="Q12" s="52">
        <f t="shared" si="1"/>
        <v>29.74</v>
      </c>
    </row>
    <row r="13" spans="1:17" s="2" customFormat="1" ht="12" customHeight="1" x14ac:dyDescent="0.25">
      <c r="A13" s="4">
        <v>304</v>
      </c>
      <c r="B13" s="2">
        <v>2</v>
      </c>
      <c r="C13" s="135" t="s">
        <v>931</v>
      </c>
      <c r="D13" s="325" t="str">
        <f>VLOOKUP(C13,Purchased!A:B,2,0)</f>
        <v>KQ2 unifit straight fitting 1/8in port to 6mm dia tubing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45491</v>
      </c>
      <c r="M13" s="46">
        <f>IF(VLOOKUP(C13,Purchased!A:R,16,0)=0, " ",VLOOKUP(C13,Purchased!A:R,16,0))</f>
        <v>45520</v>
      </c>
      <c r="N13" s="130">
        <f>IF(VLOOKUP(C13,Purchased!A:R,17,0)=0, " ", VLOOKUP(C13,Purchased!A:R,17,0))</f>
        <v>45511</v>
      </c>
      <c r="O13" s="47">
        <f t="shared" ca="1" si="0"/>
        <v>2</v>
      </c>
      <c r="P13" s="51">
        <f>VLOOKUP(C13,Purchased!A:D,3,FALSE)</f>
        <v>1.7</v>
      </c>
      <c r="Q13" s="52">
        <f t="shared" si="1"/>
        <v>3.4</v>
      </c>
    </row>
    <row r="14" spans="1:17" s="2" customFormat="1" ht="12" customHeight="1" x14ac:dyDescent="0.25">
      <c r="A14" s="4">
        <v>305</v>
      </c>
      <c r="B14" s="2">
        <v>1</v>
      </c>
      <c r="C14" s="135" t="s">
        <v>1021</v>
      </c>
      <c r="D14" s="325" t="str">
        <f>VLOOKUP(C14,Purchased!A:B,2,0)</f>
        <v>CDQ compact air cylinder, 32mm bore, 50mm stroke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45489</v>
      </c>
      <c r="M14" s="46">
        <f>IF(VLOOKUP(C14,Purchased!A:R,16,0)=0, " ",VLOOKUP(C14,Purchased!A:R,16,0))</f>
        <v>45510</v>
      </c>
      <c r="N14" s="130">
        <f>IF(VLOOKUP(C14,Purchased!A:R,17,0)=0, " ", VLOOKUP(C14,Purchased!A:R,17,0))</f>
        <v>45513</v>
      </c>
      <c r="O14" s="47">
        <f t="shared" ca="1" si="0"/>
        <v>1</v>
      </c>
      <c r="P14" s="51">
        <f>VLOOKUP(C14,Purchased!A:D,3,FALSE)</f>
        <v>92.04</v>
      </c>
      <c r="Q14" s="52">
        <f t="shared" si="1"/>
        <v>92.04</v>
      </c>
    </row>
    <row r="15" spans="1:17" s="2" customFormat="1" ht="12" customHeight="1" x14ac:dyDescent="0.25">
      <c r="A15" s="4">
        <v>306</v>
      </c>
      <c r="B15" s="2">
        <v>1</v>
      </c>
      <c r="C15" s="135" t="s">
        <v>657</v>
      </c>
      <c r="D15" s="325" t="str">
        <f>VLOOKUP(C15,Purchased!A:B,2,0)</f>
        <v>KQ2 unifit, elbow, 4mm dia tubing, M5 port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20 more PO 55692</v>
      </c>
      <c r="I15" s="328"/>
      <c r="J15" s="46">
        <f>IF(VLOOKUP($C15,Purchased!A:Z,14,0)=0, " ", VLOOKUP($C15,Purchased!A:Z,14,0))</f>
        <v>45489</v>
      </c>
      <c r="K15" s="46">
        <f>IF(VLOOKUP(C15,Purchased!A:R,14,0)=0, " ", VLOOKUP(C15,Purchased!A:R,14,0))</f>
        <v>45489</v>
      </c>
      <c r="L15" s="46">
        <f>IF(VLOOKUP(C15,Purchased!A:R,15,0)=0, " ", VLOOKUP(C15,Purchased!A:R,15,0))</f>
        <v>45491</v>
      </c>
      <c r="M15" s="46">
        <f>IF(VLOOKUP(C15,Purchased!A:R,16,0)=0, " ",VLOOKUP(C15,Purchased!A:R,16,0))</f>
        <v>45520</v>
      </c>
      <c r="N15" s="130">
        <f>IF(VLOOKUP(C15,Purchased!A:R,17,0)=0, " ", VLOOKUP(C15,Purchased!A:R,17,0))</f>
        <v>45511</v>
      </c>
      <c r="O15" s="47">
        <f t="shared" ca="1" si="0"/>
        <v>1</v>
      </c>
      <c r="P15" s="51">
        <f>VLOOKUP(C15,Purchased!A:D,3,FALSE)</f>
        <v>1.43</v>
      </c>
      <c r="Q15" s="52">
        <f t="shared" si="1"/>
        <v>1.43</v>
      </c>
    </row>
    <row r="16" spans="1:17" s="2" customFormat="1" ht="12" customHeight="1" x14ac:dyDescent="0.25">
      <c r="A16" s="4">
        <v>307</v>
      </c>
      <c r="B16" s="2">
        <v>2</v>
      </c>
      <c r="C16" s="135" t="s">
        <v>629</v>
      </c>
      <c r="D16" s="325" t="str">
        <f>VLOOKUP(C16,Purchased!A:B,2,0)</f>
        <v>15mm C1 Preload Runner Block</v>
      </c>
      <c r="E16" s="326"/>
      <c r="F16" s="108" t="str">
        <f>IF(VLOOKUP($C16,Purchased!A:Z,11,0) = 0, " ", VLOOKUP($C16,Purchased!A:Z,11,0))</f>
        <v>BRL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>Ordered 24 additional PO 55645</v>
      </c>
      <c r="I16" s="328"/>
      <c r="J16" s="46">
        <f>IF(VLOOKUP($C16,Purchased!A:Z,14,0)=0, " ", VLOOKUP($C16,Purchased!A:Z,14,0))</f>
        <v>45461</v>
      </c>
      <c r="K16" s="46">
        <f>IF(VLOOKUP(C16,Purchased!A:R,14,0)=0, " ", VLOOKUP(C16,Purchased!A:R,14,0))</f>
        <v>45461</v>
      </c>
      <c r="L16" s="46">
        <f>IF(VLOOKUP(C16,Purchased!A:R,15,0)=0, " ", VLOOKUP(C16,Purchased!A:R,15,0))</f>
        <v>45462</v>
      </c>
      <c r="M16" s="46">
        <f>IF(VLOOKUP(C16,Purchased!A:R,16,0)=0, " ",VLOOKUP(C16,Purchased!A:R,16,0))</f>
        <v>45504</v>
      </c>
      <c r="N16" s="130">
        <f>IF(VLOOKUP(C16,Purchased!A:R,17,0)=0, " ", VLOOKUP(C16,Purchased!A:R,17,0))</f>
        <v>45504</v>
      </c>
      <c r="O16" s="47">
        <f t="shared" ca="1" si="0"/>
        <v>2</v>
      </c>
      <c r="P16" s="51">
        <f>VLOOKUP(C16,Purchased!A:D,3,FALSE)</f>
        <v>109.2133</v>
      </c>
      <c r="Q16" s="52">
        <f t="shared" si="1"/>
        <v>218.42660000000001</v>
      </c>
    </row>
    <row r="17" spans="1:17" s="2" customFormat="1" ht="12" customHeight="1" x14ac:dyDescent="0.25">
      <c r="A17" s="4">
        <v>308</v>
      </c>
      <c r="B17" s="2">
        <v>1</v>
      </c>
      <c r="C17" s="135" t="s">
        <v>795</v>
      </c>
      <c r="D17" s="325" t="str">
        <f>VLOOKUP(C17,Purchased!A:B,2,0)</f>
        <v>IGUS Flanged Lead Screw, 14mm dia</v>
      </c>
      <c r="E17" s="326"/>
      <c r="F17" s="108" t="str">
        <f>IF(VLOOKUP($C17,Purchased!A:Z,11,0) = 0, " ", VLOOKUP($C17,Purchased!A:Z,11,0))</f>
        <v>IGUS</v>
      </c>
      <c r="G17" s="108" t="str">
        <f>IF(VLOOKUP($C17,Purchased!A:Z,12,0)=0, " ", VLOOKUP($C17,Purchased!A:Z,12,0))</f>
        <v>IGUS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45489</v>
      </c>
      <c r="M17" s="46">
        <f>IF(VLOOKUP(C17,Purchased!A:R,16,0)=0, " ",VLOOKUP(C17,Purchased!A:R,16,0))</f>
        <v>45534</v>
      </c>
      <c r="N17" s="130">
        <f>IF(VLOOKUP(C17,Purchased!A:R,17,0)=0, " ", VLOOKUP(C17,Purchased!A:R,17,0))</f>
        <v>45534</v>
      </c>
      <c r="O17" s="47">
        <f t="shared" ca="1" si="0"/>
        <v>1</v>
      </c>
      <c r="P17" s="51">
        <f>VLOOKUP(C17,Purchased!A:D,3,FALSE)</f>
        <v>16.54</v>
      </c>
      <c r="Q17" s="52">
        <f t="shared" si="1"/>
        <v>16.54</v>
      </c>
    </row>
    <row r="18" spans="1:17" s="2" customFormat="1" ht="12" customHeight="1" x14ac:dyDescent="0.25">
      <c r="A18" s="4">
        <v>309</v>
      </c>
      <c r="B18" s="2">
        <v>2</v>
      </c>
      <c r="C18" s="135" t="s">
        <v>1022</v>
      </c>
      <c r="D18" s="325" t="str">
        <f>VLOOKUP(C18,Purchased!A:B,2,0)</f>
        <v>18-8 Stainless Steel Socket Head Screw, M5 x 0.80 mm Thread, 85 mm Long</v>
      </c>
      <c r="E18" s="326"/>
      <c r="F18" s="108" t="str">
        <f>IF(VLOOKUP($C18,Purchased!A:Z,11,0) = 0, " ", VLOOKUP($C18,Purchased!A:Z,11,0))</f>
        <v>MCM</v>
      </c>
      <c r="G18" s="108" t="str">
        <f>IF(VLOOKUP($C18,Purchased!A:Z,12,0)=0, " ", VLOOKUP($C18,Purchased!A:Z,12,0))</f>
        <v>MCM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45481</v>
      </c>
      <c r="K18" s="46">
        <f>IF(VLOOKUP(C18,Purchased!A:R,14,0)=0, " ", VLOOKUP(C18,Purchased!A:R,14,0))</f>
        <v>45481</v>
      </c>
      <c r="L18" s="46">
        <f>IF(VLOOKUP(C18,Purchased!A:R,15,0)=0, " ", VLOOKUP(C18,Purchased!A:R,15,0))</f>
        <v>45481</v>
      </c>
      <c r="M18" s="46">
        <f>IF(VLOOKUP(C18,Purchased!A:R,16,0)=0, " ",VLOOKUP(C18,Purchased!A:R,16,0))</f>
        <v>45482</v>
      </c>
      <c r="N18" s="130">
        <f>IF(VLOOKUP(C18,Purchased!A:R,17,0)=0, " ", VLOOKUP(C18,Purchased!A:R,17,0))</f>
        <v>45482</v>
      </c>
      <c r="O18" s="47">
        <f t="shared" ca="1" si="0"/>
        <v>2</v>
      </c>
      <c r="P18" s="51">
        <f>VLOOKUP(C18,Purchased!A:D,3,FALSE)</f>
        <v>19.96</v>
      </c>
      <c r="Q18" s="52">
        <f t="shared" si="1"/>
        <v>39.92</v>
      </c>
    </row>
    <row r="19" spans="1:17" s="2" customFormat="1" ht="12" customHeight="1" x14ac:dyDescent="0.25">
      <c r="A19" s="4">
        <v>310</v>
      </c>
      <c r="B19" s="2">
        <v>1</v>
      </c>
      <c r="C19" s="135" t="s">
        <v>1023</v>
      </c>
      <c r="D19" s="325" t="str">
        <f>VLOOKUP(C19,Purchased!A:B,2,0)</f>
        <v>High-Pressure Brass Pipe Fitting, Plug with External Hex Drive and Gasket, M5 x 
0.8 mm Male</v>
      </c>
      <c r="E19" s="326"/>
      <c r="F19" s="108" t="str">
        <f>IF(VLOOKUP($C19,Purchased!A:Z,11,0) = 0, " ", VLOOKUP($C19,Purchased!A:Z,11,0))</f>
        <v>MCM</v>
      </c>
      <c r="G19" s="108" t="str">
        <f>IF(VLOOKUP($C19,Purchased!A:Z,12,0)=0, " ", VLOOKUP($C19,Purchased!A:Z,12,0))</f>
        <v>MCM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45481</v>
      </c>
      <c r="K19" s="46">
        <f>IF(VLOOKUP(C19,Purchased!A:R,14,0)=0, " ", VLOOKUP(C19,Purchased!A:R,14,0))</f>
        <v>45481</v>
      </c>
      <c r="L19" s="46">
        <f>IF(VLOOKUP(C19,Purchased!A:R,15,0)=0, " ", VLOOKUP(C19,Purchased!A:R,15,0))</f>
        <v>45481</v>
      </c>
      <c r="M19" s="46">
        <f>IF(VLOOKUP(C19,Purchased!A:R,16,0)=0, " ",VLOOKUP(C19,Purchased!A:R,16,0))</f>
        <v>45482</v>
      </c>
      <c r="N19" s="130">
        <f>IF(VLOOKUP(C19,Purchased!A:R,17,0)=0, " ", VLOOKUP(C19,Purchased!A:R,17,0))</f>
        <v>45482</v>
      </c>
      <c r="O19" s="47">
        <f t="shared" ca="1" si="0"/>
        <v>1</v>
      </c>
      <c r="P19" s="51">
        <f>VLOOKUP(C19,Purchased!A:D,3,FALSE)</f>
        <v>6.68</v>
      </c>
      <c r="Q19" s="52">
        <f t="shared" si="1"/>
        <v>6.68</v>
      </c>
    </row>
    <row r="20" spans="1:17" s="2" customFormat="1" ht="12" customHeight="1" x14ac:dyDescent="0.25">
      <c r="A20" s="4">
        <v>311</v>
      </c>
      <c r="B20" s="2">
        <v>2</v>
      </c>
      <c r="C20" s="135" t="s">
        <v>306</v>
      </c>
      <c r="D20" s="325" t="str">
        <f>VLOOKUP(C20,Purchased!A:B,2,0)</f>
        <v>M8 female 0° A-cod. with cable, PVC 3x0.25 bk UL/CSA 10m</v>
      </c>
      <c r="E20" s="326"/>
      <c r="F20" s="108" t="str">
        <f>IF(VLOOKUP($C20,Purchased!A:Z,11,0) = 0, " ", VLOOKUP($C20,Purchased!A:Z,11,0))</f>
        <v>MURR</v>
      </c>
      <c r="G20" s="108" t="str">
        <f>IF(VLOOKUP($C20,Purchased!A:Z,12,0)=0, " ", VLOOKUP($C20,Purchased!A:Z,12,0))</f>
        <v>MURR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45506</v>
      </c>
      <c r="K20" s="46">
        <f>IF(VLOOKUP(C20,Purchased!A:R,14,0)=0, " ", VLOOKUP(C20,Purchased!A:R,14,0))</f>
        <v>45506</v>
      </c>
      <c r="L20" s="46" t="str">
        <f>IF(VLOOKUP(C20,Purchased!A:R,15,0)=0, " ", VLOOKUP(C20,Purchased!A:R,15,0))</f>
        <v xml:space="preserve"> </v>
      </c>
      <c r="M20" s="46" t="str">
        <f>IF(VLOOKUP(C20,Purchased!A:R,16,0)=0, " ",VLOOKUP(C20,Purchased!A:R,16,0))</f>
        <v xml:space="preserve"> </v>
      </c>
      <c r="N20" s="130" t="str">
        <f>IF(VLOOKUP(C20,Purchased!A:R,17,0)=0, " ", VLOOKUP(C20,Purchased!A:R,17,0))</f>
        <v xml:space="preserve"> </v>
      </c>
      <c r="O20" s="47">
        <f t="shared" ca="1" si="0"/>
        <v>2</v>
      </c>
      <c r="P20" s="51">
        <f>VLOOKUP(C20,Purchased!A:D,3,FALSE)</f>
        <v>0</v>
      </c>
      <c r="Q20" s="52">
        <f t="shared" si="1"/>
        <v>0</v>
      </c>
    </row>
    <row r="21" spans="1:17" s="2" customFormat="1" ht="12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" customHeight="1" x14ac:dyDescent="0.25">
      <c r="A22" s="4">
        <v>501</v>
      </c>
      <c r="B22" s="2">
        <v>4</v>
      </c>
      <c r="C22" s="122" t="s">
        <v>943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ref="O22:O29" ca="1" si="2">B22*$L$2</f>
        <v>4</v>
      </c>
      <c r="P22" s="51">
        <f>VLOOKUP(C22,Bolts!A:B,2,FALSE)</f>
        <v>0</v>
      </c>
      <c r="Q22" s="52">
        <f t="shared" ref="Q22:Q29" si="3">B22*P22</f>
        <v>0</v>
      </c>
    </row>
    <row r="23" spans="1:17" s="2" customFormat="1" ht="12" customHeight="1" x14ac:dyDescent="0.25">
      <c r="A23" s="4">
        <v>502</v>
      </c>
      <c r="B23" s="2">
        <v>4</v>
      </c>
      <c r="C23" s="122" t="s">
        <v>197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2"/>
        <v>4</v>
      </c>
      <c r="P23" s="51">
        <f>VLOOKUP(C23,Bolts!A:B,2,FALSE)</f>
        <v>0</v>
      </c>
      <c r="Q23" s="52">
        <f t="shared" si="3"/>
        <v>0</v>
      </c>
    </row>
    <row r="24" spans="1:17" s="2" customFormat="1" ht="12" customHeight="1" x14ac:dyDescent="0.25">
      <c r="A24" s="4">
        <v>503</v>
      </c>
      <c r="B24" s="2">
        <v>2</v>
      </c>
      <c r="C24" s="122" t="s">
        <v>807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2"/>
        <v>2</v>
      </c>
      <c r="P24" s="51">
        <f>VLOOKUP(C24,Bolts!A:B,2,FALSE)</f>
        <v>0</v>
      </c>
      <c r="Q24" s="52">
        <f t="shared" si="3"/>
        <v>0</v>
      </c>
    </row>
    <row r="25" spans="1:17" s="2" customFormat="1" ht="12" customHeight="1" x14ac:dyDescent="0.25">
      <c r="A25" s="4">
        <v>504</v>
      </c>
      <c r="B25" s="2">
        <v>2</v>
      </c>
      <c r="C25" s="122" t="s">
        <v>808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2"/>
        <v>2</v>
      </c>
      <c r="P25" s="51">
        <f>VLOOKUP(C25,Bolts!A:B,2,FALSE)</f>
        <v>0</v>
      </c>
      <c r="Q25" s="52">
        <f t="shared" si="3"/>
        <v>0</v>
      </c>
    </row>
    <row r="26" spans="1:17" s="2" customFormat="1" ht="12" customHeight="1" x14ac:dyDescent="0.25">
      <c r="A26" s="4">
        <v>505</v>
      </c>
      <c r="B26" s="2">
        <v>2</v>
      </c>
      <c r="C26" s="122" t="s">
        <v>95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2"/>
        <v>2</v>
      </c>
      <c r="P26" s="51">
        <f>VLOOKUP(C26,Bolts!A:B,2,FALSE)</f>
        <v>0</v>
      </c>
      <c r="Q26" s="52">
        <f t="shared" si="3"/>
        <v>0</v>
      </c>
    </row>
    <row r="27" spans="1:17" s="2" customFormat="1" ht="12" customHeight="1" x14ac:dyDescent="0.25">
      <c r="A27" s="4">
        <v>506</v>
      </c>
      <c r="B27" s="2">
        <v>8</v>
      </c>
      <c r="C27" s="122" t="s">
        <v>830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2"/>
        <v>8</v>
      </c>
      <c r="P27" s="51">
        <f>VLOOKUP(C27,Bolts!A:B,2,FALSE)</f>
        <v>0</v>
      </c>
      <c r="Q27" s="52">
        <f t="shared" si="3"/>
        <v>0</v>
      </c>
    </row>
    <row r="28" spans="1:17" s="2" customFormat="1" ht="12" customHeight="1" x14ac:dyDescent="0.25">
      <c r="A28" s="4">
        <v>507</v>
      </c>
      <c r="B28" s="2">
        <v>4</v>
      </c>
      <c r="C28" s="122" t="s">
        <v>811</v>
      </c>
      <c r="D28" s="325"/>
      <c r="E28" s="326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2"/>
        <v>4</v>
      </c>
      <c r="P28" s="51">
        <f>VLOOKUP(C28,Bolts!A:B,2,FALSE)</f>
        <v>0</v>
      </c>
      <c r="Q28" s="52">
        <f t="shared" si="3"/>
        <v>0</v>
      </c>
    </row>
    <row r="29" spans="1:17" s="2" customFormat="1" ht="12" customHeight="1" thickBot="1" x14ac:dyDescent="0.3">
      <c r="A29" s="4">
        <v>508</v>
      </c>
      <c r="B29" s="2">
        <v>8</v>
      </c>
      <c r="C29" s="122" t="s">
        <v>107</v>
      </c>
      <c r="D29" s="325"/>
      <c r="E29" s="326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2"/>
        <v>8</v>
      </c>
      <c r="P29" s="51">
        <f>VLOOKUP(C29,Bolts!A:B,2,FALSE)</f>
        <v>0</v>
      </c>
      <c r="Q29" s="52">
        <f t="shared" si="3"/>
        <v>0</v>
      </c>
    </row>
    <row r="30" spans="1:17" s="2" customFormat="1" ht="12" customHeight="1" thickBot="1" x14ac:dyDescent="0.3">
      <c r="A30" s="34"/>
      <c r="B30" s="35"/>
      <c r="C30" s="35"/>
      <c r="D30" s="316"/>
      <c r="E30" s="317"/>
      <c r="F30" s="35"/>
      <c r="G30" s="35"/>
      <c r="H30" s="309"/>
      <c r="I30" s="310"/>
      <c r="J30" s="36"/>
      <c r="K30" s="36"/>
      <c r="L30" s="36"/>
      <c r="M30" s="37"/>
      <c r="N30" s="132"/>
      <c r="O30" s="38"/>
      <c r="P30" s="99" t="s">
        <v>43</v>
      </c>
      <c r="Q30" s="104">
        <f>SUM(Q5:Q29)</f>
        <v>1038.7965999999999</v>
      </c>
    </row>
  </sheetData>
  <mergeCells count="47">
    <mergeCell ref="D28:E28"/>
    <mergeCell ref="D29:E29"/>
    <mergeCell ref="D30:E30"/>
    <mergeCell ref="H30:I30"/>
    <mergeCell ref="D22:E22"/>
    <mergeCell ref="D23:E23"/>
    <mergeCell ref="D24:E24"/>
    <mergeCell ref="D25:E25"/>
    <mergeCell ref="D26:E26"/>
    <mergeCell ref="D27:E27"/>
    <mergeCell ref="D19:E19"/>
    <mergeCell ref="H19:I19"/>
    <mergeCell ref="D20:E20"/>
    <mergeCell ref="H20:I20"/>
    <mergeCell ref="D21:E21"/>
    <mergeCell ref="H21:I21"/>
    <mergeCell ref="D16:E16"/>
    <mergeCell ref="H16:I16"/>
    <mergeCell ref="D17:E17"/>
    <mergeCell ref="H17:I17"/>
    <mergeCell ref="D18:E18"/>
    <mergeCell ref="H18:I18"/>
    <mergeCell ref="D13:E13"/>
    <mergeCell ref="H13:I13"/>
    <mergeCell ref="D14:E14"/>
    <mergeCell ref="H14:I14"/>
    <mergeCell ref="D15:E15"/>
    <mergeCell ref="H15:I15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9 M21:M29">
    <cfRule type="cellIs" dxfId="918" priority="23" stopIfTrue="1" operator="lessThanOrEqual">
      <formula>$L9</formula>
    </cfRule>
    <cfRule type="cellIs" dxfId="917" priority="24" operator="greaterThan">
      <formula>L9</formula>
    </cfRule>
  </conditionalFormatting>
  <conditionalFormatting sqref="M10">
    <cfRule type="cellIs" dxfId="916" priority="21" stopIfTrue="1" operator="lessThanOrEqual">
      <formula>$L10</formula>
    </cfRule>
    <cfRule type="cellIs" dxfId="915" priority="22" operator="greaterThan">
      <formula>L10</formula>
    </cfRule>
  </conditionalFormatting>
  <conditionalFormatting sqref="M11">
    <cfRule type="cellIs" dxfId="914" priority="19" stopIfTrue="1" operator="lessThanOrEqual">
      <formula>$L11</formula>
    </cfRule>
    <cfRule type="cellIs" dxfId="913" priority="20" operator="greaterThan">
      <formula>L11</formula>
    </cfRule>
  </conditionalFormatting>
  <conditionalFormatting sqref="M12">
    <cfRule type="cellIs" dxfId="912" priority="17" stopIfTrue="1" operator="lessThanOrEqual">
      <formula>$L12</formula>
    </cfRule>
    <cfRule type="cellIs" dxfId="911" priority="18" operator="greaterThan">
      <formula>L12</formula>
    </cfRule>
  </conditionalFormatting>
  <conditionalFormatting sqref="M13">
    <cfRule type="cellIs" dxfId="910" priority="15" stopIfTrue="1" operator="lessThanOrEqual">
      <formula>$L13</formula>
    </cfRule>
    <cfRule type="cellIs" dxfId="909" priority="16" operator="greaterThan">
      <formula>L13</formula>
    </cfRule>
  </conditionalFormatting>
  <conditionalFormatting sqref="M14">
    <cfRule type="cellIs" dxfId="908" priority="13" stopIfTrue="1" operator="lessThanOrEqual">
      <formula>$L14</formula>
    </cfRule>
    <cfRule type="cellIs" dxfId="907" priority="14" operator="greaterThan">
      <formula>L14</formula>
    </cfRule>
  </conditionalFormatting>
  <conditionalFormatting sqref="M15">
    <cfRule type="cellIs" dxfId="906" priority="11" stopIfTrue="1" operator="lessThanOrEqual">
      <formula>$L15</formula>
    </cfRule>
    <cfRule type="cellIs" dxfId="905" priority="12" operator="greaterThan">
      <formula>L15</formula>
    </cfRule>
  </conditionalFormatting>
  <conditionalFormatting sqref="M16">
    <cfRule type="cellIs" dxfId="904" priority="9" stopIfTrue="1" operator="lessThanOrEqual">
      <formula>$L16</formula>
    </cfRule>
    <cfRule type="cellIs" dxfId="903" priority="10" operator="greaterThan">
      <formula>L16</formula>
    </cfRule>
  </conditionalFormatting>
  <conditionalFormatting sqref="M17">
    <cfRule type="cellIs" dxfId="902" priority="7" stopIfTrue="1" operator="lessThanOrEqual">
      <formula>$L17</formula>
    </cfRule>
    <cfRule type="cellIs" dxfId="901" priority="8" operator="greaterThan">
      <formula>L17</formula>
    </cfRule>
  </conditionalFormatting>
  <conditionalFormatting sqref="M18">
    <cfRule type="cellIs" dxfId="900" priority="5" stopIfTrue="1" operator="lessThanOrEqual">
      <formula>$L18</formula>
    </cfRule>
    <cfRule type="cellIs" dxfId="899" priority="6" operator="greaterThan">
      <formula>L18</formula>
    </cfRule>
  </conditionalFormatting>
  <conditionalFormatting sqref="M19">
    <cfRule type="cellIs" dxfId="898" priority="3" stopIfTrue="1" operator="lessThanOrEqual">
      <formula>$L19</formula>
    </cfRule>
    <cfRule type="cellIs" dxfId="897" priority="4" operator="greaterThan">
      <formula>L19</formula>
    </cfRule>
  </conditionalFormatting>
  <conditionalFormatting sqref="M20">
    <cfRule type="cellIs" dxfId="896" priority="1" stopIfTrue="1" operator="lessThanOrEqual">
      <formula>$L20</formula>
    </cfRule>
    <cfRule type="cellIs" dxfId="895" priority="2" operator="greaterThan">
      <formula>L20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4EB68F6-72D3-451A-884D-AB89EB3A155F}">
          <x14:formula1>
            <xm:f>Bolts!$A:$A</xm:f>
          </x14:formula1>
          <xm:sqref>C21:C29</xm:sqref>
        </x14:dataValidation>
        <x14:dataValidation type="list" allowBlank="1" showInputMessage="1" showErrorMessage="1" xr:uid="{CFAA47C0-1ACF-468B-A3FB-0E8617EFBD07}">
          <x14:formula1>
            <xm:f>Machined!$C:$C</xm:f>
          </x14:formula1>
          <xm:sqref>C5:C8</xm:sqref>
        </x14:dataValidation>
        <x14:dataValidation type="list" allowBlank="1" showInputMessage="1" showErrorMessage="1" xr:uid="{7B8E7EDE-C192-4716-BB8A-3D365DFDE0D3}">
          <x14:formula1>
            <xm:f>Purchased!$A:$A</xm:f>
          </x14:formula1>
          <xm:sqref>C9:C20</xm:sqref>
        </x14:dataValidation>
      </x14:dataValidations>
    </ext>
  </extLst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5F0CB-4F03-4656-A3E4-9846B9719AD2}">
  <sheetPr codeName="Sheet159">
    <tabColor theme="9" tint="0.59999389629810485"/>
  </sheetPr>
  <dimension ref="A1:Q22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4" width="20.7109375" style="22" customWidth="1"/>
    <col min="5" max="5" width="20.2851562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'6'!C13</f>
        <v>PG10.6.6.0.A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'6'!D13</f>
        <v>Pocket Conveyor Assy A Side</v>
      </c>
      <c r="D3" s="85" t="s">
        <v>50</v>
      </c>
      <c r="E3" s="86" t="str">
        <f ca="1">MID(CELL("filename",A1),FIND("]",CELL("filename",A1))+1,256)</f>
        <v>6.6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134</v>
      </c>
      <c r="C5" s="112" t="s">
        <v>1024</v>
      </c>
      <c r="D5" s="314" t="str">
        <f ca="1">VLOOKUP(C5,Assemblies!E:P,2,0)</f>
        <v>Tube Pocket Assy</v>
      </c>
      <c r="E5" s="315"/>
      <c r="F5" s="32"/>
      <c r="G5" s="32"/>
      <c r="H5" s="303"/>
      <c r="I5" s="303"/>
      <c r="J5" s="28"/>
      <c r="K5" s="28"/>
      <c r="L5" s="28"/>
      <c r="M5" s="28"/>
      <c r="N5" s="33"/>
      <c r="O5" s="146">
        <f t="shared" ref="O5" ca="1" si="0">B5*$L$2</f>
        <v>134</v>
      </c>
      <c r="P5" s="117">
        <f>'6.6.1'!Q11</f>
        <v>0</v>
      </c>
      <c r="Q5" s="118">
        <f>B5*P5</f>
        <v>0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1025</v>
      </c>
      <c r="D6" s="314" t="str">
        <f ca="1">VLOOKUP(C6,Assemblies!E:P,2,0)</f>
        <v>Pocket Position Sensor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ref="O6" ca="1" si="1">B6*$L$2</f>
        <v>1</v>
      </c>
      <c r="P6" s="147">
        <f>'6.6.2'!Q19</f>
        <v>0</v>
      </c>
      <c r="Q6" s="103">
        <f>B6*P6</f>
        <v>0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77">
        <v>1</v>
      </c>
      <c r="B8" s="20">
        <v>1</v>
      </c>
      <c r="C8" s="121" t="s">
        <v>1026</v>
      </c>
      <c r="D8" s="314" t="str">
        <f>VLOOKUP(C8,Machined!C:X,2,0)</f>
        <v>Tube Conveyor Mount Plate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45505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55644</v>
      </c>
      <c r="O8" s="45">
        <f ca="1">B8*$L$2</f>
        <v>1</v>
      </c>
      <c r="P8" s="49">
        <f>VLOOKUP(C8,Machined!C:F,3,0)</f>
        <v>152</v>
      </c>
      <c r="Q8" s="50">
        <f>B8*P8</f>
        <v>152</v>
      </c>
    </row>
    <row r="9" spans="1:17" s="2" customFormat="1" ht="12.75" customHeight="1" x14ac:dyDescent="0.25">
      <c r="A9" s="77">
        <v>2</v>
      </c>
      <c r="B9" s="20"/>
      <c r="C9" s="121"/>
      <c r="D9" s="314" t="e">
        <f>VLOOKUP(C9,Machined!C:X,2,0)</f>
        <v>#N/A</v>
      </c>
      <c r="E9" s="329"/>
      <c r="F9" s="107" t="e">
        <f>VLOOKUP($C9,Machined!C:Z,13,0)</f>
        <v>#N/A</v>
      </c>
      <c r="G9" s="44" t="e">
        <f>IF(VLOOKUP($C9,Machined!C:Z,16,0) = 0, " ", VLOOKUP($C9,Machined!C:Z,16,0))</f>
        <v>#N/A</v>
      </c>
      <c r="H9" s="320" t="e">
        <f>IF(VLOOKUP($C9,Machined!C:Z,17,0) = 0, " ", VLOOKUP($C9,Machined!C:Z,17,0))</f>
        <v>#N/A</v>
      </c>
      <c r="I9" s="321" t="e">
        <f>IF(VLOOKUP($C9,Machined!$C:$Y,13,0) = 0, " ", VLOOKUP($C9,Machined!$C:$Y,13,0))</f>
        <v>#N/A</v>
      </c>
      <c r="J9" s="44" t="e">
        <f>IF(VLOOKUP($C9,Machined!C:Z,18,0) = 0, " ", VLOOKUP($C9,Machined!C:Z,18,0))</f>
        <v>#N/A</v>
      </c>
      <c r="K9" s="44" t="e">
        <f>IF(VLOOKUP($C9,Machined!C:Z,19,0) = 0, " ", VLOOKUP($C9,Machined!C:Z,19,0))</f>
        <v>#N/A</v>
      </c>
      <c r="L9" s="44" t="e">
        <f>IF(VLOOKUP($C9,Machined!C:Z,20,0) = 0, " ", VLOOKUP($C9,Machined!C:Z,20,0))</f>
        <v>#N/A</v>
      </c>
      <c r="M9" s="44" t="e">
        <f>IF(VLOOKUP($C9,Machined!C:Z,21,0) = 0, " ", VLOOKUP($C9,Machined!C:Z,21,0))</f>
        <v>#N/A</v>
      </c>
      <c r="N9" s="129" t="e">
        <f>IF(VLOOKUP($C9,Machined!C:Z,22,0) = 0, " ", VLOOKUP($C9,Machined!C:Z,22,0))</f>
        <v>#N/A</v>
      </c>
      <c r="O9" s="45">
        <f ca="1">B9*$L$2</f>
        <v>0</v>
      </c>
      <c r="P9" s="49" t="e">
        <f>VLOOKUP(C9,Machined!C:F,3,0)</f>
        <v>#N/A</v>
      </c>
      <c r="Q9" s="50" t="e">
        <f>B9*P9</f>
        <v>#N/A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2</v>
      </c>
      <c r="C11" s="135" t="s">
        <v>629</v>
      </c>
      <c r="D11" s="325" t="str">
        <f>VLOOKUP(C11,Purchased!A:B,2,0)</f>
        <v>15mm C1 Preload Runner Block</v>
      </c>
      <c r="E11" s="326"/>
      <c r="F11" s="108" t="str">
        <f>IF(VLOOKUP($C11,Purchased!A:Z,11,0) = 0, " ", VLOOKUP($C11,Purchased!A:Z,11,0))</f>
        <v>BRL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Ordered 24 additional PO 55645</v>
      </c>
      <c r="I11" s="328"/>
      <c r="J11" s="46">
        <f>IF(VLOOKUP($C11,Purchased!A:Z,14,0)=0, " ", VLOOKUP($C11,Purchased!A:Z,14,0))</f>
        <v>45461</v>
      </c>
      <c r="K11" s="46">
        <f>IF(VLOOKUP(C11,Purchased!A:R,14,0)=0, " ", VLOOKUP(C11,Purchased!A:R,14,0))</f>
        <v>45461</v>
      </c>
      <c r="L11" s="46">
        <f>IF(VLOOKUP(C11,Purchased!A:R,15,0)=0, " ", VLOOKUP(C11,Purchased!A:R,15,0))</f>
        <v>45462</v>
      </c>
      <c r="M11" s="46">
        <f>IF(VLOOKUP(C11,Purchased!A:R,16,0)=0, " ",VLOOKUP(C11,Purchased!A:R,16,0))</f>
        <v>45504</v>
      </c>
      <c r="N11" s="130">
        <f>IF(VLOOKUP(C11,Purchased!A:R,17,0)=0, " ", VLOOKUP(C11,Purchased!A:R,17,0))</f>
        <v>45504</v>
      </c>
      <c r="O11" s="47">
        <f t="shared" ref="O11:O12" ca="1" si="2">B11*$L$2</f>
        <v>2</v>
      </c>
      <c r="P11" s="51">
        <f>VLOOKUP(C11,Purchased!A:D,3,FALSE)</f>
        <v>109.2133</v>
      </c>
      <c r="Q11" s="52">
        <f t="shared" ref="Q11:Q12" si="3">B11*P11</f>
        <v>218.42660000000001</v>
      </c>
    </row>
    <row r="12" spans="1:17" s="2" customFormat="1" ht="12" customHeight="1" x14ac:dyDescent="0.25">
      <c r="A12" s="4">
        <v>302</v>
      </c>
      <c r="B12" s="2">
        <v>1</v>
      </c>
      <c r="C12" s="135" t="s">
        <v>1027</v>
      </c>
      <c r="D12" s="325" t="str">
        <f>VLOOKUP(C12,Purchased!A:B,2,0)</f>
        <v>Dorner Precision Move Conveyor Servo Mount B Position</v>
      </c>
      <c r="E12" s="326"/>
      <c r="F12" s="108" t="str">
        <f>IF(VLOOKUP($C12,Purchased!A:Z,11,0) = 0, " ", VLOOKUP($C12,Purchased!A:Z,11,0))</f>
        <v>DORNER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45503</v>
      </c>
      <c r="K12" s="46">
        <f>IF(VLOOKUP(C12,Purchased!A:R,14,0)=0, " ", VLOOKUP(C12,Purchased!A:R,14,0))</f>
        <v>45503</v>
      </c>
      <c r="L12" s="46">
        <f>IF(VLOOKUP(C12,Purchased!A:R,15,0)=0, " ", VLOOKUP(C12,Purchased!A:R,15,0))</f>
        <v>45506</v>
      </c>
      <c r="M12" s="46">
        <f>IF(VLOOKUP(C12,Purchased!A:R,16,0)=0, " ",VLOOKUP(C12,Purchased!A:R,16,0))</f>
        <v>45541</v>
      </c>
      <c r="N12" s="130">
        <f>IF(VLOOKUP(C12,Purchased!A:R,17,0)=0, " ", VLOOKUP(C12,Purchased!A:R,17,0))</f>
        <v>45547</v>
      </c>
      <c r="O12" s="47">
        <f t="shared" ca="1" si="2"/>
        <v>1</v>
      </c>
      <c r="P12" s="51">
        <f>VLOOKUP(C12,Purchased!A:D,3,FALSE)</f>
        <v>15240.875</v>
      </c>
      <c r="Q12" s="52">
        <f t="shared" si="3"/>
        <v>15240.875</v>
      </c>
    </row>
    <row r="13" spans="1:17" s="2" customFormat="1" ht="12" customHeight="1" x14ac:dyDescent="0.25">
      <c r="A13" s="4">
        <v>303</v>
      </c>
      <c r="B13" s="2">
        <v>1</v>
      </c>
      <c r="C13" s="135" t="s">
        <v>1028</v>
      </c>
      <c r="D13" s="325" t="str">
        <f>VLOOKUP(C13,Purchased!A:B,2,0)</f>
        <v>KL202SG0080EZ402U Gearmotor, Tube Pocket Conveyor A</v>
      </c>
      <c r="E13" s="326"/>
      <c r="F13" s="108" t="str">
        <f>IF(VLOOKUP($C13,Purchased!A:Z,11,0) = 0, " ", VLOOKUP($C13,Purchased!A:Z,11,0))</f>
        <v>Stober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45426</v>
      </c>
      <c r="K13" s="46">
        <f>IF(VLOOKUP(C13,Purchased!A:R,14,0)=0, " ", VLOOKUP(C13,Purchased!A:R,14,0))</f>
        <v>45426</v>
      </c>
      <c r="L13" s="46">
        <f>IF(VLOOKUP(C13,Purchased!A:R,15,0)=0, " ", VLOOKUP(C13,Purchased!A:R,15,0))</f>
        <v>45426</v>
      </c>
      <c r="M13" s="46">
        <f>IF(VLOOKUP(C13,Purchased!A:R,16,0)=0, " ",VLOOKUP(C13,Purchased!A:R,16,0))</f>
        <v>45524</v>
      </c>
      <c r="N13" s="130">
        <f>IF(VLOOKUP(C13,Purchased!A:R,17,0)=0, " ", VLOOKUP(C13,Purchased!A:R,17,0))</f>
        <v>45524</v>
      </c>
      <c r="O13" s="47">
        <f t="shared" ref="O13:O15" ca="1" si="4">B13*$L$2</f>
        <v>1</v>
      </c>
      <c r="P13" s="51">
        <f>VLOOKUP(C13,Purchased!A:D,3,FALSE)</f>
        <v>2607.1414</v>
      </c>
      <c r="Q13" s="52">
        <f t="shared" ref="Q13:Q15" si="5">B13*P13</f>
        <v>2607.1414</v>
      </c>
    </row>
    <row r="14" spans="1:17" s="2" customFormat="1" ht="12" customHeight="1" x14ac:dyDescent="0.25">
      <c r="A14" s="4">
        <v>304</v>
      </c>
      <c r="B14" s="2">
        <v>1</v>
      </c>
      <c r="C14" s="135" t="s">
        <v>1029</v>
      </c>
      <c r="D14" s="325" t="str">
        <f>VLOOKUP(C14,Purchased!A:B,2,0)</f>
        <v>STOBER - Power cable -56876, 7.5MTR</v>
      </c>
      <c r="E14" s="326"/>
      <c r="F14" s="108" t="str">
        <f>IF(VLOOKUP($C14,Purchased!A:Z,11,0) = 0, " ", VLOOKUP($C14,Purchased!A:Z,11,0))</f>
        <v>STOBER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45463</v>
      </c>
      <c r="K14" s="46">
        <f>IF(VLOOKUP(C14,Purchased!A:R,14,0)=0, " ", VLOOKUP(C14,Purchased!A:R,14,0))</f>
        <v>45463</v>
      </c>
      <c r="L14" s="46">
        <f>IF(VLOOKUP(C14,Purchased!A:R,15,0)=0, " ", VLOOKUP(C14,Purchased!A:R,15,0))</f>
        <v>45464</v>
      </c>
      <c r="M14" s="46">
        <f>IF(VLOOKUP(C14,Purchased!A:R,16,0)=0, " ",VLOOKUP(C14,Purchased!A:R,16,0))</f>
        <v>45532</v>
      </c>
      <c r="N14" s="130">
        <f>IF(VLOOKUP(C14,Purchased!A:R,17,0)=0, " ", VLOOKUP(C14,Purchased!A:R,17,0))</f>
        <v>45532</v>
      </c>
      <c r="O14" s="47">
        <f t="shared" ca="1" si="4"/>
        <v>1</v>
      </c>
      <c r="P14" s="51">
        <f>VLOOKUP(C14,Purchased!A:D,3,FALSE)</f>
        <v>250.328</v>
      </c>
      <c r="Q14" s="52">
        <f t="shared" si="5"/>
        <v>250.328</v>
      </c>
    </row>
    <row r="15" spans="1:17" s="2" customFormat="1" ht="12" customHeight="1" x14ac:dyDescent="0.25">
      <c r="A15" s="4">
        <v>305</v>
      </c>
      <c r="B15" s="2">
        <v>1</v>
      </c>
      <c r="C15" s="135" t="s">
        <v>1030</v>
      </c>
      <c r="D15" s="325" t="str">
        <f>VLOOKUP(C15,Purchased!A:B,2,0)</f>
        <v>STOBER - Encoder cable -57815, 7.5MTR</v>
      </c>
      <c r="E15" s="326"/>
      <c r="F15" s="108" t="str">
        <f>IF(VLOOKUP($C15,Purchased!A:Z,11,0) = 0, " ", VLOOKUP($C15,Purchased!A:Z,11,0))</f>
        <v>STOBER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45464</v>
      </c>
      <c r="M15" s="46">
        <f>IF(VLOOKUP(C15,Purchased!A:R,16,0)=0, " ",VLOOKUP(C15,Purchased!A:R,16,0))</f>
        <v>45532</v>
      </c>
      <c r="N15" s="130">
        <f>IF(VLOOKUP(C15,Purchased!A:R,17,0)=0, " ", VLOOKUP(C15,Purchased!A:R,17,0))</f>
        <v>45532</v>
      </c>
      <c r="O15" s="47">
        <f t="shared" ca="1" si="4"/>
        <v>1</v>
      </c>
      <c r="P15" s="51">
        <f>VLOOKUP(C15,Purchased!A:D,3,FALSE)</f>
        <v>233.47900000000001</v>
      </c>
      <c r="Q15" s="52">
        <f t="shared" si="5"/>
        <v>233.47900000000001</v>
      </c>
    </row>
    <row r="16" spans="1:17" s="2" customFormat="1" ht="12" customHeight="1" x14ac:dyDescent="0.25">
      <c r="A16" s="4">
        <v>306</v>
      </c>
      <c r="B16" s="2">
        <v>1</v>
      </c>
      <c r="C16" s="135" t="s">
        <v>1031</v>
      </c>
      <c r="D16" s="325" t="str">
        <f>VLOOKUP(C16,Purchased!A:B,2,0)</f>
        <v>Dorner Precision Move Servo Mount Pkg, B position</v>
      </c>
      <c r="E16" s="326"/>
      <c r="F16" s="108" t="str">
        <f>IF(VLOOKUP($C16,Purchased!A:Z,11,0) = 0, " ", VLOOKUP($C16,Purchased!A:Z,11,0))</f>
        <v>DORNER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45491</v>
      </c>
      <c r="K16" s="46">
        <f>IF(VLOOKUP(C16,Purchased!A:R,14,0)=0, " ", VLOOKUP(C16,Purchased!A:R,14,0))</f>
        <v>45491</v>
      </c>
      <c r="L16" s="46">
        <f>IF(VLOOKUP(C16,Purchased!A:R,15,0)=0, " ", VLOOKUP(C16,Purchased!A:R,15,0))</f>
        <v>45491</v>
      </c>
      <c r="M16" s="46">
        <f>IF(VLOOKUP(C16,Purchased!A:R,16,0)=0, " ",VLOOKUP(C16,Purchased!A:R,16,0))</f>
        <v>45533</v>
      </c>
      <c r="N16" s="130">
        <f>IF(VLOOKUP(C16,Purchased!A:R,17,0)=0, " ", VLOOKUP(C16,Purchased!A:R,17,0))</f>
        <v>45533</v>
      </c>
      <c r="O16" s="47">
        <f t="shared" ref="O16" ca="1" si="6">B16*$L$2</f>
        <v>1</v>
      </c>
      <c r="P16" s="51">
        <f>VLOOKUP(C16,Purchased!A:D,3,FALSE)</f>
        <v>148.36000000000001</v>
      </c>
      <c r="Q16" s="52">
        <f t="shared" ref="Q16" si="7">B16*P16</f>
        <v>148.36000000000001</v>
      </c>
    </row>
    <row r="17" spans="1:17" s="2" customFormat="1" ht="12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" customHeight="1" x14ac:dyDescent="0.25">
      <c r="A18" s="4">
        <v>501</v>
      </c>
      <c r="C18" s="122"/>
      <c r="D18" s="325"/>
      <c r="E18" s="326"/>
      <c r="F18" s="108" t="e">
        <f>VLOOKUP(C18,Bolts!A:L,5,0)</f>
        <v>#N/A</v>
      </c>
      <c r="G18" s="108" t="e">
        <f>VLOOKUP(C18,Bolts!A:L,6,0)</f>
        <v>#N/A</v>
      </c>
      <c r="H18" s="108" t="e">
        <f>VLOOKUP(C18,Bolts!A:L,7,0)</f>
        <v>#N/A</v>
      </c>
      <c r="I18" s="109"/>
      <c r="J18" s="46" t="e">
        <f>VLOOKUP(C18,Bolts!A:L,8,0)</f>
        <v>#N/A</v>
      </c>
      <c r="K18" s="46" t="e">
        <f>VLOOKUP(C18,Bolts!A:L,9,0)</f>
        <v>#N/A</v>
      </c>
      <c r="L18" s="46" t="e">
        <f>VLOOKUP(C18,Bolts!A:L,10,0)</f>
        <v>#N/A</v>
      </c>
      <c r="M18" s="46" t="e">
        <f>VLOOKUP(C18,Bolts!A:L,11,0)</f>
        <v>#N/A</v>
      </c>
      <c r="N18" s="130" t="e">
        <f>VLOOKUP(C18,Bolts!A:L,12,0)</f>
        <v>#N/A</v>
      </c>
      <c r="O18" s="47">
        <f ca="1">B18*$L$2</f>
        <v>0</v>
      </c>
      <c r="P18" s="51" t="e">
        <f>VLOOKUP(C18,Bolts!A:B,2,FALSE)</f>
        <v>#N/A</v>
      </c>
      <c r="Q18" s="52" t="e">
        <f>B18*P18</f>
        <v>#N/A</v>
      </c>
    </row>
    <row r="19" spans="1:17" s="2" customFormat="1" ht="12" customHeight="1" x14ac:dyDescent="0.25">
      <c r="A19" s="4">
        <v>502</v>
      </c>
      <c r="C19" s="122"/>
      <c r="D19" s="325"/>
      <c r="E19" s="326"/>
      <c r="F19" s="108" t="e">
        <f>VLOOKUP(C19,Bolts!A:L,5,0)</f>
        <v>#N/A</v>
      </c>
      <c r="G19" s="108" t="e">
        <f>VLOOKUP(C19,Bolts!A:L,6,0)</f>
        <v>#N/A</v>
      </c>
      <c r="H19" s="108" t="e">
        <f>VLOOKUP(C19,Bolts!A:L,7,0)</f>
        <v>#N/A</v>
      </c>
      <c r="I19" s="109"/>
      <c r="J19" s="46" t="e">
        <f>VLOOKUP(C19,Bolts!A:L,8,0)</f>
        <v>#N/A</v>
      </c>
      <c r="K19" s="46" t="e">
        <f>VLOOKUP(C19,Bolts!A:L,9,0)</f>
        <v>#N/A</v>
      </c>
      <c r="L19" s="46" t="e">
        <f>VLOOKUP(C19,Bolts!A:L,10,0)</f>
        <v>#N/A</v>
      </c>
      <c r="M19" s="46" t="e">
        <f>VLOOKUP(C19,Bolts!A:L,11,0)</f>
        <v>#N/A</v>
      </c>
      <c r="N19" s="130" t="e">
        <f>VLOOKUP(C19,Bolts!A:L,12,0)</f>
        <v>#N/A</v>
      </c>
      <c r="O19" s="47">
        <f ca="1">B19*$L$2</f>
        <v>0</v>
      </c>
      <c r="P19" s="51" t="e">
        <f>VLOOKUP(C19,Bolts!A:B,2,FALSE)</f>
        <v>#N/A</v>
      </c>
      <c r="Q19" s="52" t="e">
        <f>B19*P19</f>
        <v>#N/A</v>
      </c>
    </row>
    <row r="20" spans="1:17" s="2" customFormat="1" ht="12" customHeight="1" x14ac:dyDescent="0.25">
      <c r="A20" s="25"/>
      <c r="B20" s="26"/>
      <c r="C20" s="26"/>
      <c r="D20" s="332"/>
      <c r="E20" s="333"/>
      <c r="F20" s="26"/>
      <c r="G20" s="26"/>
      <c r="H20" s="322"/>
      <c r="I20" s="323"/>
      <c r="J20" s="27"/>
      <c r="K20" s="27"/>
      <c r="L20" s="27"/>
      <c r="M20" s="28"/>
      <c r="N20" s="29"/>
      <c r="O20" s="29"/>
      <c r="P20" s="148"/>
      <c r="Q20" s="149"/>
    </row>
    <row r="21" spans="1:17" s="2" customFormat="1" ht="12" customHeight="1" thickBot="1" x14ac:dyDescent="0.3">
      <c r="A21" s="4">
        <v>701</v>
      </c>
      <c r="C21" s="123"/>
      <c r="D21" s="325" t="e">
        <f>VLOOKUP(C21,Extrusion!B:C,2,0)</f>
        <v>#N/A</v>
      </c>
      <c r="E21" s="326"/>
      <c r="F21" s="108" t="e">
        <f>VLOOKUP(C21,Extrusion!B:N,5,0)</f>
        <v>#N/A</v>
      </c>
      <c r="G21" s="108" t="e">
        <f>VLOOKUP(C21,Extrusion!B:N,6,0)</f>
        <v>#N/A</v>
      </c>
      <c r="H21" s="108" t="e">
        <f>VLOOKUP(C21,Extrusion!B:N,7,0)</f>
        <v>#N/A</v>
      </c>
      <c r="I21" s="109"/>
      <c r="J21" s="46" t="e">
        <f>VLOOKUP(C21,Extrusion!B:N,8,0)</f>
        <v>#N/A</v>
      </c>
      <c r="K21" s="46" t="e">
        <f>VLOOKUP(C21,Extrusion!B:N,9,0)</f>
        <v>#N/A</v>
      </c>
      <c r="L21" s="46" t="e">
        <f>VLOOKUP(C21,Extrusion!B:N,10,0)</f>
        <v>#N/A</v>
      </c>
      <c r="M21" s="46" t="e">
        <f>VLOOKUP(C21,Extrusion!B:N,11,0)</f>
        <v>#N/A</v>
      </c>
      <c r="N21" s="47" t="e">
        <f>VLOOKUP(C21,Extrusion!B:O,12,0)</f>
        <v>#N/A</v>
      </c>
      <c r="O21" s="47">
        <f ca="1">B21*$L$2</f>
        <v>0</v>
      </c>
      <c r="P21" s="51" t="e">
        <f>VLOOKUP(C21,Extrusion!B:G,4,0)</f>
        <v>#N/A</v>
      </c>
      <c r="Q21" s="52" t="e">
        <f>B21*P21</f>
        <v>#N/A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SUM(Q11:Q16)+SUM(Q5:Q8)</f>
        <v>18850.61</v>
      </c>
    </row>
  </sheetData>
  <mergeCells count="36">
    <mergeCell ref="D7:E7"/>
    <mergeCell ref="H7:I7"/>
    <mergeCell ref="D1:E1"/>
    <mergeCell ref="D4:E4"/>
    <mergeCell ref="H4:I4"/>
    <mergeCell ref="D5:E5"/>
    <mergeCell ref="H5:I5"/>
    <mergeCell ref="D6:E6"/>
    <mergeCell ref="H6:I6"/>
    <mergeCell ref="D8:E8"/>
    <mergeCell ref="H8:I8"/>
    <mergeCell ref="D10:E10"/>
    <mergeCell ref="H10:I10"/>
    <mergeCell ref="D11:E11"/>
    <mergeCell ref="H11:I11"/>
    <mergeCell ref="D9:E9"/>
    <mergeCell ref="H9:I9"/>
    <mergeCell ref="D12:E12"/>
    <mergeCell ref="H12:I12"/>
    <mergeCell ref="D19:E19"/>
    <mergeCell ref="D17:E17"/>
    <mergeCell ref="H17:I17"/>
    <mergeCell ref="D18:E18"/>
    <mergeCell ref="D13:E13"/>
    <mergeCell ref="H13:I13"/>
    <mergeCell ref="D14:E14"/>
    <mergeCell ref="H14:I14"/>
    <mergeCell ref="D15:E15"/>
    <mergeCell ref="H15:I15"/>
    <mergeCell ref="D16:E16"/>
    <mergeCell ref="H16:I16"/>
    <mergeCell ref="D22:E22"/>
    <mergeCell ref="H22:I22"/>
    <mergeCell ref="D20:E20"/>
    <mergeCell ref="H20:I20"/>
    <mergeCell ref="D21:E21"/>
  </mergeCells>
  <conditionalFormatting sqref="M7 M17:M21">
    <cfRule type="cellIs" dxfId="894" priority="19" stopIfTrue="1" operator="lessThanOrEqual">
      <formula>$L7</formula>
    </cfRule>
    <cfRule type="cellIs" dxfId="893" priority="20" operator="greaterThan">
      <formula>L7</formula>
    </cfRule>
  </conditionalFormatting>
  <conditionalFormatting sqref="M10">
    <cfRule type="cellIs" dxfId="892" priority="17" stopIfTrue="1" operator="lessThanOrEqual">
      <formula>$L10</formula>
    </cfRule>
    <cfRule type="cellIs" dxfId="891" priority="18" operator="greaterThan">
      <formula>L10</formula>
    </cfRule>
  </conditionalFormatting>
  <conditionalFormatting sqref="M11:M16">
    <cfRule type="cellIs" dxfId="890" priority="15" stopIfTrue="1" operator="lessThanOrEqual">
      <formula>$L11</formula>
    </cfRule>
    <cfRule type="cellIs" dxfId="889" priority="16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6A8D525-6D69-4F82-B5AE-0030AE1D76EE}">
          <x14:formula1>
            <xm:f>Extrusion!$B:$B</xm:f>
          </x14:formula1>
          <xm:sqref>C21</xm:sqref>
        </x14:dataValidation>
        <x14:dataValidation type="list" allowBlank="1" showInputMessage="1" showErrorMessage="1" xr:uid="{EF477F64-F079-45A4-B836-41082A67631E}">
          <x14:formula1>
            <xm:f>Bolts!$A:$A</xm:f>
          </x14:formula1>
          <xm:sqref>C17:C19</xm:sqref>
        </x14:dataValidation>
        <x14:dataValidation type="list" allowBlank="1" showInputMessage="1" showErrorMessage="1" xr:uid="{C901FAA8-1F19-4757-980D-F8E52FFB32A3}">
          <x14:formula1>
            <xm:f>Assemblies!$E:$E</xm:f>
          </x14:formula1>
          <xm:sqref>C5:C6</xm:sqref>
        </x14:dataValidation>
        <x14:dataValidation type="list" allowBlank="1" showInputMessage="1" showErrorMessage="1" xr:uid="{8990445D-441B-43B8-A372-91BD99F94DBD}">
          <x14:formula1>
            <xm:f>Machined!$C:$C</xm:f>
          </x14:formula1>
          <xm:sqref>C7:C9</xm:sqref>
        </x14:dataValidation>
        <x14:dataValidation type="list" allowBlank="1" showInputMessage="1" showErrorMessage="1" xr:uid="{F13814F0-175A-450E-A2C1-83F78E3D5894}">
          <x14:formula1>
            <xm:f>Purchased!$A:$A</xm:f>
          </x14:formula1>
          <xm:sqref>C10:C16</xm:sqref>
        </x14:dataValidation>
      </x14:dataValidations>
    </ext>
  </extLst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71823-C69C-4F3E-BF55-AC9F6F223751}">
  <sheetPr codeName="Sheet251">
    <tabColor theme="6" tint="0.59999389629810485"/>
  </sheetPr>
  <dimension ref="A1:Q12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'6.6'!C5</f>
        <v>PG10.6.6.1.0.A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268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'6.6'!D5</f>
        <v>Tube Pocket Assy</v>
      </c>
      <c r="D3" s="85" t="s">
        <v>50</v>
      </c>
      <c r="E3" s="86" t="str">
        <f ca="1">MID(CELL("filename",A1),FIND("]",CELL("filename",A1))+1,256)</f>
        <v>6.6.1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1032</v>
      </c>
      <c r="D5" s="314" t="str">
        <f>VLOOKUP(C5,Machined!C:X,2,0)</f>
        <v>Tube Pocket</v>
      </c>
      <c r="E5" s="329"/>
      <c r="F5" s="107" t="str">
        <f>VLOOKUP($C5,Machined!C:Z,13,0)</f>
        <v>DELRIN 150-WHITE (OR EQUIVILANT)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>Waiting on final design (EL 8/6)</v>
      </c>
      <c r="I5" s="321" t="str">
        <f>IF(VLOOKUP($C5,Machined!$C:$Y,13,0) = 0, " ", VLOOKUP($C5,Machined!$C:$Y,13,0))</f>
        <v>DELRIN 150-WHITE (OR EQUIVILANT)</v>
      </c>
      <c r="J5" s="44" t="str">
        <f>IF(VLOOKUP($C5,Machined!C:Z,18,0) = 0, " ", VLOOKUP($C5,Machined!C:Z,18,0))</f>
        <v xml:space="preserve"> </v>
      </c>
      <c r="K5" s="44">
        <f>IF(VLOOKUP($C5,Machined!C:Z,19,0) = 0, " ", VLOOKUP($C5,Machined!C:Z,19,0))</f>
        <v>45553</v>
      </c>
      <c r="L5" s="44">
        <f>IF(VLOOKUP($C5,Machined!C:Z,20,0) = 0, " ", VLOOKUP($C5,Machined!C:Z,20,0))</f>
        <v>45573</v>
      </c>
      <c r="M5" s="44" t="str">
        <f>IF(VLOOKUP($C5,Machined!C:Z,21,0) = 0, " ", VLOOKUP($C5,Machined!C:Z,21,0))</f>
        <v xml:space="preserve"> </v>
      </c>
      <c r="N5" s="129">
        <f>IF(VLOOKUP($C5,Machined!C:Z,22,0) = 0, " ", VLOOKUP($C5,Machined!C:Z,22,0))</f>
        <v>55744</v>
      </c>
      <c r="O5" s="45">
        <f t="shared" ref="O5" ca="1" si="0">B5*$L$2</f>
        <v>268</v>
      </c>
      <c r="P5" s="49">
        <f>VLOOKUP(C5,Machined!C:F,3,0)</f>
        <v>0</v>
      </c>
      <c r="Q5" s="50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C7" s="135"/>
      <c r="D7" s="325" t="e">
        <f>VLOOKUP(C7,Purchased!A:B,2,0)</f>
        <v>#N/A</v>
      </c>
      <c r="E7" s="326"/>
      <c r="F7" s="108" t="e">
        <f>IF(VLOOKUP($C7,Purchased!A:Z,11,0) = 0, " ", VLOOKUP($C7,Purchased!A:Z,11,0))</f>
        <v>#N/A</v>
      </c>
      <c r="G7" s="108" t="e">
        <f>IF(VLOOKUP($C7,Purchased!A:Z,12,0)=0, " ", VLOOKUP($C7,Purchased!A:Z,12,0))</f>
        <v>#N/A</v>
      </c>
      <c r="H7" s="327" t="e">
        <f>IF(VLOOKUP($C7,Purchased!A:Z,13,0)=0, " ", VLOOKUP($C7,Purchased!A:Z,13,0))</f>
        <v>#N/A</v>
      </c>
      <c r="I7" s="328"/>
      <c r="J7" s="46" t="e">
        <f>IF(VLOOKUP($C7,Purchased!A:Z,14,0)=0, " ", VLOOKUP($C7,Purchased!A:Z,14,0))</f>
        <v>#N/A</v>
      </c>
      <c r="K7" s="46" t="e">
        <f>IF(VLOOKUP(C7,Purchased!A:R,14,0)=0, " ", VLOOKUP(C7,Purchased!A:R,14,0))</f>
        <v>#N/A</v>
      </c>
      <c r="L7" s="46" t="e">
        <f>IF(VLOOKUP(C7,Purchased!A:R,15,0)=0, " ", VLOOKUP(C7,Purchased!A:R,15,0))</f>
        <v>#N/A</v>
      </c>
      <c r="M7" s="46" t="e">
        <f>IF(VLOOKUP(C7,Purchased!A:R,16,0)=0, " ",VLOOKUP(C7,Purchased!A:R,16,0))</f>
        <v>#N/A</v>
      </c>
      <c r="N7" s="130" t="e">
        <f>IF(VLOOKUP(C7,Purchased!A:R,17,0)=0, " ", VLOOKUP(C7,Purchased!A:R,17,0))</f>
        <v>#N/A</v>
      </c>
      <c r="O7" s="47">
        <f t="shared" ref="O7" ca="1" si="2">B7*$L$2</f>
        <v>0</v>
      </c>
      <c r="P7" s="51" t="e">
        <f>VLOOKUP(C7,Purchased!A:D,3,FALSE)</f>
        <v>#N/A</v>
      </c>
      <c r="Q7" s="52" t="e">
        <f t="shared" ref="Q7" si="3">B7*P7</f>
        <v>#N/A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4">
        <v>501</v>
      </c>
      <c r="C9" s="122"/>
      <c r="D9" s="325"/>
      <c r="E9" s="326"/>
      <c r="F9" s="108" t="e">
        <f>VLOOKUP(C9,Bolts!A:L,5,0)</f>
        <v>#N/A</v>
      </c>
      <c r="G9" s="108" t="e">
        <f>VLOOKUP(C9,Bolts!A:L,6,0)</f>
        <v>#N/A</v>
      </c>
      <c r="H9" s="108" t="e">
        <f>VLOOKUP(C9,Bolts!A:L,7,0)</f>
        <v>#N/A</v>
      </c>
      <c r="I9" s="109"/>
      <c r="J9" s="46" t="e">
        <f>VLOOKUP(C9,Bolts!A:L,8,0)</f>
        <v>#N/A</v>
      </c>
      <c r="K9" s="46" t="e">
        <f>VLOOKUP(C9,Bolts!A:L,9,0)</f>
        <v>#N/A</v>
      </c>
      <c r="L9" s="46" t="e">
        <f>VLOOKUP(C9,Bolts!A:L,10,0)</f>
        <v>#N/A</v>
      </c>
      <c r="M9" s="46" t="e">
        <f>VLOOKUP(C9,Bolts!A:L,11,0)</f>
        <v>#N/A</v>
      </c>
      <c r="N9" s="130" t="e">
        <f>VLOOKUP(C9,Bolts!A:L,12,0)</f>
        <v>#N/A</v>
      </c>
      <c r="O9" s="47">
        <f ca="1">B9*$L$2</f>
        <v>0</v>
      </c>
      <c r="P9" s="51" t="e">
        <f>VLOOKUP(C9,Bolts!A:B,2,FALSE)</f>
        <v>#N/A</v>
      </c>
      <c r="Q9" s="52" t="e">
        <f>B9*P9</f>
        <v>#N/A</v>
      </c>
    </row>
    <row r="10" spans="1:17" s="2" customFormat="1" ht="12.75" customHeight="1" thickBot="1" x14ac:dyDescent="0.3">
      <c r="A10" s="4">
        <v>502</v>
      </c>
      <c r="C10" s="122"/>
      <c r="D10" s="325"/>
      <c r="E10" s="326"/>
      <c r="F10" s="108" t="e">
        <f>VLOOKUP(C10,Bolts!A:L,5,0)</f>
        <v>#N/A</v>
      </c>
      <c r="G10" s="108" t="e">
        <f>VLOOKUP(C10,Bolts!A:L,6,0)</f>
        <v>#N/A</v>
      </c>
      <c r="H10" s="108" t="e">
        <f>VLOOKUP(C10,Bolts!A:L,7,0)</f>
        <v>#N/A</v>
      </c>
      <c r="I10" s="109"/>
      <c r="J10" s="46" t="e">
        <f>VLOOKUP(C10,Bolts!A:L,8,0)</f>
        <v>#N/A</v>
      </c>
      <c r="K10" s="46" t="e">
        <f>VLOOKUP(C10,Bolts!A:L,9,0)</f>
        <v>#N/A</v>
      </c>
      <c r="L10" s="46" t="e">
        <f>VLOOKUP(C10,Bolts!A:L,10,0)</f>
        <v>#N/A</v>
      </c>
      <c r="M10" s="46" t="e">
        <f>VLOOKUP(C10,Bolts!A:L,11,0)</f>
        <v>#N/A</v>
      </c>
      <c r="N10" s="130" t="e">
        <f>VLOOKUP(C10,Bolts!A:L,12,0)</f>
        <v>#N/A</v>
      </c>
      <c r="O10" s="47">
        <f ca="1">B10*$L$2</f>
        <v>0</v>
      </c>
      <c r="P10" s="51" t="e">
        <f>VLOOKUP(C10,Bolts!A:B,2,FALSE)</f>
        <v>#N/A</v>
      </c>
      <c r="Q10" s="52" t="e">
        <f>B10*P10</f>
        <v>#N/A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SUM(R5:R10)</f>
        <v>0</v>
      </c>
    </row>
    <row r="12" spans="1:17" s="2" customFormat="1" ht="12" customHeight="1" x14ac:dyDescent="0.2">
      <c r="D12" s="21"/>
      <c r="E12" s="21"/>
      <c r="J12" s="8"/>
      <c r="K12" s="8"/>
      <c r="L12" s="8"/>
      <c r="M12" s="8"/>
      <c r="N12" s="131"/>
      <c r="O12" s="5"/>
      <c r="P12" s="98"/>
      <c r="Q12" s="105"/>
    </row>
  </sheetData>
  <sheetProtection selectLockedCells="1"/>
  <mergeCells count="15">
    <mergeCell ref="D8:E8"/>
    <mergeCell ref="H8:I8"/>
    <mergeCell ref="D9:E9"/>
    <mergeCell ref="D10:E10"/>
    <mergeCell ref="D11:E11"/>
    <mergeCell ref="H11:I11"/>
    <mergeCell ref="D7:E7"/>
    <mergeCell ref="H7:I7"/>
    <mergeCell ref="D1:E1"/>
    <mergeCell ref="D4:E4"/>
    <mergeCell ref="H4:I4"/>
    <mergeCell ref="D5:E5"/>
    <mergeCell ref="H5:I5"/>
    <mergeCell ref="D6:E6"/>
    <mergeCell ref="H6:I6"/>
  </mergeCells>
  <conditionalFormatting sqref="M6 M8:M10">
    <cfRule type="cellIs" dxfId="888" priority="9" stopIfTrue="1" operator="lessThanOrEqual">
      <formula>$L6</formula>
    </cfRule>
    <cfRule type="cellIs" dxfId="887" priority="10" operator="greaterThan">
      <formula>L6</formula>
    </cfRule>
  </conditionalFormatting>
  <conditionalFormatting sqref="M7">
    <cfRule type="cellIs" dxfId="886" priority="1" stopIfTrue="1" operator="lessThanOrEqual">
      <formula>$L7</formula>
    </cfRule>
    <cfRule type="cellIs" dxfId="885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7CABDD-95F6-4B58-8AEF-196AC8844BFA}">
          <x14:formula1>
            <xm:f>Bolts!$A:$A</xm:f>
          </x14:formula1>
          <xm:sqref>C9:C10</xm:sqref>
        </x14:dataValidation>
        <x14:dataValidation type="list" allowBlank="1" showInputMessage="1" showErrorMessage="1" xr:uid="{101E191A-9C23-451B-8160-A90DC57B09D5}">
          <x14:formula1>
            <xm:f>Machined!$C:$C</xm:f>
          </x14:formula1>
          <xm:sqref>C5</xm:sqref>
        </x14:dataValidation>
        <x14:dataValidation type="list" allowBlank="1" showInputMessage="1" showErrorMessage="1" xr:uid="{28656277-61D8-48B2-A6E7-F489B5E1F631}">
          <x14:formula1>
            <xm:f>Purchased!$A:$A</xm:f>
          </x14:formula1>
          <xm:sqref>C7</xm:sqref>
        </x14:dataValidation>
      </x14:dataValidations>
    </ext>
  </extLst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30463-EAE7-4130-B837-B21F7D94A70C}">
  <sheetPr codeName="Sheet252">
    <tabColor theme="6" tint="0.59999389629810485"/>
  </sheetPr>
  <dimension ref="A1:Q19"/>
  <sheetViews>
    <sheetView view="pageBreakPreview" zoomScale="60" zoomScaleNormal="114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'6.6'!C6</f>
        <v>PG10.6.6.2.0.A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'6.6'!D6</f>
        <v>Pocket Position Sensor Assy</v>
      </c>
      <c r="D3" s="85" t="s">
        <v>50</v>
      </c>
      <c r="E3" s="86" t="str">
        <f ca="1">MID(CELL("filename",A1),FIND("]",CELL("filename",A1))+1,256)</f>
        <v>6.6.2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1033</v>
      </c>
      <c r="D5" s="314" t="str">
        <f>VLOOKUP(C5,Machined!C:X,2,0)</f>
        <v>Pocket Position Sensor Bracket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45526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45548</v>
      </c>
      <c r="M5" s="44">
        <f>IF(VLOOKUP($C5,Machined!C:Z,21,0) = 0, " ", VLOOKUP($C5,Machined!C:Z,21,0))</f>
        <v>45548</v>
      </c>
      <c r="N5" s="129">
        <f>IF(VLOOKUP($C5,Machined!C:Z,22,0) = 0, " ", VLOOKUP($C5,Machined!C:Z,22,0))</f>
        <v>55702</v>
      </c>
      <c r="O5" s="45">
        <f t="shared" ref="O5" ca="1" si="0">B5*$L$2</f>
        <v>2</v>
      </c>
      <c r="P5" s="49">
        <f>VLOOKUP(C5,Machined!C:F,3,0)</f>
        <v>0</v>
      </c>
      <c r="Q5" s="50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1</v>
      </c>
      <c r="C7" s="135" t="s">
        <v>1034</v>
      </c>
      <c r="D7" s="325" t="str">
        <f>VLOOKUP(C7,Purchased!A:B,2,0)</f>
        <v>KEYENCE Laser Sensor head, Spot Reflective, Ultra-small beam spot</v>
      </c>
      <c r="E7" s="326"/>
      <c r="F7" s="108" t="str">
        <f>IF(VLOOKUP($C7,Purchased!A:Z,11,0) = 0, " ", VLOOKUP($C7,Purchased!A:Z,11,0))</f>
        <v>KEYENCE</v>
      </c>
      <c r="G7" s="108" t="str">
        <f>IF(VLOOKUP($C7,Purchased!A:Z,12,0)=0, " ", VLOOKUP($C7,Purchased!A:Z,12,0))</f>
        <v>KEYENCE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45516</v>
      </c>
      <c r="K7" s="46">
        <f>IF(VLOOKUP(C7,Purchased!A:R,14,0)=0, " ", VLOOKUP(C7,Purchased!A:R,14,0))</f>
        <v>45516</v>
      </c>
      <c r="L7" s="46">
        <f>IF(VLOOKUP(C7,Purchased!A:R,15,0)=0, " ", VLOOKUP(C7,Purchased!A:R,15,0))</f>
        <v>45518</v>
      </c>
      <c r="M7" s="46">
        <f>IF(VLOOKUP(C7,Purchased!A:R,16,0)=0, " ",VLOOKUP(C7,Purchased!A:R,16,0))</f>
        <v>45526</v>
      </c>
      <c r="N7" s="130">
        <f>IF(VLOOKUP(C7,Purchased!A:R,17,0)=0, " ", VLOOKUP(C7,Purchased!A:R,17,0))</f>
        <v>45526</v>
      </c>
      <c r="O7" s="47">
        <f t="shared" ref="O7" ca="1" si="2">B7*$L$2</f>
        <v>2</v>
      </c>
      <c r="P7" s="51">
        <f>VLOOKUP(C7,Purchased!A:D,3,FALSE)</f>
        <v>353</v>
      </c>
      <c r="Q7" s="52">
        <f t="shared" ref="Q7" si="3">B7*P7</f>
        <v>353</v>
      </c>
    </row>
    <row r="8" spans="1:17" s="2" customFormat="1" ht="12.75" customHeight="1" x14ac:dyDescent="0.25">
      <c r="A8" s="4">
        <v>302</v>
      </c>
      <c r="B8" s="2">
        <v>1</v>
      </c>
      <c r="C8" s="135" t="s">
        <v>1035</v>
      </c>
      <c r="D8" s="325" t="str">
        <f>VLOOKUP(C8,Purchased!A:B,2,0)</f>
        <v>Amplifier for LV-NH37, M8 Connector, Main unit, PNP</v>
      </c>
      <c r="E8" s="326"/>
      <c r="F8" s="108" t="str">
        <f>IF(VLOOKUP($C8,Purchased!A:Z,11,0) = 0, " ", VLOOKUP($C8,Purchased!A:Z,11,0))</f>
        <v>KEYENCE</v>
      </c>
      <c r="G8" s="108" t="str">
        <f>IF(VLOOKUP($C8,Purchased!A:Z,12,0)=0, " ", VLOOKUP($C8,Purchased!A:Z,12,0))</f>
        <v>KEYENCE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45516</v>
      </c>
      <c r="K8" s="46">
        <f>IF(VLOOKUP(C8,Purchased!A:R,14,0)=0, " ", VLOOKUP(C8,Purchased!A:R,14,0))</f>
        <v>45516</v>
      </c>
      <c r="L8" s="46">
        <f>IF(VLOOKUP(C8,Purchased!A:R,15,0)=0, " ", VLOOKUP(C8,Purchased!A:R,15,0))</f>
        <v>45518</v>
      </c>
      <c r="M8" s="46">
        <f>IF(VLOOKUP(C8,Purchased!A:R,16,0)=0, " ",VLOOKUP(C8,Purchased!A:R,16,0))</f>
        <v>45526</v>
      </c>
      <c r="N8" s="130">
        <f>IF(VLOOKUP(C8,Purchased!A:R,17,0)=0, " ", VLOOKUP(C8,Purchased!A:R,17,0))</f>
        <v>45526</v>
      </c>
      <c r="O8" s="47">
        <f t="shared" ref="O8" ca="1" si="4">B8*$L$2</f>
        <v>2</v>
      </c>
      <c r="P8" s="51">
        <f>VLOOKUP(C8,Purchased!A:D,3,FALSE)</f>
        <v>263</v>
      </c>
      <c r="Q8" s="52">
        <f t="shared" ref="Q8" si="5">B8*P8</f>
        <v>263</v>
      </c>
    </row>
    <row r="9" spans="1:17" s="2" customFormat="1" ht="12.75" customHeight="1" x14ac:dyDescent="0.25">
      <c r="A9" s="4">
        <v>303</v>
      </c>
      <c r="B9" s="2">
        <v>1</v>
      </c>
      <c r="C9" s="135" t="s">
        <v>1036</v>
      </c>
      <c r="D9" s="325" t="str">
        <f>VLOOKUP(C9,Purchased!A:B,2,0)</f>
        <v>MOUNTING BRACKET FOR LV-NH37 AMPLIFIER</v>
      </c>
      <c r="E9" s="326"/>
      <c r="F9" s="108" t="str">
        <f>IF(VLOOKUP($C9,Purchased!A:Z,11,0) = 0, " ", VLOOKUP($C9,Purchased!A:Z,11,0))</f>
        <v>KEYENCE</v>
      </c>
      <c r="G9" s="108" t="str">
        <f>IF(VLOOKUP($C9,Purchased!A:Z,12,0)=0, " ", VLOOKUP($C9,Purchased!A:Z,12,0))</f>
        <v>KEYENCE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45516</v>
      </c>
      <c r="K9" s="46">
        <f>IF(VLOOKUP(C9,Purchased!A:R,14,0)=0, " ", VLOOKUP(C9,Purchased!A:R,14,0))</f>
        <v>45516</v>
      </c>
      <c r="L9" s="46">
        <f>IF(VLOOKUP(C9,Purchased!A:R,15,0)=0, " ", VLOOKUP(C9,Purchased!A:R,15,0))</f>
        <v>45518</v>
      </c>
      <c r="M9" s="46">
        <f>IF(VLOOKUP(C9,Purchased!A:R,16,0)=0, " ",VLOOKUP(C9,Purchased!A:R,16,0))</f>
        <v>45526</v>
      </c>
      <c r="N9" s="130">
        <f>IF(VLOOKUP(C9,Purchased!A:R,17,0)=0, " ", VLOOKUP(C9,Purchased!A:R,17,0))</f>
        <v>45526</v>
      </c>
      <c r="O9" s="47">
        <f t="shared" ref="O9:O11" ca="1" si="6">B9*$L$2</f>
        <v>2</v>
      </c>
      <c r="P9" s="51">
        <f>VLOOKUP(C9,Purchased!A:D,3,FALSE)</f>
        <v>3</v>
      </c>
      <c r="Q9" s="52">
        <f t="shared" ref="Q9:Q11" si="7">B9*P9</f>
        <v>3</v>
      </c>
    </row>
    <row r="10" spans="1:17" s="2" customFormat="1" ht="12.75" customHeight="1" x14ac:dyDescent="0.25">
      <c r="A10" s="4">
        <v>304</v>
      </c>
      <c r="B10" s="2">
        <v>2</v>
      </c>
      <c r="C10" s="135" t="s">
        <v>1037</v>
      </c>
      <c r="D10" s="325" t="str">
        <f>VLOOKUP(C10,Purchased!A:B,2,0)</f>
        <v>Aluminum Unthreaded Spacer, 13 mm OD, 45 mm Long, for M6 Screw Size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45526</v>
      </c>
      <c r="K10" s="46">
        <f>IF(VLOOKUP(C10,Purchased!A:R,14,0)=0, " ", VLOOKUP(C10,Purchased!A:R,14,0))</f>
        <v>45526</v>
      </c>
      <c r="L10" s="46">
        <f>IF(VLOOKUP(C10,Purchased!A:R,15,0)=0, " ", VLOOKUP(C10,Purchased!A:R,15,0))</f>
        <v>45526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t="shared" ca="1" si="6"/>
        <v>4</v>
      </c>
      <c r="P10" s="51">
        <f>VLOOKUP(C10,Purchased!A:D,3,FALSE)</f>
        <v>3.04</v>
      </c>
      <c r="Q10" s="52">
        <f t="shared" si="7"/>
        <v>6.08</v>
      </c>
    </row>
    <row r="11" spans="1:17" s="2" customFormat="1" ht="12.75" customHeight="1" x14ac:dyDescent="0.25">
      <c r="A11" s="4">
        <v>305</v>
      </c>
      <c r="B11" s="2">
        <v>1</v>
      </c>
      <c r="C11" s="135" t="s">
        <v>1038</v>
      </c>
      <c r="D11" s="325" t="str">
        <f>VLOOKUP(C11,Purchased!A:B,2,0)</f>
        <v>DORNER T-BAR, 2-HOLE M6X1.0 2.5IN LONG</v>
      </c>
      <c r="E11" s="326"/>
      <c r="F11" s="108" t="str">
        <f>IF(VLOOKUP($C11,Purchased!A:Z,11,0) = 0, " ", VLOOKUP($C11,Purchased!A:Z,11,0))</f>
        <v>DORNER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IN NULINE STOCK, DON’T ORDER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 t="str">
        <f>IF(VLOOKUP(C11,Purchased!A:R,15,0)=0, " ", VLOOKUP(C11,Purchased!A:R,15,0))</f>
        <v>N/A</v>
      </c>
      <c r="M11" s="46" t="str">
        <f>IF(VLOOKUP(C11,Purchased!A:R,16,0)=0, " ",VLOOKUP(C11,Purchased!A:R,16,0))</f>
        <v>N/A</v>
      </c>
      <c r="N11" s="130" t="str">
        <f>IF(VLOOKUP(C11,Purchased!A:R,17,0)=0, " ", VLOOKUP(C11,Purchased!A:R,17,0))</f>
        <v>N/A</v>
      </c>
      <c r="O11" s="47">
        <f t="shared" ca="1" si="6"/>
        <v>2</v>
      </c>
      <c r="P11" s="51">
        <f>VLOOKUP(C11,Purchased!A:D,3,FALSE)</f>
        <v>0</v>
      </c>
      <c r="Q11" s="52">
        <f t="shared" si="7"/>
        <v>0</v>
      </c>
    </row>
    <row r="12" spans="1:17" s="2" customFormat="1" ht="12.75" customHeight="1" x14ac:dyDescent="0.25">
      <c r="A12" s="4">
        <v>306</v>
      </c>
      <c r="B12" s="2">
        <v>1</v>
      </c>
      <c r="C12" s="135" t="s">
        <v>220</v>
      </c>
      <c r="D12" s="325" t="str">
        <f>VLOOKUP(C12,Purchased!A:B,2,0)</f>
        <v>M8 4PIN TO FLYING LEAD 7.5M CABLE</v>
      </c>
      <c r="E12" s="326"/>
      <c r="F12" s="108" t="str">
        <f>IF(VLOOKUP($C12,Purchased!A:Z,11,0) = 0, " ", VLOOKUP($C12,Purchased!A:Z,11,0))</f>
        <v>MURR</v>
      </c>
      <c r="G12" s="108" t="str">
        <f>IF(VLOOKUP($C12,Purchased!A:Z,12,0)=0, " ", VLOOKUP($C12,Purchased!A:Z,12,0))</f>
        <v>MURR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45506</v>
      </c>
      <c r="K12" s="46">
        <f>IF(VLOOKUP(C12,Purchased!A:R,14,0)=0, " ", VLOOKUP(C12,Purchased!A:R,14,0))</f>
        <v>45506</v>
      </c>
      <c r="L12" s="46" t="str">
        <f>IF(VLOOKUP(C12,Purchased!A:R,15,0)=0, " ", VLOOKUP(C12,Purchased!A:R,15,0))</f>
        <v xml:space="preserve"> </v>
      </c>
      <c r="M12" s="46" t="str">
        <f>IF(VLOOKUP(C12,Purchased!A:R,16,0)=0, " ",VLOOKUP(C12,Purchased!A:R,16,0))</f>
        <v xml:space="preserve"> </v>
      </c>
      <c r="N12" s="130" t="str">
        <f>IF(VLOOKUP(C12,Purchased!A:R,17,0)=0, " ", VLOOKUP(C12,Purchased!A:R,17,0))</f>
        <v xml:space="preserve"> </v>
      </c>
      <c r="O12" s="47">
        <f t="shared" ref="O12" ca="1" si="8">B12*$L$2</f>
        <v>2</v>
      </c>
      <c r="P12" s="51">
        <f>VLOOKUP(C12,Purchased!A:D,3,FALSE)</f>
        <v>0</v>
      </c>
      <c r="Q12" s="52">
        <f t="shared" ref="Q12" si="9">B12*P12</f>
        <v>0</v>
      </c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.75" customHeight="1" x14ac:dyDescent="0.25">
      <c r="A14" s="4">
        <v>501</v>
      </c>
      <c r="B14" s="2">
        <v>4</v>
      </c>
      <c r="C14" s="122" t="s">
        <v>808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8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x14ac:dyDescent="0.25">
      <c r="A15" s="4">
        <v>502</v>
      </c>
      <c r="B15" s="2">
        <v>2</v>
      </c>
      <c r="C15" s="122" t="s">
        <v>776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4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4">
        <v>503</v>
      </c>
      <c r="B16" s="2">
        <v>2</v>
      </c>
      <c r="C16" s="122" t="s">
        <v>777</v>
      </c>
      <c r="D16" s="158"/>
      <c r="E16" s="159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4</v>
      </c>
      <c r="P16" s="51">
        <f>VLOOKUP(C16,Bolts!A:B,2,FALSE)</f>
        <v>0</v>
      </c>
      <c r="Q16" s="52">
        <f>B16*P16</f>
        <v>0</v>
      </c>
    </row>
    <row r="17" spans="1:17" s="2" customFormat="1" ht="12.75" customHeight="1" thickBot="1" x14ac:dyDescent="0.3">
      <c r="A17" s="4">
        <v>504</v>
      </c>
      <c r="B17" s="2">
        <v>2</v>
      </c>
      <c r="C17" s="122" t="s">
        <v>544</v>
      </c>
      <c r="D17" s="158"/>
      <c r="E17" s="159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4</v>
      </c>
      <c r="P17" s="51">
        <f>VLOOKUP(C17,Bolts!A:B,2,FALSE)</f>
        <v>0</v>
      </c>
      <c r="Q17" s="52">
        <f>B17*P17</f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SUM(Q5:Q15)</f>
        <v>625.08000000000004</v>
      </c>
    </row>
    <row r="19" spans="1:17" s="2" customFormat="1" ht="12" customHeight="1" x14ac:dyDescent="0.2">
      <c r="D19" s="21"/>
      <c r="E19" s="21"/>
      <c r="J19" s="8"/>
      <c r="K19" s="8"/>
      <c r="L19" s="8"/>
      <c r="M19" s="8"/>
      <c r="N19" s="131"/>
      <c r="O19" s="5"/>
      <c r="P19" s="98"/>
      <c r="Q19" s="105"/>
    </row>
  </sheetData>
  <sheetProtection selectLockedCells="1"/>
  <mergeCells count="25">
    <mergeCell ref="D6:E6"/>
    <mergeCell ref="H6:I6"/>
    <mergeCell ref="D9:E9"/>
    <mergeCell ref="H9:I9"/>
    <mergeCell ref="D8:E8"/>
    <mergeCell ref="H8:I8"/>
    <mergeCell ref="D1:E1"/>
    <mergeCell ref="D4:E4"/>
    <mergeCell ref="H4:I4"/>
    <mergeCell ref="D5:E5"/>
    <mergeCell ref="H5:I5"/>
    <mergeCell ref="D18:E18"/>
    <mergeCell ref="H18:I18"/>
    <mergeCell ref="D7:E7"/>
    <mergeCell ref="H7:I7"/>
    <mergeCell ref="D13:E13"/>
    <mergeCell ref="H13:I13"/>
    <mergeCell ref="D14:E14"/>
    <mergeCell ref="D15:E15"/>
    <mergeCell ref="D10:E10"/>
    <mergeCell ref="H10:I10"/>
    <mergeCell ref="D11:E11"/>
    <mergeCell ref="H11:I11"/>
    <mergeCell ref="D12:E12"/>
    <mergeCell ref="H12:I12"/>
  </mergeCells>
  <conditionalFormatting sqref="M6 M13:M17">
    <cfRule type="cellIs" dxfId="884" priority="13" stopIfTrue="1" operator="lessThanOrEqual">
      <formula>$L6</formula>
    </cfRule>
    <cfRule type="cellIs" dxfId="883" priority="14" operator="greaterThan">
      <formula>L6</formula>
    </cfRule>
  </conditionalFormatting>
  <conditionalFormatting sqref="M9">
    <cfRule type="cellIs" dxfId="882" priority="9" stopIfTrue="1" operator="lessThanOrEqual">
      <formula>$L9</formula>
    </cfRule>
    <cfRule type="cellIs" dxfId="881" priority="10" operator="greaterThan">
      <formula>L9</formula>
    </cfRule>
  </conditionalFormatting>
  <conditionalFormatting sqref="M8">
    <cfRule type="cellIs" dxfId="880" priority="7" stopIfTrue="1" operator="lessThanOrEqual">
      <formula>$L8</formula>
    </cfRule>
    <cfRule type="cellIs" dxfId="879" priority="8" operator="greaterThan">
      <formula>L8</formula>
    </cfRule>
  </conditionalFormatting>
  <conditionalFormatting sqref="M7">
    <cfRule type="cellIs" dxfId="878" priority="5" stopIfTrue="1" operator="lessThanOrEqual">
      <formula>$L7</formula>
    </cfRule>
    <cfRule type="cellIs" dxfId="877" priority="6" operator="greaterThan">
      <formula>L7</formula>
    </cfRule>
  </conditionalFormatting>
  <conditionalFormatting sqref="M10">
    <cfRule type="cellIs" dxfId="876" priority="3" stopIfTrue="1" operator="lessThanOrEqual">
      <formula>$L10</formula>
    </cfRule>
    <cfRule type="cellIs" dxfId="875" priority="4" operator="greaterThan">
      <formula>L10</formula>
    </cfRule>
  </conditionalFormatting>
  <conditionalFormatting sqref="M11:M12">
    <cfRule type="cellIs" dxfId="874" priority="1" stopIfTrue="1" operator="lessThanOrEqual">
      <formula>$L11</formula>
    </cfRule>
    <cfRule type="cellIs" dxfId="873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DD2B83-2845-4E4C-B3A1-145E708FC91E}">
          <x14:formula1>
            <xm:f>Bolts!$A:$A</xm:f>
          </x14:formula1>
          <xm:sqref>C14:C17</xm:sqref>
        </x14:dataValidation>
        <x14:dataValidation type="list" allowBlank="1" showInputMessage="1" showErrorMessage="1" xr:uid="{A86B03E9-236C-4916-A8EC-4AC2AE83F9CB}">
          <x14:formula1>
            <xm:f>Machined!$C:$C</xm:f>
          </x14:formula1>
          <xm:sqref>C5</xm:sqref>
        </x14:dataValidation>
        <x14:dataValidation type="list" allowBlank="1" showInputMessage="1" showErrorMessage="1" xr:uid="{0F2A8C64-8B10-4CE6-A28A-BFF1E84F5C0D}">
          <x14:formula1>
            <xm:f>Purchased!$A:$A</xm:f>
          </x14:formula1>
          <xm:sqref>C7:C12</xm:sqref>
        </x14:dataValidation>
      </x14:dataValidations>
    </ext>
  </extLst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7D26-C262-44E8-985D-C03518C7300F}">
  <sheetPr codeName="Sheet160">
    <tabColor theme="9" tint="0.59999389629810485"/>
  </sheetPr>
  <dimension ref="A1:Q22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4" width="20.7109375" style="22" customWidth="1"/>
    <col min="5" max="5" width="19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1.14062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'6'!C14</f>
        <v>PG10.6.7.0.A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'6'!D14</f>
        <v>Pocket Conveyor Assy B Side</v>
      </c>
      <c r="D3" s="85" t="s">
        <v>50</v>
      </c>
      <c r="E3" s="86" t="str">
        <f ca="1">MID(CELL("filename",A1),FIND("]",CELL("filename",A1))+1,256)</f>
        <v>6.7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134</v>
      </c>
      <c r="C5" s="112" t="s">
        <v>1024</v>
      </c>
      <c r="D5" s="314" t="str">
        <f ca="1">VLOOKUP(C5,Assemblies!E:P,2,0)</f>
        <v>Tube Pocket Assy</v>
      </c>
      <c r="E5" s="315"/>
      <c r="F5" s="32"/>
      <c r="G5" s="32"/>
      <c r="H5" s="303"/>
      <c r="I5" s="303"/>
      <c r="J5" s="28"/>
      <c r="K5" s="28"/>
      <c r="L5" s="28"/>
      <c r="M5" s="28"/>
      <c r="N5" s="33"/>
      <c r="O5" s="146">
        <f t="shared" ref="O5" ca="1" si="0">B5*$L$2</f>
        <v>134</v>
      </c>
      <c r="P5" s="117">
        <f>'6.6.1'!Q11</f>
        <v>0</v>
      </c>
      <c r="Q5" s="118">
        <f>B5*P5</f>
        <v>0</v>
      </c>
    </row>
    <row r="6" spans="1:17" s="1" customFormat="1" ht="12.75" customHeight="1" x14ac:dyDescent="0.2">
      <c r="A6" s="76" t="s">
        <v>56</v>
      </c>
      <c r="B6" s="1">
        <v>1</v>
      </c>
      <c r="C6" s="145" t="s">
        <v>1025</v>
      </c>
      <c r="D6" s="314" t="str">
        <f ca="1">VLOOKUP(C6,Assemblies!E:P,2,0)</f>
        <v>Pocket Position Sensor Assy</v>
      </c>
      <c r="E6" s="315"/>
      <c r="F6" s="32"/>
      <c r="G6" s="32"/>
      <c r="H6" s="32"/>
      <c r="I6" s="32"/>
      <c r="J6" s="28"/>
      <c r="K6" s="28"/>
      <c r="L6" s="28"/>
      <c r="M6" s="28"/>
      <c r="N6" s="33"/>
      <c r="O6" s="146">
        <f t="shared" ref="O6" ca="1" si="1">B6*$L$2</f>
        <v>1</v>
      </c>
      <c r="P6" s="147">
        <f>'6.6.2'!Q19</f>
        <v>0</v>
      </c>
      <c r="Q6" s="103">
        <f>B6*P6</f>
        <v>0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77">
        <v>1</v>
      </c>
      <c r="B8" s="20">
        <v>1</v>
      </c>
      <c r="C8" s="121" t="s">
        <v>1026</v>
      </c>
      <c r="D8" s="314" t="str">
        <f>VLOOKUP(C8,Machined!C:X,2,0)</f>
        <v>Tube Conveyor Mount Plate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45505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55644</v>
      </c>
      <c r="O8" s="45">
        <f ca="1">B8*$L$2</f>
        <v>1</v>
      </c>
      <c r="P8" s="49">
        <f>VLOOKUP(C8,Machined!C:F,3,0)</f>
        <v>152</v>
      </c>
      <c r="Q8" s="50">
        <f>B8*P8</f>
        <v>152</v>
      </c>
    </row>
    <row r="9" spans="1:17" s="2" customFormat="1" ht="12.75" customHeight="1" x14ac:dyDescent="0.25">
      <c r="A9" s="77">
        <v>2</v>
      </c>
      <c r="B9" s="20"/>
      <c r="C9" s="121"/>
      <c r="D9" s="314" t="e">
        <f>VLOOKUP(C9,Machined!C:X,2,0)</f>
        <v>#N/A</v>
      </c>
      <c r="E9" s="329"/>
      <c r="F9" s="107" t="e">
        <f>VLOOKUP($C9,Machined!C:Z,13,0)</f>
        <v>#N/A</v>
      </c>
      <c r="G9" s="44" t="e">
        <f>IF(VLOOKUP($C9,Machined!C:Z,16,0) = 0, " ", VLOOKUP($C9,Machined!C:Z,16,0))</f>
        <v>#N/A</v>
      </c>
      <c r="H9" s="320" t="e">
        <f>IF(VLOOKUP($C9,Machined!C:Z,17,0) = 0, " ", VLOOKUP($C9,Machined!C:Z,17,0))</f>
        <v>#N/A</v>
      </c>
      <c r="I9" s="321" t="e">
        <f>IF(VLOOKUP($C9,Machined!$C:$Y,13,0) = 0, " ", VLOOKUP($C9,Machined!$C:$Y,13,0))</f>
        <v>#N/A</v>
      </c>
      <c r="J9" s="44" t="e">
        <f>IF(VLOOKUP($C9,Machined!C:Z,18,0) = 0, " ", VLOOKUP($C9,Machined!C:Z,18,0))</f>
        <v>#N/A</v>
      </c>
      <c r="K9" s="44" t="e">
        <f>IF(VLOOKUP($C9,Machined!C:Z,19,0) = 0, " ", VLOOKUP($C9,Machined!C:Z,19,0))</f>
        <v>#N/A</v>
      </c>
      <c r="L9" s="44" t="e">
        <f>IF(VLOOKUP($C9,Machined!C:Z,20,0) = 0, " ", VLOOKUP($C9,Machined!C:Z,20,0))</f>
        <v>#N/A</v>
      </c>
      <c r="M9" s="44" t="e">
        <f>IF(VLOOKUP($C9,Machined!C:Z,21,0) = 0, " ", VLOOKUP($C9,Machined!C:Z,21,0))</f>
        <v>#N/A</v>
      </c>
      <c r="N9" s="129" t="e">
        <f>IF(VLOOKUP($C9,Machined!C:Z,22,0) = 0, " ", VLOOKUP($C9,Machined!C:Z,22,0))</f>
        <v>#N/A</v>
      </c>
      <c r="O9" s="45">
        <f ca="1">B9*$L$2</f>
        <v>0</v>
      </c>
      <c r="P9" s="49" t="e">
        <f>VLOOKUP(C9,Machined!C:F,3,0)</f>
        <v>#N/A</v>
      </c>
      <c r="Q9" s="50" t="e">
        <f>B9*P9</f>
        <v>#N/A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2</v>
      </c>
      <c r="C11" s="135" t="s">
        <v>629</v>
      </c>
      <c r="D11" s="325" t="str">
        <f>VLOOKUP(C11,Purchased!A:B,2,0)</f>
        <v>15mm C1 Preload Runner Block</v>
      </c>
      <c r="E11" s="326"/>
      <c r="F11" s="108" t="str">
        <f>IF(VLOOKUP($C11,Purchased!A:Z,11,0) = 0, " ", VLOOKUP($C11,Purchased!A:Z,11,0))</f>
        <v>BRL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Ordered 24 additional PO 55645</v>
      </c>
      <c r="I11" s="328"/>
      <c r="J11" s="46">
        <f>IF(VLOOKUP($C11,Purchased!A:Z,14,0)=0, " ", VLOOKUP($C11,Purchased!A:Z,14,0))</f>
        <v>45461</v>
      </c>
      <c r="K11" s="46">
        <f>IF(VLOOKUP(C11,Purchased!A:R,14,0)=0, " ", VLOOKUP(C11,Purchased!A:R,14,0))</f>
        <v>45461</v>
      </c>
      <c r="L11" s="46">
        <f>IF(VLOOKUP(C11,Purchased!A:R,15,0)=0, " ", VLOOKUP(C11,Purchased!A:R,15,0))</f>
        <v>45462</v>
      </c>
      <c r="M11" s="46">
        <f>IF(VLOOKUP(C11,Purchased!A:R,16,0)=0, " ",VLOOKUP(C11,Purchased!A:R,16,0))</f>
        <v>45504</v>
      </c>
      <c r="N11" s="130">
        <f>IF(VLOOKUP(C11,Purchased!A:R,17,0)=0, " ", VLOOKUP(C11,Purchased!A:R,17,0))</f>
        <v>45504</v>
      </c>
      <c r="O11" s="47">
        <f t="shared" ref="O11:O16" ca="1" si="2">B11*$L$2</f>
        <v>2</v>
      </c>
      <c r="P11" s="51">
        <f>VLOOKUP(C11,Purchased!A:D,3,FALSE)</f>
        <v>109.2133</v>
      </c>
      <c r="Q11" s="52">
        <f t="shared" ref="Q11:Q16" si="3">B11*P11</f>
        <v>218.42660000000001</v>
      </c>
    </row>
    <row r="12" spans="1:17" s="2" customFormat="1" ht="12" customHeight="1" x14ac:dyDescent="0.25">
      <c r="A12" s="4">
        <v>302</v>
      </c>
      <c r="B12" s="2">
        <v>1</v>
      </c>
      <c r="C12" s="135" t="s">
        <v>1039</v>
      </c>
      <c r="D12" s="325" t="str">
        <f>VLOOKUP(C12,Purchased!A:B,2,0)</f>
        <v>Dorner Precision Move Conveyor Servo Mount C Position</v>
      </c>
      <c r="E12" s="326"/>
      <c r="F12" s="108" t="str">
        <f>IF(VLOOKUP($C12,Purchased!A:Z,11,0) = 0, " ", VLOOKUP($C12,Purchased!A:Z,11,0))</f>
        <v>DORNER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45503</v>
      </c>
      <c r="K12" s="46">
        <f>IF(VLOOKUP(C12,Purchased!A:R,14,0)=0, " ", VLOOKUP(C12,Purchased!A:R,14,0))</f>
        <v>45503</v>
      </c>
      <c r="L12" s="46">
        <f>IF(VLOOKUP(C12,Purchased!A:R,15,0)=0, " ", VLOOKUP(C12,Purchased!A:R,15,0))</f>
        <v>45506</v>
      </c>
      <c r="M12" s="46">
        <f>IF(VLOOKUP(C12,Purchased!A:R,16,0)=0, " ",VLOOKUP(C12,Purchased!A:R,16,0))</f>
        <v>45541</v>
      </c>
      <c r="N12" s="130">
        <f>IF(VLOOKUP(C12,Purchased!A:R,17,0)=0, " ", VLOOKUP(C12,Purchased!A:R,17,0))</f>
        <v>45547</v>
      </c>
      <c r="O12" s="47">
        <f t="shared" ca="1" si="2"/>
        <v>1</v>
      </c>
      <c r="P12" s="51">
        <f>VLOOKUP(C12,Purchased!A:D,3,FALSE)</f>
        <v>15240.875</v>
      </c>
      <c r="Q12" s="52">
        <f t="shared" si="3"/>
        <v>15240.875</v>
      </c>
    </row>
    <row r="13" spans="1:17" s="2" customFormat="1" ht="12" customHeight="1" x14ac:dyDescent="0.25">
      <c r="A13" s="4">
        <v>303</v>
      </c>
      <c r="B13" s="2">
        <v>1</v>
      </c>
      <c r="C13" s="135" t="s">
        <v>1040</v>
      </c>
      <c r="D13" s="325" t="str">
        <f>VLOOKUP(C13,Purchased!A:B,2,0)</f>
        <v>KL202SG0080EZ402U Gearmotor, Tube Pocket Conveyor B</v>
      </c>
      <c r="E13" s="326"/>
      <c r="F13" s="108" t="str">
        <f>IF(VLOOKUP($C13,Purchased!A:Z,11,0) = 0, " ", VLOOKUP($C13,Purchased!A:Z,11,0))</f>
        <v>Stober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45426</v>
      </c>
      <c r="K13" s="46">
        <f>IF(VLOOKUP(C13,Purchased!A:R,14,0)=0, " ", VLOOKUP(C13,Purchased!A:R,14,0))</f>
        <v>45426</v>
      </c>
      <c r="L13" s="46">
        <f>IF(VLOOKUP(C13,Purchased!A:R,15,0)=0, " ", VLOOKUP(C13,Purchased!A:R,15,0))</f>
        <v>45426</v>
      </c>
      <c r="M13" s="46">
        <f>IF(VLOOKUP(C13,Purchased!A:R,16,0)=0, " ",VLOOKUP(C13,Purchased!A:R,16,0))</f>
        <v>45524</v>
      </c>
      <c r="N13" s="130">
        <f>IF(VLOOKUP(C13,Purchased!A:R,17,0)=0, " ", VLOOKUP(C13,Purchased!A:R,17,0))</f>
        <v>45524</v>
      </c>
      <c r="O13" s="47">
        <f t="shared" ca="1" si="2"/>
        <v>1</v>
      </c>
      <c r="P13" s="51">
        <f>VLOOKUP(C13,Purchased!A:D,3,FALSE)</f>
        <v>2607.1414</v>
      </c>
      <c r="Q13" s="52">
        <f t="shared" si="3"/>
        <v>2607.1414</v>
      </c>
    </row>
    <row r="14" spans="1:17" s="2" customFormat="1" ht="12" customHeight="1" x14ac:dyDescent="0.25">
      <c r="A14" s="4">
        <v>304</v>
      </c>
      <c r="B14" s="2">
        <v>1</v>
      </c>
      <c r="C14" s="135" t="s">
        <v>1029</v>
      </c>
      <c r="D14" s="325" t="str">
        <f>VLOOKUP(C14,Purchased!A:B,2,0)</f>
        <v>STOBER - Power cable -56876, 7.5MTR</v>
      </c>
      <c r="E14" s="326"/>
      <c r="F14" s="108" t="str">
        <f>IF(VLOOKUP($C14,Purchased!A:Z,11,0) = 0, " ", VLOOKUP($C14,Purchased!A:Z,11,0))</f>
        <v>STOBER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45463</v>
      </c>
      <c r="K14" s="46">
        <f>IF(VLOOKUP(C14,Purchased!A:R,14,0)=0, " ", VLOOKUP(C14,Purchased!A:R,14,0))</f>
        <v>45463</v>
      </c>
      <c r="L14" s="46">
        <f>IF(VLOOKUP(C14,Purchased!A:R,15,0)=0, " ", VLOOKUP(C14,Purchased!A:R,15,0))</f>
        <v>45464</v>
      </c>
      <c r="M14" s="46">
        <f>IF(VLOOKUP(C14,Purchased!A:R,16,0)=0, " ",VLOOKUP(C14,Purchased!A:R,16,0))</f>
        <v>45532</v>
      </c>
      <c r="N14" s="130">
        <f>IF(VLOOKUP(C14,Purchased!A:R,17,0)=0, " ", VLOOKUP(C14,Purchased!A:R,17,0))</f>
        <v>45532</v>
      </c>
      <c r="O14" s="47">
        <f t="shared" ca="1" si="2"/>
        <v>1</v>
      </c>
      <c r="P14" s="51">
        <f>VLOOKUP(C14,Purchased!A:D,3,FALSE)</f>
        <v>250.328</v>
      </c>
      <c r="Q14" s="52">
        <f t="shared" si="3"/>
        <v>250.328</v>
      </c>
    </row>
    <row r="15" spans="1:17" s="2" customFormat="1" ht="12" customHeight="1" x14ac:dyDescent="0.25">
      <c r="A15" s="4">
        <v>305</v>
      </c>
      <c r="B15" s="2">
        <v>1</v>
      </c>
      <c r="C15" s="135" t="s">
        <v>1030</v>
      </c>
      <c r="D15" s="325" t="str">
        <f>VLOOKUP(C15,Purchased!A:B,2,0)</f>
        <v>STOBER - Encoder cable -57815, 7.5MTR</v>
      </c>
      <c r="E15" s="326"/>
      <c r="F15" s="108" t="str">
        <f>IF(VLOOKUP($C15,Purchased!A:Z,11,0) = 0, " ", VLOOKUP($C15,Purchased!A:Z,11,0))</f>
        <v>STOBER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45464</v>
      </c>
      <c r="M15" s="46">
        <f>IF(VLOOKUP(C15,Purchased!A:R,16,0)=0, " ",VLOOKUP(C15,Purchased!A:R,16,0))</f>
        <v>45532</v>
      </c>
      <c r="N15" s="130">
        <f>IF(VLOOKUP(C15,Purchased!A:R,17,0)=0, " ", VLOOKUP(C15,Purchased!A:R,17,0))</f>
        <v>45532</v>
      </c>
      <c r="O15" s="47">
        <f t="shared" ca="1" si="2"/>
        <v>1</v>
      </c>
      <c r="P15" s="51">
        <f>VLOOKUP(C15,Purchased!A:D,3,FALSE)</f>
        <v>233.47900000000001</v>
      </c>
      <c r="Q15" s="52">
        <f t="shared" si="3"/>
        <v>233.47900000000001</v>
      </c>
    </row>
    <row r="16" spans="1:17" s="2" customFormat="1" ht="12" customHeight="1" x14ac:dyDescent="0.25">
      <c r="A16" s="4">
        <v>306</v>
      </c>
      <c r="B16" s="2">
        <v>1</v>
      </c>
      <c r="C16" s="135" t="s">
        <v>3003</v>
      </c>
      <c r="D16" s="325" t="str">
        <f>VLOOKUP(C16,Purchased!A:B,2,0)</f>
        <v>Dorner Precision Move Servo Mount Pkg, C position</v>
      </c>
      <c r="E16" s="326"/>
      <c r="F16" s="108" t="str">
        <f>IF(VLOOKUP($C16,Purchased!A:Z,11,0) = 0, " ", VLOOKUP($C16,Purchased!A:Z,11,0))</f>
        <v>DORNER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45491</v>
      </c>
      <c r="K16" s="46">
        <f>IF(VLOOKUP(C16,Purchased!A:R,14,0)=0, " ", VLOOKUP(C16,Purchased!A:R,14,0))</f>
        <v>45491</v>
      </c>
      <c r="L16" s="46">
        <f>IF(VLOOKUP(C16,Purchased!A:R,15,0)=0, " ", VLOOKUP(C16,Purchased!A:R,15,0))</f>
        <v>45491</v>
      </c>
      <c r="M16" s="46">
        <f>IF(VLOOKUP(C16,Purchased!A:R,16,0)=0, " ",VLOOKUP(C16,Purchased!A:R,16,0))</f>
        <v>45533</v>
      </c>
      <c r="N16" s="130">
        <f>IF(VLOOKUP(C16,Purchased!A:R,17,0)=0, " ", VLOOKUP(C16,Purchased!A:R,17,0))</f>
        <v>45533</v>
      </c>
      <c r="O16" s="47">
        <f t="shared" ca="1" si="2"/>
        <v>1</v>
      </c>
      <c r="P16" s="51">
        <f>VLOOKUP(C16,Purchased!A:D,3,FALSE)</f>
        <v>148.36000000000001</v>
      </c>
      <c r="Q16" s="52">
        <f t="shared" si="3"/>
        <v>148.36000000000001</v>
      </c>
    </row>
    <row r="17" spans="1:17" s="2" customFormat="1" ht="12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" customHeight="1" x14ac:dyDescent="0.25">
      <c r="A18" s="4">
        <v>501</v>
      </c>
      <c r="C18" s="122"/>
      <c r="D18" s="325"/>
      <c r="E18" s="326"/>
      <c r="F18" s="108" t="e">
        <f>VLOOKUP(C18,Bolts!A:L,5,0)</f>
        <v>#N/A</v>
      </c>
      <c r="G18" s="108" t="e">
        <f>VLOOKUP(C18,Bolts!A:L,6,0)</f>
        <v>#N/A</v>
      </c>
      <c r="H18" s="108" t="e">
        <f>VLOOKUP(C18,Bolts!A:L,7,0)</f>
        <v>#N/A</v>
      </c>
      <c r="I18" s="109"/>
      <c r="J18" s="46" t="e">
        <f>VLOOKUP(C18,Bolts!A:L,8,0)</f>
        <v>#N/A</v>
      </c>
      <c r="K18" s="46" t="e">
        <f>VLOOKUP(C18,Bolts!A:L,9,0)</f>
        <v>#N/A</v>
      </c>
      <c r="L18" s="46" t="e">
        <f>VLOOKUP(C18,Bolts!A:L,10,0)</f>
        <v>#N/A</v>
      </c>
      <c r="M18" s="46" t="e">
        <f>VLOOKUP(C18,Bolts!A:L,11,0)</f>
        <v>#N/A</v>
      </c>
      <c r="N18" s="130" t="e">
        <f>VLOOKUP(C18,Bolts!A:L,12,0)</f>
        <v>#N/A</v>
      </c>
      <c r="O18" s="47">
        <f ca="1">B18*$L$2</f>
        <v>0</v>
      </c>
      <c r="P18" s="51" t="e">
        <f>VLOOKUP(C18,Bolts!A:B,2,FALSE)</f>
        <v>#N/A</v>
      </c>
      <c r="Q18" s="52" t="e">
        <f>B18*P18</f>
        <v>#N/A</v>
      </c>
    </row>
    <row r="19" spans="1:17" s="2" customFormat="1" ht="12" customHeight="1" x14ac:dyDescent="0.25">
      <c r="A19" s="4">
        <v>502</v>
      </c>
      <c r="C19" s="122"/>
      <c r="D19" s="325"/>
      <c r="E19" s="326"/>
      <c r="F19" s="108" t="e">
        <f>VLOOKUP(C19,Bolts!A:L,5,0)</f>
        <v>#N/A</v>
      </c>
      <c r="G19" s="108" t="e">
        <f>VLOOKUP(C19,Bolts!A:L,6,0)</f>
        <v>#N/A</v>
      </c>
      <c r="H19" s="108" t="e">
        <f>VLOOKUP(C19,Bolts!A:L,7,0)</f>
        <v>#N/A</v>
      </c>
      <c r="I19" s="109"/>
      <c r="J19" s="46" t="e">
        <f>VLOOKUP(C19,Bolts!A:L,8,0)</f>
        <v>#N/A</v>
      </c>
      <c r="K19" s="46" t="e">
        <f>VLOOKUP(C19,Bolts!A:L,9,0)</f>
        <v>#N/A</v>
      </c>
      <c r="L19" s="46" t="e">
        <f>VLOOKUP(C19,Bolts!A:L,10,0)</f>
        <v>#N/A</v>
      </c>
      <c r="M19" s="46" t="e">
        <f>VLOOKUP(C19,Bolts!A:L,11,0)</f>
        <v>#N/A</v>
      </c>
      <c r="N19" s="130" t="e">
        <f>VLOOKUP(C19,Bolts!A:L,12,0)</f>
        <v>#N/A</v>
      </c>
      <c r="O19" s="47">
        <f ca="1">B19*$L$2</f>
        <v>0</v>
      </c>
      <c r="P19" s="51" t="e">
        <f>VLOOKUP(C19,Bolts!A:B,2,FALSE)</f>
        <v>#N/A</v>
      </c>
      <c r="Q19" s="52" t="e">
        <f>B19*P19</f>
        <v>#N/A</v>
      </c>
    </row>
    <row r="20" spans="1:17" s="2" customFormat="1" ht="12" customHeight="1" x14ac:dyDescent="0.25">
      <c r="A20" s="25"/>
      <c r="B20" s="26"/>
      <c r="C20" s="26"/>
      <c r="D20" s="332"/>
      <c r="E20" s="333"/>
      <c r="F20" s="26"/>
      <c r="G20" s="26"/>
      <c r="H20" s="322"/>
      <c r="I20" s="323"/>
      <c r="J20" s="27"/>
      <c r="K20" s="27"/>
      <c r="L20" s="27"/>
      <c r="M20" s="28"/>
      <c r="N20" s="29"/>
      <c r="O20" s="29"/>
      <c r="P20" s="148"/>
      <c r="Q20" s="149"/>
    </row>
    <row r="21" spans="1:17" s="2" customFormat="1" ht="12" customHeight="1" thickBot="1" x14ac:dyDescent="0.3">
      <c r="A21" s="4">
        <v>701</v>
      </c>
      <c r="C21" s="123"/>
      <c r="D21" s="325" t="e">
        <f>VLOOKUP(C21,Extrusion!B:C,2,0)</f>
        <v>#N/A</v>
      </c>
      <c r="E21" s="326"/>
      <c r="F21" s="108" t="e">
        <f>VLOOKUP(C21,Extrusion!B:N,5,0)</f>
        <v>#N/A</v>
      </c>
      <c r="G21" s="108" t="e">
        <f>VLOOKUP(C21,Extrusion!B:N,6,0)</f>
        <v>#N/A</v>
      </c>
      <c r="H21" s="108" t="e">
        <f>VLOOKUP(C21,Extrusion!B:N,7,0)</f>
        <v>#N/A</v>
      </c>
      <c r="I21" s="109"/>
      <c r="J21" s="46" t="e">
        <f>VLOOKUP(C21,Extrusion!B:N,8,0)</f>
        <v>#N/A</v>
      </c>
      <c r="K21" s="46" t="e">
        <f>VLOOKUP(C21,Extrusion!B:N,9,0)</f>
        <v>#N/A</v>
      </c>
      <c r="L21" s="46" t="e">
        <f>VLOOKUP(C21,Extrusion!B:N,10,0)</f>
        <v>#N/A</v>
      </c>
      <c r="M21" s="46" t="e">
        <f>VLOOKUP(C21,Extrusion!B:N,11,0)</f>
        <v>#N/A</v>
      </c>
      <c r="N21" s="47" t="e">
        <f>VLOOKUP(C21,Extrusion!B:O,12,0)</f>
        <v>#N/A</v>
      </c>
      <c r="O21" s="47">
        <f ca="1">B21*$L$2</f>
        <v>0</v>
      </c>
      <c r="P21" s="51" t="e">
        <f>VLOOKUP(C21,Extrusion!B:G,4,0)</f>
        <v>#N/A</v>
      </c>
      <c r="Q21" s="52" t="e">
        <f>B21*P21</f>
        <v>#N/A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SUM(Q10:Q16)+SUM(Q5:Q8)</f>
        <v>18850.61</v>
      </c>
    </row>
  </sheetData>
  <mergeCells count="35">
    <mergeCell ref="D7:E7"/>
    <mergeCell ref="H7:I7"/>
    <mergeCell ref="D1:E1"/>
    <mergeCell ref="D4:E4"/>
    <mergeCell ref="H4:I4"/>
    <mergeCell ref="D5:E5"/>
    <mergeCell ref="H5:I5"/>
    <mergeCell ref="D6:E6"/>
    <mergeCell ref="D8:E8"/>
    <mergeCell ref="H8:I8"/>
    <mergeCell ref="D10:E10"/>
    <mergeCell ref="H10:I10"/>
    <mergeCell ref="D11:E11"/>
    <mergeCell ref="H11:I11"/>
    <mergeCell ref="D9:E9"/>
    <mergeCell ref="H9:I9"/>
    <mergeCell ref="D12:E12"/>
    <mergeCell ref="H12:I12"/>
    <mergeCell ref="D19:E19"/>
    <mergeCell ref="D17:E17"/>
    <mergeCell ref="H17:I17"/>
    <mergeCell ref="D18:E18"/>
    <mergeCell ref="D13:E13"/>
    <mergeCell ref="H13:I13"/>
    <mergeCell ref="D14:E14"/>
    <mergeCell ref="H14:I14"/>
    <mergeCell ref="D15:E15"/>
    <mergeCell ref="H15:I15"/>
    <mergeCell ref="D16:E16"/>
    <mergeCell ref="H16:I16"/>
    <mergeCell ref="D22:E22"/>
    <mergeCell ref="H22:I22"/>
    <mergeCell ref="D20:E20"/>
    <mergeCell ref="H20:I20"/>
    <mergeCell ref="D21:E21"/>
  </mergeCells>
  <conditionalFormatting sqref="M7 M17:M21">
    <cfRule type="cellIs" dxfId="872" priority="23" stopIfTrue="1" operator="lessThanOrEqual">
      <formula>$L7</formula>
    </cfRule>
    <cfRule type="cellIs" dxfId="871" priority="24" operator="greaterThan">
      <formula>L7</formula>
    </cfRule>
  </conditionalFormatting>
  <conditionalFormatting sqref="M10">
    <cfRule type="cellIs" dxfId="870" priority="21" stopIfTrue="1" operator="lessThanOrEqual">
      <formula>$L10</formula>
    </cfRule>
    <cfRule type="cellIs" dxfId="869" priority="22" operator="greaterThan">
      <formula>L10</formula>
    </cfRule>
  </conditionalFormatting>
  <conditionalFormatting sqref="M11:M12">
    <cfRule type="cellIs" dxfId="868" priority="19" stopIfTrue="1" operator="lessThanOrEqual">
      <formula>$L11</formula>
    </cfRule>
    <cfRule type="cellIs" dxfId="867" priority="20" operator="greaterThan">
      <formula>L11</formula>
    </cfRule>
  </conditionalFormatting>
  <conditionalFormatting sqref="M13:M15">
    <cfRule type="cellIs" dxfId="866" priority="3" stopIfTrue="1" operator="lessThanOrEqual">
      <formula>$L13</formula>
    </cfRule>
    <cfRule type="cellIs" dxfId="865" priority="4" operator="greaterThan">
      <formula>L13</formula>
    </cfRule>
  </conditionalFormatting>
  <conditionalFormatting sqref="M16">
    <cfRule type="cellIs" dxfId="864" priority="1" stopIfTrue="1" operator="lessThanOrEqual">
      <formula>$L16</formula>
    </cfRule>
    <cfRule type="cellIs" dxfId="863" priority="2" operator="greaterThan">
      <formula>L16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107DFD1D-2056-466D-9AD0-4C733DC9F16B}">
          <x14:formula1>
            <xm:f>Extrusion!$B:$B</xm:f>
          </x14:formula1>
          <xm:sqref>C21</xm:sqref>
        </x14:dataValidation>
        <x14:dataValidation type="list" allowBlank="1" showInputMessage="1" showErrorMessage="1" xr:uid="{C4947263-3425-418E-B3CD-F281C65A688B}">
          <x14:formula1>
            <xm:f>Bolts!$A:$A</xm:f>
          </x14:formula1>
          <xm:sqref>C17:C19</xm:sqref>
        </x14:dataValidation>
        <x14:dataValidation type="list" allowBlank="1" showInputMessage="1" showErrorMessage="1" xr:uid="{5B7EEFC8-6475-4C2F-BB61-9E081F50D0CA}">
          <x14:formula1>
            <xm:f>Assemblies!$E:$E</xm:f>
          </x14:formula1>
          <xm:sqref>C5:C6</xm:sqref>
        </x14:dataValidation>
        <x14:dataValidation type="list" allowBlank="1" showInputMessage="1" showErrorMessage="1" xr:uid="{86BA3C51-35ED-4EE2-9A59-3EA944BD84CA}">
          <x14:formula1>
            <xm:f>Machined!$C:$C</xm:f>
          </x14:formula1>
          <xm:sqref>C7:C9</xm:sqref>
        </x14:dataValidation>
        <x14:dataValidation type="list" allowBlank="1" showInputMessage="1" showErrorMessage="1" xr:uid="{E5C52200-FDD9-41EF-879C-184842FC4741}">
          <x14:formula1>
            <xm:f>Purchased!$A:$A</xm:f>
          </x14:formula1>
          <xm:sqref>C10:C16</xm:sqref>
        </x14:dataValidation>
      </x14:dataValidations>
    </ext>
  </extLst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A4244-65D7-409F-A95E-A91D1F6759A2}">
  <sheetPr codeName="Sheet161">
    <tabColor theme="9" tint="0.59999389629810485"/>
  </sheetPr>
  <dimension ref="A1:Q26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'6'!C15</f>
        <v>PG10.6.8.0.A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'6'!D15</f>
        <v>Tube Hopper Frame</v>
      </c>
      <c r="D3" s="85" t="s">
        <v>50</v>
      </c>
      <c r="E3" s="86" t="str">
        <f ca="1">MID(CELL("filename",A1),FIND("]",CELL("filename",A1))+1,256)</f>
        <v>6.8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8</v>
      </c>
      <c r="C5" s="112" t="s">
        <v>683</v>
      </c>
      <c r="D5" s="336" t="str">
        <f ca="1">VLOOKUP(C5,Assemblies!E:P,2,0)</f>
        <v>M12 Leveling Foot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16</v>
      </c>
      <c r="P5" s="117"/>
      <c r="Q5" s="118">
        <f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77">
        <v>1</v>
      </c>
      <c r="B7" s="20">
        <v>2</v>
      </c>
      <c r="C7" s="121" t="s">
        <v>1041</v>
      </c>
      <c r="D7" s="314" t="str">
        <f>VLOOKUP(C7,Machined!C:X,2,0)</f>
        <v>Tube Hopper Rail Plate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45489</v>
      </c>
      <c r="K7" s="44">
        <f>IF(VLOOKUP($C7,Machined!C:Z,19,0) = 0, " ", VLOOKUP($C7,Machined!C:Z,19,0))</f>
        <v>45513</v>
      </c>
      <c r="L7" s="44">
        <f>IF(VLOOKUP($C7,Machined!C:Z,20,0) = 0, " ", VLOOKUP($C7,Machined!C:Z,20,0))</f>
        <v>45551</v>
      </c>
      <c r="M7" s="44">
        <f>IF(VLOOKUP($C7,Machined!C:Z,21,0) = 0, " ", VLOOKUP($C7,Machined!C:Z,21,0))</f>
        <v>45566</v>
      </c>
      <c r="N7" s="129">
        <f>IF(VLOOKUP($C7,Machined!C:Z,22,0) = 0, " ", VLOOKUP($C7,Machined!C:Z,22,0))</f>
        <v>55676</v>
      </c>
      <c r="O7" s="45">
        <f ca="1">B7*$L$2</f>
        <v>4</v>
      </c>
      <c r="P7" s="49">
        <f>VLOOKUP(C7,Machined!C:F,3,0)</f>
        <v>290.13</v>
      </c>
      <c r="Q7" s="50">
        <f>B7*P7</f>
        <v>580.26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2</v>
      </c>
      <c r="C9" s="135" t="s">
        <v>1042</v>
      </c>
      <c r="D9" s="325" t="str">
        <f>VLOOKUP(C9,Purchased!A:B,2,0)</f>
        <v>25MM BALL RAIL, 1500MM LENGTH, T-30MM</v>
      </c>
      <c r="E9" s="326"/>
      <c r="F9" s="108" t="str">
        <f>IF(VLOOKUP($C9,Purchased!A:Z,11,0) = 0, " ", VLOOKUP($C9,Purchased!A:Z,11,0))</f>
        <v>BRL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45502</v>
      </c>
      <c r="K9" s="46">
        <f>IF(VLOOKUP(C9,Purchased!A:R,14,0)=0, " ", VLOOKUP(C9,Purchased!A:R,14,0))</f>
        <v>45502</v>
      </c>
      <c r="L9" s="46">
        <f>IF(VLOOKUP(C9,Purchased!A:R,15,0)=0, " ", VLOOKUP(C9,Purchased!A:R,15,0))</f>
        <v>45506</v>
      </c>
      <c r="M9" s="46">
        <f>IF(VLOOKUP(C9,Purchased!A:R,16,0)=0, " ",VLOOKUP(C9,Purchased!A:R,16,0))</f>
        <v>45547</v>
      </c>
      <c r="N9" s="130">
        <f>IF(VLOOKUP(C9,Purchased!A:R,17,0)=0, " ", VLOOKUP(C9,Purchased!A:R,17,0))</f>
        <v>45552</v>
      </c>
      <c r="O9" s="47">
        <f t="shared" ref="O9:O16" ca="1" si="0">B9*$L$2</f>
        <v>4</v>
      </c>
      <c r="P9" s="51">
        <f>VLOOKUP(C9,Purchased!A:D,3,FALSE)</f>
        <v>446.37400000000002</v>
      </c>
      <c r="Q9" s="52">
        <f t="shared" ref="Q9:Q16" si="1">B9*P9</f>
        <v>892.74800000000005</v>
      </c>
    </row>
    <row r="10" spans="1:17" s="2" customFormat="1" ht="12" customHeight="1" x14ac:dyDescent="0.25">
      <c r="A10" s="4">
        <v>302</v>
      </c>
      <c r="B10" s="2">
        <v>4</v>
      </c>
      <c r="C10" s="135" t="s">
        <v>104</v>
      </c>
      <c r="D10" s="325" t="str">
        <f>VLOOKUP(C10,Purchased!A:B,2,0)</f>
        <v>BRX GOTO T-NUT 10 M8</v>
      </c>
      <c r="E10" s="326"/>
      <c r="F10" s="108" t="str">
        <f>IF(VLOOKUP($C10,Purchased!A:Z,11,0) = 0, " ", VLOOKUP($C10,Purchased!A:Z,11,0))</f>
        <v>BRX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>400 additional quantity added to 55710</v>
      </c>
      <c r="I10" s="328"/>
      <c r="J10" s="46">
        <f>IF(VLOOKUP($C10,Purchased!A:Z,14,0)=0, " ", VLOOKUP($C10,Purchased!A:Z,14,0))</f>
        <v>45463</v>
      </c>
      <c r="K10" s="46">
        <f>IF(VLOOKUP(C10,Purchased!A:R,14,0)=0, " ", VLOOKUP(C10,Purchased!A:R,14,0))</f>
        <v>45463</v>
      </c>
      <c r="L10" s="46">
        <f>IF(VLOOKUP(C10,Purchased!A:R,15,0)=0, " ", VLOOKUP(C10,Purchased!A:R,15,0))</f>
        <v>45463</v>
      </c>
      <c r="M10" s="46">
        <f>IF(VLOOKUP(C10,Purchased!A:R,16,0)=0, " ",VLOOKUP(C10,Purchased!A:R,16,0))</f>
        <v>45481</v>
      </c>
      <c r="N10" s="130">
        <f>IF(VLOOKUP(C10,Purchased!A:R,17,0)=0, " ", VLOOKUP(C10,Purchased!A:R,17,0))</f>
        <v>45481</v>
      </c>
      <c r="O10" s="47">
        <f t="shared" ca="1" si="0"/>
        <v>8</v>
      </c>
      <c r="P10" s="51">
        <f>VLOOKUP(C10,Purchased!A:D,3,FALSE)</f>
        <v>0.56000000000000005</v>
      </c>
      <c r="Q10" s="52">
        <f t="shared" si="1"/>
        <v>2.2400000000000002</v>
      </c>
    </row>
    <row r="11" spans="1:17" s="2" customFormat="1" ht="12" customHeight="1" x14ac:dyDescent="0.25">
      <c r="A11" s="4">
        <v>303</v>
      </c>
      <c r="B11" s="2">
        <v>32</v>
      </c>
      <c r="C11" s="135" t="s">
        <v>172</v>
      </c>
      <c r="D11" s="325" t="str">
        <f>VLOOKUP(C11,Purchased!A:B,2,0)</f>
        <v>BRX GOTO T-NUT 10 M6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ca="1" si="0"/>
        <v>64</v>
      </c>
      <c r="P11" s="51">
        <f>VLOOKUP(C11,Purchased!A:D,3,FALSE)</f>
        <v>0.56000000000000005</v>
      </c>
      <c r="Q11" s="52">
        <f t="shared" si="1"/>
        <v>17.920000000000002</v>
      </c>
    </row>
    <row r="12" spans="1:17" s="2" customFormat="1" ht="12" customHeight="1" x14ac:dyDescent="0.25">
      <c r="A12" s="4">
        <v>304</v>
      </c>
      <c r="B12" s="2">
        <v>4</v>
      </c>
      <c r="C12" s="135">
        <v>3842535466</v>
      </c>
      <c r="D12" s="325" t="str">
        <f>VLOOKUP(C12,Purchased!A:B,2,0)</f>
        <v>BRX GOTO QUICK CONNECTOR N10 90°</v>
      </c>
      <c r="E12" s="326"/>
      <c r="F12" s="108" t="str">
        <f>IF(VLOOKUP($C12,Purchased!A:Z,11,0) = 0, " ", VLOOKUP($C12,Purchased!A:Z,11,0))</f>
        <v>T-SLOTS</v>
      </c>
      <c r="G12" s="108" t="str">
        <f>IF(VLOOKUP($C12,Purchased!A:Z,12,0)=0, " ", VLOOKUP($C12,Purchased!A:Z,12,0))</f>
        <v>Process Tech</v>
      </c>
      <c r="H12" s="327" t="str">
        <f>IF(VLOOKUP($C12,Purchased!A:Z,13,0)=0, " ", VLOOKUP($C12,Purchased!A:Z,13,0))</f>
        <v>Ordered 300 8/29/24 JP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45533</v>
      </c>
      <c r="M12" s="46">
        <f>IF(VLOOKUP(C12,Purchased!A:R,16,0)=0, " ",VLOOKUP(C12,Purchased!A:R,16,0))</f>
        <v>45540</v>
      </c>
      <c r="N12" s="130" t="str">
        <f>IF(VLOOKUP(C12,Purchased!A:R,17,0)=0, " ", VLOOKUP(C12,Purchased!A:R,17,0))</f>
        <v xml:space="preserve"> </v>
      </c>
      <c r="O12" s="47">
        <f t="shared" ca="1" si="0"/>
        <v>8</v>
      </c>
      <c r="P12" s="51">
        <f>VLOOKUP(C12,Purchased!A:D,3,FALSE)</f>
        <v>4.17</v>
      </c>
      <c r="Q12" s="52">
        <f t="shared" si="1"/>
        <v>16.68</v>
      </c>
    </row>
    <row r="13" spans="1:17" s="2" customFormat="1" ht="12" customHeight="1" x14ac:dyDescent="0.25">
      <c r="A13" s="4">
        <v>305</v>
      </c>
      <c r="B13" s="2">
        <v>6</v>
      </c>
      <c r="C13" s="135">
        <v>3842548758</v>
      </c>
      <c r="D13" s="325" t="str">
        <f>VLOOKUP(C13,Purchased!A:B,2,0)</f>
        <v>BRX 3842548758 Cover Cap 90x90 Grey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45524</v>
      </c>
      <c r="M13" s="46">
        <f>IF(VLOOKUP(C13,Purchased!A:R,16,0)=0, " ",VLOOKUP(C13,Purchased!A:R,16,0))</f>
        <v>45547</v>
      </c>
      <c r="N13" s="130" t="str">
        <f>IF(VLOOKUP(C13,Purchased!A:R,17,0)=0, " ", VLOOKUP(C13,Purchased!A:R,17,0))</f>
        <v xml:space="preserve"> </v>
      </c>
      <c r="O13" s="47">
        <f t="shared" ca="1" si="0"/>
        <v>12</v>
      </c>
      <c r="P13" s="51">
        <f>VLOOKUP(C13,Purchased!A:D,3,FALSE)</f>
        <v>2.83</v>
      </c>
      <c r="Q13" s="52">
        <f t="shared" si="1"/>
        <v>16.98</v>
      </c>
    </row>
    <row r="14" spans="1:17" s="2" customFormat="1" ht="12" customHeight="1" x14ac:dyDescent="0.25">
      <c r="A14" s="4">
        <v>306</v>
      </c>
      <c r="B14" s="2">
        <v>4</v>
      </c>
      <c r="C14" s="135" t="s">
        <v>686</v>
      </c>
      <c r="D14" s="325" t="str">
        <f>VLOOKUP(C14,Purchased!A:B,2,0)</f>
        <v>Extreme-Temperature Vibration-Damping Sandwich Mount with Stud and Insert, Black, M8 x 1.25 mm Thread, 60 lbs. Capacity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45526</v>
      </c>
      <c r="K14" s="46">
        <f>IF(VLOOKUP(C14,Purchased!A:R,14,0)=0, " ", VLOOKUP(C14,Purchased!A:R,14,0))</f>
        <v>45526</v>
      </c>
      <c r="L14" s="46">
        <f>IF(VLOOKUP(C14,Purchased!A:R,15,0)=0, " ", VLOOKUP(C14,Purchased!A:R,15,0))</f>
        <v>45526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0"/>
        <v>8</v>
      </c>
      <c r="P14" s="51">
        <f>VLOOKUP(C14,Purchased!A:D,3,FALSE)</f>
        <v>14</v>
      </c>
      <c r="Q14" s="52">
        <f t="shared" si="1"/>
        <v>56</v>
      </c>
    </row>
    <row r="15" spans="1:17" s="2" customFormat="1" ht="12" customHeight="1" x14ac:dyDescent="0.25">
      <c r="A15" s="4">
        <v>307</v>
      </c>
      <c r="B15" s="2">
        <v>4</v>
      </c>
      <c r="C15" s="135" t="s">
        <v>178</v>
      </c>
      <c r="D15" s="325" t="str">
        <f>VLOOKUP(C15,Purchased!A:B,2,0)</f>
        <v>10mm Dia 20mm L Steel Dowel Pin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>3 Additional Quantity Added to 55697</v>
      </c>
      <c r="I15" s="328"/>
      <c r="J15" s="46">
        <f>IF(VLOOKUP($C15,Purchased!A:Z,14,0)=0, " ", VLOOKUP($C15,Purchased!A:Z,14,0))</f>
        <v>45481</v>
      </c>
      <c r="K15" s="46">
        <f>IF(VLOOKUP(C15,Purchased!A:R,14,0)=0, " ", VLOOKUP(C15,Purchased!A:R,14,0))</f>
        <v>45481</v>
      </c>
      <c r="L15" s="46">
        <f>IF(VLOOKUP(C15,Purchased!A:R,15,0)=0, " ", VLOOKUP(C15,Purchased!A:R,15,0))</f>
        <v>45481</v>
      </c>
      <c r="M15" s="46">
        <f>IF(VLOOKUP(C15,Purchased!A:R,16,0)=0, " ",VLOOKUP(C15,Purchased!A:R,16,0))</f>
        <v>45482</v>
      </c>
      <c r="N15" s="130">
        <f>IF(VLOOKUP(C15,Purchased!A:R,17,0)=0, " ", VLOOKUP(C15,Purchased!A:R,17,0))</f>
        <v>45482</v>
      </c>
      <c r="O15" s="47">
        <f t="shared" ca="1" si="0"/>
        <v>8</v>
      </c>
      <c r="P15" s="51">
        <f>VLOOKUP(C15,Purchased!A:D,3,FALSE)</f>
        <v>10.57</v>
      </c>
      <c r="Q15" s="52">
        <f t="shared" si="1"/>
        <v>42.28</v>
      </c>
    </row>
    <row r="16" spans="1:17" s="2" customFormat="1" ht="12" customHeight="1" x14ac:dyDescent="0.25">
      <c r="A16" s="4">
        <v>308</v>
      </c>
      <c r="B16" s="2">
        <v>116</v>
      </c>
      <c r="C16" s="135" t="s">
        <v>149</v>
      </c>
      <c r="D16" s="325" t="str">
        <f>VLOOKUP(C16,Purchased!A:B,2,0)</f>
        <v>BRX GOTO QUICK CONNECTOR N10 0°</v>
      </c>
      <c r="E16" s="326"/>
      <c r="F16" s="108" t="str">
        <f>IF(VLOOKUP($C16,Purchased!A:Z,11,0) = 0, " ", VLOOKUP($C16,Purchased!A:Z,11,0))</f>
        <v>T-SLOTS</v>
      </c>
      <c r="G16" s="108" t="str">
        <f>IF(VLOOKUP($C16,Purchased!A:Z,12,0)=0, " ", VLOOKUP($C16,Purchased!A:Z,12,0))</f>
        <v>Process Tech</v>
      </c>
      <c r="H16" s="327" t="str">
        <f>IF(VLOOKUP($C16,Purchased!A:Z,13,0)=0, " ", VLOOKUP($C16,Purchased!A:Z,13,0))</f>
        <v>500 More on P.O. #55639 Part# 659730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>
        <f>IF(VLOOKUP(C16,Purchased!A:R,15,0)=0, " ", VLOOKUP(C16,Purchased!A:R,15,0))</f>
        <v>45362</v>
      </c>
      <c r="M16" s="46">
        <f>IF(VLOOKUP(C16,Purchased!A:R,16,0)=0, " ",VLOOKUP(C16,Purchased!A:R,16,0))</f>
        <v>45378</v>
      </c>
      <c r="N16" s="130">
        <f>IF(VLOOKUP(C16,Purchased!A:R,17,0)=0, " ", VLOOKUP(C16,Purchased!A:R,17,0))</f>
        <v>45378</v>
      </c>
      <c r="O16" s="47">
        <f t="shared" ca="1" si="0"/>
        <v>232</v>
      </c>
      <c r="P16" s="51">
        <f>VLOOKUP(C16,Purchased!A:D,3,FALSE)</f>
        <v>4.17</v>
      </c>
      <c r="Q16" s="52">
        <f t="shared" si="1"/>
        <v>483.71999999999997</v>
      </c>
    </row>
    <row r="17" spans="1:17" s="2" customFormat="1" ht="12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" customHeight="1" x14ac:dyDescent="0.25">
      <c r="A18" s="4">
        <v>501</v>
      </c>
      <c r="B18" s="2">
        <v>32</v>
      </c>
      <c r="C18" s="122" t="s">
        <v>174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64</v>
      </c>
      <c r="P18" s="51">
        <f>VLOOKUP(C18,Bolts!A:B,2,FALSE)</f>
        <v>0</v>
      </c>
      <c r="Q18" s="52">
        <f>B18*P18</f>
        <v>0</v>
      </c>
    </row>
    <row r="19" spans="1:17" s="2" customFormat="1" ht="12" customHeight="1" x14ac:dyDescent="0.25">
      <c r="A19" s="4">
        <v>502</v>
      </c>
      <c r="B19" s="2">
        <v>26</v>
      </c>
      <c r="C19" s="122" t="s">
        <v>382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ca="1">B19*$L$2</f>
        <v>52</v>
      </c>
      <c r="P19" s="51">
        <f>VLOOKUP(C19,Bolts!A:B,2,FALSE)</f>
        <v>0</v>
      </c>
      <c r="Q19" s="52">
        <f>B19*P19</f>
        <v>0</v>
      </c>
    </row>
    <row r="20" spans="1:17" s="2" customFormat="1" ht="12" customHeight="1" x14ac:dyDescent="0.25">
      <c r="A20" s="25"/>
      <c r="B20" s="26"/>
      <c r="C20" s="26"/>
      <c r="D20" s="332"/>
      <c r="E20" s="333"/>
      <c r="F20" s="26"/>
      <c r="G20" s="26"/>
      <c r="H20" s="322"/>
      <c r="I20" s="323"/>
      <c r="J20" s="27"/>
      <c r="K20" s="27"/>
      <c r="L20" s="27"/>
      <c r="M20" s="28"/>
      <c r="N20" s="29"/>
      <c r="O20" s="29"/>
      <c r="P20" s="148"/>
      <c r="Q20" s="149"/>
    </row>
    <row r="21" spans="1:17" s="2" customFormat="1" ht="12" customHeight="1" x14ac:dyDescent="0.25">
      <c r="A21" s="4">
        <v>701</v>
      </c>
      <c r="B21" s="2">
        <v>2</v>
      </c>
      <c r="C21" s="123" t="s">
        <v>1043</v>
      </c>
      <c r="D21" s="325" t="str">
        <f>VLOOKUP(C21,Extrusion!B:C,2,0)</f>
        <v>APPROVED EL 8/1</v>
      </c>
      <c r="E21" s="326"/>
      <c r="F21" s="108" t="str">
        <f ca="1">VLOOKUP(C21,Extrusion!B:N,5,0)</f>
        <v/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0</v>
      </c>
      <c r="M21" s="46">
        <f>VLOOKUP(C21,Extrusion!B:N,11,0)</f>
        <v>0</v>
      </c>
      <c r="N21" s="47">
        <f>VLOOKUP(C21,Extrusion!B:O,12,0)</f>
        <v>0</v>
      </c>
      <c r="O21" s="47">
        <f ca="1">B21*$L$2</f>
        <v>4</v>
      </c>
      <c r="P21" s="51">
        <f>VLOOKUP(C21,Extrusion!B:G,4,0)</f>
        <v>4</v>
      </c>
      <c r="Q21" s="52">
        <f>B21*P21</f>
        <v>8</v>
      </c>
    </row>
    <row r="22" spans="1:17" s="2" customFormat="1" ht="12" customHeight="1" x14ac:dyDescent="0.25">
      <c r="A22" s="4">
        <v>702</v>
      </c>
      <c r="B22" s="2">
        <v>8</v>
      </c>
      <c r="C22" s="123" t="s">
        <v>1044</v>
      </c>
      <c r="D22" s="325" t="str">
        <f>VLOOKUP(C22,Extrusion!B:C,2,0)</f>
        <v>APPROVED EL 9/19</v>
      </c>
      <c r="E22" s="326"/>
      <c r="F22" s="108" t="str">
        <f ca="1">VLOOKUP(C22,Extrusion!B:N,5,0)</f>
        <v/>
      </c>
      <c r="G22" s="108">
        <f>VLOOKUP(C22,Extrusion!B:N,6,0)</f>
        <v>1</v>
      </c>
      <c r="H22" s="108">
        <f>VLOOKUP(C22,Extrusion!B:N,7,0)</f>
        <v>0</v>
      </c>
      <c r="I22" s="109"/>
      <c r="J22" s="46" t="str">
        <f>VLOOKUP(C22,Extrusion!B:N,8,0)</f>
        <v>T-Slots</v>
      </c>
      <c r="K22" s="46">
        <f>VLOOKUP(C22,Extrusion!B:N,9,0)</f>
        <v>0</v>
      </c>
      <c r="L22" s="46">
        <f>VLOOKUP(C22,Extrusion!B:N,10,0)</f>
        <v>0</v>
      </c>
      <c r="M22" s="46">
        <f>VLOOKUP(C22,Extrusion!B:N,11,0)</f>
        <v>0</v>
      </c>
      <c r="N22" s="47">
        <f>VLOOKUP(C22,Extrusion!B:O,12,0)</f>
        <v>0</v>
      </c>
      <c r="O22" s="47">
        <f ca="1">B22*$L$2</f>
        <v>16</v>
      </c>
      <c r="P22" s="51">
        <f>VLOOKUP(C22,Extrusion!B:G,4,0)</f>
        <v>16</v>
      </c>
      <c r="Q22" s="52">
        <f>B22*P22</f>
        <v>128</v>
      </c>
    </row>
    <row r="23" spans="1:17" s="2" customFormat="1" ht="12" customHeight="1" x14ac:dyDescent="0.25">
      <c r="A23" s="4">
        <v>703</v>
      </c>
      <c r="B23" s="2">
        <v>4</v>
      </c>
      <c r="C23" s="123" t="s">
        <v>1045</v>
      </c>
      <c r="D23" s="325" t="str">
        <f>VLOOKUP(C23,Extrusion!B:C,2,0)</f>
        <v>APPROVED EL 8/1</v>
      </c>
      <c r="E23" s="326"/>
      <c r="F23" s="108" t="str">
        <f ca="1">VLOOKUP(C23,Extrusion!B:N,5,0)</f>
        <v/>
      </c>
      <c r="G23" s="108">
        <f>VLOOKUP(C23,Extrusion!B:N,6,0)</f>
        <v>1</v>
      </c>
      <c r="H23" s="108">
        <f>VLOOKUP(C23,Extrusion!B:N,7,0)</f>
        <v>0</v>
      </c>
      <c r="I23" s="109"/>
      <c r="J23" s="46" t="str">
        <f>VLOOKUP(C23,Extrusion!B:N,8,0)</f>
        <v>T-Slots</v>
      </c>
      <c r="K23" s="46">
        <f>VLOOKUP(C23,Extrusion!B:N,9,0)</f>
        <v>0</v>
      </c>
      <c r="L23" s="46">
        <f>VLOOKUP(C23,Extrusion!B:N,10,0)</f>
        <v>0</v>
      </c>
      <c r="M23" s="46">
        <f>VLOOKUP(C23,Extrusion!B:N,11,0)</f>
        <v>0</v>
      </c>
      <c r="N23" s="47">
        <f>VLOOKUP(C23,Extrusion!B:O,12,0)</f>
        <v>0</v>
      </c>
      <c r="O23" s="47">
        <f ca="1">B23*$L$2</f>
        <v>8</v>
      </c>
      <c r="P23" s="51">
        <f>VLOOKUP(C23,Extrusion!B:G,4,0)</f>
        <v>8</v>
      </c>
      <c r="Q23" s="52">
        <f>B23*P23</f>
        <v>32</v>
      </c>
    </row>
    <row r="24" spans="1:17" s="2" customFormat="1" ht="12" customHeight="1" x14ac:dyDescent="0.25">
      <c r="A24" s="4">
        <v>704</v>
      </c>
      <c r="B24" s="2">
        <v>6</v>
      </c>
      <c r="C24" s="123" t="s">
        <v>1046</v>
      </c>
      <c r="D24" s="325" t="str">
        <f>VLOOKUP(C24,Extrusion!B:C,2,0)</f>
        <v>APPROVED EL 9/19</v>
      </c>
      <c r="E24" s="326"/>
      <c r="F24" s="108" t="str">
        <f ca="1">VLOOKUP(C24,Extrusion!B:N,5,0)</f>
        <v/>
      </c>
      <c r="G24" s="108">
        <f>VLOOKUP(C24,Extrusion!B:N,6,0)</f>
        <v>1</v>
      </c>
      <c r="H24" s="108">
        <f>VLOOKUP(C24,Extrusion!B:N,7,0)</f>
        <v>0</v>
      </c>
      <c r="I24" s="109"/>
      <c r="J24" s="46" t="str">
        <f>VLOOKUP(C24,Extrusion!B:N,8,0)</f>
        <v>T-Slots</v>
      </c>
      <c r="K24" s="46">
        <f>VLOOKUP(C24,Extrusion!B:N,9,0)</f>
        <v>0</v>
      </c>
      <c r="L24" s="46">
        <f>VLOOKUP(C24,Extrusion!B:N,10,0)</f>
        <v>0</v>
      </c>
      <c r="M24" s="46">
        <f>VLOOKUP(C24,Extrusion!B:N,11,0)</f>
        <v>0</v>
      </c>
      <c r="N24" s="47">
        <f>VLOOKUP(C24,Extrusion!B:O,12,0)</f>
        <v>0</v>
      </c>
      <c r="O24" s="47">
        <f ca="1">B24*$L$2</f>
        <v>12</v>
      </c>
      <c r="P24" s="51">
        <f>VLOOKUP(C24,Extrusion!B:G,4,0)</f>
        <v>12</v>
      </c>
      <c r="Q24" s="52">
        <f>B24*P24</f>
        <v>72</v>
      </c>
    </row>
    <row r="25" spans="1:17" s="2" customFormat="1" ht="12" customHeight="1" thickBot="1" x14ac:dyDescent="0.3">
      <c r="A25" s="4">
        <v>705</v>
      </c>
      <c r="B25" s="2">
        <v>2</v>
      </c>
      <c r="C25" s="123" t="s">
        <v>1047</v>
      </c>
      <c r="D25" s="325" t="str">
        <f>VLOOKUP(C25,Extrusion!B:C,2,0)</f>
        <v>APPROVED EL 8/1</v>
      </c>
      <c r="E25" s="326"/>
      <c r="F25" s="108" t="str">
        <f ca="1">VLOOKUP(C25,Extrusion!B:N,5,0)</f>
        <v/>
      </c>
      <c r="G25" s="108">
        <f>VLOOKUP(C25,Extrusion!B:N,6,0)</f>
        <v>1</v>
      </c>
      <c r="H25" s="108">
        <f>VLOOKUP(C25,Extrusion!B:N,7,0)</f>
        <v>0</v>
      </c>
      <c r="I25" s="109"/>
      <c r="J25" s="46" t="str">
        <f>VLOOKUP(C25,Extrusion!B:N,8,0)</f>
        <v>T-Slots</v>
      </c>
      <c r="K25" s="46">
        <f>VLOOKUP(C25,Extrusion!B:N,9,0)</f>
        <v>0</v>
      </c>
      <c r="L25" s="46">
        <f>VLOOKUP(C25,Extrusion!B:N,10,0)</f>
        <v>0</v>
      </c>
      <c r="M25" s="46">
        <f>VLOOKUP(C25,Extrusion!B:N,11,0)</f>
        <v>0</v>
      </c>
      <c r="N25" s="47">
        <f>VLOOKUP(C25,Extrusion!B:O,12,0)</f>
        <v>0</v>
      </c>
      <c r="O25" s="47">
        <f ca="1">B25*$L$2</f>
        <v>4</v>
      </c>
      <c r="P25" s="51">
        <f>VLOOKUP(C25,Extrusion!B:G,4,0)</f>
        <v>4</v>
      </c>
      <c r="Q25" s="52">
        <f>B25*P25</f>
        <v>8</v>
      </c>
    </row>
    <row r="26" spans="1:17" s="2" customFormat="1" ht="12" customHeight="1" thickBot="1" x14ac:dyDescent="0.3">
      <c r="A26" s="34"/>
      <c r="B26" s="35"/>
      <c r="C26" s="35"/>
      <c r="D26" s="316"/>
      <c r="E26" s="317"/>
      <c r="F26" s="35"/>
      <c r="G26" s="35"/>
      <c r="H26" s="309"/>
      <c r="I26" s="310"/>
      <c r="J26" s="36"/>
      <c r="K26" s="36"/>
      <c r="L26" s="36"/>
      <c r="M26" s="37"/>
      <c r="N26" s="132"/>
      <c r="O26" s="38"/>
      <c r="P26" s="99" t="s">
        <v>43</v>
      </c>
      <c r="Q26" s="104">
        <f>SUM(Q5:Q25)</f>
        <v>2356.828</v>
      </c>
    </row>
  </sheetData>
  <mergeCells count="40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  <mergeCell ref="D19:E19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D25:E25"/>
    <mergeCell ref="D26:E26"/>
    <mergeCell ref="H26:I26"/>
    <mergeCell ref="D20:E20"/>
    <mergeCell ref="H20:I20"/>
    <mergeCell ref="D21:E21"/>
    <mergeCell ref="D22:E22"/>
    <mergeCell ref="D23:E23"/>
    <mergeCell ref="D24:E24"/>
  </mergeCells>
  <conditionalFormatting sqref="M6 M8 M17:M25">
    <cfRule type="cellIs" dxfId="862" priority="17" stopIfTrue="1" operator="lessThanOrEqual">
      <formula>$L6</formula>
    </cfRule>
    <cfRule type="cellIs" dxfId="861" priority="18" operator="greaterThan">
      <formula>L6</formula>
    </cfRule>
  </conditionalFormatting>
  <conditionalFormatting sqref="M9">
    <cfRule type="cellIs" dxfId="860" priority="15" stopIfTrue="1" operator="lessThanOrEqual">
      <formula>$L9</formula>
    </cfRule>
    <cfRule type="cellIs" dxfId="859" priority="16" operator="greaterThan">
      <formula>L9</formula>
    </cfRule>
  </conditionalFormatting>
  <conditionalFormatting sqref="M10:M16">
    <cfRule type="cellIs" dxfId="858" priority="1" stopIfTrue="1" operator="lessThanOrEqual">
      <formula>$L10</formula>
    </cfRule>
    <cfRule type="cellIs" dxfId="857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73AC46FE-A406-4CFD-98E2-728400121394}">
          <x14:formula1>
            <xm:f>Extrusion!$B:$B</xm:f>
          </x14:formula1>
          <xm:sqref>C21:C25</xm:sqref>
        </x14:dataValidation>
        <x14:dataValidation type="list" allowBlank="1" showInputMessage="1" showErrorMessage="1" xr:uid="{B1B867E2-08B9-4D12-B185-A883E629835F}">
          <x14:formula1>
            <xm:f>Bolts!$A:$A</xm:f>
          </x14:formula1>
          <xm:sqref>C17:C19</xm:sqref>
        </x14:dataValidation>
        <x14:dataValidation type="list" allowBlank="1" showInputMessage="1" showErrorMessage="1" xr:uid="{815E5B4D-A6B6-4E8E-A11A-EFE2626E5D4A}">
          <x14:formula1>
            <xm:f>Assemblies!$E:$E</xm:f>
          </x14:formula1>
          <xm:sqref>C5</xm:sqref>
        </x14:dataValidation>
        <x14:dataValidation type="list" allowBlank="1" showInputMessage="1" showErrorMessage="1" xr:uid="{A11976EC-6365-4229-9E23-DFB97ED0868D}">
          <x14:formula1>
            <xm:f>Machined!$C:$C</xm:f>
          </x14:formula1>
          <xm:sqref>C6:C7</xm:sqref>
        </x14:dataValidation>
        <x14:dataValidation type="list" allowBlank="1" showInputMessage="1" showErrorMessage="1" xr:uid="{1327A80C-0502-4B7D-A386-07D4F0967AAE}">
          <x14:formula1>
            <xm:f>Purchased!$A:$A</xm:f>
          </x14:formula1>
          <xm:sqref>C8:C16</xm:sqref>
        </x14:dataValidation>
      </x14:dataValidations>
    </ext>
  </extLst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DD44-8522-4651-B862-444E7FCE4131}">
  <sheetPr codeName="Sheet162">
    <tabColor theme="9" tint="0.59999389629810485"/>
  </sheetPr>
  <dimension ref="A1:Q38"/>
  <sheetViews>
    <sheetView view="pageBreakPreview" zoomScale="60" zoomScaleNormal="114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'6'!C16</f>
        <v>PG10.6.9.0.A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'6'!D16</f>
        <v>Tube Hopper Assy</v>
      </c>
      <c r="D3" s="85" t="s">
        <v>50</v>
      </c>
      <c r="E3" s="86" t="str">
        <f ca="1">MID(CELL("filename",A1),FIND("]",CELL("filename",A1))+1,256)</f>
        <v>6.9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63" customFormat="1" ht="12" customHeight="1" x14ac:dyDescent="0.2">
      <c r="A5" s="110" t="s">
        <v>54</v>
      </c>
      <c r="B5" s="111">
        <v>2</v>
      </c>
      <c r="C5" s="112" t="s">
        <v>131</v>
      </c>
      <c r="D5" s="336" t="str">
        <f ca="1">VLOOKUP(C5,Assemblies!E:P,2,0)</f>
        <v>Frame Gusset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4</v>
      </c>
      <c r="P5" s="117"/>
      <c r="Q5" s="118">
        <f>B5*P5</f>
        <v>0</v>
      </c>
    </row>
    <row r="6" spans="1:17" s="63" customFormat="1" ht="12" customHeight="1" x14ac:dyDescent="0.2">
      <c r="A6" s="76" t="s">
        <v>56</v>
      </c>
      <c r="B6" s="1">
        <v>2</v>
      </c>
      <c r="C6" s="145" t="s">
        <v>283</v>
      </c>
      <c r="D6" s="314" t="str">
        <f ca="1">VLOOKUP(C6,Assemblies!E:P,2,0)</f>
        <v>PMA Clamp Size 17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4</v>
      </c>
      <c r="P6" s="147"/>
      <c r="Q6" s="103">
        <f>B6*P6</f>
        <v>0</v>
      </c>
    </row>
    <row r="7" spans="1:17" s="63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63" customFormat="1" ht="12" customHeight="1" x14ac:dyDescent="0.25">
      <c r="A8" s="77">
        <v>1</v>
      </c>
      <c r="B8" s="20">
        <v>2</v>
      </c>
      <c r="C8" s="121" t="s">
        <v>1048</v>
      </c>
      <c r="D8" s="314" t="str">
        <f>VLOOKUP(C8,Machined!C:X,2,0)</f>
        <v>Conveyor Rail Plate</v>
      </c>
      <c r="E8" s="329"/>
      <c r="F8" s="107" t="str">
        <f>VLOOKUP($C8,Machined!C:Z,13,0)</f>
        <v>MIC-6 CAST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MIC-6 CAST ALUMINUM</v>
      </c>
      <c r="J8" s="44">
        <f>IF(VLOOKUP($C8,Machined!C:Z,18,0) = 0, " ", VLOOKUP($C8,Machined!C:Z,18,0))</f>
        <v>45495</v>
      </c>
      <c r="K8" s="44">
        <f>IF(VLOOKUP($C8,Machined!C:Z,19,0) = 0, " ", VLOOKUP($C8,Machined!C:Z,19,0))</f>
        <v>45505</v>
      </c>
      <c r="L8" s="44">
        <f>IF(VLOOKUP($C8,Machined!C:Z,20,0) = 0, " ", VLOOKUP($C8,Machined!C:Z,20,0))</f>
        <v>45540</v>
      </c>
      <c r="M8" s="44">
        <f>IF(VLOOKUP($C8,Machined!C:Z,21,0) = 0, " ", VLOOKUP($C8,Machined!C:Z,21,0))</f>
        <v>45540</v>
      </c>
      <c r="N8" s="129">
        <f>IF(VLOOKUP($C8,Machined!C:Z,22,0) = 0, " ", VLOOKUP($C8,Machined!C:Z,22,0))</f>
        <v>55644</v>
      </c>
      <c r="O8" s="45">
        <f ca="1">B8*$L$2</f>
        <v>4</v>
      </c>
      <c r="P8" s="49">
        <f>VLOOKUP(C8,Machined!C:F,3,0)</f>
        <v>121</v>
      </c>
      <c r="Q8" s="50">
        <f>B8*P8</f>
        <v>242</v>
      </c>
    </row>
    <row r="9" spans="1:17" s="63" customFormat="1" ht="12" customHeight="1" x14ac:dyDescent="0.25">
      <c r="A9" s="77">
        <v>2</v>
      </c>
      <c r="B9" s="20">
        <v>2</v>
      </c>
      <c r="C9" s="121" t="s">
        <v>1049</v>
      </c>
      <c r="D9" s="314" t="str">
        <f>VLOOKUP(C9,Machined!C:X,2,0)</f>
        <v>Transition Plate 1</v>
      </c>
      <c r="E9" s="329"/>
      <c r="F9" s="107" t="str">
        <f>VLOOKUP($C9,Machined!C:Z,13,0)</f>
        <v>1018 COLD ROLLED STEEL</v>
      </c>
      <c r="G9" s="44" t="str">
        <f>IF(VLOOKUP($C9,Machined!C:Z,16,0) = 0, " ", VLOOKUP($C9,Machined!C:Z,16,0))</f>
        <v>Frontier Mach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1018 COLD ROLLED STEEL</v>
      </c>
      <c r="J9" s="44">
        <f>IF(VLOOKUP($C9,Machined!C:Z,18,0) = 0, " ", VLOOKUP($C9,Machined!C:Z,18,0))</f>
        <v>45495</v>
      </c>
      <c r="K9" s="44">
        <f>IF(VLOOKUP($C9,Machined!C:Z,19,0) = 0, " ", VLOOKUP($C9,Machined!C:Z,19,0))</f>
        <v>45504</v>
      </c>
      <c r="L9" s="44">
        <f>IF(VLOOKUP($C9,Machined!C:Z,20,0) = 0, " ", VLOOKUP($C9,Machined!C:Z,20,0))</f>
        <v>45534</v>
      </c>
      <c r="M9" s="44">
        <f>IF(VLOOKUP($C9,Machined!C:Z,21,0) = 0, " ", VLOOKUP($C9,Machined!C:Z,21,0))</f>
        <v>45534</v>
      </c>
      <c r="N9" s="129">
        <f>IF(VLOOKUP($C9,Machined!C:Z,22,0) = 0, " ", VLOOKUP($C9,Machined!C:Z,22,0))</f>
        <v>55641</v>
      </c>
      <c r="O9" s="45">
        <f ca="1">B9*$L$2</f>
        <v>4</v>
      </c>
      <c r="P9" s="49">
        <f>VLOOKUP(C9,Machined!C:F,3,0)</f>
        <v>58.25</v>
      </c>
      <c r="Q9" s="50">
        <f>B9*P9</f>
        <v>116.5</v>
      </c>
    </row>
    <row r="10" spans="1:17" s="63" customFormat="1" ht="12" customHeight="1" x14ac:dyDescent="0.25">
      <c r="A10" s="77">
        <v>3</v>
      </c>
      <c r="B10" s="20">
        <v>1</v>
      </c>
      <c r="C10" s="121" t="s">
        <v>1050</v>
      </c>
      <c r="D10" s="314" t="str">
        <f>VLOOKUP(C10,Machined!C:X,2,0)</f>
        <v>Transition Plate 2</v>
      </c>
      <c r="E10" s="329"/>
      <c r="F10" s="107" t="str">
        <f>VLOOKUP($C10,Machined!C:Z,13,0)</f>
        <v>1018 COLD ROLLED STEEL</v>
      </c>
      <c r="G10" s="44" t="str">
        <f>IF(VLOOKUP($C10,Machined!C:Z,16,0) = 0, " ", VLOOKUP($C10,Machined!C:Z,16,0))</f>
        <v xml:space="preserve"> </v>
      </c>
      <c r="H10" s="320" t="str">
        <f>IF(VLOOKUP($C10,Machined!C:Z,17,0) = 0, " ", VLOOKUP($C10,Machined!C:Z,17,0))</f>
        <v>Nuline to modify Rev A to B</v>
      </c>
      <c r="I10" s="321" t="str">
        <f>IF(VLOOKUP($C10,Machined!$C:$Y,13,0) = 0, " ", VLOOKUP($C10,Machined!$C:$Y,13,0))</f>
        <v>1018 COLD ROLLED STEEL</v>
      </c>
      <c r="J10" s="44" t="str">
        <f>IF(VLOOKUP($C10,Machined!C:Z,18,0) = 0, " ", VLOOKUP($C10,Machined!C:Z,18,0))</f>
        <v xml:space="preserve"> </v>
      </c>
      <c r="K10" s="44" t="str">
        <f>IF(VLOOKUP($C10,Machined!C:Z,19,0) = 0, " ", VLOOKUP($C10,Machined!C:Z,19,0))</f>
        <v xml:space="preserve"> </v>
      </c>
      <c r="L10" s="44" t="str">
        <f>IF(VLOOKUP($C10,Machined!C:Z,20,0) = 0, " ", VLOOKUP($C10,Machined!C:Z,20,0))</f>
        <v xml:space="preserve"> </v>
      </c>
      <c r="M10" s="44" t="str">
        <f>IF(VLOOKUP($C10,Machined!C:Z,21,0) = 0, " ", VLOOKUP($C10,Machined!C:Z,21,0))</f>
        <v xml:space="preserve"> </v>
      </c>
      <c r="N10" s="129" t="str">
        <f>IF(VLOOKUP($C10,Machined!C:Z,22,0) = 0, " ", VLOOKUP($C10,Machined!C:Z,22,0))</f>
        <v xml:space="preserve"> </v>
      </c>
      <c r="O10" s="45">
        <f ca="1">B10*$L$2</f>
        <v>2</v>
      </c>
      <c r="P10" s="49">
        <f>VLOOKUP(C10,Machined!C:F,3,0)</f>
        <v>465</v>
      </c>
      <c r="Q10" s="50">
        <f>B10*P10</f>
        <v>465</v>
      </c>
    </row>
    <row r="11" spans="1:17" s="63" customFormat="1" ht="12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" customHeight="1" x14ac:dyDescent="0.25">
      <c r="A12" s="4">
        <v>301</v>
      </c>
      <c r="B12" s="2">
        <v>1</v>
      </c>
      <c r="C12" s="135" t="s">
        <v>1051</v>
      </c>
      <c r="D12" s="325" t="str">
        <f>VLOOKUP(C12,Purchased!A:B,2,0)</f>
        <v>PG10 Tube Hopper and Conveyor Assy</v>
      </c>
      <c r="E12" s="326"/>
      <c r="F12" s="108" t="str">
        <f>IF(VLOOKUP($C12,Purchased!A:Z,11,0) = 0, " ", VLOOKUP($C12,Purchased!A:Z,11,0))</f>
        <v>AFS</v>
      </c>
      <c r="G12" s="108" t="str">
        <f>IF(VLOOKUP($C12,Purchased!A:Z,12,0)=0, " ", VLOOKUP($C12,Purchased!A:Z,12,0))</f>
        <v>AFS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45379</v>
      </c>
      <c r="K12" s="46">
        <f>IF(VLOOKUP(C12,Purchased!A:R,14,0)=0, " ", VLOOKUP(C12,Purchased!A:R,14,0))</f>
        <v>45379</v>
      </c>
      <c r="L12" s="46">
        <f>IF(VLOOKUP(C12,Purchased!A:R,15,0)=0, " ", VLOOKUP(C12,Purchased!A:R,15,0))</f>
        <v>45379</v>
      </c>
      <c r="M12" s="46">
        <f>IF(VLOOKUP(C12,Purchased!A:R,16,0)=0, " ",VLOOKUP(C12,Purchased!A:R,16,0))</f>
        <v>45504</v>
      </c>
      <c r="N12" s="130">
        <f>IF(VLOOKUP(C12,Purchased!A:R,17,0)=0, " ", VLOOKUP(C12,Purchased!A:R,17,0))</f>
        <v>45504</v>
      </c>
      <c r="O12" s="47">
        <f t="shared" ref="O12:O20" ca="1" si="0">B12*$L$2</f>
        <v>2</v>
      </c>
      <c r="P12" s="51">
        <f>VLOOKUP(C12,Purchased!A:D,3,FALSE)</f>
        <v>26891.5</v>
      </c>
      <c r="Q12" s="52">
        <f t="shared" ref="Q12:Q20" si="1">B12*P12</f>
        <v>26891.5</v>
      </c>
    </row>
    <row r="13" spans="1:17" s="2" customFormat="1" ht="12" customHeight="1" x14ac:dyDescent="0.25">
      <c r="A13" s="4">
        <v>302</v>
      </c>
      <c r="B13" s="2">
        <v>4</v>
      </c>
      <c r="C13" s="135" t="s">
        <v>256</v>
      </c>
      <c r="D13" s="325" t="str">
        <f>VLOOKUP(C13,Purchased!A:B,2,0)</f>
        <v>BRL Linear Guide Runner Block Sz 25, Standard Flange</v>
      </c>
      <c r="E13" s="326"/>
      <c r="F13" s="108" t="str">
        <f>IF(VLOOKUP($C13,Purchased!A:Z,11,0) = 0, " ", VLOOKUP($C13,Purchased!A:Z,11,0))</f>
        <v>BRL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Ordered 16 additional PO 55645</v>
      </c>
      <c r="I13" s="328"/>
      <c r="J13" s="46">
        <f>IF(VLOOKUP($C13,Purchased!A:Z,14,0)=0, " ", VLOOKUP($C13,Purchased!A:Z,14,0))</f>
        <v>45456</v>
      </c>
      <c r="K13" s="46">
        <f>IF(VLOOKUP(C13,Purchased!A:R,14,0)=0, " ", VLOOKUP(C13,Purchased!A:R,14,0))</f>
        <v>45456</v>
      </c>
      <c r="L13" s="46">
        <f>IF(VLOOKUP(C13,Purchased!A:R,15,0)=0, " ", VLOOKUP(C13,Purchased!A:R,15,0))</f>
        <v>45456</v>
      </c>
      <c r="M13" s="46">
        <f>IF(VLOOKUP(C13,Purchased!A:R,16,0)=0, " ",VLOOKUP(C13,Purchased!A:R,16,0))</f>
        <v>45502</v>
      </c>
      <c r="N13" s="130">
        <f>IF(VLOOKUP(C13,Purchased!A:R,17,0)=0, " ", VLOOKUP(C13,Purchased!A:R,17,0))</f>
        <v>45505</v>
      </c>
      <c r="O13" s="47">
        <f t="shared" ca="1" si="0"/>
        <v>8</v>
      </c>
      <c r="P13" s="51">
        <f>VLOOKUP(C13,Purchased!A:D,3,FALSE)</f>
        <v>138.68</v>
      </c>
      <c r="Q13" s="52">
        <f t="shared" si="1"/>
        <v>554.72</v>
      </c>
    </row>
    <row r="14" spans="1:17" s="2" customFormat="1" ht="12" customHeight="1" x14ac:dyDescent="0.25">
      <c r="A14" s="4">
        <v>303</v>
      </c>
      <c r="B14" s="2">
        <v>2</v>
      </c>
      <c r="C14" s="135" t="s">
        <v>528</v>
      </c>
      <c r="D14" s="325" t="str">
        <f>VLOOKUP(C14,Purchased!A:B,2,0)</f>
        <v>BRX 45X90 GREY END CAP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45524</v>
      </c>
      <c r="M14" s="46">
        <f>IF(VLOOKUP(C14,Purchased!A:R,16,0)=0, " ",VLOOKUP(C14,Purchased!A:R,16,0))</f>
        <v>45547</v>
      </c>
      <c r="N14" s="130" t="str">
        <f>IF(VLOOKUP(C14,Purchased!A:R,17,0)=0, " ", VLOOKUP(C14,Purchased!A:R,17,0))</f>
        <v xml:space="preserve"> </v>
      </c>
      <c r="O14" s="47">
        <f t="shared" ca="1" si="0"/>
        <v>4</v>
      </c>
      <c r="P14" s="51">
        <f>VLOOKUP(C14,Purchased!A:D,3,FALSE)</f>
        <v>2.14</v>
      </c>
      <c r="Q14" s="52">
        <f t="shared" si="1"/>
        <v>4.28</v>
      </c>
    </row>
    <row r="15" spans="1:17" s="2" customFormat="1" ht="12" customHeight="1" x14ac:dyDescent="0.25">
      <c r="A15" s="4">
        <v>304</v>
      </c>
      <c r="B15" s="2">
        <v>12</v>
      </c>
      <c r="C15" s="135">
        <v>3842535466</v>
      </c>
      <c r="D15" s="325" t="str">
        <f>VLOOKUP(C15,Purchased!A:B,2,0)</f>
        <v>BRX GOTO QUICK CONNECTOR N10 90°</v>
      </c>
      <c r="E15" s="326"/>
      <c r="F15" s="108" t="str">
        <f>IF(VLOOKUP($C15,Purchased!A:Z,11,0) = 0, " ", VLOOKUP($C15,Purchased!A:Z,11,0))</f>
        <v>T-SLOTS</v>
      </c>
      <c r="G15" s="108" t="str">
        <f>IF(VLOOKUP($C15,Purchased!A:Z,12,0)=0, " ", VLOOKUP($C15,Purchased!A:Z,12,0))</f>
        <v>Process Tech</v>
      </c>
      <c r="H15" s="327" t="str">
        <f>IF(VLOOKUP($C15,Purchased!A:Z,13,0)=0, " ", VLOOKUP($C15,Purchased!A:Z,13,0))</f>
        <v>Ordered 300 8/29/24 JP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45533</v>
      </c>
      <c r="M15" s="46">
        <f>IF(VLOOKUP(C15,Purchased!A:R,16,0)=0, " ",VLOOKUP(C15,Purchased!A:R,16,0))</f>
        <v>45540</v>
      </c>
      <c r="N15" s="130" t="str">
        <f>IF(VLOOKUP(C15,Purchased!A:R,17,0)=0, " ", VLOOKUP(C15,Purchased!A:R,17,0))</f>
        <v xml:space="preserve"> </v>
      </c>
      <c r="O15" s="47">
        <f t="shared" ca="1" si="0"/>
        <v>24</v>
      </c>
      <c r="P15" s="51">
        <f>VLOOKUP(C15,Purchased!A:D,3,FALSE)</f>
        <v>4.17</v>
      </c>
      <c r="Q15" s="52">
        <f t="shared" si="1"/>
        <v>50.04</v>
      </c>
    </row>
    <row r="16" spans="1:17" s="2" customFormat="1" ht="12" customHeight="1" x14ac:dyDescent="0.25">
      <c r="A16" s="4">
        <v>305</v>
      </c>
      <c r="B16" s="2">
        <v>24</v>
      </c>
      <c r="C16" s="135" t="s">
        <v>149</v>
      </c>
      <c r="D16" s="325" t="str">
        <f>VLOOKUP(C16,Purchased!A:B,2,0)</f>
        <v>BRX GOTO QUICK CONNECTOR N10 0°</v>
      </c>
      <c r="E16" s="326"/>
      <c r="F16" s="108" t="str">
        <f>IF(VLOOKUP($C16,Purchased!A:Z,11,0) = 0, " ", VLOOKUP($C16,Purchased!A:Z,11,0))</f>
        <v>T-SLOTS</v>
      </c>
      <c r="G16" s="108" t="str">
        <f>IF(VLOOKUP($C16,Purchased!A:Z,12,0)=0, " ", VLOOKUP($C16,Purchased!A:Z,12,0))</f>
        <v>Process Tech</v>
      </c>
      <c r="H16" s="327" t="str">
        <f>IF(VLOOKUP($C16,Purchased!A:Z,13,0)=0, " ", VLOOKUP($C16,Purchased!A:Z,13,0))</f>
        <v>500 More on P.O. #55639 Part# 659730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>
        <f>IF(VLOOKUP(C16,Purchased!A:R,15,0)=0, " ", VLOOKUP(C16,Purchased!A:R,15,0))</f>
        <v>45362</v>
      </c>
      <c r="M16" s="46">
        <f>IF(VLOOKUP(C16,Purchased!A:R,16,0)=0, " ",VLOOKUP(C16,Purchased!A:R,16,0))</f>
        <v>45378</v>
      </c>
      <c r="N16" s="130">
        <f>IF(VLOOKUP(C16,Purchased!A:R,17,0)=0, " ", VLOOKUP(C16,Purchased!A:R,17,0))</f>
        <v>45378</v>
      </c>
      <c r="O16" s="47">
        <f t="shared" ca="1" si="0"/>
        <v>48</v>
      </c>
      <c r="P16" s="51">
        <f>VLOOKUP(C16,Purchased!A:D,3,FALSE)</f>
        <v>4.17</v>
      </c>
      <c r="Q16" s="52">
        <f t="shared" si="1"/>
        <v>100.08</v>
      </c>
    </row>
    <row r="17" spans="1:17" s="2" customFormat="1" ht="12" customHeight="1" x14ac:dyDescent="0.25">
      <c r="A17" s="4">
        <v>306</v>
      </c>
      <c r="B17" s="2">
        <v>4</v>
      </c>
      <c r="C17" s="135" t="s">
        <v>694</v>
      </c>
      <c r="D17" s="325" t="str">
        <f>VLOOKUP(C17,Purchased!A:B,2,0)</f>
        <v>Metric M5 to 4mm hose quick connect</v>
      </c>
      <c r="E17" s="326"/>
      <c r="F17" s="108" t="str">
        <f>IF(VLOOKUP($C17,Purchased!A:Z,11,0) = 0, " ", VLOOKUP($C17,Purchased!A:Z,11,0))</f>
        <v>SMC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45489</v>
      </c>
      <c r="K17" s="46">
        <f>IF(VLOOKUP(C17,Purchased!A:R,14,0)=0, " ", VLOOKUP(C17,Purchased!A:R,14,0))</f>
        <v>45489</v>
      </c>
      <c r="L17" s="46">
        <f>IF(VLOOKUP(C17,Purchased!A:R,15,0)=0, " ", VLOOKUP(C17,Purchased!A:R,15,0))</f>
        <v>45491</v>
      </c>
      <c r="M17" s="46">
        <f>IF(VLOOKUP(C17,Purchased!A:R,16,0)=0, " ",VLOOKUP(C17,Purchased!A:R,16,0))</f>
        <v>45520</v>
      </c>
      <c r="N17" s="130">
        <f>IF(VLOOKUP(C17,Purchased!A:R,17,0)=0, " ", VLOOKUP(C17,Purchased!A:R,17,0))</f>
        <v>45511</v>
      </c>
      <c r="O17" s="47">
        <f t="shared" ca="1" si="0"/>
        <v>8</v>
      </c>
      <c r="P17" s="51">
        <f>VLOOKUP(C17,Purchased!A:D,3,FALSE)</f>
        <v>0.85</v>
      </c>
      <c r="Q17" s="52">
        <f t="shared" si="1"/>
        <v>3.4</v>
      </c>
    </row>
    <row r="18" spans="1:17" s="2" customFormat="1" ht="12" customHeight="1" x14ac:dyDescent="0.25">
      <c r="A18" s="4">
        <v>307</v>
      </c>
      <c r="B18" s="2">
        <v>1</v>
      </c>
      <c r="C18" s="135" t="s">
        <v>695</v>
      </c>
      <c r="D18" s="325" t="str">
        <f>VLOOKUP(C18,Purchased!A:B,2,0)</f>
        <v>SMC Unifit 4way splitter</v>
      </c>
      <c r="E18" s="326"/>
      <c r="F18" s="108" t="str">
        <f>IF(VLOOKUP($C18,Purchased!A:Z,11,0) = 0, " ", VLOOKUP($C18,Purchased!A:Z,11,0))</f>
        <v>SMC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45491</v>
      </c>
      <c r="M18" s="46">
        <f>IF(VLOOKUP(C18,Purchased!A:R,16,0)=0, " ",VLOOKUP(C18,Purchased!A:R,16,0))</f>
        <v>45520</v>
      </c>
      <c r="N18" s="130">
        <f>IF(VLOOKUP(C18,Purchased!A:R,17,0)=0, " ", VLOOKUP(C18,Purchased!A:R,17,0))</f>
        <v>45511</v>
      </c>
      <c r="O18" s="47">
        <f t="shared" ca="1" si="0"/>
        <v>2</v>
      </c>
      <c r="P18" s="51">
        <f>VLOOKUP(C18,Purchased!A:D,3,FALSE)</f>
        <v>4.17</v>
      </c>
      <c r="Q18" s="52">
        <f t="shared" si="1"/>
        <v>4.17</v>
      </c>
    </row>
    <row r="19" spans="1:17" s="2" customFormat="1" ht="12" customHeight="1" x14ac:dyDescent="0.25">
      <c r="A19" s="4">
        <v>308</v>
      </c>
      <c r="B19" s="2">
        <v>4</v>
      </c>
      <c r="C19" s="135" t="s">
        <v>696</v>
      </c>
      <c r="D19" s="325" t="str">
        <f>VLOOKUP(C19,Purchased!A:B,2,0)</f>
        <v>NORMALLY CLOSED PNEUMATIC BRAKE, 25MM RAIL SIZE</v>
      </c>
      <c r="E19" s="326"/>
      <c r="F19" s="108" t="str">
        <f>IF(VLOOKUP($C19,Purchased!A:Z,11,0) = 0, " ", VLOOKUP($C19,Purchased!A:Z,11,0))</f>
        <v>Zimmer</v>
      </c>
      <c r="G19" s="108" t="str">
        <f>IF(VLOOKUP($C19,Purchased!A:Z,12,0)=0, " ", VLOOKUP($C19,Purchased!A:Z,12,0))</f>
        <v>Zimmer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45482</v>
      </c>
      <c r="K19" s="46">
        <f>IF(VLOOKUP(C19,Purchased!A:R,14,0)=0, " ", VLOOKUP(C19,Purchased!A:R,14,0))</f>
        <v>45482</v>
      </c>
      <c r="L19" s="46">
        <f>IF(VLOOKUP(C19,Purchased!A:R,15,0)=0, " ", VLOOKUP(C19,Purchased!A:R,15,0))</f>
        <v>45482</v>
      </c>
      <c r="M19" s="46">
        <f>IF(VLOOKUP(C19,Purchased!A:R,16,0)=0, " ",VLOOKUP(C19,Purchased!A:R,16,0))</f>
        <v>45512</v>
      </c>
      <c r="N19" s="130">
        <f>IF(VLOOKUP(C19,Purchased!A:R,17,0)=0, " ", VLOOKUP(C19,Purchased!A:R,17,0))</f>
        <v>45512</v>
      </c>
      <c r="O19" s="47">
        <f t="shared" ca="1" si="0"/>
        <v>8</v>
      </c>
      <c r="P19" s="51">
        <f>VLOOKUP(C19,Purchased!A:D,3,FALSE)</f>
        <v>455</v>
      </c>
      <c r="Q19" s="52">
        <f t="shared" si="1"/>
        <v>1820</v>
      </c>
    </row>
    <row r="20" spans="1:17" s="2" customFormat="1" ht="12" customHeight="1" x14ac:dyDescent="0.25">
      <c r="A20" s="4">
        <v>309</v>
      </c>
      <c r="B20" s="2">
        <v>8</v>
      </c>
      <c r="C20" s="135" t="s">
        <v>697</v>
      </c>
      <c r="D20" s="325" t="str">
        <f>VLOOKUP(C20,Purchased!A:B,2,0)</f>
        <v>Zinc-Plated Steel Washer for M12 Screw Size, 13 mm ID, 24 mm OD</v>
      </c>
      <c r="E20" s="326"/>
      <c r="F20" s="108" t="str">
        <f>IF(VLOOKUP($C20,Purchased!A:Z,11,0) = 0, " ", VLOOKUP($C20,Purchased!A:Z,11,0))</f>
        <v>MCM</v>
      </c>
      <c r="G20" s="108" t="str">
        <f>IF(VLOOKUP($C20,Purchased!A:Z,12,0)=0, " ", VLOOKUP($C20,Purchased!A:Z,12,0))</f>
        <v>MCM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45526</v>
      </c>
      <c r="K20" s="46">
        <f>IF(VLOOKUP(C20,Purchased!A:R,14,0)=0, " ", VLOOKUP(C20,Purchased!A:R,14,0))</f>
        <v>45526</v>
      </c>
      <c r="L20" s="46">
        <f>IF(VLOOKUP(C20,Purchased!A:R,15,0)=0, " ", VLOOKUP(C20,Purchased!A:R,15,0))</f>
        <v>45526</v>
      </c>
      <c r="M20" s="46" t="str">
        <f>IF(VLOOKUP(C20,Purchased!A:R,16,0)=0, " ",VLOOKUP(C20,Purchased!A:R,16,0))</f>
        <v xml:space="preserve"> </v>
      </c>
      <c r="N20" s="130" t="str">
        <f>IF(VLOOKUP(C20,Purchased!A:R,17,0)=0, " ", VLOOKUP(C20,Purchased!A:R,17,0))</f>
        <v xml:space="preserve"> </v>
      </c>
      <c r="O20" s="47">
        <f t="shared" ca="1" si="0"/>
        <v>16</v>
      </c>
      <c r="P20" s="51">
        <f>VLOOKUP(C20,Purchased!A:D,3,FALSE)</f>
        <v>8.58</v>
      </c>
      <c r="Q20" s="52">
        <f t="shared" si="1"/>
        <v>68.64</v>
      </c>
    </row>
    <row r="21" spans="1:17" s="2" customFormat="1" ht="12" customHeight="1" x14ac:dyDescent="0.25">
      <c r="A21" s="4">
        <v>310</v>
      </c>
      <c r="B21" s="2">
        <v>2</v>
      </c>
      <c r="C21" s="135" t="s">
        <v>1052</v>
      </c>
      <c r="D21" s="325" t="str">
        <f>VLOOKUP(C21,Purchased!A:B,2,0)</f>
        <v>15MM BALL RAIL, 450MM LENGTH, T-15MM</v>
      </c>
      <c r="E21" s="326"/>
      <c r="F21" s="108" t="str">
        <f>IF(VLOOKUP($C21,Purchased!A:Z,11,0) = 0, " ", VLOOKUP($C21,Purchased!A:Z,11,0))</f>
        <v>BRL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 xml:space="preserve"> </v>
      </c>
      <c r="I21" s="328"/>
      <c r="J21" s="46">
        <f>IF(VLOOKUP($C21,Purchased!A:Z,14,0)=0, " ", VLOOKUP($C21,Purchased!A:Z,14,0))</f>
        <v>45502</v>
      </c>
      <c r="K21" s="46">
        <f>IF(VLOOKUP(C21,Purchased!A:R,14,0)=0, " ", VLOOKUP(C21,Purchased!A:R,14,0))</f>
        <v>45502</v>
      </c>
      <c r="L21" s="46">
        <f>IF(VLOOKUP(C21,Purchased!A:R,15,0)=0, " ", VLOOKUP(C21,Purchased!A:R,15,0))</f>
        <v>45506</v>
      </c>
      <c r="M21" s="46">
        <f>IF(VLOOKUP(C21,Purchased!A:R,16,0)=0, " ",VLOOKUP(C21,Purchased!A:R,16,0))</f>
        <v>45547</v>
      </c>
      <c r="N21" s="130">
        <f>IF(VLOOKUP(C21,Purchased!A:R,17,0)=0, " ", VLOOKUP(C21,Purchased!A:R,17,0))</f>
        <v>45552</v>
      </c>
      <c r="O21" s="47">
        <f t="shared" ref="O21" ca="1" si="2">B21*$L$2</f>
        <v>4</v>
      </c>
      <c r="P21" s="51">
        <f>VLOOKUP(C21,Purchased!A:D,3,FALSE)</f>
        <v>193.88800000000001</v>
      </c>
      <c r="Q21" s="52">
        <f t="shared" ref="Q21" si="3">B21*P21</f>
        <v>387.77600000000001</v>
      </c>
    </row>
    <row r="22" spans="1:17" s="2" customFormat="1" ht="12" customHeight="1" x14ac:dyDescent="0.25">
      <c r="A22" s="4">
        <v>311</v>
      </c>
      <c r="B22" s="2">
        <v>4</v>
      </c>
      <c r="C22" s="135">
        <v>3842548758</v>
      </c>
      <c r="D22" s="325" t="str">
        <f>VLOOKUP(C22,Purchased!A:B,2,0)</f>
        <v>BRX 3842548758 Cover Cap 90x90 Grey</v>
      </c>
      <c r="E22" s="326"/>
      <c r="F22" s="108" t="str">
        <f>IF(VLOOKUP($C22,Purchased!A:Z,11,0) = 0, " ", VLOOKUP($C22,Purchased!A:Z,11,0))</f>
        <v>BRX</v>
      </c>
      <c r="G22" s="108" t="str">
        <f>IF(VLOOKUP($C22,Purchased!A:Z,12,0)=0, " ", VLOOKUP($C22,Purchased!A:Z,12,0))</f>
        <v>AAP</v>
      </c>
      <c r="H22" s="327" t="str">
        <f>IF(VLOOKUP($C22,Purchased!A:Z,13,0)=0, " ", VLOOKUP($C22,Purchased!A:Z,13,0))</f>
        <v xml:space="preserve"> </v>
      </c>
      <c r="I22" s="328"/>
      <c r="J22" s="46" t="str">
        <f>IF(VLOOKUP($C22,Purchased!A:Z,14,0)=0, " ", VLOOKUP($C22,Purchased!A:Z,14,0))</f>
        <v>N/A</v>
      </c>
      <c r="K22" s="46" t="str">
        <f>IF(VLOOKUP(C22,Purchased!A:R,14,0)=0, " ", VLOOKUP(C22,Purchased!A:R,14,0))</f>
        <v>N/A</v>
      </c>
      <c r="L22" s="46">
        <f>IF(VLOOKUP(C22,Purchased!A:R,15,0)=0, " ", VLOOKUP(C22,Purchased!A:R,15,0))</f>
        <v>45524</v>
      </c>
      <c r="M22" s="46">
        <f>IF(VLOOKUP(C22,Purchased!A:R,16,0)=0, " ",VLOOKUP(C22,Purchased!A:R,16,0))</f>
        <v>45547</v>
      </c>
      <c r="N22" s="130" t="str">
        <f>IF(VLOOKUP(C22,Purchased!A:R,17,0)=0, " ", VLOOKUP(C22,Purchased!A:R,17,0))</f>
        <v xml:space="preserve"> </v>
      </c>
      <c r="O22" s="47">
        <f t="shared" ref="O22" ca="1" si="4">B22*$L$2</f>
        <v>8</v>
      </c>
      <c r="P22" s="51">
        <f>VLOOKUP(C22,Purchased!A:D,3,FALSE)</f>
        <v>2.83</v>
      </c>
      <c r="Q22" s="52">
        <f t="shared" ref="Q22" si="5">B22*P22</f>
        <v>11.32</v>
      </c>
    </row>
    <row r="23" spans="1:17" s="2" customFormat="1" ht="12" customHeight="1" x14ac:dyDescent="0.25">
      <c r="A23" s="4">
        <v>312</v>
      </c>
      <c r="B23" s="2">
        <v>4</v>
      </c>
      <c r="C23" s="135" t="s">
        <v>178</v>
      </c>
      <c r="D23" s="325" t="str">
        <f>VLOOKUP(C23,Purchased!A:B,2,0)</f>
        <v>10mm Dia 20mm L Steel Dowel Pin</v>
      </c>
      <c r="E23" s="326"/>
      <c r="F23" s="108" t="str">
        <f>IF(VLOOKUP($C23,Purchased!A:Z,11,0) = 0, " ", VLOOKUP($C23,Purchased!A:Z,11,0))</f>
        <v>MCM</v>
      </c>
      <c r="G23" s="108" t="str">
        <f>IF(VLOOKUP($C23,Purchased!A:Z,12,0)=0, " ", VLOOKUP($C23,Purchased!A:Z,12,0))</f>
        <v>MCM</v>
      </c>
      <c r="H23" s="327" t="str">
        <f>IF(VLOOKUP($C23,Purchased!A:Z,13,0)=0, " ", VLOOKUP($C23,Purchased!A:Z,13,0))</f>
        <v>3 Additional Quantity Added to 55697</v>
      </c>
      <c r="I23" s="328"/>
      <c r="J23" s="46">
        <f>IF(VLOOKUP($C23,Purchased!A:Z,14,0)=0, " ", VLOOKUP($C23,Purchased!A:Z,14,0))</f>
        <v>45481</v>
      </c>
      <c r="K23" s="46">
        <f>IF(VLOOKUP(C23,Purchased!A:R,14,0)=0, " ", VLOOKUP(C23,Purchased!A:R,14,0))</f>
        <v>45481</v>
      </c>
      <c r="L23" s="46">
        <f>IF(VLOOKUP(C23,Purchased!A:R,15,0)=0, " ", VLOOKUP(C23,Purchased!A:R,15,0))</f>
        <v>45481</v>
      </c>
      <c r="M23" s="46">
        <f>IF(VLOOKUP(C23,Purchased!A:R,16,0)=0, " ",VLOOKUP(C23,Purchased!A:R,16,0))</f>
        <v>45482</v>
      </c>
      <c r="N23" s="130">
        <f>IF(VLOOKUP(C23,Purchased!A:R,17,0)=0, " ", VLOOKUP(C23,Purchased!A:R,17,0))</f>
        <v>45482</v>
      </c>
      <c r="O23" s="47">
        <f t="shared" ref="O23" ca="1" si="6">B23*$L$2</f>
        <v>8</v>
      </c>
      <c r="P23" s="51">
        <f>VLOOKUP(C23,Purchased!A:D,3,FALSE)</f>
        <v>10.57</v>
      </c>
      <c r="Q23" s="52">
        <f t="shared" ref="Q23" si="7">B23*P23</f>
        <v>42.28</v>
      </c>
    </row>
    <row r="24" spans="1:17" s="2" customFormat="1" ht="12" customHeight="1" x14ac:dyDescent="0.25">
      <c r="A24" s="4">
        <v>313</v>
      </c>
      <c r="B24" s="2">
        <v>12</v>
      </c>
      <c r="C24" s="135">
        <v>3842530283</v>
      </c>
      <c r="D24" s="325" t="str">
        <f>VLOOKUP(C24,Purchased!A:B,2,0)</f>
        <v>BRX GOTO T-NUT 10 M5</v>
      </c>
      <c r="E24" s="326"/>
      <c r="F24" s="108" t="str">
        <f>IF(VLOOKUP($C24,Purchased!A:Z,11,0) = 0, " ", VLOOKUP($C24,Purchased!A:Z,11,0))</f>
        <v>BRX</v>
      </c>
      <c r="G24" s="108" t="str">
        <f>IF(VLOOKUP($C24,Purchased!A:Z,12,0)=0, " ", VLOOKUP($C24,Purchased!A:Z,12,0))</f>
        <v>AAP</v>
      </c>
      <c r="H24" s="327" t="str">
        <f>IF(VLOOKUP($C24,Purchased!A:Z,13,0)=0, " ", VLOOKUP($C24,Purchased!A:Z,13,0))</f>
        <v>100 additional quantity added to 55710</v>
      </c>
      <c r="I24" s="328"/>
      <c r="J24" s="46">
        <f>IF(VLOOKUP($C24,Purchased!A:Z,14,0)=0, " ", VLOOKUP($C24,Purchased!A:Z,14,0))</f>
        <v>45463</v>
      </c>
      <c r="K24" s="46">
        <f>IF(VLOOKUP(C24,Purchased!A:R,14,0)=0, " ", VLOOKUP(C24,Purchased!A:R,14,0))</f>
        <v>45463</v>
      </c>
      <c r="L24" s="46">
        <f>IF(VLOOKUP(C24,Purchased!A:R,15,0)=0, " ", VLOOKUP(C24,Purchased!A:R,15,0))</f>
        <v>45463</v>
      </c>
      <c r="M24" s="46">
        <f>IF(VLOOKUP(C24,Purchased!A:R,16,0)=0, " ",VLOOKUP(C24,Purchased!A:R,16,0))</f>
        <v>45481</v>
      </c>
      <c r="N24" s="130">
        <f>IF(VLOOKUP(C24,Purchased!A:R,17,0)=0, " ", VLOOKUP(C24,Purchased!A:R,17,0))</f>
        <v>45481</v>
      </c>
      <c r="O24" s="47">
        <f t="shared" ref="O24" ca="1" si="8">B24*$L$2</f>
        <v>24</v>
      </c>
      <c r="P24" s="51">
        <f>VLOOKUP(C24,Purchased!A:D,3,FALSE)</f>
        <v>0.56000000000000005</v>
      </c>
      <c r="Q24" s="52">
        <f t="shared" ref="Q24" si="9">B24*P24</f>
        <v>6.7200000000000006</v>
      </c>
    </row>
    <row r="25" spans="1:17" s="2" customFormat="1" ht="12" customHeight="1" x14ac:dyDescent="0.25">
      <c r="A25" s="25"/>
      <c r="B25" s="26"/>
      <c r="C25" s="26"/>
      <c r="D25" s="332"/>
      <c r="E25" s="333"/>
      <c r="F25" s="26"/>
      <c r="G25" s="26"/>
      <c r="H25" s="322"/>
      <c r="I25" s="323"/>
      <c r="J25" s="27"/>
      <c r="K25" s="27"/>
      <c r="L25" s="27"/>
      <c r="M25" s="28"/>
      <c r="N25" s="29"/>
      <c r="O25" s="29"/>
      <c r="P25" s="148"/>
      <c r="Q25" s="149"/>
    </row>
    <row r="26" spans="1:17" s="2" customFormat="1" ht="12" customHeight="1" x14ac:dyDescent="0.25">
      <c r="A26" s="4">
        <v>501</v>
      </c>
      <c r="B26" s="2">
        <v>10</v>
      </c>
      <c r="C26" s="122" t="s">
        <v>349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ref="O26:O31" ca="1" si="10">B26*$L$2</f>
        <v>20</v>
      </c>
      <c r="P26" s="51">
        <f>VLOOKUP(C26,Bolts!A:B,2,FALSE)</f>
        <v>0</v>
      </c>
      <c r="Q26" s="52">
        <f t="shared" ref="Q26:Q31" si="11">B26*P26</f>
        <v>0</v>
      </c>
    </row>
    <row r="27" spans="1:17" s="2" customFormat="1" ht="12" customHeight="1" x14ac:dyDescent="0.25">
      <c r="A27" s="4">
        <v>502</v>
      </c>
      <c r="B27" s="2">
        <v>2</v>
      </c>
      <c r="C27" s="122" t="s">
        <v>973</v>
      </c>
      <c r="D27" s="325"/>
      <c r="E27" s="326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ca="1" si="10"/>
        <v>4</v>
      </c>
      <c r="P27" s="51">
        <f>VLOOKUP(C27,Bolts!A:B,2,FALSE)</f>
        <v>0</v>
      </c>
      <c r="Q27" s="52">
        <f t="shared" si="11"/>
        <v>0</v>
      </c>
    </row>
    <row r="28" spans="1:17" s="2" customFormat="1" ht="12" customHeight="1" x14ac:dyDescent="0.25">
      <c r="A28" s="4">
        <v>503</v>
      </c>
      <c r="B28" s="2">
        <v>12</v>
      </c>
      <c r="C28" s="122" t="s">
        <v>95</v>
      </c>
      <c r="D28" s="158"/>
      <c r="E28" s="159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ref="O28:O29" ca="1" si="12">B28*$L$2</f>
        <v>24</v>
      </c>
      <c r="P28" s="51">
        <f>VLOOKUP(C28,Bolts!A:B,2,FALSE)</f>
        <v>0</v>
      </c>
      <c r="Q28" s="52">
        <f t="shared" ref="Q28:Q29" si="13">B28*P28</f>
        <v>0</v>
      </c>
    </row>
    <row r="29" spans="1:17" s="2" customFormat="1" ht="12" customHeight="1" x14ac:dyDescent="0.25">
      <c r="A29" s="4">
        <v>504</v>
      </c>
      <c r="B29" s="2">
        <v>12</v>
      </c>
      <c r="C29" s="122" t="s">
        <v>174</v>
      </c>
      <c r="D29" s="158"/>
      <c r="E29" s="159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12"/>
        <v>24</v>
      </c>
      <c r="P29" s="51">
        <f>VLOOKUP(C29,Bolts!A:B,2,FALSE)</f>
        <v>0</v>
      </c>
      <c r="Q29" s="52">
        <f t="shared" si="13"/>
        <v>0</v>
      </c>
    </row>
    <row r="30" spans="1:17" s="2" customFormat="1" ht="12" customHeight="1" x14ac:dyDescent="0.25">
      <c r="A30" s="4">
        <v>505</v>
      </c>
      <c r="B30" s="2">
        <v>8</v>
      </c>
      <c r="C30" s="122" t="s">
        <v>692</v>
      </c>
      <c r="D30" s="325"/>
      <c r="E30" s="326"/>
      <c r="F30" s="108">
        <f>VLOOKUP(C30,Bolts!A:L,5,0)</f>
        <v>0</v>
      </c>
      <c r="G30" s="108">
        <f>VLOOKUP(C30,Bolts!A:L,6,0)</f>
        <v>0</v>
      </c>
      <c r="H30" s="108">
        <f>VLOOKUP(C30,Bolts!A:L,7,0)</f>
        <v>0</v>
      </c>
      <c r="I30" s="109"/>
      <c r="J30" s="46">
        <f>VLOOKUP(C30,Bolts!A:L,8,0)</f>
        <v>0</v>
      </c>
      <c r="K30" s="46">
        <f>VLOOKUP(C30,Bolts!A:L,9,0)</f>
        <v>0</v>
      </c>
      <c r="L30" s="46">
        <f>VLOOKUP(C30,Bolts!A:L,10,0)</f>
        <v>0</v>
      </c>
      <c r="M30" s="46">
        <f>VLOOKUP(C30,Bolts!A:L,11,0)</f>
        <v>0</v>
      </c>
      <c r="N30" s="130">
        <f>VLOOKUP(C30,Bolts!A:L,12,0)</f>
        <v>0</v>
      </c>
      <c r="O30" s="47">
        <f t="shared" ca="1" si="10"/>
        <v>16</v>
      </c>
      <c r="P30" s="51">
        <f>VLOOKUP(C30,Bolts!A:B,2,FALSE)</f>
        <v>0</v>
      </c>
      <c r="Q30" s="52">
        <f t="shared" si="11"/>
        <v>0</v>
      </c>
    </row>
    <row r="31" spans="1:17" s="2" customFormat="1" ht="12" customHeight="1" x14ac:dyDescent="0.25">
      <c r="A31" s="4">
        <v>506</v>
      </c>
      <c r="B31" s="2">
        <v>8</v>
      </c>
      <c r="C31" s="122" t="s">
        <v>698</v>
      </c>
      <c r="D31" s="325"/>
      <c r="E31" s="326"/>
      <c r="F31" s="108">
        <f>VLOOKUP(C31,Bolts!A:L,5,0)</f>
        <v>0</v>
      </c>
      <c r="G31" s="108">
        <f>VLOOKUP(C31,Bolts!A:L,6,0)</f>
        <v>0</v>
      </c>
      <c r="H31" s="108">
        <f>VLOOKUP(C31,Bolts!A:L,7,0)</f>
        <v>0</v>
      </c>
      <c r="I31" s="109"/>
      <c r="J31" s="46">
        <f>VLOOKUP(C31,Bolts!A:L,8,0)</f>
        <v>0</v>
      </c>
      <c r="K31" s="46">
        <f>VLOOKUP(C31,Bolts!A:L,9,0)</f>
        <v>0</v>
      </c>
      <c r="L31" s="46">
        <f>VLOOKUP(C31,Bolts!A:L,10,0)</f>
        <v>0</v>
      </c>
      <c r="M31" s="46">
        <f>VLOOKUP(C31,Bolts!A:L,11,0)</f>
        <v>0</v>
      </c>
      <c r="N31" s="130">
        <f>VLOOKUP(C31,Bolts!A:L,12,0)</f>
        <v>0</v>
      </c>
      <c r="O31" s="47">
        <f t="shared" ca="1" si="10"/>
        <v>16</v>
      </c>
      <c r="P31" s="51">
        <f>VLOOKUP(C31,Bolts!A:B,2,FALSE)</f>
        <v>0</v>
      </c>
      <c r="Q31" s="52">
        <f t="shared" si="11"/>
        <v>0</v>
      </c>
    </row>
    <row r="32" spans="1:17" s="2" customFormat="1" ht="12" customHeight="1" x14ac:dyDescent="0.25">
      <c r="A32" s="25"/>
      <c r="B32" s="26"/>
      <c r="C32" s="26"/>
      <c r="D32" s="332"/>
      <c r="E32" s="333"/>
      <c r="F32" s="26"/>
      <c r="G32" s="26"/>
      <c r="H32" s="322"/>
      <c r="I32" s="323"/>
      <c r="J32" s="27"/>
      <c r="K32" s="27"/>
      <c r="L32" s="27"/>
      <c r="M32" s="28"/>
      <c r="N32" s="29"/>
      <c r="O32" s="29"/>
      <c r="P32" s="148"/>
      <c r="Q32" s="149"/>
    </row>
    <row r="33" spans="1:17" s="2" customFormat="1" ht="12" customHeight="1" x14ac:dyDescent="0.25">
      <c r="A33" s="4">
        <v>701</v>
      </c>
      <c r="B33" s="2">
        <v>2</v>
      </c>
      <c r="C33" s="123" t="s">
        <v>1053</v>
      </c>
      <c r="D33" s="325" t="str">
        <f>VLOOKUP(C33,Extrusion!B:C,2,0)</f>
        <v>APPROVED EL 8/1</v>
      </c>
      <c r="E33" s="326"/>
      <c r="F33" s="108" t="str">
        <f ca="1">VLOOKUP(C33,Extrusion!B:N,5,0)</f>
        <v/>
      </c>
      <c r="G33" s="108">
        <f>VLOOKUP(C33,Extrusion!B:N,6,0)</f>
        <v>1</v>
      </c>
      <c r="H33" s="108">
        <f>VLOOKUP(C33,Extrusion!B:N,7,0)</f>
        <v>0</v>
      </c>
      <c r="I33" s="109"/>
      <c r="J33" s="46" t="str">
        <f>VLOOKUP(C33,Extrusion!B:N,8,0)</f>
        <v>T-Slots</v>
      </c>
      <c r="K33" s="46">
        <f>VLOOKUP(C33,Extrusion!B:N,9,0)</f>
        <v>0</v>
      </c>
      <c r="L33" s="46">
        <f>VLOOKUP(C33,Extrusion!B:N,10,0)</f>
        <v>0</v>
      </c>
      <c r="M33" s="46">
        <f>VLOOKUP(C33,Extrusion!B:N,11,0)</f>
        <v>0</v>
      </c>
      <c r="N33" s="47">
        <f>VLOOKUP(C33,Extrusion!B:O,12,0)</f>
        <v>0</v>
      </c>
      <c r="O33" s="47">
        <f t="shared" ref="O33:O35" ca="1" si="14">B33*$L$2</f>
        <v>4</v>
      </c>
      <c r="P33" s="51">
        <f>VLOOKUP(C33,Extrusion!B:G,4,0)</f>
        <v>4</v>
      </c>
      <c r="Q33" s="52">
        <f t="shared" ref="Q33:Q35" si="15">B33*P33</f>
        <v>8</v>
      </c>
    </row>
    <row r="34" spans="1:17" s="2" customFormat="1" ht="12" customHeight="1" x14ac:dyDescent="0.25">
      <c r="A34" s="4">
        <v>702</v>
      </c>
      <c r="B34" s="2">
        <v>2</v>
      </c>
      <c r="C34" s="123" t="s">
        <v>1054</v>
      </c>
      <c r="D34" s="325" t="str">
        <f>VLOOKUP(C34,Extrusion!B:C,2,0)</f>
        <v>APPROVED EL 9/19</v>
      </c>
      <c r="E34" s="326"/>
      <c r="F34" s="108" t="str">
        <f ca="1">VLOOKUP(C34,Extrusion!B:N,5,0)</f>
        <v/>
      </c>
      <c r="G34" s="108">
        <f>VLOOKUP(C34,Extrusion!B:N,6,0)</f>
        <v>1</v>
      </c>
      <c r="H34" s="108">
        <f>VLOOKUP(C34,Extrusion!B:N,7,0)</f>
        <v>0</v>
      </c>
      <c r="I34" s="109"/>
      <c r="J34" s="46" t="str">
        <f>VLOOKUP(C34,Extrusion!B:N,8,0)</f>
        <v>T-Slots</v>
      </c>
      <c r="K34" s="46">
        <f>VLOOKUP(C34,Extrusion!B:N,9,0)</f>
        <v>0</v>
      </c>
      <c r="L34" s="46">
        <f>VLOOKUP(C34,Extrusion!B:N,10,0)</f>
        <v>0</v>
      </c>
      <c r="M34" s="46">
        <f>VLOOKUP(C34,Extrusion!B:N,11,0)</f>
        <v>0</v>
      </c>
      <c r="N34" s="47">
        <f>VLOOKUP(C34,Extrusion!B:O,12,0)</f>
        <v>0</v>
      </c>
      <c r="O34" s="47">
        <f t="shared" ca="1" si="14"/>
        <v>4</v>
      </c>
      <c r="P34" s="51">
        <f>VLOOKUP(C34,Extrusion!B:G,4,0)</f>
        <v>4</v>
      </c>
      <c r="Q34" s="52">
        <f t="shared" si="15"/>
        <v>8</v>
      </c>
    </row>
    <row r="35" spans="1:17" s="2" customFormat="1" ht="12" customHeight="1" x14ac:dyDescent="0.25">
      <c r="A35" s="4">
        <v>703</v>
      </c>
      <c r="B35" s="2">
        <v>2</v>
      </c>
      <c r="C35" s="123" t="s">
        <v>1055</v>
      </c>
      <c r="D35" s="325" t="str">
        <f>VLOOKUP(C35,Extrusion!B:C,2,0)</f>
        <v>APPROVED EL 8/1</v>
      </c>
      <c r="E35" s="326"/>
      <c r="F35" s="108" t="str">
        <f ca="1">VLOOKUP(C35,Extrusion!B:N,5,0)</f>
        <v/>
      </c>
      <c r="G35" s="108">
        <f>VLOOKUP(C35,Extrusion!B:N,6,0)</f>
        <v>1</v>
      </c>
      <c r="H35" s="108">
        <f>VLOOKUP(C35,Extrusion!B:N,7,0)</f>
        <v>0</v>
      </c>
      <c r="I35" s="109"/>
      <c r="J35" s="46" t="str">
        <f>VLOOKUP(C35,Extrusion!B:N,8,0)</f>
        <v>T-Slots</v>
      </c>
      <c r="K35" s="46">
        <f>VLOOKUP(C35,Extrusion!B:N,9,0)</f>
        <v>0</v>
      </c>
      <c r="L35" s="46">
        <f>VLOOKUP(C35,Extrusion!B:N,10,0)</f>
        <v>0</v>
      </c>
      <c r="M35" s="46">
        <f>VLOOKUP(C35,Extrusion!B:N,11,0)</f>
        <v>0</v>
      </c>
      <c r="N35" s="47">
        <f>VLOOKUP(C35,Extrusion!B:O,12,0)</f>
        <v>0</v>
      </c>
      <c r="O35" s="47">
        <f t="shared" ca="1" si="14"/>
        <v>4</v>
      </c>
      <c r="P35" s="51">
        <f>VLOOKUP(C35,Extrusion!B:G,4,0)</f>
        <v>4</v>
      </c>
      <c r="Q35" s="52">
        <f t="shared" si="15"/>
        <v>8</v>
      </c>
    </row>
    <row r="36" spans="1:17" s="2" customFormat="1" ht="12" customHeight="1" x14ac:dyDescent="0.25">
      <c r="A36" s="4">
        <v>704</v>
      </c>
      <c r="B36" s="2">
        <v>2</v>
      </c>
      <c r="C36" s="123" t="s">
        <v>1056</v>
      </c>
      <c r="D36" s="325" t="str">
        <f>VLOOKUP(C36,Extrusion!B:C,2,0)</f>
        <v>APPROVED EL 9/19</v>
      </c>
      <c r="E36" s="326"/>
      <c r="F36" s="108" t="str">
        <f ca="1">VLOOKUP(C36,Extrusion!B:N,5,0)</f>
        <v/>
      </c>
      <c r="G36" s="108">
        <f>VLOOKUP(C36,Extrusion!B:N,6,0)</f>
        <v>1</v>
      </c>
      <c r="H36" s="108">
        <f>VLOOKUP(C36,Extrusion!B:N,7,0)</f>
        <v>0</v>
      </c>
      <c r="I36" s="109"/>
      <c r="J36" s="46" t="str">
        <f>VLOOKUP(C36,Extrusion!B:N,8,0)</f>
        <v>T-Slots</v>
      </c>
      <c r="K36" s="46">
        <f>VLOOKUP(C36,Extrusion!B:N,9,0)</f>
        <v>0</v>
      </c>
      <c r="L36" s="46">
        <f>VLOOKUP(C36,Extrusion!B:N,10,0)</f>
        <v>0</v>
      </c>
      <c r="M36" s="46">
        <f>VLOOKUP(C36,Extrusion!B:N,11,0)</f>
        <v>0</v>
      </c>
      <c r="N36" s="47">
        <f>VLOOKUP(C36,Extrusion!B:O,12,0)</f>
        <v>0</v>
      </c>
      <c r="O36" s="47">
        <f t="shared" ref="O36" ca="1" si="16">B36*$L$2</f>
        <v>4</v>
      </c>
      <c r="P36" s="51">
        <f>VLOOKUP(C36,Extrusion!B:G,4,0)</f>
        <v>4</v>
      </c>
      <c r="Q36" s="52">
        <f t="shared" ref="Q36" si="17">B36*P36</f>
        <v>8</v>
      </c>
    </row>
    <row r="37" spans="1:17" s="2" customFormat="1" ht="12" customHeight="1" thickBot="1" x14ac:dyDescent="0.3">
      <c r="A37" s="4">
        <v>705</v>
      </c>
      <c r="B37" s="2">
        <v>2</v>
      </c>
      <c r="C37" s="123" t="s">
        <v>1057</v>
      </c>
      <c r="D37" s="325" t="str">
        <f>VLOOKUP(C37,Extrusion!B:C,2,0)</f>
        <v>APPROVED EL 9/19</v>
      </c>
      <c r="E37" s="326"/>
      <c r="F37" s="108" t="str">
        <f ca="1">VLOOKUP(C37,Extrusion!B:N,5,0)</f>
        <v/>
      </c>
      <c r="G37" s="108">
        <f>VLOOKUP(C37,Extrusion!B:N,6,0)</f>
        <v>1</v>
      </c>
      <c r="H37" s="108">
        <f>VLOOKUP(C37,Extrusion!B:N,7,0)</f>
        <v>0</v>
      </c>
      <c r="I37" s="109"/>
      <c r="J37" s="46" t="str">
        <f>VLOOKUP(C37,Extrusion!B:N,8,0)</f>
        <v>T-Slots</v>
      </c>
      <c r="K37" s="46">
        <f>VLOOKUP(C37,Extrusion!B:N,9,0)</f>
        <v>0</v>
      </c>
      <c r="L37" s="46">
        <f>VLOOKUP(C37,Extrusion!B:N,10,0)</f>
        <v>0</v>
      </c>
      <c r="M37" s="46">
        <f>VLOOKUP(C37,Extrusion!B:N,11,0)</f>
        <v>0</v>
      </c>
      <c r="N37" s="47">
        <f>VLOOKUP(C37,Extrusion!B:O,12,0)</f>
        <v>0</v>
      </c>
      <c r="O37" s="47">
        <f t="shared" ref="O37" ca="1" si="18">B37*$L$2</f>
        <v>4</v>
      </c>
      <c r="P37" s="51">
        <f>VLOOKUP(C37,Extrusion!B:G,4,0)</f>
        <v>4</v>
      </c>
      <c r="Q37" s="52">
        <f t="shared" ref="Q37" si="19">B37*P37</f>
        <v>8</v>
      </c>
    </row>
    <row r="38" spans="1:17" s="2" customFormat="1" ht="12" customHeight="1" thickBot="1" x14ac:dyDescent="0.3">
      <c r="A38" s="34"/>
      <c r="B38" s="35"/>
      <c r="C38" s="35"/>
      <c r="D38" s="316"/>
      <c r="E38" s="317"/>
      <c r="F38" s="35"/>
      <c r="G38" s="35"/>
      <c r="H38" s="309"/>
      <c r="I38" s="310"/>
      <c r="J38" s="36"/>
      <c r="K38" s="36"/>
      <c r="L38" s="36"/>
      <c r="M38" s="37"/>
      <c r="N38" s="132"/>
      <c r="O38" s="38"/>
      <c r="P38" s="99" t="s">
        <v>43</v>
      </c>
      <c r="Q38" s="104">
        <f>SUM(Q12:Q35)</f>
        <v>29968.926000000003</v>
      </c>
    </row>
  </sheetData>
  <sheetProtection selectLockedCells="1"/>
  <mergeCells count="58">
    <mergeCell ref="D1:E1"/>
    <mergeCell ref="D4:E4"/>
    <mergeCell ref="H4:I4"/>
    <mergeCell ref="D12:E12"/>
    <mergeCell ref="H12:I12"/>
    <mergeCell ref="D5:E5"/>
    <mergeCell ref="H5:I5"/>
    <mergeCell ref="D7:E7"/>
    <mergeCell ref="H7:I7"/>
    <mergeCell ref="D8:E8"/>
    <mergeCell ref="H8:I8"/>
    <mergeCell ref="D11:E11"/>
    <mergeCell ref="H11:I11"/>
    <mergeCell ref="D9:E9"/>
    <mergeCell ref="D6:E6"/>
    <mergeCell ref="H6:I6"/>
    <mergeCell ref="H17:I17"/>
    <mergeCell ref="D27:E27"/>
    <mergeCell ref="D25:E25"/>
    <mergeCell ref="H25:I25"/>
    <mergeCell ref="D21:E21"/>
    <mergeCell ref="H21:I21"/>
    <mergeCell ref="D20:E20"/>
    <mergeCell ref="H20:I20"/>
    <mergeCell ref="D22:E22"/>
    <mergeCell ref="H22:I22"/>
    <mergeCell ref="D26:E26"/>
    <mergeCell ref="D23:E23"/>
    <mergeCell ref="H23:I23"/>
    <mergeCell ref="D24:E24"/>
    <mergeCell ref="H24:I24"/>
    <mergeCell ref="H9:I9"/>
    <mergeCell ref="D10:E10"/>
    <mergeCell ref="H10:I10"/>
    <mergeCell ref="H18:I18"/>
    <mergeCell ref="D19:E19"/>
    <mergeCell ref="H19:I19"/>
    <mergeCell ref="H14:I14"/>
    <mergeCell ref="D15:E15"/>
    <mergeCell ref="H15:I15"/>
    <mergeCell ref="D16:E16"/>
    <mergeCell ref="H16:I16"/>
    <mergeCell ref="D14:E14"/>
    <mergeCell ref="D18:E18"/>
    <mergeCell ref="D13:E13"/>
    <mergeCell ref="H13:I13"/>
    <mergeCell ref="D17:E17"/>
    <mergeCell ref="D38:E38"/>
    <mergeCell ref="H38:I38"/>
    <mergeCell ref="D30:E30"/>
    <mergeCell ref="D31:E31"/>
    <mergeCell ref="D32:E32"/>
    <mergeCell ref="H32:I32"/>
    <mergeCell ref="D33:E33"/>
    <mergeCell ref="D34:E34"/>
    <mergeCell ref="D36:E36"/>
    <mergeCell ref="D37:E37"/>
    <mergeCell ref="D35:E35"/>
  </mergeCells>
  <phoneticPr fontId="8" type="noConversion"/>
  <conditionalFormatting sqref="M7 M11 M25:M37">
    <cfRule type="cellIs" dxfId="856" priority="19" stopIfTrue="1" operator="lessThanOrEqual">
      <formula>$L7</formula>
    </cfRule>
    <cfRule type="cellIs" dxfId="855" priority="20" operator="greaterThan">
      <formula>L7</formula>
    </cfRule>
  </conditionalFormatting>
  <conditionalFormatting sqref="M12">
    <cfRule type="cellIs" dxfId="854" priority="17" stopIfTrue="1" operator="lessThanOrEqual">
      <formula>$L12</formula>
    </cfRule>
    <cfRule type="cellIs" dxfId="853" priority="18" operator="greaterThan">
      <formula>L12</formula>
    </cfRule>
  </conditionalFormatting>
  <conditionalFormatting sqref="M13:M24">
    <cfRule type="cellIs" dxfId="852" priority="1" stopIfTrue="1" operator="lessThanOrEqual">
      <formula>$L13</formula>
    </cfRule>
    <cfRule type="cellIs" dxfId="851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14536CD-844D-4B52-9E1C-B729D54859C4}">
          <x14:formula1>
            <xm:f>Extrusion!$B:$B</xm:f>
          </x14:formula1>
          <xm:sqref>C33:C37</xm:sqref>
        </x14:dataValidation>
        <x14:dataValidation type="list" allowBlank="1" showInputMessage="1" showErrorMessage="1" xr:uid="{AD829BE8-804E-4BB6-9238-5897284C1356}">
          <x14:formula1>
            <xm:f>Bolts!$A:$A</xm:f>
          </x14:formula1>
          <xm:sqref>C25:C31</xm:sqref>
        </x14:dataValidation>
        <x14:dataValidation type="list" allowBlank="1" showInputMessage="1" showErrorMessage="1" xr:uid="{307C865C-F2AA-4A66-BABA-43864CA7EF84}">
          <x14:formula1>
            <xm:f>Assemblies!$E:$E</xm:f>
          </x14:formula1>
          <xm:sqref>C5:C6</xm:sqref>
        </x14:dataValidation>
        <x14:dataValidation type="list" allowBlank="1" showInputMessage="1" showErrorMessage="1" xr:uid="{ECAEC97D-9D83-4C16-A6BD-E26554FBBE45}">
          <x14:formula1>
            <xm:f>Machined!$C:$C</xm:f>
          </x14:formula1>
          <xm:sqref>C7:C10</xm:sqref>
        </x14:dataValidation>
        <x14:dataValidation type="list" allowBlank="1" showInputMessage="1" showErrorMessage="1" xr:uid="{CECEE892-DA0D-4BA0-B338-BF38833FDFDB}">
          <x14:formula1>
            <xm:f>Purchased!$A:$A</xm:f>
          </x14:formula1>
          <xm:sqref>C11:C24</xm:sqref>
        </x14:dataValidation>
      </x14:dataValidations>
    </ext>
  </extLst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A7BF2-BC8E-4534-9A72-A6BE9B8ECE70}">
  <sheetPr codeName="Sheet163">
    <tabColor theme="9" tint="0.59999389629810485"/>
  </sheetPr>
  <dimension ref="A1:Q57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'6'!C17</f>
        <v>PG10.6.10.0.A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'6'!D17</f>
        <v>Tube Singulator Assy</v>
      </c>
      <c r="D3" s="85" t="s">
        <v>50</v>
      </c>
      <c r="E3" s="86" t="str">
        <f ca="1">MID(CELL("filename",A1),FIND("]",CELL("filename",A1))+1,256)</f>
        <v>6.10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63" customFormat="1" ht="12" customHeight="1" x14ac:dyDescent="0.2">
      <c r="A5" s="110" t="s">
        <v>54</v>
      </c>
      <c r="B5" s="111">
        <v>2</v>
      </c>
      <c r="C5" s="112" t="s">
        <v>283</v>
      </c>
      <c r="D5" s="336" t="str">
        <f ca="1">VLOOKUP(C5,Assemblies!E:P,2,0)</f>
        <v>PMA Clamp Size 17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4</v>
      </c>
      <c r="P5" s="117"/>
      <c r="Q5" s="118">
        <f>B5*P5</f>
        <v>0</v>
      </c>
    </row>
    <row r="6" spans="1:17" s="63" customFormat="1" ht="12" customHeight="1" x14ac:dyDescent="0.2">
      <c r="A6" s="76" t="s">
        <v>56</v>
      </c>
      <c r="B6" s="1">
        <v>1</v>
      </c>
      <c r="C6" s="145" t="s">
        <v>1058</v>
      </c>
      <c r="D6" s="314" t="str">
        <f ca="1">VLOOKUP(C6,Assemblies!E:P,2,0)</f>
        <v>6-Inch Insert Assy</v>
      </c>
      <c r="E6" s="315"/>
      <c r="F6" s="32"/>
      <c r="G6" s="32"/>
      <c r="H6" s="32"/>
      <c r="I6" s="32"/>
      <c r="J6" s="28"/>
      <c r="K6" s="28"/>
      <c r="L6" s="28"/>
      <c r="M6" s="28"/>
      <c r="N6" s="33"/>
      <c r="O6" s="146">
        <f ca="1">B6*$L$2</f>
        <v>2</v>
      </c>
      <c r="P6" s="147">
        <f>'6.10.1'!Q11</f>
        <v>15.56</v>
      </c>
      <c r="Q6" s="103">
        <f>B6*P6</f>
        <v>15.56</v>
      </c>
    </row>
    <row r="7" spans="1:17" s="63" customFormat="1" ht="12" customHeight="1" x14ac:dyDescent="0.2">
      <c r="A7" s="76" t="s">
        <v>58</v>
      </c>
      <c r="B7" s="1">
        <v>1</v>
      </c>
      <c r="C7" s="145" t="s">
        <v>1059</v>
      </c>
      <c r="D7" s="314" t="str">
        <f ca="1">VLOOKUP(C7,Assemblies!E:P,2,0)</f>
        <v>Tube Singulated Sensor Assy</v>
      </c>
      <c r="E7" s="315"/>
      <c r="F7" s="32"/>
      <c r="G7" s="32"/>
      <c r="H7" s="32"/>
      <c r="I7" s="32"/>
      <c r="J7" s="28"/>
      <c r="K7" s="28"/>
      <c r="L7" s="28"/>
      <c r="M7" s="28"/>
      <c r="N7" s="33"/>
      <c r="O7" s="146">
        <f ca="1">B7*$L$2</f>
        <v>2</v>
      </c>
      <c r="P7" s="147">
        <f>'6.10.2'!Q14</f>
        <v>707</v>
      </c>
      <c r="Q7" s="103">
        <f>B7*P7</f>
        <v>707</v>
      </c>
    </row>
    <row r="8" spans="1:17" s="63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63" customFormat="1" ht="12" customHeight="1" x14ac:dyDescent="0.25">
      <c r="A9" s="77">
        <v>1</v>
      </c>
      <c r="B9" s="20">
        <v>1</v>
      </c>
      <c r="C9" s="121" t="s">
        <v>1060</v>
      </c>
      <c r="D9" s="314" t="str">
        <f>VLOOKUP(C9,Machined!C:X,2,0)</f>
        <v>Singulator Side Plate R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Xometry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45527</v>
      </c>
      <c r="K9" s="44">
        <f>IF(VLOOKUP($C9,Machined!C:Z,19,0) = 0, " ", VLOOKUP($C9,Machined!C:Z,19,0))</f>
        <v>45530</v>
      </c>
      <c r="L9" s="44">
        <f>IF(VLOOKUP($C9,Machined!C:Z,20,0) = 0, " ", VLOOKUP($C9,Machined!C:Z,20,0))</f>
        <v>45560</v>
      </c>
      <c r="M9" s="44">
        <f>IF(VLOOKUP($C9,Machined!C:Z,21,0) = 0, " ", VLOOKUP($C9,Machined!C:Z,21,0))</f>
        <v>45560</v>
      </c>
      <c r="N9" s="129">
        <f>IF(VLOOKUP($C9,Machined!C:Z,22,0) = 0, " ", VLOOKUP($C9,Machined!C:Z,22,0))</f>
        <v>55706</v>
      </c>
      <c r="O9" s="45">
        <f ca="1">B9*$L$2</f>
        <v>2</v>
      </c>
      <c r="P9" s="49">
        <f>VLOOKUP(C9,Machined!C:F,3,0)</f>
        <v>188.43</v>
      </c>
      <c r="Q9" s="50">
        <f>B9*P9</f>
        <v>188.43</v>
      </c>
    </row>
    <row r="10" spans="1:17" s="63" customFormat="1" ht="12" customHeight="1" x14ac:dyDescent="0.25">
      <c r="A10" s="77">
        <v>2</v>
      </c>
      <c r="B10" s="20">
        <v>1</v>
      </c>
      <c r="C10" s="121" t="s">
        <v>1061</v>
      </c>
      <c r="D10" s="314" t="str">
        <f>VLOOKUP(C10,Machined!C:X,2,0)</f>
        <v>Singulator Side Plate L</v>
      </c>
      <c r="E10" s="329"/>
      <c r="F10" s="107" t="str">
        <f>VLOOKUP($C10,Machined!C:Z,13,0)</f>
        <v>6061-T6 ALUMINUM</v>
      </c>
      <c r="G10" s="44" t="str">
        <f>IF(VLOOKUP($C10,Machined!C:Z,16,0) = 0, " ", VLOOKUP($C10,Machined!C:Z,16,0))</f>
        <v>Xometry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6061-T6 ALUMINUM</v>
      </c>
      <c r="J10" s="44">
        <f>IF(VLOOKUP($C10,Machined!C:Z,18,0) = 0, " ", VLOOKUP($C10,Machined!C:Z,18,0))</f>
        <v>45527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45560</v>
      </c>
      <c r="M10" s="44">
        <f>IF(VLOOKUP($C10,Machined!C:Z,21,0) = 0, " ", VLOOKUP($C10,Machined!C:Z,21,0))</f>
        <v>45560</v>
      </c>
      <c r="N10" s="129">
        <f>IF(VLOOKUP($C10,Machined!C:Z,22,0) = 0, " ", VLOOKUP($C10,Machined!C:Z,22,0))</f>
        <v>55706</v>
      </c>
      <c r="O10" s="45">
        <f t="shared" ref="O10:O20" ca="1" si="0">B10*$L$2</f>
        <v>2</v>
      </c>
      <c r="P10" s="49">
        <f>VLOOKUP(C10,Machined!C:F,3,0)</f>
        <v>189.82</v>
      </c>
      <c r="Q10" s="50">
        <f t="shared" ref="Q10:Q20" si="1">B10*P10</f>
        <v>189.82</v>
      </c>
    </row>
    <row r="11" spans="1:17" s="63" customFormat="1" ht="12" customHeight="1" x14ac:dyDescent="0.25">
      <c r="A11" s="77">
        <v>3</v>
      </c>
      <c r="B11" s="20">
        <v>1</v>
      </c>
      <c r="C11" s="121" t="s">
        <v>1062</v>
      </c>
      <c r="D11" s="314" t="str">
        <f>VLOOKUP(C11,Machined!C:X,2,0)</f>
        <v>Actuator Mount Plate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Xometry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45527</v>
      </c>
      <c r="K11" s="44">
        <f>IF(VLOOKUP($C11,Machined!C:Z,19,0) = 0, " ", VLOOKUP($C11,Machined!C:Z,19,0))</f>
        <v>45530</v>
      </c>
      <c r="L11" s="44">
        <f>IF(VLOOKUP($C11,Machined!C:Z,20,0) = 0, " ", VLOOKUP($C11,Machined!C:Z,20,0))</f>
        <v>45560</v>
      </c>
      <c r="M11" s="44">
        <f>IF(VLOOKUP($C11,Machined!C:Z,21,0) = 0, " ", VLOOKUP($C11,Machined!C:Z,21,0))</f>
        <v>45560</v>
      </c>
      <c r="N11" s="129">
        <f>IF(VLOOKUP($C11,Machined!C:Z,22,0) = 0, " ", VLOOKUP($C11,Machined!C:Z,22,0))</f>
        <v>55706</v>
      </c>
      <c r="O11" s="45">
        <f t="shared" ca="1" si="0"/>
        <v>2</v>
      </c>
      <c r="P11" s="49">
        <f>VLOOKUP(C11,Machined!C:F,3,0)</f>
        <v>206.67</v>
      </c>
      <c r="Q11" s="50">
        <f t="shared" si="1"/>
        <v>206.67</v>
      </c>
    </row>
    <row r="12" spans="1:17" s="63" customFormat="1" ht="12" customHeight="1" x14ac:dyDescent="0.25">
      <c r="A12" s="77">
        <v>4</v>
      </c>
      <c r="B12" s="20">
        <v>1</v>
      </c>
      <c r="C12" s="121" t="s">
        <v>1063</v>
      </c>
      <c r="D12" s="314" t="str">
        <f>VLOOKUP(C12,Machined!C:X,2,0)</f>
        <v>Back Stop Sheet Metal</v>
      </c>
      <c r="E12" s="329"/>
      <c r="F12" s="107" t="str">
        <f>VLOOKUP($C12,Machined!C:Z,13,0)</f>
        <v>304 STAINLESS STEEL</v>
      </c>
      <c r="G12" s="44" t="str">
        <f>IF(VLOOKUP($C12,Machined!C:Z,16,0) = 0, " ", VLOOKUP($C12,Machined!C:Z,16,0))</f>
        <v>Proto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304 STAINLESS STEEL</v>
      </c>
      <c r="J12" s="44">
        <f>IF(VLOOKUP($C12,Machined!C:Z,18,0) = 0, " ", VLOOKUP($C12,Machined!C:Z,18,0))</f>
        <v>45526</v>
      </c>
      <c r="K12" s="44">
        <f>IF(VLOOKUP($C12,Machined!C:Z,19,0) = 0, " ", VLOOKUP($C12,Machined!C:Z,19,0))</f>
        <v>45527</v>
      </c>
      <c r="L12" s="44">
        <f>IF(VLOOKUP($C12,Machined!C:Z,20,0) = 0, " ", VLOOKUP($C12,Machined!C:Z,20,0))</f>
        <v>45548</v>
      </c>
      <c r="M12" s="44">
        <f>IF(VLOOKUP($C12,Machined!C:Z,21,0) = 0, " ", VLOOKUP($C12,Machined!C:Z,21,0))</f>
        <v>45548</v>
      </c>
      <c r="N12" s="129">
        <f>IF(VLOOKUP($C12,Machined!C:Z,22,0) = 0, " ", VLOOKUP($C12,Machined!C:Z,22,0))</f>
        <v>55702</v>
      </c>
      <c r="O12" s="45">
        <f t="shared" ca="1" si="0"/>
        <v>2</v>
      </c>
      <c r="P12" s="49">
        <f>VLOOKUP(C12,Machined!C:F,3,0)</f>
        <v>0</v>
      </c>
      <c r="Q12" s="50">
        <f t="shared" si="1"/>
        <v>0</v>
      </c>
    </row>
    <row r="13" spans="1:17" s="63" customFormat="1" ht="12" customHeight="1" x14ac:dyDescent="0.25">
      <c r="A13" s="77">
        <v>5</v>
      </c>
      <c r="B13" s="20">
        <v>1</v>
      </c>
      <c r="C13" s="121" t="s">
        <v>1064</v>
      </c>
      <c r="D13" s="314" t="str">
        <f>VLOOKUP(C13,Machined!C:X,2,0)</f>
        <v>Ramp Sheet Metal Slide</v>
      </c>
      <c r="E13" s="329"/>
      <c r="F13" s="107" t="str">
        <f>VLOOKUP($C13,Machined!C:Z,13,0)</f>
        <v>304 STAINLESS STEEL</v>
      </c>
      <c r="G13" s="44" t="str">
        <f>IF(VLOOKUP($C13,Machined!C:Z,16,0) = 0, " ", VLOOKUP($C13,Machined!C:Z,16,0))</f>
        <v xml:space="preserve"> </v>
      </c>
      <c r="H13" s="320" t="str">
        <f>IF(VLOOKUP($C13,Machined!C:Z,17,0) = 0, " ", VLOOKUP($C13,Machined!C:Z,17,0))</f>
        <v>WAITING ON AFS TO RELEASE</v>
      </c>
      <c r="I13" s="321" t="str">
        <f>IF(VLOOKUP($C13,Machined!$C:$Y,13,0) = 0, " ", VLOOKUP($C13,Machined!$C:$Y,13,0))</f>
        <v>304 STAINLESS STEEL</v>
      </c>
      <c r="J13" s="44" t="str">
        <f>IF(VLOOKUP($C13,Machined!C:Z,18,0) = 0, " ", VLOOKUP($C13,Machined!C:Z,18,0))</f>
        <v xml:space="preserve"> </v>
      </c>
      <c r="K13" s="44" t="str">
        <f>IF(VLOOKUP($C13,Machined!C:Z,19,0) = 0, " ", VLOOKUP($C13,Machined!C:Z,19,0))</f>
        <v xml:space="preserve"> </v>
      </c>
      <c r="L13" s="44" t="str">
        <f>IF(VLOOKUP($C13,Machined!C:Z,20,0) = 0, " ", VLOOKUP($C13,Machined!C:Z,20,0))</f>
        <v xml:space="preserve"> </v>
      </c>
      <c r="M13" s="44" t="str">
        <f>IF(VLOOKUP($C13,Machined!C:Z,21,0) = 0, " ", VLOOKUP($C13,Machined!C:Z,21,0))</f>
        <v xml:space="preserve"> </v>
      </c>
      <c r="N13" s="129" t="str">
        <f>IF(VLOOKUP($C13,Machined!C:Z,22,0) = 0, " ", VLOOKUP($C13,Machined!C:Z,22,0))</f>
        <v xml:space="preserve"> </v>
      </c>
      <c r="O13" s="45">
        <f t="shared" ca="1" si="0"/>
        <v>2</v>
      </c>
      <c r="P13" s="49">
        <f>VLOOKUP(C13,Machined!C:F,3,0)</f>
        <v>0</v>
      </c>
      <c r="Q13" s="50">
        <f t="shared" si="1"/>
        <v>0</v>
      </c>
    </row>
    <row r="14" spans="1:17" s="63" customFormat="1" ht="12" customHeight="1" x14ac:dyDescent="0.25">
      <c r="A14" s="77">
        <v>6</v>
      </c>
      <c r="B14" s="20">
        <v>1</v>
      </c>
      <c r="C14" s="121" t="s">
        <v>1065</v>
      </c>
      <c r="D14" s="314" t="str">
        <f>VLOOKUP(C14,Machined!C:X,2,0)</f>
        <v>Squisher Mount Bar</v>
      </c>
      <c r="E14" s="329"/>
      <c r="F14" s="107" t="str">
        <f>VLOOKUP($C14,Machined!C:Z,13,0)</f>
        <v>6061-T6 ALUMINUM</v>
      </c>
      <c r="G14" s="44" t="str">
        <f>IF(VLOOKUP($C14,Machined!C:Z,16,0) = 0, " ", VLOOKUP($C14,Machined!C:Z,16,0))</f>
        <v>Xometry</v>
      </c>
      <c r="H14" s="320" t="str">
        <f>IF(VLOOKUP($C14,Machined!C:Z,17,0) = 0, " ", VLOOKUP($C14,Machined!C:Z,17,0))</f>
        <v xml:space="preserve"> </v>
      </c>
      <c r="I14" s="321" t="str">
        <f>IF(VLOOKUP($C14,Machined!$C:$Y,13,0) = 0, " ", VLOOKUP($C14,Machined!$C:$Y,13,0))</f>
        <v>6061-T6 ALUMINUM</v>
      </c>
      <c r="J14" s="44">
        <f>IF(VLOOKUP($C14,Machined!C:Z,18,0) = 0, " ", VLOOKUP($C14,Machined!C:Z,18,0))</f>
        <v>45527</v>
      </c>
      <c r="K14" s="44">
        <f>IF(VLOOKUP($C14,Machined!C:Z,19,0) = 0, " ", VLOOKUP($C14,Machined!C:Z,19,0))</f>
        <v>45530</v>
      </c>
      <c r="L14" s="44">
        <f>IF(VLOOKUP($C14,Machined!C:Z,20,0) = 0, " ", VLOOKUP($C14,Machined!C:Z,20,0))</f>
        <v>45560</v>
      </c>
      <c r="M14" s="44">
        <f>IF(VLOOKUP($C14,Machined!C:Z,21,0) = 0, " ", VLOOKUP($C14,Machined!C:Z,21,0))</f>
        <v>45560</v>
      </c>
      <c r="N14" s="129">
        <f>IF(VLOOKUP($C14,Machined!C:Z,22,0) = 0, " ", VLOOKUP($C14,Machined!C:Z,22,0))</f>
        <v>55706</v>
      </c>
      <c r="O14" s="45">
        <f t="shared" ca="1" si="0"/>
        <v>2</v>
      </c>
      <c r="P14" s="49">
        <f>VLOOKUP(C14,Machined!C:F,3,0)</f>
        <v>100.06</v>
      </c>
      <c r="Q14" s="50">
        <f t="shared" si="1"/>
        <v>100.06</v>
      </c>
    </row>
    <row r="15" spans="1:17" s="63" customFormat="1" ht="12" customHeight="1" x14ac:dyDescent="0.25">
      <c r="A15" s="77">
        <v>7</v>
      </c>
      <c r="B15" s="20">
        <v>4</v>
      </c>
      <c r="C15" s="121" t="s">
        <v>1066</v>
      </c>
      <c r="D15" s="314" t="str">
        <f>VLOOKUP(C15,Machined!C:X,2,0)</f>
        <v>Tube Squisher</v>
      </c>
      <c r="E15" s="329"/>
      <c r="F15" s="107" t="str">
        <f>VLOOKUP($C15,Machined!C:Z,13,0)</f>
        <v>304 STAINLESS STEEL</v>
      </c>
      <c r="G15" s="44" t="str">
        <f>IF(VLOOKUP($C15,Machined!C:Z,16,0) = 0, " ", VLOOKUP($C15,Machined!C:Z,16,0))</f>
        <v>Xometry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304 STAINLESS STEEL</v>
      </c>
      <c r="J15" s="44">
        <f>IF(VLOOKUP($C15,Machined!C:Z,18,0) = 0, " ", VLOOKUP($C15,Machined!C:Z,18,0))</f>
        <v>45527</v>
      </c>
      <c r="K15" s="44">
        <f>IF(VLOOKUP($C15,Machined!C:Z,19,0) = 0, " ", VLOOKUP($C15,Machined!C:Z,19,0))</f>
        <v>45530</v>
      </c>
      <c r="L15" s="44">
        <f>IF(VLOOKUP($C15,Machined!C:Z,20,0) = 0, " ", VLOOKUP($C15,Machined!C:Z,20,0))</f>
        <v>45560</v>
      </c>
      <c r="M15" s="44">
        <f>IF(VLOOKUP($C15,Machined!C:Z,21,0) = 0, " ", VLOOKUP($C15,Machined!C:Z,21,0))</f>
        <v>45560</v>
      </c>
      <c r="N15" s="129">
        <f>IF(VLOOKUP($C15,Machined!C:Z,22,0) = 0, " ", VLOOKUP($C15,Machined!C:Z,22,0))</f>
        <v>55706</v>
      </c>
      <c r="O15" s="45">
        <f t="shared" ca="1" si="0"/>
        <v>8</v>
      </c>
      <c r="P15" s="49">
        <f>VLOOKUP(C15,Machined!C:F,3,0)</f>
        <v>62.71</v>
      </c>
      <c r="Q15" s="50">
        <f t="shared" si="1"/>
        <v>250.84</v>
      </c>
    </row>
    <row r="16" spans="1:17" s="63" customFormat="1" ht="12" customHeight="1" x14ac:dyDescent="0.25">
      <c r="A16" s="77">
        <v>8</v>
      </c>
      <c r="B16" s="20">
        <v>1</v>
      </c>
      <c r="C16" s="121" t="s">
        <v>1067</v>
      </c>
      <c r="D16" s="314" t="str">
        <f>VLOOKUP(C16,Machined!C:X,2,0)</f>
        <v>Pin Mount Bar</v>
      </c>
      <c r="E16" s="329"/>
      <c r="F16" s="107" t="str">
        <f>VLOOKUP($C16,Machined!C:Z,13,0)</f>
        <v>6061-T6 ALUMINUM</v>
      </c>
      <c r="G16" s="44" t="str">
        <f>IF(VLOOKUP($C16,Machined!C:Z,16,0) = 0, " ", VLOOKUP($C16,Machined!C:Z,16,0))</f>
        <v>Xometry</v>
      </c>
      <c r="H16" s="320" t="str">
        <f>IF(VLOOKUP($C16,Machined!C:Z,17,0) = 0, " ", VLOOKUP($C16,Machined!C:Z,17,0))</f>
        <v xml:space="preserve"> </v>
      </c>
      <c r="I16" s="321" t="str">
        <f>IF(VLOOKUP($C16,Machined!$C:$Y,13,0) = 0, " ", VLOOKUP($C16,Machined!$C:$Y,13,0))</f>
        <v>6061-T6 ALUMINUM</v>
      </c>
      <c r="J16" s="44" t="str">
        <f>IF(VLOOKUP($C16,Machined!C:Z,18,0) = 0, " ", VLOOKUP($C16,Machined!C:Z,18,0))</f>
        <v>N/A</v>
      </c>
      <c r="K16" s="44">
        <f>IF(VLOOKUP($C16,Machined!C:Z,19,0) = 0, " ", VLOOKUP($C16,Machined!C:Z,19,0))</f>
        <v>45560</v>
      </c>
      <c r="L16" s="44">
        <f>IF(VLOOKUP($C16,Machined!C:Z,20,0) = 0, " ", VLOOKUP($C16,Machined!C:Z,20,0))</f>
        <v>45568</v>
      </c>
      <c r="M16" s="44">
        <f>IF(VLOOKUP($C16,Machined!C:Z,21,0) = 0, " ", VLOOKUP($C16,Machined!C:Z,21,0))</f>
        <v>45568</v>
      </c>
      <c r="N16" s="129">
        <f>IF(VLOOKUP($C16,Machined!C:Z,22,0) = 0, " ", VLOOKUP($C16,Machined!C:Z,22,0))</f>
        <v>55760</v>
      </c>
      <c r="O16" s="45">
        <f t="shared" ca="1" si="0"/>
        <v>2</v>
      </c>
      <c r="P16" s="49">
        <f>VLOOKUP(C16,Machined!C:F,3,0)</f>
        <v>0</v>
      </c>
      <c r="Q16" s="50">
        <f t="shared" si="1"/>
        <v>0</v>
      </c>
    </row>
    <row r="17" spans="1:17" s="63" customFormat="1" ht="12" customHeight="1" x14ac:dyDescent="0.25">
      <c r="A17" s="77">
        <v>9</v>
      </c>
      <c r="B17" s="20">
        <v>2</v>
      </c>
      <c r="C17" s="121" t="s">
        <v>1068</v>
      </c>
      <c r="D17" s="314" t="str">
        <f>VLOOKUP(C17,Machined!C:X,2,0)</f>
        <v>Depth Stopper Plate</v>
      </c>
      <c r="E17" s="329"/>
      <c r="F17" s="107" t="str">
        <f>VLOOKUP($C17,Machined!C:Z,13,0)</f>
        <v>6061-T6 ALUMINUM</v>
      </c>
      <c r="G17" s="44" t="str">
        <f>IF(VLOOKUP($C17,Machined!C:Z,16,0) = 0, " ", VLOOKUP($C17,Machined!C:Z,16,0))</f>
        <v>Xometry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6061-T6 ALUMINUM</v>
      </c>
      <c r="J17" s="44">
        <f>IF(VLOOKUP($C17,Machined!C:Z,18,0) = 0, " ", VLOOKUP($C17,Machined!C:Z,18,0))</f>
        <v>45527</v>
      </c>
      <c r="K17" s="44">
        <f>IF(VLOOKUP($C17,Machined!C:Z,19,0) = 0, " ", VLOOKUP($C17,Machined!C:Z,19,0))</f>
        <v>45530</v>
      </c>
      <c r="L17" s="44">
        <f>IF(VLOOKUP($C17,Machined!C:Z,20,0) = 0, " ", VLOOKUP($C17,Machined!C:Z,20,0))</f>
        <v>45560</v>
      </c>
      <c r="M17" s="44">
        <f>IF(VLOOKUP($C17,Machined!C:Z,21,0) = 0, " ", VLOOKUP($C17,Machined!C:Z,21,0))</f>
        <v>45560</v>
      </c>
      <c r="N17" s="129">
        <f>IF(VLOOKUP($C17,Machined!C:Z,22,0) = 0, " ", VLOOKUP($C17,Machined!C:Z,22,0))</f>
        <v>55706</v>
      </c>
      <c r="O17" s="45">
        <f t="shared" ca="1" si="0"/>
        <v>4</v>
      </c>
      <c r="P17" s="49">
        <f>VLOOKUP(C17,Machined!C:F,3,0)</f>
        <v>43.5</v>
      </c>
      <c r="Q17" s="50">
        <f t="shared" si="1"/>
        <v>87</v>
      </c>
    </row>
    <row r="18" spans="1:17" s="63" customFormat="1" ht="12" customHeight="1" x14ac:dyDescent="0.25">
      <c r="A18" s="77">
        <v>10</v>
      </c>
      <c r="B18" s="20">
        <v>1</v>
      </c>
      <c r="C18" s="121" t="s">
        <v>1069</v>
      </c>
      <c r="D18" s="314" t="str">
        <f>VLOOKUP(C18,Machined!C:X,2,0)</f>
        <v>Back Brace</v>
      </c>
      <c r="E18" s="329"/>
      <c r="F18" s="107" t="str">
        <f>VLOOKUP($C18,Machined!C:Z,13,0)</f>
        <v>6061-T6 ALUMINUM</v>
      </c>
      <c r="G18" s="44" t="str">
        <f>IF(VLOOKUP($C18,Machined!C:Z,16,0) = 0, " ", VLOOKUP($C18,Machined!C:Z,16,0))</f>
        <v>Xometry</v>
      </c>
      <c r="H18" s="320" t="str">
        <f>IF(VLOOKUP($C18,Machined!C:Z,17,0) = 0, " ", VLOOKUP($C18,Machined!C:Z,17,0))</f>
        <v xml:space="preserve"> </v>
      </c>
      <c r="I18" s="321" t="str">
        <f>IF(VLOOKUP($C18,Machined!$C:$Y,13,0) = 0, " ", VLOOKUP($C18,Machined!$C:$Y,13,0))</f>
        <v>6061-T6 ALUMINUM</v>
      </c>
      <c r="J18" s="44">
        <f>IF(VLOOKUP($C18,Machined!C:Z,18,0) = 0, " ", VLOOKUP($C18,Machined!C:Z,18,0))</f>
        <v>45527</v>
      </c>
      <c r="K18" s="44">
        <f>IF(VLOOKUP($C18,Machined!C:Z,19,0) = 0, " ", VLOOKUP($C18,Machined!C:Z,19,0))</f>
        <v>45530</v>
      </c>
      <c r="L18" s="44">
        <f>IF(VLOOKUP($C18,Machined!C:Z,20,0) = 0, " ", VLOOKUP($C18,Machined!C:Z,20,0))</f>
        <v>45560</v>
      </c>
      <c r="M18" s="44">
        <f>IF(VLOOKUP($C18,Machined!C:Z,21,0) = 0, " ", VLOOKUP($C18,Machined!C:Z,21,0))</f>
        <v>45560</v>
      </c>
      <c r="N18" s="129">
        <f>IF(VLOOKUP($C18,Machined!C:Z,22,0) = 0, " ", VLOOKUP($C18,Machined!C:Z,22,0))</f>
        <v>55706</v>
      </c>
      <c r="O18" s="45">
        <f t="shared" ca="1" si="0"/>
        <v>2</v>
      </c>
      <c r="P18" s="49">
        <f>VLOOKUP(C18,Machined!C:F,3,0)</f>
        <v>991.3</v>
      </c>
      <c r="Q18" s="50">
        <f t="shared" si="1"/>
        <v>991.3</v>
      </c>
    </row>
    <row r="19" spans="1:17" s="63" customFormat="1" ht="12" customHeight="1" x14ac:dyDescent="0.25">
      <c r="A19" s="77">
        <v>11</v>
      </c>
      <c r="B19" s="20">
        <v>1</v>
      </c>
      <c r="C19" s="121" t="s">
        <v>1070</v>
      </c>
      <c r="D19" s="314" t="str">
        <f>VLOOKUP(C19,Machined!C:X,2,0)</f>
        <v>Side Plate Stationary R</v>
      </c>
      <c r="E19" s="329"/>
      <c r="F19" s="107" t="str">
        <f>VLOOKUP($C19,Machined!C:Z,13,0)</f>
        <v>6061-T6 ALUMINUM</v>
      </c>
      <c r="G19" s="44" t="str">
        <f>IF(VLOOKUP($C19,Machined!C:Z,16,0) = 0, " ", VLOOKUP($C19,Machined!C:Z,16,0))</f>
        <v>Xometry</v>
      </c>
      <c r="H19" s="320" t="str">
        <f>IF(VLOOKUP($C19,Machined!C:Z,17,0) = 0, " ", VLOOKUP($C19,Machined!C:Z,17,0))</f>
        <v xml:space="preserve"> </v>
      </c>
      <c r="I19" s="321" t="str">
        <f>IF(VLOOKUP($C19,Machined!$C:$Y,13,0) = 0, " ", VLOOKUP($C19,Machined!$C:$Y,13,0))</f>
        <v>6061-T6 ALUMINUM</v>
      </c>
      <c r="J19" s="44">
        <f>IF(VLOOKUP($C19,Machined!C:Z,18,0) = 0, " ", VLOOKUP($C19,Machined!C:Z,18,0))</f>
        <v>45527</v>
      </c>
      <c r="K19" s="44">
        <f>IF(VLOOKUP($C19,Machined!C:Z,19,0) = 0, " ", VLOOKUP($C19,Machined!C:Z,19,0))</f>
        <v>45530</v>
      </c>
      <c r="L19" s="44">
        <f>IF(VLOOKUP($C19,Machined!C:Z,20,0) = 0, " ", VLOOKUP($C19,Machined!C:Z,20,0))</f>
        <v>45560</v>
      </c>
      <c r="M19" s="44">
        <f>IF(VLOOKUP($C19,Machined!C:Z,21,0) = 0, " ", VLOOKUP($C19,Machined!C:Z,21,0))</f>
        <v>45560</v>
      </c>
      <c r="N19" s="129">
        <f>IF(VLOOKUP($C19,Machined!C:Z,22,0) = 0, " ", VLOOKUP($C19,Machined!C:Z,22,0))</f>
        <v>55706</v>
      </c>
      <c r="O19" s="45">
        <f t="shared" ca="1" si="0"/>
        <v>2</v>
      </c>
      <c r="P19" s="49">
        <f>VLOOKUP(C19,Machined!C:F,3,0)</f>
        <v>112.87</v>
      </c>
      <c r="Q19" s="50">
        <f t="shared" si="1"/>
        <v>112.87</v>
      </c>
    </row>
    <row r="20" spans="1:17" s="63" customFormat="1" ht="12" customHeight="1" x14ac:dyDescent="0.25">
      <c r="A20" s="77">
        <v>12</v>
      </c>
      <c r="B20" s="20">
        <v>1</v>
      </c>
      <c r="C20" s="121" t="s">
        <v>1071</v>
      </c>
      <c r="D20" s="314" t="str">
        <f>VLOOKUP(C20,Machined!C:X,2,0)</f>
        <v>Side Plate Stationary L</v>
      </c>
      <c r="E20" s="329"/>
      <c r="F20" s="107" t="str">
        <f>VLOOKUP($C20,Machined!C:Z,13,0)</f>
        <v>6061-T6 ALUMINUM</v>
      </c>
      <c r="G20" s="44" t="str">
        <f>IF(VLOOKUP($C20,Machined!C:Z,16,0) = 0, " ", VLOOKUP($C20,Machined!C:Z,16,0))</f>
        <v>Xometry</v>
      </c>
      <c r="H20" s="320" t="str">
        <f>IF(VLOOKUP($C20,Machined!C:Z,17,0) = 0, " ", VLOOKUP($C20,Machined!C:Z,17,0))</f>
        <v xml:space="preserve"> </v>
      </c>
      <c r="I20" s="321" t="str">
        <f>IF(VLOOKUP($C20,Machined!$C:$Y,13,0) = 0, " ", VLOOKUP($C20,Machined!$C:$Y,13,0))</f>
        <v>6061-T6 ALUMINUM</v>
      </c>
      <c r="J20" s="44">
        <f>IF(VLOOKUP($C20,Machined!C:Z,18,0) = 0, " ", VLOOKUP($C20,Machined!C:Z,18,0))</f>
        <v>45527</v>
      </c>
      <c r="K20" s="44">
        <f>IF(VLOOKUP($C20,Machined!C:Z,19,0) = 0, " ", VLOOKUP($C20,Machined!C:Z,19,0))</f>
        <v>45530</v>
      </c>
      <c r="L20" s="44">
        <f>IF(VLOOKUP($C20,Machined!C:Z,20,0) = 0, " ", VLOOKUP($C20,Machined!C:Z,20,0))</f>
        <v>45560</v>
      </c>
      <c r="M20" s="44">
        <f>IF(VLOOKUP($C20,Machined!C:Z,21,0) = 0, " ", VLOOKUP($C20,Machined!C:Z,21,0))</f>
        <v>45560</v>
      </c>
      <c r="N20" s="129">
        <f>IF(VLOOKUP($C20,Machined!C:Z,22,0) = 0, " ", VLOOKUP($C20,Machined!C:Z,22,0))</f>
        <v>55706</v>
      </c>
      <c r="O20" s="45">
        <f t="shared" ca="1" si="0"/>
        <v>2</v>
      </c>
      <c r="P20" s="49">
        <f>VLOOKUP(C20,Machined!C:F,3,0)</f>
        <v>113</v>
      </c>
      <c r="Q20" s="50">
        <f t="shared" si="1"/>
        <v>113</v>
      </c>
    </row>
    <row r="21" spans="1:17" s="63" customFormat="1" ht="12" customHeight="1" x14ac:dyDescent="0.25">
      <c r="A21" s="77">
        <v>13</v>
      </c>
      <c r="B21" s="20">
        <v>2</v>
      </c>
      <c r="C21" s="121" t="s">
        <v>1072</v>
      </c>
      <c r="D21" s="314" t="str">
        <f>VLOOKUP(C21,Machined!C:X,2,0)</f>
        <v>SPACING PLATE</v>
      </c>
      <c r="E21" s="329"/>
      <c r="F21" s="107" t="str">
        <f>VLOOKUP($C21,Machined!C:Z,13,0)</f>
        <v>6061-T6 ALUMINUM</v>
      </c>
      <c r="G21" s="44" t="str">
        <f>IF(VLOOKUP($C21,Machined!C:Z,16,0) = 0, " ", VLOOKUP($C21,Machined!C:Z,16,0))</f>
        <v>Xometry</v>
      </c>
      <c r="H21" s="320" t="str">
        <f>IF(VLOOKUP($C21,Machined!C:Z,17,0) = 0, " ", VLOOKUP($C21,Machined!C:Z,17,0))</f>
        <v xml:space="preserve"> </v>
      </c>
      <c r="I21" s="321" t="str">
        <f>IF(VLOOKUP($C21,Machined!$C:$Y,13,0) = 0, " ", VLOOKUP($C21,Machined!$C:$Y,13,0))</f>
        <v>6061-T6 ALUMINUM</v>
      </c>
      <c r="J21" s="44">
        <f>IF(VLOOKUP($C21,Machined!C:Z,18,0) = 0, " ", VLOOKUP($C21,Machined!C:Z,18,0))</f>
        <v>45527</v>
      </c>
      <c r="K21" s="44">
        <f>IF(VLOOKUP($C21,Machined!C:Z,19,0) = 0, " ", VLOOKUP($C21,Machined!C:Z,19,0))</f>
        <v>45530</v>
      </c>
      <c r="L21" s="44">
        <f>IF(VLOOKUP($C21,Machined!C:Z,20,0) = 0, " ", VLOOKUP($C21,Machined!C:Z,20,0))</f>
        <v>45560</v>
      </c>
      <c r="M21" s="44">
        <f>IF(VLOOKUP($C21,Machined!C:Z,21,0) = 0, " ", VLOOKUP($C21,Machined!C:Z,21,0))</f>
        <v>45560</v>
      </c>
      <c r="N21" s="129">
        <f>IF(VLOOKUP($C21,Machined!C:Z,22,0) = 0, " ", VLOOKUP($C21,Machined!C:Z,22,0))</f>
        <v>55706</v>
      </c>
      <c r="O21" s="45">
        <f t="shared" ref="O21:O23" ca="1" si="2">B21*$L$2</f>
        <v>4</v>
      </c>
      <c r="P21" s="49">
        <f>VLOOKUP(C21,Machined!C:F,3,0)</f>
        <v>54.62</v>
      </c>
      <c r="Q21" s="50">
        <f t="shared" ref="Q21:Q23" si="3">B21*P21</f>
        <v>109.24</v>
      </c>
    </row>
    <row r="22" spans="1:17" s="63" customFormat="1" ht="12" customHeight="1" x14ac:dyDescent="0.25">
      <c r="A22" s="77">
        <v>14</v>
      </c>
      <c r="B22" s="20">
        <v>1</v>
      </c>
      <c r="C22" s="121" t="s">
        <v>974</v>
      </c>
      <c r="D22" s="314" t="str">
        <f>VLOOKUP(C22,Machined!C:X,2,0)</f>
        <v>CUFF PRESENT SENSOR BRACKET</v>
      </c>
      <c r="E22" s="329"/>
      <c r="F22" s="107" t="str">
        <f>VLOOKUP($C22,Machined!C:Z,13,0)</f>
        <v>304 STAINLESS STEEL</v>
      </c>
      <c r="G22" s="44" t="str">
        <f>IF(VLOOKUP($C22,Machined!C:Z,16,0) = 0, " ", VLOOKUP($C22,Machined!C:Z,16,0))</f>
        <v>Proto</v>
      </c>
      <c r="H22" s="320" t="str">
        <f>IF(VLOOKUP($C22,Machined!C:Z,17,0) = 0, " ", VLOOKUP($C22,Machined!C:Z,17,0))</f>
        <v xml:space="preserve"> </v>
      </c>
      <c r="I22" s="321" t="str">
        <f>IF(VLOOKUP($C22,Machined!$C:$Y,13,0) = 0, " ", VLOOKUP($C22,Machined!$C:$Y,13,0))</f>
        <v>304 STAINLESS STEEL</v>
      </c>
      <c r="J22" s="44">
        <f>IF(VLOOKUP($C22,Machined!C:Z,18,0) = 0, " ", VLOOKUP($C22,Machined!C:Z,18,0))</f>
        <v>45526</v>
      </c>
      <c r="K22" s="44">
        <f>IF(VLOOKUP($C22,Machined!C:Z,19,0) = 0, " ", VLOOKUP($C22,Machined!C:Z,19,0))</f>
        <v>45527</v>
      </c>
      <c r="L22" s="44">
        <f>IF(VLOOKUP($C22,Machined!C:Z,20,0) = 0, " ", VLOOKUP($C22,Machined!C:Z,20,0))</f>
        <v>45548</v>
      </c>
      <c r="M22" s="44">
        <f>IF(VLOOKUP($C22,Machined!C:Z,21,0) = 0, " ", VLOOKUP($C22,Machined!C:Z,21,0))</f>
        <v>45548</v>
      </c>
      <c r="N22" s="129">
        <f>IF(VLOOKUP($C22,Machined!C:Z,22,0) = 0, " ", VLOOKUP($C22,Machined!C:Z,22,0))</f>
        <v>55702</v>
      </c>
      <c r="O22" s="45">
        <f t="shared" ref="O22" ca="1" si="4">B22*$L$2</f>
        <v>2</v>
      </c>
      <c r="P22" s="49">
        <f>VLOOKUP(C22,Machined!C:F,3,0)</f>
        <v>0</v>
      </c>
      <c r="Q22" s="50">
        <f t="shared" ref="Q22" si="5">B22*P22</f>
        <v>0</v>
      </c>
    </row>
    <row r="23" spans="1:17" s="63" customFormat="1" ht="12" customHeight="1" x14ac:dyDescent="0.25">
      <c r="A23" s="77">
        <v>15</v>
      </c>
      <c r="B23" s="20">
        <v>2</v>
      </c>
      <c r="C23" s="121" t="s">
        <v>335</v>
      </c>
      <c r="D23" s="314" t="str">
        <f>VLOOKUP(C23,Machined!C:X,2,0)</f>
        <v>Metal Rectangle</v>
      </c>
      <c r="E23" s="329"/>
      <c r="F23" s="107" t="str">
        <f>VLOOKUP($C23,Machined!C:Z,13,0)</f>
        <v>Component Spacer</v>
      </c>
      <c r="G23" s="44" t="str">
        <f>IF(VLOOKUP($C23,Machined!C:Z,16,0) = 0, " ", VLOOKUP($C23,Machined!C:Z,16,0))</f>
        <v>WescoBHT</v>
      </c>
      <c r="H23" s="320" t="str">
        <f>IF(VLOOKUP($C23,Machined!C:Z,17,0) = 0, " ", VLOOKUP($C23,Machined!C:Z,17,0))</f>
        <v xml:space="preserve"> </v>
      </c>
      <c r="I23" s="321" t="str">
        <f>IF(VLOOKUP($C23,Machined!$C:$Y,13,0) = 0, " ", VLOOKUP($C23,Machined!$C:$Y,13,0))</f>
        <v>Component Spacer</v>
      </c>
      <c r="J23" s="44">
        <f>IF(VLOOKUP($C23,Machined!C:Z,18,0) = 0, " ", VLOOKUP($C23,Machined!C:Z,18,0))</f>
        <v>45463</v>
      </c>
      <c r="K23" s="44">
        <f>IF(VLOOKUP($C23,Machined!C:Z,19,0) = 0, " ", VLOOKUP($C23,Machined!C:Z,19,0))</f>
        <v>45483</v>
      </c>
      <c r="L23" s="44">
        <f>IF(VLOOKUP($C23,Machined!C:Z,20,0) = 0, " ", VLOOKUP($C23,Machined!C:Z,20,0))</f>
        <v>45513</v>
      </c>
      <c r="M23" s="44">
        <f>IF(VLOOKUP($C23,Machined!C:Z,21,0) = 0, " ", VLOOKUP($C23,Machined!C:Z,21,0))</f>
        <v>45513</v>
      </c>
      <c r="N23" s="129">
        <f>IF(VLOOKUP($C23,Machined!C:Z,22,0) = 0, " ", VLOOKUP($C23,Machined!C:Z,22,0))</f>
        <v>55593</v>
      </c>
      <c r="O23" s="45">
        <f t="shared" ca="1" si="2"/>
        <v>4</v>
      </c>
      <c r="P23" s="49">
        <f>VLOOKUP(C23,Machined!C:F,3,0)</f>
        <v>0</v>
      </c>
      <c r="Q23" s="50">
        <f t="shared" si="3"/>
        <v>0</v>
      </c>
    </row>
    <row r="24" spans="1:17" s="63" customFormat="1" ht="12" customHeight="1" x14ac:dyDescent="0.25">
      <c r="A24" s="25"/>
      <c r="B24" s="26"/>
      <c r="C24" s="26"/>
      <c r="D24" s="332"/>
      <c r="E24" s="333"/>
      <c r="F24" s="26"/>
      <c r="G24" s="26"/>
      <c r="H24" s="322"/>
      <c r="I24" s="323"/>
      <c r="J24" s="27"/>
      <c r="K24" s="27"/>
      <c r="L24" s="27"/>
      <c r="M24" s="28"/>
      <c r="N24" s="29"/>
      <c r="O24" s="29"/>
      <c r="P24" s="148"/>
      <c r="Q24" s="149"/>
    </row>
    <row r="25" spans="1:17" s="2" customFormat="1" ht="12" customHeight="1" x14ac:dyDescent="0.25">
      <c r="A25" s="4">
        <v>301</v>
      </c>
      <c r="B25" s="2">
        <v>4</v>
      </c>
      <c r="C25" s="135" t="s">
        <v>220</v>
      </c>
      <c r="D25" s="325" t="str">
        <f>VLOOKUP(C25,Purchased!A:B,2,0)</f>
        <v>M8 4PIN TO FLYING LEAD 7.5M CABLE</v>
      </c>
      <c r="E25" s="326"/>
      <c r="F25" s="108" t="str">
        <f>IF(VLOOKUP($C25,Purchased!A:Z,11,0) = 0, " ", VLOOKUP($C25,Purchased!A:Z,11,0))</f>
        <v>MURR</v>
      </c>
      <c r="G25" s="108" t="str">
        <f>IF(VLOOKUP($C25,Purchased!A:Z,12,0)=0, " ", VLOOKUP($C25,Purchased!A:Z,12,0))</f>
        <v>MURR</v>
      </c>
      <c r="H25" s="327" t="str">
        <f>IF(VLOOKUP($C25,Purchased!A:Z,13,0)=0, " ", VLOOKUP($C25,Purchased!A:Z,13,0))</f>
        <v xml:space="preserve"> </v>
      </c>
      <c r="I25" s="328"/>
      <c r="J25" s="46">
        <f>IF(VLOOKUP($C25,Purchased!A:Z,14,0)=0, " ", VLOOKUP($C25,Purchased!A:Z,14,0))</f>
        <v>45506</v>
      </c>
      <c r="K25" s="46">
        <f>IF(VLOOKUP(C25,Purchased!A:R,14,0)=0, " ", VLOOKUP(C25,Purchased!A:R,14,0))</f>
        <v>45506</v>
      </c>
      <c r="L25" s="46" t="str">
        <f>IF(VLOOKUP(C25,Purchased!A:R,15,0)=0, " ", VLOOKUP(C25,Purchased!A:R,15,0))</f>
        <v xml:space="preserve"> </v>
      </c>
      <c r="M25" s="46" t="str">
        <f>IF(VLOOKUP(C25,Purchased!A:R,16,0)=0, " ",VLOOKUP(C25,Purchased!A:R,16,0))</f>
        <v xml:space="preserve"> </v>
      </c>
      <c r="N25" s="130" t="str">
        <f>IF(VLOOKUP(C25,Purchased!A:R,17,0)=0, " ", VLOOKUP(C25,Purchased!A:R,17,0))</f>
        <v xml:space="preserve"> </v>
      </c>
      <c r="O25" s="47">
        <f ca="1">B25*$L$2</f>
        <v>8</v>
      </c>
      <c r="P25" s="51">
        <f>VLOOKUP(C25,Purchased!A:D,3,FALSE)</f>
        <v>0</v>
      </c>
      <c r="Q25" s="52">
        <f>B25*P25</f>
        <v>0</v>
      </c>
    </row>
    <row r="26" spans="1:17" s="2" customFormat="1" ht="12" customHeight="1" x14ac:dyDescent="0.25">
      <c r="A26" s="4">
        <v>302</v>
      </c>
      <c r="B26" s="2">
        <v>1</v>
      </c>
      <c r="C26" s="135" t="s">
        <v>820</v>
      </c>
      <c r="D26" s="325" t="str">
        <f>VLOOKUP(C26,Purchased!A:B,2,0)</f>
        <v>Keyence COMPACT LASER SENSOR, M8 CONNECTOR, 100MM RANGE</v>
      </c>
      <c r="E26" s="326"/>
      <c r="F26" s="108" t="str">
        <f>IF(VLOOKUP($C26,Purchased!A:Z,11,0) = 0, " ", VLOOKUP($C26,Purchased!A:Z,11,0))</f>
        <v>KEYENCE</v>
      </c>
      <c r="G26" s="108" t="str">
        <f>IF(VLOOKUP($C26,Purchased!A:Z,12,0)=0, " ", VLOOKUP($C26,Purchased!A:Z,12,0))</f>
        <v>KEYENCE</v>
      </c>
      <c r="H26" s="327" t="str">
        <f>IF(VLOOKUP($C26,Purchased!A:Z,13,0)=0, " ", VLOOKUP($C26,Purchased!A:Z,13,0))</f>
        <v xml:space="preserve"> </v>
      </c>
      <c r="I26" s="328"/>
      <c r="J26" s="46">
        <f>IF(VLOOKUP($C26,Purchased!A:Z,14,0)=0, " ", VLOOKUP($C26,Purchased!A:Z,14,0))</f>
        <v>45516</v>
      </c>
      <c r="K26" s="46">
        <f>IF(VLOOKUP(C26,Purchased!A:R,14,0)=0, " ", VLOOKUP(C26,Purchased!A:R,14,0))</f>
        <v>45516</v>
      </c>
      <c r="L26" s="46">
        <f>IF(VLOOKUP(C26,Purchased!A:R,15,0)=0, " ", VLOOKUP(C26,Purchased!A:R,15,0))</f>
        <v>45518</v>
      </c>
      <c r="M26" s="46">
        <f>IF(VLOOKUP(C26,Purchased!A:R,16,0)=0, " ",VLOOKUP(C26,Purchased!A:R,16,0))</f>
        <v>45526</v>
      </c>
      <c r="N26" s="130">
        <f>IF(VLOOKUP(C26,Purchased!A:R,17,0)=0, " ", VLOOKUP(C26,Purchased!A:R,17,0))</f>
        <v>45526</v>
      </c>
      <c r="O26" s="47">
        <f t="shared" ref="O26:O36" ca="1" si="6">B26*$L$2</f>
        <v>2</v>
      </c>
      <c r="P26" s="51">
        <f>VLOOKUP(C26,Purchased!A:D,3,FALSE)</f>
        <v>575</v>
      </c>
      <c r="Q26" s="52">
        <f t="shared" ref="Q26:Q36" si="7">B26*P26</f>
        <v>575</v>
      </c>
    </row>
    <row r="27" spans="1:17" s="2" customFormat="1" ht="12" customHeight="1" x14ac:dyDescent="0.25">
      <c r="A27" s="4">
        <v>303</v>
      </c>
      <c r="B27" s="2">
        <v>2</v>
      </c>
      <c r="C27" s="135" t="s">
        <v>1073</v>
      </c>
      <c r="D27" s="325" t="str">
        <f>VLOOKUP(C27,Purchased!A:B,2,0)</f>
        <v>GN 300.1-78-M10-25-SW Adjustable handles with threaded screw</v>
      </c>
      <c r="E27" s="326"/>
      <c r="F27" s="108" t="str">
        <f>IF(VLOOKUP($C27,Purchased!A:Z,11,0) = 0, " ", VLOOKUP($C27,Purchased!A:Z,11,0))</f>
        <v>ELESA</v>
      </c>
      <c r="G27" s="108" t="str">
        <f>IF(VLOOKUP($C27,Purchased!A:Z,12,0)=0, " ", VLOOKUP($C27,Purchased!A:Z,12,0))</f>
        <v>ELESA</v>
      </c>
      <c r="H27" s="327" t="str">
        <f>IF(VLOOKUP($C27,Purchased!A:Z,13,0)=0, " ", VLOOKUP($C27,Purchased!A:Z,13,0))</f>
        <v xml:space="preserve"> </v>
      </c>
      <c r="I27" s="328"/>
      <c r="J27" s="46">
        <f>IF(VLOOKUP($C27,Purchased!A:Z,14,0)=0, " ", VLOOKUP($C27,Purchased!A:Z,14,0))</f>
        <v>45506</v>
      </c>
      <c r="K27" s="46">
        <f>IF(VLOOKUP(C27,Purchased!A:R,14,0)=0, " ", VLOOKUP(C27,Purchased!A:R,14,0))</f>
        <v>45506</v>
      </c>
      <c r="L27" s="46">
        <f>IF(VLOOKUP(C27,Purchased!A:R,15,0)=0, " ", VLOOKUP(C27,Purchased!A:R,15,0))</f>
        <v>45526</v>
      </c>
      <c r="M27" s="46">
        <f>IF(VLOOKUP(C27,Purchased!A:R,16,0)=0, " ",VLOOKUP(C27,Purchased!A:R,16,0))</f>
        <v>45551</v>
      </c>
      <c r="N27" s="130">
        <f>IF(VLOOKUP(C27,Purchased!A:R,17,0)=0, " ", VLOOKUP(C27,Purchased!A:R,17,0))</f>
        <v>45551</v>
      </c>
      <c r="O27" s="47">
        <f ca="1">B27*$L$2</f>
        <v>4</v>
      </c>
      <c r="P27" s="51">
        <f>VLOOKUP(C27,Purchased!A:D,3,FALSE)</f>
        <v>14.93</v>
      </c>
      <c r="Q27" s="52">
        <f>B27*P27</f>
        <v>29.86</v>
      </c>
    </row>
    <row r="28" spans="1:17" s="2" customFormat="1" ht="12" customHeight="1" x14ac:dyDescent="0.25">
      <c r="A28" s="4">
        <v>304</v>
      </c>
      <c r="B28" s="2">
        <v>4</v>
      </c>
      <c r="C28" s="135" t="s">
        <v>300</v>
      </c>
      <c r="D28" s="325" t="str">
        <f>VLOOKUP(C28,Purchased!A:B,2,0)</f>
        <v>Dowel Pin 52100 Alloy Steel, 10 mm Diameter, 30 mm Long</v>
      </c>
      <c r="E28" s="326"/>
      <c r="F28" s="108" t="str">
        <f>IF(VLOOKUP($C28,Purchased!A:Z,11,0) = 0, " ", VLOOKUP($C28,Purchased!A:Z,11,0))</f>
        <v>MCM</v>
      </c>
      <c r="G28" s="108" t="str">
        <f>IF(VLOOKUP($C28,Purchased!A:Z,12,0)=0, " ", VLOOKUP($C28,Purchased!A:Z,12,0))</f>
        <v>MCM</v>
      </c>
      <c r="H28" s="327" t="str">
        <f>IF(VLOOKUP($C28,Purchased!A:Z,13,0)=0, " ", VLOOKUP($C28,Purchased!A:Z,13,0))</f>
        <v>4 Additional Quantity Added to 55697</v>
      </c>
      <c r="I28" s="328"/>
      <c r="J28" s="46">
        <f>IF(VLOOKUP($C28,Purchased!A:Z,14,0)=0, " ", VLOOKUP($C28,Purchased!A:Z,14,0))</f>
        <v>45460</v>
      </c>
      <c r="K28" s="46">
        <f>IF(VLOOKUP(C28,Purchased!A:R,14,0)=0, " ", VLOOKUP(C28,Purchased!A:R,14,0))</f>
        <v>45460</v>
      </c>
      <c r="L28" s="46">
        <f>IF(VLOOKUP(C28,Purchased!A:R,15,0)=0, " ", VLOOKUP(C28,Purchased!A:R,15,0))</f>
        <v>45460</v>
      </c>
      <c r="M28" s="46">
        <f>IF(VLOOKUP(C28,Purchased!A:R,16,0)=0, " ",VLOOKUP(C28,Purchased!A:R,16,0))</f>
        <v>45462</v>
      </c>
      <c r="N28" s="130">
        <f>IF(VLOOKUP(C28,Purchased!A:R,17,0)=0, " ", VLOOKUP(C28,Purchased!A:R,17,0))</f>
        <v>45462</v>
      </c>
      <c r="O28" s="47">
        <f ca="1">B28*$L$2</f>
        <v>8</v>
      </c>
      <c r="P28" s="51">
        <f>VLOOKUP(C28,Purchased!A:D,3,FALSE)</f>
        <v>12.91</v>
      </c>
      <c r="Q28" s="52">
        <f>B28*P28</f>
        <v>51.64</v>
      </c>
    </row>
    <row r="29" spans="1:17" s="2" customFormat="1" ht="12" customHeight="1" x14ac:dyDescent="0.25">
      <c r="A29" s="4">
        <v>305</v>
      </c>
      <c r="B29" s="2">
        <v>10</v>
      </c>
      <c r="C29" s="135" t="s">
        <v>1074</v>
      </c>
      <c r="D29" s="325" t="str">
        <f>VLOOKUP(C29,Purchased!A:B,2,0)</f>
        <v>M3 Alloy Steel Extended-Tip Set Screw</v>
      </c>
      <c r="E29" s="326"/>
      <c r="F29" s="108" t="str">
        <f>IF(VLOOKUP($C29,Purchased!A:Z,11,0) = 0, " ", VLOOKUP($C29,Purchased!A:Z,11,0))</f>
        <v>MCM</v>
      </c>
      <c r="G29" s="108" t="str">
        <f>IF(VLOOKUP($C29,Purchased!A:Z,12,0)=0, " ", VLOOKUP($C29,Purchased!A:Z,12,0))</f>
        <v>MCM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45526</v>
      </c>
      <c r="K29" s="46">
        <f>IF(VLOOKUP(C29,Purchased!A:R,14,0)=0, " ", VLOOKUP(C29,Purchased!A:R,14,0))</f>
        <v>45526</v>
      </c>
      <c r="L29" s="46">
        <f>IF(VLOOKUP(C29,Purchased!A:R,15,0)=0, " ", VLOOKUP(C29,Purchased!A:R,15,0))</f>
        <v>45526</v>
      </c>
      <c r="M29" s="46" t="str">
        <f>IF(VLOOKUP(C29,Purchased!A:R,16,0)=0, " ",VLOOKUP(C29,Purchased!A:R,16,0))</f>
        <v xml:space="preserve"> </v>
      </c>
      <c r="N29" s="130" t="str">
        <f>IF(VLOOKUP(C29,Purchased!A:R,17,0)=0, " ", VLOOKUP(C29,Purchased!A:R,17,0))</f>
        <v xml:space="preserve"> </v>
      </c>
      <c r="O29" s="47">
        <f ca="1">B29*$L$2</f>
        <v>20</v>
      </c>
      <c r="P29" s="51">
        <f>VLOOKUP(C29,Purchased!A:D,3,FALSE)</f>
        <v>7.36</v>
      </c>
      <c r="Q29" s="52">
        <f>B29*P29</f>
        <v>73.600000000000009</v>
      </c>
    </row>
    <row r="30" spans="1:17" s="2" customFormat="1" ht="12" customHeight="1" x14ac:dyDescent="0.25">
      <c r="A30" s="4">
        <v>306</v>
      </c>
      <c r="B30" s="2">
        <v>4</v>
      </c>
      <c r="C30" s="135" t="s">
        <v>1075</v>
      </c>
      <c r="D30" s="325" t="str">
        <f>VLOOKUP(C30,Purchased!A:B,2,0)</f>
        <v>6mm x 22mm Dowel Pin</v>
      </c>
      <c r="E30" s="326"/>
      <c r="F30" s="108" t="str">
        <f>IF(VLOOKUP($C30,Purchased!A:Z,11,0) = 0, " ", VLOOKUP($C30,Purchased!A:Z,11,0))</f>
        <v>MCM</v>
      </c>
      <c r="G30" s="108" t="str">
        <f>IF(VLOOKUP($C30,Purchased!A:Z,12,0)=0, " ", VLOOKUP($C30,Purchased!A:Z,12,0))</f>
        <v>MCM</v>
      </c>
      <c r="H30" s="327" t="str">
        <f>IF(VLOOKUP($C30,Purchased!A:Z,13,0)=0, " ", VLOOKUP($C30,Purchased!A:Z,13,0))</f>
        <v xml:space="preserve"> </v>
      </c>
      <c r="I30" s="328"/>
      <c r="J30" s="46">
        <f>IF(VLOOKUP($C30,Purchased!A:Z,14,0)=0, " ", VLOOKUP($C30,Purchased!A:Z,14,0))</f>
        <v>45526</v>
      </c>
      <c r="K30" s="46">
        <f>IF(VLOOKUP(C30,Purchased!A:R,14,0)=0, " ", VLOOKUP(C30,Purchased!A:R,14,0))</f>
        <v>45526</v>
      </c>
      <c r="L30" s="46">
        <f>IF(VLOOKUP(C30,Purchased!A:R,15,0)=0, " ", VLOOKUP(C30,Purchased!A:R,15,0))</f>
        <v>45526</v>
      </c>
      <c r="M30" s="46" t="str">
        <f>IF(VLOOKUP(C30,Purchased!A:R,16,0)=0, " ",VLOOKUP(C30,Purchased!A:R,16,0))</f>
        <v xml:space="preserve"> </v>
      </c>
      <c r="N30" s="130" t="str">
        <f>IF(VLOOKUP(C30,Purchased!A:R,17,0)=0, " ", VLOOKUP(C30,Purchased!A:R,17,0))</f>
        <v xml:space="preserve"> </v>
      </c>
      <c r="O30" s="47">
        <f ca="1">B30*$L$2</f>
        <v>8</v>
      </c>
      <c r="P30" s="51">
        <f>VLOOKUP(C30,Purchased!A:D,3,FALSE)</f>
        <v>12.25</v>
      </c>
      <c r="Q30" s="52">
        <f>B30*P30</f>
        <v>49</v>
      </c>
    </row>
    <row r="31" spans="1:17" s="2" customFormat="1" ht="12" customHeight="1" x14ac:dyDescent="0.25">
      <c r="A31" s="4">
        <v>307</v>
      </c>
      <c r="B31" s="2">
        <v>8</v>
      </c>
      <c r="C31" s="135" t="s">
        <v>1076</v>
      </c>
      <c r="D31" s="325" t="str">
        <f>VLOOKUP(C31,Purchased!A:B,2,0)</f>
        <v>Threaded Bump Stop M8</v>
      </c>
      <c r="E31" s="326"/>
      <c r="F31" s="108" t="str">
        <f>IF(VLOOKUP($C31,Purchased!A:Z,11,0) = 0, " ", VLOOKUP($C31,Purchased!A:Z,11,0))</f>
        <v>MISUMI</v>
      </c>
      <c r="G31" s="108" t="str">
        <f>IF(VLOOKUP($C31,Purchased!A:Z,12,0)=0, " ", VLOOKUP($C31,Purchased!A:Z,12,0))</f>
        <v>MISUMI</v>
      </c>
      <c r="H31" s="327" t="str">
        <f>IF(VLOOKUP($C31,Purchased!A:Z,13,0)=0, " ", VLOOKUP($C31,Purchased!A:Z,13,0))</f>
        <v xml:space="preserve"> </v>
      </c>
      <c r="I31" s="328"/>
      <c r="J31" s="46" t="str">
        <f>IF(VLOOKUP($C31,Purchased!A:Z,14,0)=0, " ", VLOOKUP($C31,Purchased!A:Z,14,0))</f>
        <v>N/A</v>
      </c>
      <c r="K31" s="46" t="str">
        <f>IF(VLOOKUP(C31,Purchased!A:R,14,0)=0, " ", VLOOKUP(C31,Purchased!A:R,14,0))</f>
        <v>N/A</v>
      </c>
      <c r="L31" s="46">
        <f>IF(VLOOKUP(C31,Purchased!A:R,15,0)=0, " ", VLOOKUP(C31,Purchased!A:R,15,0))</f>
        <v>45524</v>
      </c>
      <c r="M31" s="46">
        <f>IF(VLOOKUP(C31,Purchased!A:R,16,0)=0, " ",VLOOKUP(C31,Purchased!A:R,16,0))</f>
        <v>45540</v>
      </c>
      <c r="N31" s="130">
        <f>IF(VLOOKUP(C31,Purchased!A:R,17,0)=0, " ", VLOOKUP(C31,Purchased!A:R,17,0))</f>
        <v>45527</v>
      </c>
      <c r="O31" s="47">
        <f ca="1">B31*$L$2</f>
        <v>16</v>
      </c>
      <c r="P31" s="51">
        <f>VLOOKUP(C31,Purchased!A:D,3,FALSE)</f>
        <v>19.38</v>
      </c>
      <c r="Q31" s="52">
        <f>B31*P31</f>
        <v>155.04</v>
      </c>
    </row>
    <row r="32" spans="1:17" s="2" customFormat="1" ht="12" customHeight="1" x14ac:dyDescent="0.25">
      <c r="A32" s="4">
        <v>308</v>
      </c>
      <c r="B32" s="2">
        <v>4</v>
      </c>
      <c r="C32" s="135" t="s">
        <v>799</v>
      </c>
      <c r="D32" s="325" t="str">
        <f>VLOOKUP(C32,Purchased!A:B,2,0)</f>
        <v>Speed Controller One Touch Fitting, 6mm dia tubing</v>
      </c>
      <c r="E32" s="326"/>
      <c r="F32" s="108" t="str">
        <f>IF(VLOOKUP($C32,Purchased!A:Z,11,0) = 0, " ", VLOOKUP($C32,Purchased!A:Z,11,0))</f>
        <v>SMC</v>
      </c>
      <c r="G32" s="108" t="str">
        <f>IF(VLOOKUP($C32,Purchased!A:Z,12,0)=0, " ", VLOOKUP($C32,Purchased!A:Z,12,0))</f>
        <v>AAP</v>
      </c>
      <c r="H32" s="327" t="str">
        <f>IF(VLOOKUP($C32,Purchased!A:Z,13,0)=0, " ", VLOOKUP($C32,Purchased!A:Z,13,0))</f>
        <v>10 more PO 55692</v>
      </c>
      <c r="I32" s="328"/>
      <c r="J32" s="46">
        <f>IF(VLOOKUP($C32,Purchased!A:Z,14,0)=0, " ", VLOOKUP($C32,Purchased!A:Z,14,0))</f>
        <v>45489</v>
      </c>
      <c r="K32" s="46">
        <f>IF(VLOOKUP(C32,Purchased!A:R,14,0)=0, " ", VLOOKUP(C32,Purchased!A:R,14,0))</f>
        <v>45489</v>
      </c>
      <c r="L32" s="46">
        <f>IF(VLOOKUP(C32,Purchased!A:R,15,0)=0, " ", VLOOKUP(C32,Purchased!A:R,15,0))</f>
        <v>45491</v>
      </c>
      <c r="M32" s="46">
        <f>IF(VLOOKUP(C32,Purchased!A:R,16,0)=0, " ",VLOOKUP(C32,Purchased!A:R,16,0))</f>
        <v>45520</v>
      </c>
      <c r="N32" s="130">
        <f>IF(VLOOKUP(C32,Purchased!A:R,17,0)=0, " ", VLOOKUP(C32,Purchased!A:R,17,0))</f>
        <v>45511</v>
      </c>
      <c r="O32" s="47">
        <f t="shared" ca="1" si="6"/>
        <v>8</v>
      </c>
      <c r="P32" s="51">
        <f>VLOOKUP(C32,Purchased!A:D,3,FALSE)</f>
        <v>14.87</v>
      </c>
      <c r="Q32" s="52">
        <f t="shared" si="7"/>
        <v>59.48</v>
      </c>
    </row>
    <row r="33" spans="1:17" s="2" customFormat="1" ht="12" customHeight="1" x14ac:dyDescent="0.25">
      <c r="A33" s="4">
        <v>309</v>
      </c>
      <c r="B33" s="2">
        <v>4</v>
      </c>
      <c r="C33" s="135" t="s">
        <v>1077</v>
      </c>
      <c r="D33" s="325" t="str">
        <f>VLOOKUP(C33,Purchased!A:B,2,0)</f>
        <v>6mm pneumatic T to 4mm</v>
      </c>
      <c r="E33" s="326"/>
      <c r="F33" s="108" t="str">
        <f>IF(VLOOKUP($C33,Purchased!A:Z,11,0) = 0, " ", VLOOKUP($C33,Purchased!A:Z,11,0))</f>
        <v>SMC</v>
      </c>
      <c r="G33" s="108" t="str">
        <f>IF(VLOOKUP($C33,Purchased!A:Z,12,0)=0, " ", VLOOKUP($C33,Purchased!A:Z,12,0))</f>
        <v>AAP</v>
      </c>
      <c r="H33" s="327" t="str">
        <f>IF(VLOOKUP($C33,Purchased!A:Z,13,0)=0, " ", VLOOKUP($C33,Purchased!A:Z,13,0))</f>
        <v xml:space="preserve"> </v>
      </c>
      <c r="I33" s="328"/>
      <c r="J33" s="46" t="str">
        <f>IF(VLOOKUP($C33,Purchased!A:Z,14,0)=0, " ", VLOOKUP($C33,Purchased!A:Z,14,0))</f>
        <v xml:space="preserve"> </v>
      </c>
      <c r="K33" s="46" t="str">
        <f>IF(VLOOKUP(C33,Purchased!A:R,14,0)=0, " ", VLOOKUP(C33,Purchased!A:R,14,0))</f>
        <v xml:space="preserve"> </v>
      </c>
      <c r="L33" s="46">
        <f>IF(VLOOKUP(C33,Purchased!A:R,15,0)=0, " ", VLOOKUP(C33,Purchased!A:R,15,0))</f>
        <v>45524</v>
      </c>
      <c r="M33" s="46">
        <f>IF(VLOOKUP(C33,Purchased!A:R,16,0)=0, " ",VLOOKUP(C33,Purchased!A:R,16,0))</f>
        <v>45547</v>
      </c>
      <c r="N33" s="130">
        <f>IF(VLOOKUP(C33,Purchased!A:R,17,0)=0, " ", VLOOKUP(C33,Purchased!A:R,17,0))</f>
        <v>45530</v>
      </c>
      <c r="O33" s="47">
        <f t="shared" ca="1" si="6"/>
        <v>8</v>
      </c>
      <c r="P33" s="51">
        <f>VLOOKUP(C33,Purchased!A:D,3,FALSE)</f>
        <v>2.39</v>
      </c>
      <c r="Q33" s="52">
        <f t="shared" si="7"/>
        <v>9.56</v>
      </c>
    </row>
    <row r="34" spans="1:17" s="2" customFormat="1" ht="12" customHeight="1" x14ac:dyDescent="0.25">
      <c r="A34" s="4">
        <v>310</v>
      </c>
      <c r="B34" s="2">
        <v>8</v>
      </c>
      <c r="C34" s="135" t="s">
        <v>657</v>
      </c>
      <c r="D34" s="325" t="str">
        <f>VLOOKUP(C34,Purchased!A:B,2,0)</f>
        <v>KQ2 unifit, elbow, 4mm dia tubing, M5 port</v>
      </c>
      <c r="E34" s="326"/>
      <c r="F34" s="108" t="str">
        <f>IF(VLOOKUP($C34,Purchased!A:Z,11,0) = 0, " ", VLOOKUP($C34,Purchased!A:Z,11,0))</f>
        <v>SMC</v>
      </c>
      <c r="G34" s="108" t="str">
        <f>IF(VLOOKUP($C34,Purchased!A:Z,12,0)=0, " ", VLOOKUP($C34,Purchased!A:Z,12,0))</f>
        <v>AAP</v>
      </c>
      <c r="H34" s="327" t="str">
        <f>IF(VLOOKUP($C34,Purchased!A:Z,13,0)=0, " ", VLOOKUP($C34,Purchased!A:Z,13,0))</f>
        <v>20 more PO 55692</v>
      </c>
      <c r="I34" s="328"/>
      <c r="J34" s="46">
        <f>IF(VLOOKUP($C34,Purchased!A:Z,14,0)=0, " ", VLOOKUP($C34,Purchased!A:Z,14,0))</f>
        <v>45489</v>
      </c>
      <c r="K34" s="46">
        <f>IF(VLOOKUP(C34,Purchased!A:R,14,0)=0, " ", VLOOKUP(C34,Purchased!A:R,14,0))</f>
        <v>45489</v>
      </c>
      <c r="L34" s="46">
        <f>IF(VLOOKUP(C34,Purchased!A:R,15,0)=0, " ", VLOOKUP(C34,Purchased!A:R,15,0))</f>
        <v>45491</v>
      </c>
      <c r="M34" s="46">
        <f>IF(VLOOKUP(C34,Purchased!A:R,16,0)=0, " ",VLOOKUP(C34,Purchased!A:R,16,0))</f>
        <v>45520</v>
      </c>
      <c r="N34" s="130">
        <f>IF(VLOOKUP(C34,Purchased!A:R,17,0)=0, " ", VLOOKUP(C34,Purchased!A:R,17,0))</f>
        <v>45511</v>
      </c>
      <c r="O34" s="47">
        <f t="shared" ca="1" si="6"/>
        <v>16</v>
      </c>
      <c r="P34" s="51">
        <f>VLOOKUP(C34,Purchased!A:D,3,FALSE)</f>
        <v>1.43</v>
      </c>
      <c r="Q34" s="52">
        <f t="shared" si="7"/>
        <v>11.44</v>
      </c>
    </row>
    <row r="35" spans="1:17" s="2" customFormat="1" ht="12" customHeight="1" x14ac:dyDescent="0.25">
      <c r="A35" s="4">
        <v>311</v>
      </c>
      <c r="B35" s="2">
        <v>4</v>
      </c>
      <c r="C35" s="135" t="s">
        <v>305</v>
      </c>
      <c r="D35" s="325" t="str">
        <f>VLOOKUP(C35,Purchased!A:B,2,0)</f>
        <v>Auto Switch, Solid State, General Purpose, M8-3Pin Connector, 0.5m Cord 
Length</v>
      </c>
      <c r="E35" s="326"/>
      <c r="F35" s="108" t="str">
        <f>IF(VLOOKUP($C35,Purchased!A:Z,11,0) = 0, " ", VLOOKUP($C35,Purchased!A:Z,11,0))</f>
        <v>SMC</v>
      </c>
      <c r="G35" s="108" t="str">
        <f>IF(VLOOKUP($C35,Purchased!A:Z,12,0)=0, " ", VLOOKUP($C35,Purchased!A:Z,12,0))</f>
        <v>AAP</v>
      </c>
      <c r="H35" s="327" t="str">
        <f>IF(VLOOKUP($C35,Purchased!A:Z,13,0)=0, " ", VLOOKUP($C35,Purchased!A:Z,13,0))</f>
        <v>10 more PO 55692</v>
      </c>
      <c r="I35" s="328"/>
      <c r="J35" s="46">
        <f>IF(VLOOKUP($C35,Purchased!A:Z,14,0)=0, " ", VLOOKUP($C35,Purchased!A:Z,14,0))</f>
        <v>45489</v>
      </c>
      <c r="K35" s="46">
        <f>IF(VLOOKUP(C35,Purchased!A:R,14,0)=0, " ", VLOOKUP(C35,Purchased!A:R,14,0))</f>
        <v>45489</v>
      </c>
      <c r="L35" s="46">
        <f>IF(VLOOKUP(C35,Purchased!A:R,15,0)=0, " ", VLOOKUP(C35,Purchased!A:R,15,0))</f>
        <v>45489</v>
      </c>
      <c r="M35" s="46">
        <f>IF(VLOOKUP(C35,Purchased!A:R,16,0)=0, " ",VLOOKUP(C35,Purchased!A:R,16,0))</f>
        <v>45510</v>
      </c>
      <c r="N35" s="130">
        <f>IF(VLOOKUP(C35,Purchased!A:R,17,0)=0, " ", VLOOKUP(C35,Purchased!A:R,17,0))</f>
        <v>45513</v>
      </c>
      <c r="O35" s="47">
        <f t="shared" ca="1" si="6"/>
        <v>8</v>
      </c>
      <c r="P35" s="51">
        <f>VLOOKUP(C35,Purchased!A:D,3,FALSE)</f>
        <v>38.64</v>
      </c>
      <c r="Q35" s="52">
        <f t="shared" si="7"/>
        <v>154.56</v>
      </c>
    </row>
    <row r="36" spans="1:17" s="2" customFormat="1" ht="12" customHeight="1" x14ac:dyDescent="0.25">
      <c r="A36" s="4">
        <v>312</v>
      </c>
      <c r="B36" s="2">
        <v>4</v>
      </c>
      <c r="C36" s="135" t="s">
        <v>1078</v>
      </c>
      <c r="D36" s="325" t="str">
        <f>VLOOKUP(C36,Purchased!A:B,2,0)</f>
        <v>Cylinder 16mm Bore 20mm</v>
      </c>
      <c r="E36" s="326"/>
      <c r="F36" s="108" t="str">
        <f>IF(VLOOKUP($C36,Purchased!A:Z,11,0) = 0, " ", VLOOKUP($C36,Purchased!A:Z,11,0))</f>
        <v>SMC</v>
      </c>
      <c r="G36" s="108" t="str">
        <f>IF(VLOOKUP($C36,Purchased!A:Z,12,0)=0, " ", VLOOKUP($C36,Purchased!A:Z,12,0))</f>
        <v>AAP</v>
      </c>
      <c r="H36" s="327" t="str">
        <f>IF(VLOOKUP($C36,Purchased!A:Z,13,0)=0, " ", VLOOKUP($C36,Purchased!A:Z,13,0))</f>
        <v xml:space="preserve"> </v>
      </c>
      <c r="I36" s="328"/>
      <c r="J36" s="46" t="str">
        <f>IF(VLOOKUP($C36,Purchased!A:Z,14,0)=0, " ", VLOOKUP($C36,Purchased!A:Z,14,0))</f>
        <v xml:space="preserve"> </v>
      </c>
      <c r="K36" s="46" t="str">
        <f>IF(VLOOKUP(C36,Purchased!A:R,14,0)=0, " ", VLOOKUP(C36,Purchased!A:R,14,0))</f>
        <v xml:space="preserve"> </v>
      </c>
      <c r="L36" s="46">
        <f>IF(VLOOKUP(C36,Purchased!A:R,15,0)=0, " ", VLOOKUP(C36,Purchased!A:R,15,0))</f>
        <v>45524</v>
      </c>
      <c r="M36" s="46" t="str">
        <f>IF(VLOOKUP(C36,Purchased!A:R,16,0)=0, " ",VLOOKUP(C36,Purchased!A:R,16,0))</f>
        <v xml:space="preserve"> </v>
      </c>
      <c r="N36" s="130">
        <f>IF(VLOOKUP(C36,Purchased!A:R,17,0)=0, " ", VLOOKUP(C36,Purchased!A:R,17,0))</f>
        <v>45530</v>
      </c>
      <c r="O36" s="47">
        <f t="shared" ca="1" si="6"/>
        <v>8</v>
      </c>
      <c r="P36" s="51">
        <f>VLOOKUP(C36,Purchased!A:D,3,FALSE)</f>
        <v>34.04</v>
      </c>
      <c r="Q36" s="52">
        <f t="shared" si="7"/>
        <v>136.16</v>
      </c>
    </row>
    <row r="37" spans="1:17" s="2" customFormat="1" ht="12" customHeight="1" x14ac:dyDescent="0.25">
      <c r="A37" s="4">
        <v>313</v>
      </c>
      <c r="B37" s="2">
        <v>1</v>
      </c>
      <c r="C37" s="135" t="s">
        <v>796</v>
      </c>
      <c r="D37" s="325" t="str">
        <f>VLOOKUP(C37,Purchased!A:B,2,0)</f>
        <v>Keyence AMPLIFIER BRACKET FOR LR-X100C SENSOR</v>
      </c>
      <c r="E37" s="326"/>
      <c r="F37" s="108" t="str">
        <f>IF(VLOOKUP($C37,Purchased!A:Z,11,0) = 0, " ", VLOOKUP($C37,Purchased!A:Z,11,0))</f>
        <v>KEYENCE</v>
      </c>
      <c r="G37" s="108" t="str">
        <f>IF(VLOOKUP($C37,Purchased!A:Z,12,0)=0, " ", VLOOKUP($C37,Purchased!A:Z,12,0))</f>
        <v>KEYENCE</v>
      </c>
      <c r="H37" s="327" t="str">
        <f>IF(VLOOKUP($C37,Purchased!A:Z,13,0)=0, " ", VLOOKUP($C37,Purchased!A:Z,13,0))</f>
        <v xml:space="preserve"> </v>
      </c>
      <c r="I37" s="328"/>
      <c r="J37" s="46">
        <f>IF(VLOOKUP($C37,Purchased!A:Z,14,0)=0, " ", VLOOKUP($C37,Purchased!A:Z,14,0))</f>
        <v>45516</v>
      </c>
      <c r="K37" s="46">
        <f>IF(VLOOKUP(C37,Purchased!A:R,14,0)=0, " ", VLOOKUP(C37,Purchased!A:R,14,0))</f>
        <v>45516</v>
      </c>
      <c r="L37" s="46">
        <f>IF(VLOOKUP(C37,Purchased!A:R,15,0)=0, " ", VLOOKUP(C37,Purchased!A:R,15,0))</f>
        <v>45518</v>
      </c>
      <c r="M37" s="46">
        <f>IF(VLOOKUP(C37,Purchased!A:R,16,0)=0, " ",VLOOKUP(C37,Purchased!A:R,16,0))</f>
        <v>45526</v>
      </c>
      <c r="N37" s="130">
        <f>IF(VLOOKUP(C37,Purchased!A:R,17,0)=0, " ", VLOOKUP(C37,Purchased!A:R,17,0))</f>
        <v>45526</v>
      </c>
      <c r="O37" s="47">
        <f t="shared" ref="O37" ca="1" si="8">B37*$L$2</f>
        <v>2</v>
      </c>
      <c r="P37" s="51">
        <f>VLOOKUP(C37,Purchased!A:D,3,FALSE)</f>
        <v>12</v>
      </c>
      <c r="Q37" s="52">
        <f t="shared" ref="Q37" si="9">B37*P37</f>
        <v>12</v>
      </c>
    </row>
    <row r="38" spans="1:17" s="2" customFormat="1" ht="12" customHeight="1" x14ac:dyDescent="0.25">
      <c r="A38" s="4">
        <v>314</v>
      </c>
      <c r="B38" s="2">
        <v>2</v>
      </c>
      <c r="C38" s="135">
        <v>3842530283</v>
      </c>
      <c r="D38" s="325" t="str">
        <f>VLOOKUP(C38,Purchased!A:B,2,0)</f>
        <v>BRX GOTO T-NUT 10 M5</v>
      </c>
      <c r="E38" s="326"/>
      <c r="F38" s="108" t="str">
        <f>IF(VLOOKUP($C38,Purchased!A:Z,11,0) = 0, " ", VLOOKUP($C38,Purchased!A:Z,11,0))</f>
        <v>BRX</v>
      </c>
      <c r="G38" s="108" t="str">
        <f>IF(VLOOKUP($C38,Purchased!A:Z,12,0)=0, " ", VLOOKUP($C38,Purchased!A:Z,12,0))</f>
        <v>AAP</v>
      </c>
      <c r="H38" s="327" t="str">
        <f>IF(VLOOKUP($C38,Purchased!A:Z,13,0)=0, " ", VLOOKUP($C38,Purchased!A:Z,13,0))</f>
        <v>100 additional quantity added to 55710</v>
      </c>
      <c r="I38" s="328"/>
      <c r="J38" s="46">
        <f>IF(VLOOKUP($C38,Purchased!A:Z,14,0)=0, " ", VLOOKUP($C38,Purchased!A:Z,14,0))</f>
        <v>45463</v>
      </c>
      <c r="K38" s="46">
        <f>IF(VLOOKUP(C38,Purchased!A:R,14,0)=0, " ", VLOOKUP(C38,Purchased!A:R,14,0))</f>
        <v>45463</v>
      </c>
      <c r="L38" s="46">
        <f>IF(VLOOKUP(C38,Purchased!A:R,15,0)=0, " ", VLOOKUP(C38,Purchased!A:R,15,0))</f>
        <v>45463</v>
      </c>
      <c r="M38" s="46">
        <f>IF(VLOOKUP(C38,Purchased!A:R,16,0)=0, " ",VLOOKUP(C38,Purchased!A:R,16,0))</f>
        <v>45481</v>
      </c>
      <c r="N38" s="130">
        <f>IF(VLOOKUP(C38,Purchased!A:R,17,0)=0, " ", VLOOKUP(C38,Purchased!A:R,17,0))</f>
        <v>45481</v>
      </c>
      <c r="O38" s="47">
        <f t="shared" ref="O38:O39" ca="1" si="10">B38*$L$2</f>
        <v>4</v>
      </c>
      <c r="P38" s="51">
        <f>VLOOKUP(C38,Purchased!A:D,3,FALSE)</f>
        <v>0.56000000000000005</v>
      </c>
      <c r="Q38" s="52">
        <f t="shared" ref="Q38:Q39" si="11">B38*P38</f>
        <v>1.1200000000000001</v>
      </c>
    </row>
    <row r="39" spans="1:17" s="2" customFormat="1" ht="12" customHeight="1" x14ac:dyDescent="0.25">
      <c r="A39" s="4">
        <v>315</v>
      </c>
      <c r="B39" s="2">
        <v>4</v>
      </c>
      <c r="C39" s="135">
        <v>3842528735</v>
      </c>
      <c r="D39" s="325" t="str">
        <f>VLOOKUP(C39,Purchased!A:B,2,0)</f>
        <v>T-SLOT STONE 10 M8</v>
      </c>
      <c r="E39" s="326"/>
      <c r="F39" s="108" t="str">
        <f>IF(VLOOKUP($C39,Purchased!A:Z,11,0) = 0, " ", VLOOKUP($C39,Purchased!A:Z,11,0))</f>
        <v>BRX</v>
      </c>
      <c r="G39" s="108" t="str">
        <f>IF(VLOOKUP($C39,Purchased!A:Z,12,0)=0, " ", VLOOKUP($C39,Purchased!A:Z,12,0))</f>
        <v>AAP</v>
      </c>
      <c r="H39" s="327" t="str">
        <f>IF(VLOOKUP($C39,Purchased!A:Z,13,0)=0, " ", VLOOKUP($C39,Purchased!A:Z,13,0))</f>
        <v xml:space="preserve"> </v>
      </c>
      <c r="I39" s="328"/>
      <c r="J39" s="46" t="str">
        <f>IF(VLOOKUP($C39,Purchased!A:Z,14,0)=0, " ", VLOOKUP($C39,Purchased!A:Z,14,0))</f>
        <v>N/A</v>
      </c>
      <c r="K39" s="46" t="str">
        <f>IF(VLOOKUP(C39,Purchased!A:R,14,0)=0, " ", VLOOKUP(C39,Purchased!A:R,14,0))</f>
        <v>N/A</v>
      </c>
      <c r="L39" s="46">
        <f>IF(VLOOKUP(C39,Purchased!A:R,15,0)=0, " ", VLOOKUP(C39,Purchased!A:R,15,0))</f>
        <v>45532</v>
      </c>
      <c r="M39" s="46">
        <f>IF(VLOOKUP(C39,Purchased!A:R,16,0)=0, " ",VLOOKUP(C39,Purchased!A:R,16,0))</f>
        <v>45561</v>
      </c>
      <c r="N39" s="130" t="str">
        <f>IF(VLOOKUP(C39,Purchased!A:R,17,0)=0, " ", VLOOKUP(C39,Purchased!A:R,17,0))</f>
        <v xml:space="preserve"> </v>
      </c>
      <c r="O39" s="47">
        <f t="shared" ca="1" si="10"/>
        <v>8</v>
      </c>
      <c r="P39" s="51">
        <f>VLOOKUP(C39,Purchased!A:D,3,FALSE)</f>
        <v>0.86</v>
      </c>
      <c r="Q39" s="52">
        <f t="shared" si="11"/>
        <v>3.44</v>
      </c>
    </row>
    <row r="40" spans="1:17" s="2" customFormat="1" ht="12" customHeight="1" x14ac:dyDescent="0.25">
      <c r="A40" s="4">
        <v>316</v>
      </c>
      <c r="B40" s="2">
        <v>2</v>
      </c>
      <c r="C40" s="135" t="s">
        <v>914</v>
      </c>
      <c r="D40" s="325" t="str">
        <f>VLOOKUP(C40,Purchased!A:B,2,0)</f>
        <v>Zinc-Plated Class 10.9 Steel Washer, M10 Screw Size</v>
      </c>
      <c r="E40" s="326"/>
      <c r="F40" s="108" t="str">
        <f>IF(VLOOKUP($C40,Purchased!A:Z,11,0) = 0, " ", VLOOKUP($C40,Purchased!A:Z,11,0))</f>
        <v>MCM</v>
      </c>
      <c r="G40" s="108" t="str">
        <f>IF(VLOOKUP($C40,Purchased!A:Z,12,0)=0, " ", VLOOKUP($C40,Purchased!A:Z,12,0))</f>
        <v>MCM</v>
      </c>
      <c r="H40" s="327" t="str">
        <f>IF(VLOOKUP($C40,Purchased!A:Z,13,0)=0, " ", VLOOKUP($C40,Purchased!A:Z,13,0))</f>
        <v xml:space="preserve"> </v>
      </c>
      <c r="I40" s="328"/>
      <c r="J40" s="46">
        <f>IF(VLOOKUP($C40,Purchased!A:Z,14,0)=0, " ", VLOOKUP($C40,Purchased!A:Z,14,0))</f>
        <v>45481</v>
      </c>
      <c r="K40" s="46">
        <f>IF(VLOOKUP(C40,Purchased!A:R,14,0)=0, " ", VLOOKUP(C40,Purchased!A:R,14,0))</f>
        <v>45481</v>
      </c>
      <c r="L40" s="46">
        <f>IF(VLOOKUP(C40,Purchased!A:R,15,0)=0, " ", VLOOKUP(C40,Purchased!A:R,15,0))</f>
        <v>45481</v>
      </c>
      <c r="M40" s="46">
        <f>IF(VLOOKUP(C40,Purchased!A:R,16,0)=0, " ",VLOOKUP(C40,Purchased!A:R,16,0))</f>
        <v>45482</v>
      </c>
      <c r="N40" s="130">
        <f>IF(VLOOKUP(C40,Purchased!A:R,17,0)=0, " ", VLOOKUP(C40,Purchased!A:R,17,0))</f>
        <v>45482</v>
      </c>
      <c r="O40" s="47">
        <f t="shared" ref="O40" ca="1" si="12">B40*$L$2</f>
        <v>4</v>
      </c>
      <c r="P40" s="51">
        <f>VLOOKUP(C40,Purchased!A:D,3,FALSE)</f>
        <v>12.41</v>
      </c>
      <c r="Q40" s="52">
        <f t="shared" ref="Q40" si="13">B40*P40</f>
        <v>24.82</v>
      </c>
    </row>
    <row r="41" spans="1:17" s="2" customFormat="1" ht="12" customHeight="1" x14ac:dyDescent="0.25">
      <c r="A41" s="4">
        <v>317</v>
      </c>
      <c r="B41" s="2">
        <v>2</v>
      </c>
      <c r="C41" s="135" t="s">
        <v>773</v>
      </c>
      <c r="D41" s="325" t="str">
        <f>VLOOKUP(C41,Purchased!A:B,2,0)</f>
        <v>Class 8.8 Steel General Purpose Washer, Zinc-Plated, for M3 Screw Size, 3.2 mm ID, 7.0 mm OD</v>
      </c>
      <c r="E41" s="326"/>
      <c r="F41" s="108" t="str">
        <f>IF(VLOOKUP($C41,Purchased!A:Z,11,0) = 0, " ", VLOOKUP($C41,Purchased!A:Z,11,0))</f>
        <v>MCM</v>
      </c>
      <c r="G41" s="108" t="str">
        <f>IF(VLOOKUP($C41,Purchased!A:Z,12,0)=0, " ", VLOOKUP($C41,Purchased!A:Z,12,0))</f>
        <v>MCM</v>
      </c>
      <c r="H41" s="327" t="str">
        <f>IF(VLOOKUP($C41,Purchased!A:Z,13,0)=0, " ", VLOOKUP($C41,Purchased!A:Z,13,0))</f>
        <v xml:space="preserve"> </v>
      </c>
      <c r="I41" s="328"/>
      <c r="J41" s="46">
        <f>IF(VLOOKUP($C41,Purchased!A:Z,14,0)=0, " ", VLOOKUP($C41,Purchased!A:Z,14,0))</f>
        <v>45526</v>
      </c>
      <c r="K41" s="46">
        <f>IF(VLOOKUP(C41,Purchased!A:R,14,0)=0, " ", VLOOKUP(C41,Purchased!A:R,14,0))</f>
        <v>45526</v>
      </c>
      <c r="L41" s="46">
        <f>IF(VLOOKUP(C41,Purchased!A:R,15,0)=0, " ", VLOOKUP(C41,Purchased!A:R,15,0))</f>
        <v>45526</v>
      </c>
      <c r="M41" s="46" t="str">
        <f>IF(VLOOKUP(C41,Purchased!A:R,16,0)=0, " ",VLOOKUP(C41,Purchased!A:R,16,0))</f>
        <v xml:space="preserve"> </v>
      </c>
      <c r="N41" s="130" t="str">
        <f>IF(VLOOKUP(C41,Purchased!A:R,17,0)=0, " ", VLOOKUP(C41,Purchased!A:R,17,0))</f>
        <v xml:space="preserve"> </v>
      </c>
      <c r="O41" s="47">
        <f t="shared" ref="O41" ca="1" si="14">B41*$L$2</f>
        <v>4</v>
      </c>
      <c r="P41" s="51">
        <f>VLOOKUP(C41,Purchased!A:D,3,FALSE)</f>
        <v>2.61</v>
      </c>
      <c r="Q41" s="52">
        <f t="shared" ref="Q41" si="15">B41*P41</f>
        <v>5.22</v>
      </c>
    </row>
    <row r="42" spans="1:17" s="2" customFormat="1" ht="12" customHeight="1" x14ac:dyDescent="0.25">
      <c r="A42" s="25"/>
      <c r="B42" s="26"/>
      <c r="C42" s="26"/>
      <c r="D42" s="332"/>
      <c r="E42" s="333"/>
      <c r="F42" s="26"/>
      <c r="G42" s="26"/>
      <c r="H42" s="322"/>
      <c r="I42" s="323"/>
      <c r="J42" s="27"/>
      <c r="K42" s="27"/>
      <c r="L42" s="27"/>
      <c r="M42" s="28"/>
      <c r="N42" s="29"/>
      <c r="O42" s="29"/>
      <c r="P42" s="148"/>
      <c r="Q42" s="149"/>
    </row>
    <row r="43" spans="1:17" s="2" customFormat="1" ht="12" customHeight="1" x14ac:dyDescent="0.25">
      <c r="A43" s="4">
        <v>501</v>
      </c>
      <c r="B43" s="2">
        <v>2</v>
      </c>
      <c r="C43" s="122" t="s">
        <v>411</v>
      </c>
      <c r="D43" s="325"/>
      <c r="E43" s="326"/>
      <c r="F43" s="108">
        <f>VLOOKUP(C43,Bolts!A:L,5,0)</f>
        <v>0</v>
      </c>
      <c r="G43" s="108">
        <f>VLOOKUP(C43,Bolts!A:L,6,0)</f>
        <v>0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ca="1">B43*$L$2</f>
        <v>4</v>
      </c>
      <c r="P43" s="51">
        <f>VLOOKUP(C43,Bolts!A:B,2,FALSE)</f>
        <v>0</v>
      </c>
      <c r="Q43" s="52">
        <f>B43*P43</f>
        <v>0</v>
      </c>
    </row>
    <row r="44" spans="1:17" s="2" customFormat="1" ht="12" customHeight="1" x14ac:dyDescent="0.25">
      <c r="A44" s="4">
        <v>502</v>
      </c>
      <c r="B44" s="2">
        <v>2</v>
      </c>
      <c r="C44" s="122" t="s">
        <v>905</v>
      </c>
      <c r="D44" s="325"/>
      <c r="E44" s="326"/>
      <c r="F44" s="108">
        <f>VLOOKUP(C44,Bolts!A:L,5,0)</f>
        <v>0</v>
      </c>
      <c r="G44" s="108">
        <f>VLOOKUP(C44,Bolts!A:L,6,0)</f>
        <v>0</v>
      </c>
      <c r="H44" s="108">
        <f>VLOOKUP(C44,Bolts!A:L,7,0)</f>
        <v>0</v>
      </c>
      <c r="I44" s="109"/>
      <c r="J44" s="46">
        <f>VLOOKUP(C44,Bolts!A:L,8,0)</f>
        <v>0</v>
      </c>
      <c r="K44" s="46">
        <f>VLOOKUP(C44,Bolts!A:L,9,0)</f>
        <v>0</v>
      </c>
      <c r="L44" s="46">
        <f>VLOOKUP(C44,Bolts!A:L,10,0)</f>
        <v>0</v>
      </c>
      <c r="M44" s="46">
        <f>VLOOKUP(C44,Bolts!A:L,11,0)</f>
        <v>0</v>
      </c>
      <c r="N44" s="130">
        <f>VLOOKUP(C44,Bolts!A:L,12,0)</f>
        <v>0</v>
      </c>
      <c r="O44" s="47">
        <f ca="1">B44*$L$2</f>
        <v>4</v>
      </c>
      <c r="P44" s="51">
        <f>VLOOKUP(C44,Bolts!A:B,2,FALSE)</f>
        <v>0</v>
      </c>
      <c r="Q44" s="52">
        <f>B44*P44</f>
        <v>0</v>
      </c>
    </row>
    <row r="45" spans="1:17" s="2" customFormat="1" ht="12" customHeight="1" x14ac:dyDescent="0.25">
      <c r="A45" s="4">
        <v>503</v>
      </c>
      <c r="B45" s="2">
        <v>8</v>
      </c>
      <c r="C45" s="122" t="s">
        <v>618</v>
      </c>
      <c r="D45" s="325"/>
      <c r="E45" s="326"/>
      <c r="F45" s="108">
        <f>VLOOKUP(C45,Bolts!A:L,5,0)</f>
        <v>0</v>
      </c>
      <c r="G45" s="108">
        <f>VLOOKUP(C45,Bolts!A:L,6,0)</f>
        <v>0</v>
      </c>
      <c r="H45" s="108">
        <f>VLOOKUP(C45,Bolts!A:L,7,0)</f>
        <v>0</v>
      </c>
      <c r="I45" s="109"/>
      <c r="J45" s="46">
        <f>VLOOKUP(C45,Bolts!A:L,8,0)</f>
        <v>0</v>
      </c>
      <c r="K45" s="46">
        <f>VLOOKUP(C45,Bolts!A:L,9,0)</f>
        <v>0</v>
      </c>
      <c r="L45" s="46">
        <f>VLOOKUP(C45,Bolts!A:L,10,0)</f>
        <v>0</v>
      </c>
      <c r="M45" s="46">
        <f>VLOOKUP(C45,Bolts!A:L,11,0)</f>
        <v>0</v>
      </c>
      <c r="N45" s="130">
        <f>VLOOKUP(C45,Bolts!A:L,12,0)</f>
        <v>0</v>
      </c>
      <c r="O45" s="47">
        <f ca="1">B45*$L$2</f>
        <v>16</v>
      </c>
      <c r="P45" s="51">
        <f>VLOOKUP(C45,Bolts!A:B,2,FALSE)</f>
        <v>0</v>
      </c>
      <c r="Q45" s="52">
        <f>B45*P45</f>
        <v>0</v>
      </c>
    </row>
    <row r="46" spans="1:17" s="2" customFormat="1" ht="12" customHeight="1" x14ac:dyDescent="0.25">
      <c r="A46" s="4">
        <v>504</v>
      </c>
      <c r="B46" s="2">
        <v>2</v>
      </c>
      <c r="C46" s="122" t="s">
        <v>1005</v>
      </c>
      <c r="D46" s="325"/>
      <c r="E46" s="326"/>
      <c r="F46" s="108">
        <f>VLOOKUP(C46,Bolts!A:L,5,0)</f>
        <v>0</v>
      </c>
      <c r="G46" s="108">
        <f>VLOOKUP(C46,Bolts!A:L,6,0)</f>
        <v>0</v>
      </c>
      <c r="H46" s="108">
        <f>VLOOKUP(C46,Bolts!A:L,7,0)</f>
        <v>0</v>
      </c>
      <c r="I46" s="109"/>
      <c r="J46" s="46">
        <f>VLOOKUP(C46,Bolts!A:L,8,0)</f>
        <v>0</v>
      </c>
      <c r="K46" s="46">
        <f>VLOOKUP(C46,Bolts!A:L,9,0)</f>
        <v>0</v>
      </c>
      <c r="L46" s="46">
        <f>VLOOKUP(C46,Bolts!A:L,10,0)</f>
        <v>0</v>
      </c>
      <c r="M46" s="46">
        <f>VLOOKUP(C46,Bolts!A:L,11,0)</f>
        <v>0</v>
      </c>
      <c r="N46" s="130">
        <f>VLOOKUP(C46,Bolts!A:L,12,0)</f>
        <v>0</v>
      </c>
      <c r="O46" s="47">
        <f ca="1">B46*$L$2</f>
        <v>4</v>
      </c>
      <c r="P46" s="51">
        <f>VLOOKUP(C46,Bolts!A:B,2,FALSE)</f>
        <v>0</v>
      </c>
      <c r="Q46" s="52">
        <f>B46*P46</f>
        <v>0</v>
      </c>
    </row>
    <row r="47" spans="1:17" s="2" customFormat="1" ht="12" customHeight="1" x14ac:dyDescent="0.25">
      <c r="A47" s="4">
        <v>505</v>
      </c>
      <c r="B47" s="2">
        <v>8</v>
      </c>
      <c r="C47" s="122" t="s">
        <v>1079</v>
      </c>
      <c r="D47" s="325"/>
      <c r="E47" s="326"/>
      <c r="F47" s="108">
        <f>VLOOKUP(C47,Bolts!A:L,5,0)</f>
        <v>0</v>
      </c>
      <c r="G47" s="108">
        <f>VLOOKUP(C47,Bolts!A:L,6,0)</f>
        <v>0</v>
      </c>
      <c r="H47" s="108">
        <f>VLOOKUP(C47,Bolts!A:L,7,0)</f>
        <v>0</v>
      </c>
      <c r="I47" s="109"/>
      <c r="J47" s="46">
        <f>VLOOKUP(C47,Bolts!A:L,8,0)</f>
        <v>0</v>
      </c>
      <c r="K47" s="46">
        <f>VLOOKUP(C47,Bolts!A:L,9,0)</f>
        <v>0</v>
      </c>
      <c r="L47" s="46">
        <f>VLOOKUP(C47,Bolts!A:L,10,0)</f>
        <v>0</v>
      </c>
      <c r="M47" s="46">
        <f>VLOOKUP(C47,Bolts!A:L,11,0)</f>
        <v>0</v>
      </c>
      <c r="N47" s="130">
        <f>VLOOKUP(C47,Bolts!A:L,12,0)</f>
        <v>0</v>
      </c>
      <c r="O47" s="47">
        <f t="shared" ref="O47:O52" ca="1" si="16">B47*$L$2</f>
        <v>16</v>
      </c>
      <c r="P47" s="51">
        <f>VLOOKUP(C47,Bolts!A:B,2,FALSE)</f>
        <v>0</v>
      </c>
      <c r="Q47" s="52">
        <f t="shared" ref="Q47:Q52" si="17">B47*P47</f>
        <v>0</v>
      </c>
    </row>
    <row r="48" spans="1:17" s="2" customFormat="1" ht="12" customHeight="1" x14ac:dyDescent="0.25">
      <c r="A48" s="4">
        <v>506</v>
      </c>
      <c r="B48" s="2">
        <v>10</v>
      </c>
      <c r="C48" s="122" t="s">
        <v>349</v>
      </c>
      <c r="D48" s="325"/>
      <c r="E48" s="326"/>
      <c r="F48" s="108">
        <f>VLOOKUP(C48,Bolts!A:L,5,0)</f>
        <v>0</v>
      </c>
      <c r="G48" s="108">
        <f>VLOOKUP(C48,Bolts!A:L,6,0)</f>
        <v>0</v>
      </c>
      <c r="H48" s="108">
        <f>VLOOKUP(C48,Bolts!A:L,7,0)</f>
        <v>0</v>
      </c>
      <c r="I48" s="109"/>
      <c r="J48" s="46">
        <f>VLOOKUP(C48,Bolts!A:L,8,0)</f>
        <v>0</v>
      </c>
      <c r="K48" s="46">
        <f>VLOOKUP(C48,Bolts!A:L,9,0)</f>
        <v>0</v>
      </c>
      <c r="L48" s="46">
        <f>VLOOKUP(C48,Bolts!A:L,10,0)</f>
        <v>0</v>
      </c>
      <c r="M48" s="46">
        <f>VLOOKUP(C48,Bolts!A:L,11,0)</f>
        <v>0</v>
      </c>
      <c r="N48" s="130">
        <f>VLOOKUP(C48,Bolts!A:L,12,0)</f>
        <v>0</v>
      </c>
      <c r="O48" s="47">
        <f t="shared" ca="1" si="16"/>
        <v>20</v>
      </c>
      <c r="P48" s="51">
        <f>VLOOKUP(C48,Bolts!A:B,2,FALSE)</f>
        <v>0</v>
      </c>
      <c r="Q48" s="52">
        <f t="shared" si="17"/>
        <v>0</v>
      </c>
    </row>
    <row r="49" spans="1:17" s="2" customFormat="1" ht="12" customHeight="1" x14ac:dyDescent="0.25">
      <c r="A49" s="4">
        <v>507</v>
      </c>
      <c r="B49" s="2">
        <v>4</v>
      </c>
      <c r="C49" s="122" t="s">
        <v>1080</v>
      </c>
      <c r="D49" s="325"/>
      <c r="E49" s="326"/>
      <c r="F49" s="108">
        <f>VLOOKUP(C49,Bolts!A:L,5,0)</f>
        <v>0</v>
      </c>
      <c r="G49" s="108">
        <f>VLOOKUP(C49,Bolts!A:L,6,0)</f>
        <v>0</v>
      </c>
      <c r="H49" s="108">
        <f>VLOOKUP(C49,Bolts!A:L,7,0)</f>
        <v>0</v>
      </c>
      <c r="I49" s="109"/>
      <c r="J49" s="46">
        <f>VLOOKUP(C49,Bolts!A:L,8,0)</f>
        <v>0</v>
      </c>
      <c r="K49" s="46">
        <f>VLOOKUP(C49,Bolts!A:L,9,0)</f>
        <v>0</v>
      </c>
      <c r="L49" s="46">
        <f>VLOOKUP(C49,Bolts!A:L,10,0)</f>
        <v>0</v>
      </c>
      <c r="M49" s="46">
        <f>VLOOKUP(C49,Bolts!A:L,11,0)</f>
        <v>0</v>
      </c>
      <c r="N49" s="130">
        <f>VLOOKUP(C49,Bolts!A:L,12,0)</f>
        <v>0</v>
      </c>
      <c r="O49" s="47">
        <f ca="1">B49*$L$2</f>
        <v>8</v>
      </c>
      <c r="P49" s="51">
        <f>VLOOKUP(C49,Bolts!A:B,2,FALSE)</f>
        <v>0</v>
      </c>
      <c r="Q49" s="52">
        <f>B49*P49</f>
        <v>0</v>
      </c>
    </row>
    <row r="50" spans="1:17" s="2" customFormat="1" ht="12" customHeight="1" x14ac:dyDescent="0.25">
      <c r="A50" s="4">
        <v>508</v>
      </c>
      <c r="B50" s="2">
        <v>2</v>
      </c>
      <c r="C50" s="122" t="s">
        <v>310</v>
      </c>
      <c r="D50" s="325"/>
      <c r="E50" s="326"/>
      <c r="F50" s="108">
        <f>VLOOKUP(C50,Bolts!A:L,5,0)</f>
        <v>0</v>
      </c>
      <c r="G50" s="108">
        <f>VLOOKUP(C50,Bolts!A:L,6,0)</f>
        <v>0</v>
      </c>
      <c r="H50" s="108">
        <f>VLOOKUP(C50,Bolts!A:L,7,0)</f>
        <v>0</v>
      </c>
      <c r="I50" s="109"/>
      <c r="J50" s="46">
        <f>VLOOKUP(C50,Bolts!A:L,8,0)</f>
        <v>0</v>
      </c>
      <c r="K50" s="46">
        <f>VLOOKUP(C50,Bolts!A:L,9,0)</f>
        <v>0</v>
      </c>
      <c r="L50" s="46">
        <f>VLOOKUP(C50,Bolts!A:L,10,0)</f>
        <v>0</v>
      </c>
      <c r="M50" s="46">
        <f>VLOOKUP(C50,Bolts!A:L,11,0)</f>
        <v>0</v>
      </c>
      <c r="N50" s="130">
        <f>VLOOKUP(C50,Bolts!A:L,12,0)</f>
        <v>0</v>
      </c>
      <c r="O50" s="47">
        <f ca="1">B50*$L$2</f>
        <v>4</v>
      </c>
      <c r="P50" s="51">
        <f>VLOOKUP(C50,Bolts!A:B,2,FALSE)</f>
        <v>0</v>
      </c>
      <c r="Q50" s="52">
        <f>B50*P50</f>
        <v>0</v>
      </c>
    </row>
    <row r="51" spans="1:17" s="2" customFormat="1" ht="12" customHeight="1" x14ac:dyDescent="0.25">
      <c r="A51" s="4">
        <v>509</v>
      </c>
      <c r="B51" s="2">
        <v>4</v>
      </c>
      <c r="C51" s="122" t="s">
        <v>1081</v>
      </c>
      <c r="D51" s="325"/>
      <c r="E51" s="326"/>
      <c r="F51" s="108">
        <f>VLOOKUP(C51,Bolts!A:L,5,0)</f>
        <v>0</v>
      </c>
      <c r="G51" s="108">
        <f>VLOOKUP(C51,Bolts!A:L,6,0)</f>
        <v>0</v>
      </c>
      <c r="H51" s="108">
        <f>VLOOKUP(C51,Bolts!A:L,7,0)</f>
        <v>0</v>
      </c>
      <c r="I51" s="109"/>
      <c r="J51" s="46">
        <f>VLOOKUP(C51,Bolts!A:L,8,0)</f>
        <v>0</v>
      </c>
      <c r="K51" s="46">
        <f>VLOOKUP(C51,Bolts!A:L,9,0)</f>
        <v>0</v>
      </c>
      <c r="L51" s="46">
        <f>VLOOKUP(C51,Bolts!A:L,10,0)</f>
        <v>0</v>
      </c>
      <c r="M51" s="46">
        <f>VLOOKUP(C51,Bolts!A:L,11,0)</f>
        <v>0</v>
      </c>
      <c r="N51" s="130">
        <f>VLOOKUP(C51,Bolts!A:L,12,0)</f>
        <v>0</v>
      </c>
      <c r="O51" s="47">
        <f t="shared" ca="1" si="16"/>
        <v>8</v>
      </c>
      <c r="P51" s="51">
        <f>VLOOKUP(C51,Bolts!A:B,2,FALSE)</f>
        <v>1</v>
      </c>
      <c r="Q51" s="52">
        <f t="shared" si="17"/>
        <v>4</v>
      </c>
    </row>
    <row r="52" spans="1:17" s="2" customFormat="1" ht="12" customHeight="1" x14ac:dyDescent="0.25">
      <c r="A52" s="4">
        <v>510</v>
      </c>
      <c r="B52" s="2">
        <v>2</v>
      </c>
      <c r="C52" s="122" t="s">
        <v>107</v>
      </c>
      <c r="D52" s="325"/>
      <c r="E52" s="326"/>
      <c r="F52" s="108">
        <f>VLOOKUP(C52,Bolts!A:L,5,0)</f>
        <v>0</v>
      </c>
      <c r="G52" s="108">
        <f>VLOOKUP(C52,Bolts!A:L,6,0)</f>
        <v>0</v>
      </c>
      <c r="H52" s="108">
        <f>VLOOKUP(C52,Bolts!A:L,7,0)</f>
        <v>0</v>
      </c>
      <c r="I52" s="109"/>
      <c r="J52" s="46">
        <f>VLOOKUP(C52,Bolts!A:L,8,0)</f>
        <v>0</v>
      </c>
      <c r="K52" s="46">
        <f>VLOOKUP(C52,Bolts!A:L,9,0)</f>
        <v>0</v>
      </c>
      <c r="L52" s="46">
        <f>VLOOKUP(C52,Bolts!A:L,10,0)</f>
        <v>0</v>
      </c>
      <c r="M52" s="46">
        <f>VLOOKUP(C52,Bolts!A:L,11,0)</f>
        <v>0</v>
      </c>
      <c r="N52" s="130">
        <f>VLOOKUP(C52,Bolts!A:L,12,0)</f>
        <v>0</v>
      </c>
      <c r="O52" s="47">
        <f t="shared" ca="1" si="16"/>
        <v>4</v>
      </c>
      <c r="P52" s="51">
        <f>VLOOKUP(C52,Bolts!A:B,2,FALSE)</f>
        <v>0</v>
      </c>
      <c r="Q52" s="52">
        <f t="shared" si="17"/>
        <v>0</v>
      </c>
    </row>
    <row r="53" spans="1:17" s="2" customFormat="1" ht="12" customHeight="1" x14ac:dyDescent="0.25">
      <c r="A53" s="4">
        <v>511</v>
      </c>
      <c r="B53" s="2">
        <v>4</v>
      </c>
      <c r="C53" s="122" t="s">
        <v>203</v>
      </c>
      <c r="D53" s="325"/>
      <c r="E53" s="326"/>
      <c r="F53" s="108">
        <f>VLOOKUP(C53,Bolts!A:L,5,0)</f>
        <v>0</v>
      </c>
      <c r="G53" s="108">
        <f>VLOOKUP(C53,Bolts!A:L,6,0)</f>
        <v>0</v>
      </c>
      <c r="H53" s="108">
        <f>VLOOKUP(C53,Bolts!A:L,7,0)</f>
        <v>0</v>
      </c>
      <c r="I53" s="109"/>
      <c r="J53" s="46">
        <f>VLOOKUP(C53,Bolts!A:L,8,0)</f>
        <v>0</v>
      </c>
      <c r="K53" s="46">
        <f>VLOOKUP(C53,Bolts!A:L,9,0)</f>
        <v>0</v>
      </c>
      <c r="L53" s="46">
        <f>VLOOKUP(C53,Bolts!A:L,10,0)</f>
        <v>0</v>
      </c>
      <c r="M53" s="46">
        <f>VLOOKUP(C53,Bolts!A:L,11,0)</f>
        <v>0</v>
      </c>
      <c r="N53" s="130">
        <f>VLOOKUP(C53,Bolts!A:L,12,0)</f>
        <v>0</v>
      </c>
      <c r="O53" s="47">
        <f t="shared" ref="O53:O54" ca="1" si="18">B53*$L$2</f>
        <v>8</v>
      </c>
      <c r="P53" s="51">
        <f>VLOOKUP(C53,Bolts!A:B,2,FALSE)</f>
        <v>0</v>
      </c>
      <c r="Q53" s="52">
        <f t="shared" ref="Q53:Q54" si="19">B53*P53</f>
        <v>0</v>
      </c>
    </row>
    <row r="54" spans="1:17" s="2" customFormat="1" ht="12" customHeight="1" x14ac:dyDescent="0.25">
      <c r="A54" s="4">
        <v>512</v>
      </c>
      <c r="B54" s="2">
        <v>2</v>
      </c>
      <c r="C54" s="122" t="s">
        <v>196</v>
      </c>
      <c r="D54" s="325"/>
      <c r="E54" s="326"/>
      <c r="F54" s="108">
        <f>VLOOKUP(C54,Bolts!A:L,5,0)</f>
        <v>0</v>
      </c>
      <c r="G54" s="108">
        <f>VLOOKUP(C54,Bolts!A:L,6,0)</f>
        <v>0</v>
      </c>
      <c r="H54" s="108">
        <f>VLOOKUP(C54,Bolts!A:L,7,0)</f>
        <v>0</v>
      </c>
      <c r="I54" s="109"/>
      <c r="J54" s="46">
        <f>VLOOKUP(C54,Bolts!A:L,8,0)</f>
        <v>0</v>
      </c>
      <c r="K54" s="46">
        <f>VLOOKUP(C54,Bolts!A:L,9,0)</f>
        <v>0</v>
      </c>
      <c r="L54" s="46">
        <f>VLOOKUP(C54,Bolts!A:L,10,0)</f>
        <v>0</v>
      </c>
      <c r="M54" s="46">
        <f>VLOOKUP(C54,Bolts!A:L,11,0)</f>
        <v>0</v>
      </c>
      <c r="N54" s="130">
        <f>VLOOKUP(C54,Bolts!A:L,12,0)</f>
        <v>0</v>
      </c>
      <c r="O54" s="47">
        <f t="shared" ca="1" si="18"/>
        <v>4</v>
      </c>
      <c r="P54" s="51">
        <f>VLOOKUP(C54,Bolts!A:B,2,FALSE)</f>
        <v>0</v>
      </c>
      <c r="Q54" s="52">
        <f t="shared" si="19"/>
        <v>0</v>
      </c>
    </row>
    <row r="55" spans="1:17" s="2" customFormat="1" ht="12" customHeight="1" x14ac:dyDescent="0.25">
      <c r="A55" s="25"/>
      <c r="B55" s="26"/>
      <c r="C55" s="26"/>
      <c r="D55" s="332"/>
      <c r="E55" s="333"/>
      <c r="F55" s="26"/>
      <c r="G55" s="26"/>
      <c r="H55" s="322"/>
      <c r="I55" s="323"/>
      <c r="J55" s="27"/>
      <c r="K55" s="27"/>
      <c r="L55" s="27"/>
      <c r="M55" s="28"/>
      <c r="N55" s="29"/>
      <c r="O55" s="29"/>
      <c r="P55" s="148"/>
      <c r="Q55" s="149"/>
    </row>
    <row r="56" spans="1:17" s="2" customFormat="1" ht="12" customHeight="1" thickBot="1" x14ac:dyDescent="0.3">
      <c r="A56" s="4">
        <v>701</v>
      </c>
      <c r="B56" s="2">
        <v>2</v>
      </c>
      <c r="C56" s="123" t="s">
        <v>1082</v>
      </c>
      <c r="D56" s="325" t="str">
        <f>VLOOKUP(C56,Extrusion!B:C,2,0)</f>
        <v>HOLD (EL 9/3)</v>
      </c>
      <c r="E56" s="326"/>
      <c r="F56" s="108" t="str">
        <f ca="1">VLOOKUP(C56,Extrusion!B:N,5,0)</f>
        <v>YES</v>
      </c>
      <c r="G56" s="108">
        <f>VLOOKUP(C56,Extrusion!B:N,6,0)</f>
        <v>1</v>
      </c>
      <c r="H56" s="108">
        <f>VLOOKUP(C56,Extrusion!B:N,7,0)</f>
        <v>0</v>
      </c>
      <c r="I56" s="109"/>
      <c r="J56" s="46" t="str">
        <f>VLOOKUP(C56,Extrusion!B:N,8,0)</f>
        <v>T-Slots</v>
      </c>
      <c r="K56" s="46">
        <f>VLOOKUP(C56,Extrusion!B:N,9,0)</f>
        <v>0</v>
      </c>
      <c r="L56" s="46">
        <f>VLOOKUP(C56,Extrusion!B:N,10,0)</f>
        <v>0</v>
      </c>
      <c r="M56" s="46">
        <f>VLOOKUP(C56,Extrusion!B:N,11,0)</f>
        <v>0</v>
      </c>
      <c r="N56" s="47">
        <f>VLOOKUP(C56,Extrusion!B:O,12,0)</f>
        <v>0</v>
      </c>
      <c r="O56" s="47">
        <f t="shared" ref="O56" ca="1" si="20">B56*$L$2</f>
        <v>4</v>
      </c>
      <c r="P56" s="51">
        <f>VLOOKUP(C56,Extrusion!B:G,4,0)</f>
        <v>0</v>
      </c>
      <c r="Q56" s="52">
        <f t="shared" ref="Q56" si="21">B56*P56</f>
        <v>0</v>
      </c>
    </row>
    <row r="57" spans="1:17" s="2" customFormat="1" ht="12" customHeight="1" thickBot="1" x14ac:dyDescent="0.3">
      <c r="A57" s="34"/>
      <c r="B57" s="35"/>
      <c r="C57" s="35"/>
      <c r="D57" s="316"/>
      <c r="E57" s="317"/>
      <c r="F57" s="35"/>
      <c r="G57" s="35"/>
      <c r="H57" s="309"/>
      <c r="I57" s="310"/>
      <c r="J57" s="36"/>
      <c r="K57" s="36"/>
      <c r="L57" s="36"/>
      <c r="M57" s="37"/>
      <c r="N57" s="132"/>
      <c r="O57" s="38"/>
      <c r="P57" s="99" t="s">
        <v>43</v>
      </c>
      <c r="Q57" s="104">
        <f>SUM(Q5:Q56)</f>
        <v>4427.7299999999987</v>
      </c>
    </row>
  </sheetData>
  <sheetProtection selectLockedCells="1"/>
  <mergeCells count="94">
    <mergeCell ref="D7:E7"/>
    <mergeCell ref="D39:E39"/>
    <mergeCell ref="H39:I39"/>
    <mergeCell ref="D53:E53"/>
    <mergeCell ref="D54:E54"/>
    <mergeCell ref="D40:E40"/>
    <mergeCell ref="H40:I40"/>
    <mergeCell ref="D41:E41"/>
    <mergeCell ref="H41:I41"/>
    <mergeCell ref="D48:E48"/>
    <mergeCell ref="H20:I20"/>
    <mergeCell ref="D24:E24"/>
    <mergeCell ref="H24:I24"/>
    <mergeCell ref="D32:E32"/>
    <mergeCell ref="H32:I32"/>
    <mergeCell ref="D30:E30"/>
    <mergeCell ref="D6:E6"/>
    <mergeCell ref="D37:E37"/>
    <mergeCell ref="H37:I37"/>
    <mergeCell ref="D21:E21"/>
    <mergeCell ref="H21:I21"/>
    <mergeCell ref="D23:E23"/>
    <mergeCell ref="H23:I23"/>
    <mergeCell ref="D22:E22"/>
    <mergeCell ref="H22:I22"/>
    <mergeCell ref="D8:E8"/>
    <mergeCell ref="H8:I8"/>
    <mergeCell ref="D18:E18"/>
    <mergeCell ref="H18:I18"/>
    <mergeCell ref="D19:E19"/>
    <mergeCell ref="H19:I19"/>
    <mergeCell ref="D20:E20"/>
    <mergeCell ref="D1:E1"/>
    <mergeCell ref="D4:E4"/>
    <mergeCell ref="H4:I4"/>
    <mergeCell ref="D5:E5"/>
    <mergeCell ref="H5:I5"/>
    <mergeCell ref="H30:I30"/>
    <mergeCell ref="D31:E31"/>
    <mergeCell ref="H31:I31"/>
    <mergeCell ref="D25:E25"/>
    <mergeCell ref="H25:I25"/>
    <mergeCell ref="D27:E27"/>
    <mergeCell ref="H27:I27"/>
    <mergeCell ref="D28:E28"/>
    <mergeCell ref="H28:I28"/>
    <mergeCell ref="D29:E29"/>
    <mergeCell ref="H29:I29"/>
    <mergeCell ref="D26:E26"/>
    <mergeCell ref="H26:I26"/>
    <mergeCell ref="D33:E33"/>
    <mergeCell ref="H33:I33"/>
    <mergeCell ref="D34:E34"/>
    <mergeCell ref="H34:I34"/>
    <mergeCell ref="D35:E35"/>
    <mergeCell ref="H35:I35"/>
    <mergeCell ref="D56:E56"/>
    <mergeCell ref="D57:E57"/>
    <mergeCell ref="H57:I57"/>
    <mergeCell ref="D51:E51"/>
    <mergeCell ref="D52:E52"/>
    <mergeCell ref="D55:E55"/>
    <mergeCell ref="H55:I55"/>
    <mergeCell ref="D15:E15"/>
    <mergeCell ref="H15:I15"/>
    <mergeCell ref="D16:E16"/>
    <mergeCell ref="H16:I16"/>
    <mergeCell ref="D17:E17"/>
    <mergeCell ref="H17:I17"/>
    <mergeCell ref="D9:E9"/>
    <mergeCell ref="H9:I9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50:E50"/>
    <mergeCell ref="D43:E43"/>
    <mergeCell ref="D44:E44"/>
    <mergeCell ref="D45:E45"/>
    <mergeCell ref="D46:E46"/>
    <mergeCell ref="D49:E49"/>
    <mergeCell ref="D36:E36"/>
    <mergeCell ref="H36:I36"/>
    <mergeCell ref="D42:E42"/>
    <mergeCell ref="H42:I42"/>
    <mergeCell ref="D47:E47"/>
    <mergeCell ref="D38:E38"/>
    <mergeCell ref="H38:I38"/>
  </mergeCells>
  <conditionalFormatting sqref="M42:M56">
    <cfRule type="cellIs" dxfId="850" priority="31" stopIfTrue="1" operator="lessThanOrEqual">
      <formula>$L42</formula>
    </cfRule>
    <cfRule type="cellIs" dxfId="849" priority="32" operator="greaterThan">
      <formula>L42</formula>
    </cfRule>
  </conditionalFormatting>
  <conditionalFormatting sqref="M8">
    <cfRule type="cellIs" dxfId="848" priority="29" stopIfTrue="1" operator="lessThanOrEqual">
      <formula>$L8</formula>
    </cfRule>
    <cfRule type="cellIs" dxfId="847" priority="30" operator="greaterThan">
      <formula>L8</formula>
    </cfRule>
  </conditionalFormatting>
  <conditionalFormatting sqref="M24">
    <cfRule type="cellIs" dxfId="846" priority="27" stopIfTrue="1" operator="lessThanOrEqual">
      <formula>$L24</formula>
    </cfRule>
    <cfRule type="cellIs" dxfId="845" priority="28" operator="greaterThan">
      <formula>L24</formula>
    </cfRule>
  </conditionalFormatting>
  <conditionalFormatting sqref="M25:M26">
    <cfRule type="cellIs" dxfId="844" priority="19" stopIfTrue="1" operator="lessThanOrEqual">
      <formula>$L25</formula>
    </cfRule>
    <cfRule type="cellIs" dxfId="843" priority="20" operator="greaterThan">
      <formula>L25</formula>
    </cfRule>
  </conditionalFormatting>
  <conditionalFormatting sqref="M32">
    <cfRule type="cellIs" dxfId="842" priority="17" stopIfTrue="1" operator="lessThanOrEqual">
      <formula>$L32</formula>
    </cfRule>
    <cfRule type="cellIs" dxfId="841" priority="18" operator="greaterThan">
      <formula>L32</formula>
    </cfRule>
  </conditionalFormatting>
  <conditionalFormatting sqref="M33:M34">
    <cfRule type="cellIs" dxfId="840" priority="13" stopIfTrue="1" operator="lessThanOrEqual">
      <formula>$L33</formula>
    </cfRule>
    <cfRule type="cellIs" dxfId="839" priority="14" operator="greaterThan">
      <formula>L33</formula>
    </cfRule>
  </conditionalFormatting>
  <conditionalFormatting sqref="M35">
    <cfRule type="cellIs" dxfId="838" priority="11" stopIfTrue="1" operator="lessThanOrEqual">
      <formula>$L35</formula>
    </cfRule>
    <cfRule type="cellIs" dxfId="837" priority="12" operator="greaterThan">
      <formula>L35</formula>
    </cfRule>
  </conditionalFormatting>
  <conditionalFormatting sqref="M36:M41">
    <cfRule type="cellIs" dxfId="836" priority="9" stopIfTrue="1" operator="lessThanOrEqual">
      <formula>$L36</formula>
    </cfRule>
    <cfRule type="cellIs" dxfId="835" priority="10" operator="greaterThan">
      <formula>L36</formula>
    </cfRule>
  </conditionalFormatting>
  <conditionalFormatting sqref="M27">
    <cfRule type="cellIs" dxfId="834" priority="7" stopIfTrue="1" operator="lessThanOrEqual">
      <formula>$L27</formula>
    </cfRule>
    <cfRule type="cellIs" dxfId="833" priority="8" operator="greaterThan">
      <formula>L27</formula>
    </cfRule>
  </conditionalFormatting>
  <conditionalFormatting sqref="M28:M29">
    <cfRule type="cellIs" dxfId="832" priority="5" stopIfTrue="1" operator="lessThanOrEqual">
      <formula>$L28</formula>
    </cfRule>
    <cfRule type="cellIs" dxfId="831" priority="6" operator="greaterThan">
      <formula>L28</formula>
    </cfRule>
  </conditionalFormatting>
  <conditionalFormatting sqref="M30">
    <cfRule type="cellIs" dxfId="830" priority="3" stopIfTrue="1" operator="lessThanOrEqual">
      <formula>$L30</formula>
    </cfRule>
    <cfRule type="cellIs" dxfId="829" priority="4" operator="greaterThan">
      <formula>L30</formula>
    </cfRule>
  </conditionalFormatting>
  <conditionalFormatting sqref="M31">
    <cfRule type="cellIs" dxfId="828" priority="1" stopIfTrue="1" operator="lessThanOrEqual">
      <formula>$L31</formula>
    </cfRule>
    <cfRule type="cellIs" dxfId="827" priority="2" operator="greaterThan">
      <formula>L31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D33FA06-19F7-4A78-9729-212684FE58E6}">
          <x14:formula1>
            <xm:f>Extrusion!$B:$B</xm:f>
          </x14:formula1>
          <xm:sqref>C56</xm:sqref>
        </x14:dataValidation>
        <x14:dataValidation type="list" allowBlank="1" showInputMessage="1" showErrorMessage="1" xr:uid="{EEC8BF80-FD49-49A8-9F97-CE5B13FE5B4A}">
          <x14:formula1>
            <xm:f>Bolts!$A:$A</xm:f>
          </x14:formula1>
          <xm:sqref>C42:C54</xm:sqref>
        </x14:dataValidation>
        <x14:dataValidation type="list" allowBlank="1" showInputMessage="1" showErrorMessage="1" xr:uid="{A2D85168-CB23-4EE6-A3CF-F490C0374FCC}">
          <x14:formula1>
            <xm:f>Assemblies!$E:$E</xm:f>
          </x14:formula1>
          <xm:sqref>C5:C7</xm:sqref>
        </x14:dataValidation>
        <x14:dataValidation type="list" allowBlank="1" showInputMessage="1" showErrorMessage="1" xr:uid="{CEAC950D-8B6A-4616-965D-87AF8E4FC531}">
          <x14:formula1>
            <xm:f>Machined!$C:$C</xm:f>
          </x14:formula1>
          <xm:sqref>C8:C24</xm:sqref>
        </x14:dataValidation>
        <x14:dataValidation type="list" allowBlank="1" showInputMessage="1" showErrorMessage="1" xr:uid="{1D265CEF-0F86-4D7F-B8EC-24BA60C6A7EF}">
          <x14:formula1>
            <xm:f>Purchased!$A:$A</xm:f>
          </x14:formula1>
          <xm:sqref>C25:C41</xm:sqref>
        </x14:dataValidation>
      </x14:dataValidations>
    </ext>
  </extLst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92356-DB23-4458-B581-7E7DE3023C6F}">
  <sheetPr codeName="Sheet253">
    <tabColor theme="6" tint="0.59999389629810485"/>
  </sheetPr>
  <dimension ref="A1:Q12"/>
  <sheetViews>
    <sheetView view="pageBreakPreview" zoomScale="60" zoomScaleNormal="115" workbookViewId="0">
      <selection activeCell="H54" sqref="H5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'6.10'!C6</f>
        <v>PG10.6.10.1.0.A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'6.10'!D6</f>
        <v>6-Inch Insert Assy</v>
      </c>
      <c r="D3" s="85" t="s">
        <v>50</v>
      </c>
      <c r="E3" s="86" t="str">
        <f ca="1">MID(CELL("filename",A1),FIND("]",CELL("filename",A1))+1,256)</f>
        <v>6.10.1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1083</v>
      </c>
      <c r="D5" s="314" t="str">
        <f>VLOOKUP(C5,Machined!C:X,2,0)</f>
        <v>INSERT STRUT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 xml:space="preserve"> </v>
      </c>
      <c r="H5" s="320" t="str">
        <f>IF(VLOOKUP($C5,Machined!C:Z,17,0) = 0, " ", VLOOKUP($C5,Machined!C:Z,17,0))</f>
        <v>WAITING ON AFS TO RELEASE</v>
      </c>
      <c r="I5" s="321" t="str">
        <f>IF(VLOOKUP($C5,Machined!$C:$Y,13,0) = 0, " ", VLOOKUP($C5,Machined!$C:$Y,13,0))</f>
        <v>6061-T6 ALUMINUM</v>
      </c>
      <c r="J5" s="44" t="str">
        <f>IF(VLOOKUP($C5,Machined!C:Z,18,0) = 0, " ", VLOOKUP($C5,Machined!C:Z,18,0))</f>
        <v xml:space="preserve"> </v>
      </c>
      <c r="K5" s="44" t="str">
        <f>IF(VLOOKUP($C5,Machined!C:Z,19,0) = 0, " ", VLOOKUP($C5,Machined!C:Z,19,0))</f>
        <v xml:space="preserve"> </v>
      </c>
      <c r="L5" s="44" t="str">
        <f>IF(VLOOKUP($C5,Machined!C:Z,20,0) = 0, " ", VLOOKUP($C5,Machined!C:Z,20,0))</f>
        <v xml:space="preserve"> </v>
      </c>
      <c r="M5" s="44" t="str">
        <f>IF(VLOOKUP($C5,Machined!C:Z,21,0) = 0, " ", VLOOKUP($C5,Machined!C:Z,21,0))</f>
        <v xml:space="preserve"> </v>
      </c>
      <c r="N5" s="129" t="str">
        <f>IF(VLOOKUP($C5,Machined!C:Z,22,0) = 0, " ", VLOOKUP($C5,Machined!C:Z,22,0))</f>
        <v xml:space="preserve"> </v>
      </c>
      <c r="O5" s="45">
        <f ca="1">B5*$L$2</f>
        <v>2</v>
      </c>
      <c r="P5" s="49">
        <f>VLOOKUP(C5,Machined!C:F,3,0)</f>
        <v>0</v>
      </c>
      <c r="Q5" s="50">
        <f>B5*P5</f>
        <v>0</v>
      </c>
    </row>
    <row r="6" spans="1:17" s="2" customFormat="1" ht="12.75" customHeight="1" x14ac:dyDescent="0.25">
      <c r="A6" s="77">
        <v>2</v>
      </c>
      <c r="B6" s="20">
        <v>2</v>
      </c>
      <c r="C6" s="121" t="s">
        <v>1084</v>
      </c>
      <c r="D6" s="314" t="str">
        <f>VLOOKUP(C6,Machined!C:X,2,0)</f>
        <v>6-INCH INSERT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 xml:space="preserve"> </v>
      </c>
      <c r="H6" s="320" t="str">
        <f>IF(VLOOKUP($C6,Machined!C:Z,17,0) = 0, " ", VLOOKUP($C6,Machined!C:Z,17,0))</f>
        <v>WAITING ON AFS TO RELEASE</v>
      </c>
      <c r="I6" s="321" t="str">
        <f>IF(VLOOKUP($C6,Machined!$C:$Y,13,0) = 0, " ", VLOOKUP($C6,Machined!$C:$Y,13,0))</f>
        <v>304 STAINLESS STEEL</v>
      </c>
      <c r="J6" s="44" t="str">
        <f>IF(VLOOKUP($C6,Machined!C:Z,18,0) = 0, " ", VLOOKUP($C6,Machined!C:Z,18,0))</f>
        <v xml:space="preserve"> </v>
      </c>
      <c r="K6" s="44" t="str">
        <f>IF(VLOOKUP($C6,Machined!C:Z,19,0) = 0, " ", VLOOKUP($C6,Machined!C:Z,19,0))</f>
        <v xml:space="preserve"> </v>
      </c>
      <c r="L6" s="44" t="str">
        <f>IF(VLOOKUP($C6,Machined!C:Z,20,0) = 0, " ", VLOOKUP($C6,Machined!C:Z,20,0))</f>
        <v xml:space="preserve"> </v>
      </c>
      <c r="M6" s="44" t="str">
        <f>IF(VLOOKUP($C6,Machined!C:Z,21,0) = 0, " ", VLOOKUP($C6,Machined!C:Z,21,0))</f>
        <v xml:space="preserve"> </v>
      </c>
      <c r="N6" s="129" t="str">
        <f>IF(VLOOKUP($C6,Machined!C:Z,22,0) = 0, " ", VLOOKUP($C6,Machined!C:Z,22,0))</f>
        <v xml:space="preserve"> </v>
      </c>
      <c r="O6" s="45">
        <f t="shared" ref="O6" ca="1" si="0">B6*$L$2</f>
        <v>4</v>
      </c>
      <c r="P6" s="49">
        <f>VLOOKUP(C6,Machined!C:F,3,0)</f>
        <v>0</v>
      </c>
      <c r="Q6" s="50">
        <f t="shared" ref="Q6" si="1">B6*P6</f>
        <v>0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4">
        <v>301</v>
      </c>
      <c r="B8" s="2">
        <v>2</v>
      </c>
      <c r="C8" s="135" t="s">
        <v>1008</v>
      </c>
      <c r="D8" s="325" t="str">
        <f>VLOOKUP(C8,Purchased!A:B,2,0)</f>
        <v>GN 300.1-30-M4-12-SW Adjustable handles with threaded screw</v>
      </c>
      <c r="E8" s="326"/>
      <c r="F8" s="108" t="str">
        <f>IF(VLOOKUP($C8,Purchased!A:Z,11,0) = 0, " ", VLOOKUP($C8,Purchased!A:Z,11,0))</f>
        <v>ELESA</v>
      </c>
      <c r="G8" s="108" t="str">
        <f>IF(VLOOKUP($C8,Purchased!A:Z,12,0)=0, " ", VLOOKUP($C8,Purchased!A:Z,12,0))</f>
        <v>ELESA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45506</v>
      </c>
      <c r="K8" s="46">
        <f>IF(VLOOKUP(C8,Purchased!A:R,14,0)=0, " ", VLOOKUP(C8,Purchased!A:R,14,0))</f>
        <v>45506</v>
      </c>
      <c r="L8" s="46">
        <f>IF(VLOOKUP(C8,Purchased!A:R,15,0)=0, " ", VLOOKUP(C8,Purchased!A:R,15,0))</f>
        <v>45526</v>
      </c>
      <c r="M8" s="46">
        <f>IF(VLOOKUP(C8,Purchased!A:R,16,0)=0, " ",VLOOKUP(C8,Purchased!A:R,16,0))</f>
        <v>45551</v>
      </c>
      <c r="N8" s="130">
        <f>IF(VLOOKUP(C8,Purchased!A:R,17,0)=0, " ", VLOOKUP(C8,Purchased!A:R,17,0))</f>
        <v>45551</v>
      </c>
      <c r="O8" s="47">
        <f t="shared" ref="O8" ca="1" si="2">B8*$L$2</f>
        <v>4</v>
      </c>
      <c r="P8" s="51">
        <f>VLOOKUP(C8,Purchased!A:D,3,FALSE)</f>
        <v>7.78</v>
      </c>
      <c r="Q8" s="52">
        <f t="shared" ref="Q8" si="3">B8*P8</f>
        <v>15.56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thickBot="1" x14ac:dyDescent="0.3">
      <c r="A10" s="4">
        <v>501</v>
      </c>
      <c r="B10" s="2">
        <v>4</v>
      </c>
      <c r="C10" s="122" t="s">
        <v>275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ca="1">B10*$L$2</f>
        <v>8</v>
      </c>
      <c r="P10" s="51">
        <f>VLOOKUP(C10,Bolts!A:B,2,FALSE)</f>
        <v>0</v>
      </c>
      <c r="Q10" s="52">
        <f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15.56</v>
      </c>
    </row>
    <row r="12" spans="1:17" s="2" customFormat="1" ht="12" customHeight="1" x14ac:dyDescent="0.2">
      <c r="D12" s="21"/>
      <c r="E12" s="21"/>
      <c r="J12" s="8"/>
      <c r="K12" s="8"/>
      <c r="L12" s="8"/>
      <c r="M12" s="8"/>
      <c r="N12" s="131"/>
      <c r="O12" s="5"/>
      <c r="P12" s="98"/>
      <c r="Q12" s="105"/>
    </row>
  </sheetData>
  <sheetProtection selectLockedCells="1"/>
  <mergeCells count="16">
    <mergeCell ref="D9:E9"/>
    <mergeCell ref="H9:I9"/>
    <mergeCell ref="D10:E10"/>
    <mergeCell ref="D11:E11"/>
    <mergeCell ref="H11:I11"/>
    <mergeCell ref="D8:E8"/>
    <mergeCell ref="H8:I8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conditionalFormatting sqref="M7 M9:M10">
    <cfRule type="cellIs" dxfId="826" priority="13" stopIfTrue="1" operator="lessThanOrEqual">
      <formula>$L7</formula>
    </cfRule>
    <cfRule type="cellIs" dxfId="825" priority="14" operator="greaterThan">
      <formula>L7</formula>
    </cfRule>
  </conditionalFormatting>
  <conditionalFormatting sqref="M8">
    <cfRule type="cellIs" dxfId="824" priority="11" stopIfTrue="1" operator="lessThanOrEqual">
      <formula>$L8</formula>
    </cfRule>
    <cfRule type="cellIs" dxfId="823" priority="1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5993603-9B69-4A35-B104-7F7F123741C6}">
          <x14:formula1>
            <xm:f>Bolts!$A:$A</xm:f>
          </x14:formula1>
          <xm:sqref>C10</xm:sqref>
        </x14:dataValidation>
        <x14:dataValidation type="list" allowBlank="1" showInputMessage="1" showErrorMessage="1" xr:uid="{08F169F5-9F8A-4390-AFB2-E3E7A4A02218}">
          <x14:formula1>
            <xm:f>Machined!$C:$C</xm:f>
          </x14:formula1>
          <xm:sqref>C5:C6</xm:sqref>
        </x14:dataValidation>
        <x14:dataValidation type="list" allowBlank="1" showInputMessage="1" showErrorMessage="1" xr:uid="{6C8B965A-3AF6-4142-978C-98239795F7E8}">
          <x14:formula1>
            <xm:f>Purchased!$A:$A</xm:f>
          </x14:formula1>
          <xm:sqref>C8</xm:sqref>
        </x14:dataValidation>
      </x14:dataValidations>
    </ext>
  </extLst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1CB33-55E8-485A-AF03-92C70067DC0F}">
  <sheetPr codeName="Sheet256">
    <tabColor theme="6" tint="0.59999389629810485"/>
  </sheetPr>
  <dimension ref="A1:Q18"/>
  <sheetViews>
    <sheetView zoomScale="115" zoomScaleNormal="115" workbookViewId="0">
      <selection activeCell="E21" sqref="E2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'6.10'!C7</f>
        <v>PG10.6.10.2.0.A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'6.10'!D7</f>
        <v>Tube Singulated Sensor Assy</v>
      </c>
      <c r="D3" s="85" t="s">
        <v>50</v>
      </c>
      <c r="E3" s="86" t="str">
        <f ca="1">MID(CELL("filename",A1),FIND("]",CELL("filename",A1))+1,256)</f>
        <v>6.10.2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1085</v>
      </c>
      <c r="D5" s="314" t="str">
        <f>VLOOKUP(C5,Machined!C:X,2,0)</f>
        <v>Tube Singulated Sensor Bracket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/>
      <c r="J5" s="44">
        <f>IF(VLOOKUP($C5,Machined!C:Z,18,0) = 0, " ", VLOOKUP($C5,Machined!C:Z,18,0))</f>
        <v>45526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45548</v>
      </c>
      <c r="M5" s="44">
        <f>IF(VLOOKUP($C5,Machined!C:Z,21,0) = 0, " ", VLOOKUP($C5,Machined!C:Z,21,0))</f>
        <v>45548</v>
      </c>
      <c r="N5" s="129">
        <f>IF(VLOOKUP($C5,Machined!C:Z,22,0) = 0, " ", VLOOKUP($C5,Machined!C:Z,22,0))</f>
        <v>55702</v>
      </c>
      <c r="O5" s="45">
        <f ca="1">B5*$L$2</f>
        <v>2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 t="s">
        <v>975</v>
      </c>
      <c r="D7" s="325" t="str">
        <f>VLOOKUP(C7,Purchased!A:B,2,0)</f>
        <v>Keyence COMPACT LASER SENSOR, M8 CONNECTOR, 250MM RANGE</v>
      </c>
      <c r="E7" s="326"/>
      <c r="F7" s="108" t="str">
        <f>IF(VLOOKUP($C7,Purchased!A:Z,11,0) = 0, " ", VLOOKUP($C7,Purchased!A:Z,11,0))</f>
        <v>KEYENCE</v>
      </c>
      <c r="G7" s="108" t="str">
        <f>IF(VLOOKUP($C7,Purchased!A:Z,12,0)=0, " ", VLOOKUP($C7,Purchased!A:Z,12,0))</f>
        <v>KEYENCE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45516</v>
      </c>
      <c r="K7" s="46">
        <f>IF(VLOOKUP(C7,Purchased!A:R,14,0)=0, " ", VLOOKUP(C7,Purchased!A:R,14,0))</f>
        <v>45516</v>
      </c>
      <c r="L7" s="46">
        <f>IF(VLOOKUP(C7,Purchased!A:R,15,0)=0, " ", VLOOKUP(C7,Purchased!A:R,15,0))</f>
        <v>45518</v>
      </c>
      <c r="M7" s="46">
        <f>IF(VLOOKUP(C7,Purchased!A:R,16,0)=0, " ",VLOOKUP(C7,Purchased!A:R,16,0))</f>
        <v>45526</v>
      </c>
      <c r="N7" s="130">
        <f>IF(VLOOKUP(C7,Purchased!A:R,17,0)=0, " ", VLOOKUP(C7,Purchased!A:R,17,0))</f>
        <v>45526</v>
      </c>
      <c r="O7" s="47">
        <f ca="1">B7*$L$2</f>
        <v>2</v>
      </c>
      <c r="P7" s="51">
        <f>VLOOKUP(C7,Purchased!A:D,3,FALSE)</f>
        <v>575</v>
      </c>
      <c r="Q7" s="52">
        <f>B7*P7</f>
        <v>575</v>
      </c>
    </row>
    <row r="8" spans="1:17" s="2" customFormat="1" ht="12" customHeight="1" x14ac:dyDescent="0.25">
      <c r="A8" s="4">
        <v>302</v>
      </c>
      <c r="B8" s="2">
        <v>1</v>
      </c>
      <c r="C8" s="135" t="s">
        <v>796</v>
      </c>
      <c r="D8" s="325" t="str">
        <f>VLOOKUP(C8,Purchased!A:B,2,0)</f>
        <v>Keyence AMPLIFIER BRACKET FOR LR-X100C SENSOR</v>
      </c>
      <c r="E8" s="326"/>
      <c r="F8" s="108" t="str">
        <f>IF(VLOOKUP($C8,Purchased!A:Z,11,0) = 0, " ", VLOOKUP($C8,Purchased!A:Z,11,0))</f>
        <v>KEYENCE</v>
      </c>
      <c r="G8" s="108" t="str">
        <f>IF(VLOOKUP($C8,Purchased!A:Z,12,0)=0, " ", VLOOKUP($C8,Purchased!A:Z,12,0))</f>
        <v>KEYENCE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45516</v>
      </c>
      <c r="K8" s="46">
        <f>IF(VLOOKUP(C8,Purchased!A:R,14,0)=0, " ", VLOOKUP(C8,Purchased!A:R,14,0))</f>
        <v>45516</v>
      </c>
      <c r="L8" s="46">
        <f>IF(VLOOKUP(C8,Purchased!A:R,15,0)=0, " ", VLOOKUP(C8,Purchased!A:R,15,0))</f>
        <v>45518</v>
      </c>
      <c r="M8" s="46">
        <f>IF(VLOOKUP(C8,Purchased!A:R,16,0)=0, " ",VLOOKUP(C8,Purchased!A:R,16,0))</f>
        <v>45526</v>
      </c>
      <c r="N8" s="130">
        <f>IF(VLOOKUP(C8,Purchased!A:R,17,0)=0, " ", VLOOKUP(C8,Purchased!A:R,17,0))</f>
        <v>45526</v>
      </c>
      <c r="O8" s="47">
        <f ca="1">B8*$L$2</f>
        <v>2</v>
      </c>
      <c r="P8" s="51">
        <f>VLOOKUP(C8,Purchased!A:D,3,FALSE)</f>
        <v>12</v>
      </c>
      <c r="Q8" s="52">
        <f>B8*P8</f>
        <v>12</v>
      </c>
    </row>
    <row r="9" spans="1:17" s="2" customFormat="1" ht="12" customHeight="1" x14ac:dyDescent="0.25">
      <c r="A9" s="4">
        <v>303</v>
      </c>
      <c r="B9" s="2">
        <v>1</v>
      </c>
      <c r="C9" s="135" t="s">
        <v>976</v>
      </c>
      <c r="D9" s="325" t="str">
        <f>VLOOKUP(C9,Purchased!A:B,2,0)</f>
        <v>Keyence LR-X SENSOR BRACKET</v>
      </c>
      <c r="E9" s="326"/>
      <c r="F9" s="108" t="str">
        <f>IF(VLOOKUP($C9,Purchased!A:Z,11,0) = 0, " ", VLOOKUP($C9,Purchased!A:Z,11,0))</f>
        <v>KEYENCE</v>
      </c>
      <c r="G9" s="108" t="str">
        <f>IF(VLOOKUP($C9,Purchased!A:Z,12,0)=0, " ", VLOOKUP($C9,Purchased!A:Z,12,0))</f>
        <v>KEYENCE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45516</v>
      </c>
      <c r="K9" s="46">
        <f>IF(VLOOKUP(C9,Purchased!A:R,14,0)=0, " ", VLOOKUP(C9,Purchased!A:R,14,0))</f>
        <v>45516</v>
      </c>
      <c r="L9" s="46">
        <f>IF(VLOOKUP(C9,Purchased!A:R,15,0)=0, " ", VLOOKUP(C9,Purchased!A:R,15,0))</f>
        <v>45518</v>
      </c>
      <c r="M9" s="46">
        <f>IF(VLOOKUP(C9,Purchased!A:R,16,0)=0, " ",VLOOKUP(C9,Purchased!A:R,16,0))</f>
        <v>45526</v>
      </c>
      <c r="N9" s="130">
        <f>IF(VLOOKUP(C9,Purchased!A:R,17,0)=0, " ", VLOOKUP(C9,Purchased!A:R,17,0))</f>
        <v>45526</v>
      </c>
      <c r="O9" s="47">
        <f ca="1">B9*$L$2</f>
        <v>2</v>
      </c>
      <c r="P9" s="51">
        <f>VLOOKUP(C9,Purchased!A:D,3,FALSE)</f>
        <v>84</v>
      </c>
      <c r="Q9" s="52">
        <f>B9*P9</f>
        <v>84</v>
      </c>
    </row>
    <row r="10" spans="1:17" s="2" customFormat="1" ht="12" customHeight="1" x14ac:dyDescent="0.25">
      <c r="A10" s="4">
        <v>304</v>
      </c>
      <c r="B10" s="2">
        <v>1</v>
      </c>
      <c r="C10" s="135" t="s">
        <v>977</v>
      </c>
      <c r="D10" s="325" t="str">
        <f>VLOOKUP(C10,Purchased!A:B,2,0)</f>
        <v>Keyence SENSOR ADJUSTMENT SHAFT</v>
      </c>
      <c r="E10" s="326"/>
      <c r="F10" s="108" t="str">
        <f>IF(VLOOKUP($C10,Purchased!A:Z,11,0) = 0, " ", VLOOKUP($C10,Purchased!A:Z,11,0))</f>
        <v>KEYENCE</v>
      </c>
      <c r="G10" s="108" t="str">
        <f>IF(VLOOKUP($C10,Purchased!A:Z,12,0)=0, " ", VLOOKUP($C10,Purchased!A:Z,12,0))</f>
        <v>KEYENCE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45516</v>
      </c>
      <c r="K10" s="46">
        <f>IF(VLOOKUP(C10,Purchased!A:R,14,0)=0, " ", VLOOKUP(C10,Purchased!A:R,14,0))</f>
        <v>45516</v>
      </c>
      <c r="L10" s="46">
        <f>IF(VLOOKUP(C10,Purchased!A:R,15,0)=0, " ", VLOOKUP(C10,Purchased!A:R,15,0))</f>
        <v>45518</v>
      </c>
      <c r="M10" s="46">
        <f>IF(VLOOKUP(C10,Purchased!A:R,16,0)=0, " ",VLOOKUP(C10,Purchased!A:R,16,0))</f>
        <v>45526</v>
      </c>
      <c r="N10" s="130">
        <f>IF(VLOOKUP(C10,Purchased!A:R,17,0)=0, " ", VLOOKUP(C10,Purchased!A:R,17,0))</f>
        <v>45526</v>
      </c>
      <c r="O10" s="47">
        <f ca="1">B10*$L$2</f>
        <v>2</v>
      </c>
      <c r="P10" s="51">
        <f>VLOOKUP(C10,Purchased!A:D,3,FALSE)</f>
        <v>36</v>
      </c>
      <c r="Q10" s="52">
        <f>B10*P10</f>
        <v>36</v>
      </c>
    </row>
    <row r="11" spans="1:17" s="2" customFormat="1" ht="12" customHeight="1" x14ac:dyDescent="0.25">
      <c r="A11" s="4">
        <v>305</v>
      </c>
      <c r="B11" s="2">
        <v>1</v>
      </c>
      <c r="C11" s="135" t="s">
        <v>220</v>
      </c>
      <c r="D11" s="325" t="str">
        <f>VLOOKUP(C11,Purchased!A:B,2,0)</f>
        <v>M8 4PIN TO FLYING LEAD 7.5M CABLE</v>
      </c>
      <c r="E11" s="326"/>
      <c r="F11" s="108" t="str">
        <f>IF(VLOOKUP($C11,Purchased!A:Z,11,0) = 0, " ", VLOOKUP($C11,Purchased!A:Z,11,0))</f>
        <v>MURR</v>
      </c>
      <c r="G11" s="108" t="str">
        <f>IF(VLOOKUP($C11,Purchased!A:Z,12,0)=0, " ", VLOOKUP($C11,Purchased!A:Z,12,0))</f>
        <v>MURR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ca="1">B11*$L$2</f>
        <v>2</v>
      </c>
      <c r="P11" s="51">
        <f>VLOOKUP(C11,Purchased!A:D,3,FALSE)</f>
        <v>0</v>
      </c>
      <c r="Q11" s="52">
        <f>B11*P11</f>
        <v>0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thickBot="1" x14ac:dyDescent="0.3">
      <c r="A13" s="4">
        <v>501</v>
      </c>
      <c r="B13" s="2">
        <v>2</v>
      </c>
      <c r="C13" s="122" t="s">
        <v>275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4</v>
      </c>
      <c r="P13" s="51">
        <f>VLOOKUP(C13,Bolts!A:B,2,FALSE)</f>
        <v>0</v>
      </c>
      <c r="Q13" s="52">
        <f>B13*P13</f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707</v>
      </c>
    </row>
    <row r="18" spans="4:4" x14ac:dyDescent="0.25">
      <c r="D18"/>
    </row>
  </sheetData>
  <mergeCells count="22">
    <mergeCell ref="D13:E13"/>
    <mergeCell ref="D14:E14"/>
    <mergeCell ref="H14:I14"/>
    <mergeCell ref="D10:E10"/>
    <mergeCell ref="H10:I10"/>
    <mergeCell ref="D11:E11"/>
    <mergeCell ref="H11:I11"/>
    <mergeCell ref="D12:E12"/>
    <mergeCell ref="H12:I12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6 M12">
    <cfRule type="cellIs" dxfId="822" priority="11" stopIfTrue="1" operator="lessThanOrEqual">
      <formula>$L6</formula>
    </cfRule>
    <cfRule type="cellIs" dxfId="821" priority="12" operator="greaterThan">
      <formula>L6</formula>
    </cfRule>
  </conditionalFormatting>
  <conditionalFormatting sqref="M7">
    <cfRule type="cellIs" dxfId="820" priority="9" stopIfTrue="1" operator="lessThanOrEqual">
      <formula>$L7</formula>
    </cfRule>
    <cfRule type="cellIs" dxfId="819" priority="10" operator="greaterThan">
      <formula>L7</formula>
    </cfRule>
  </conditionalFormatting>
  <conditionalFormatting sqref="M8">
    <cfRule type="cellIs" dxfId="818" priority="7" stopIfTrue="1" operator="lessThanOrEqual">
      <formula>$L8</formula>
    </cfRule>
    <cfRule type="cellIs" dxfId="817" priority="8" operator="greaterThan">
      <formula>L8</formula>
    </cfRule>
  </conditionalFormatting>
  <conditionalFormatting sqref="M9">
    <cfRule type="cellIs" dxfId="816" priority="5" stopIfTrue="1" operator="lessThanOrEqual">
      <formula>$L9</formula>
    </cfRule>
    <cfRule type="cellIs" dxfId="815" priority="6" operator="greaterThan">
      <formula>L9</formula>
    </cfRule>
  </conditionalFormatting>
  <conditionalFormatting sqref="M10:M11">
    <cfRule type="cellIs" dxfId="814" priority="3" stopIfTrue="1" operator="lessThanOrEqual">
      <formula>$L10</formula>
    </cfRule>
    <cfRule type="cellIs" dxfId="813" priority="4" operator="greaterThan">
      <formula>L10</formula>
    </cfRule>
  </conditionalFormatting>
  <conditionalFormatting sqref="M13">
    <cfRule type="cellIs" dxfId="812" priority="1" stopIfTrue="1" operator="lessThanOrEqual">
      <formula>$L13</formula>
    </cfRule>
    <cfRule type="cellIs" dxfId="811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C0419E-355F-4425-83A7-1E30826C179E}">
          <x14:formula1>
            <xm:f>Bolts!$A:$A</xm:f>
          </x14:formula1>
          <xm:sqref>C12:C13</xm:sqref>
        </x14:dataValidation>
        <x14:dataValidation type="list" allowBlank="1" showInputMessage="1" showErrorMessage="1" xr:uid="{D2CE7824-CAF6-4C28-BCD1-F46CD5DFACEB}">
          <x14:formula1>
            <xm:f>Machined!$C:$C</xm:f>
          </x14:formula1>
          <xm:sqref>C5</xm:sqref>
        </x14:dataValidation>
        <x14:dataValidation type="list" allowBlank="1" showInputMessage="1" showErrorMessage="1" xr:uid="{1526CC19-A8B6-43F8-A8F2-D5E4001B85C5}">
          <x14:formula1>
            <xm:f>Purchased!$A:$A</xm:f>
          </x14:formula1>
          <xm:sqref>C6:C11</xm:sqref>
        </x14:dataValidation>
      </x14:dataValidations>
    </ext>
  </extLst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A6AAC-81E6-4CAA-B633-0DFCA89EFB8E}">
  <sheetPr codeName="Sheet164">
    <tabColor theme="5" tint="0.59999389629810485"/>
  </sheetPr>
  <dimension ref="A1:Q15"/>
  <sheetViews>
    <sheetView zoomScale="115" zoomScaleNormal="115" workbookViewId="0">
      <selection activeCell="P14" sqref="P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'0'!C11</f>
        <v>PG10.7.0.A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'0'!D11</f>
        <v>ZIPPER SEAL ASSY</v>
      </c>
      <c r="D3" s="85" t="s">
        <v>50</v>
      </c>
      <c r="E3" s="86" t="str">
        <f ca="1">MID(CELL("filename",A1),FIND("]",CELL("filename",A1))+1,256)</f>
        <v>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71" t="s">
        <v>17</v>
      </c>
      <c r="G4" s="164" t="s">
        <v>18</v>
      </c>
      <c r="H4" s="318" t="s">
        <v>19</v>
      </c>
      <c r="I4" s="319"/>
      <c r="J4" s="164" t="s">
        <v>51</v>
      </c>
      <c r="K4" s="164" t="s">
        <v>21</v>
      </c>
      <c r="L4" s="164" t="s">
        <v>22</v>
      </c>
      <c r="M4" s="164" t="s">
        <v>52</v>
      </c>
      <c r="N4" s="172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1086</v>
      </c>
      <c r="D5" s="336" t="str">
        <f ca="1">VLOOKUP(C5,Assemblies!E:P,2,0)</f>
        <v>SIDE SEAL FRAME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:O7" ca="1" si="0">B5*$L$2</f>
        <v>1</v>
      </c>
      <c r="P5" s="117">
        <f>'7.1'!Q48</f>
        <v>15078.061999999994</v>
      </c>
      <c r="Q5" s="118">
        <f t="shared" ref="Q5:Q7" si="1">B5*P5</f>
        <v>15078.061999999994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1087</v>
      </c>
      <c r="D6" s="314" t="str">
        <f ca="1">VLOOKUP(C6,Assemblies!E:P,2,0)</f>
        <v>LOWER B-SIDE SIDE SEAL CASSETTE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'7.2'!Q15</f>
        <v>10269.7966</v>
      </c>
      <c r="Q6" s="103">
        <f t="shared" si="1"/>
        <v>10269.7966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1088</v>
      </c>
      <c r="D7" s="314" t="str">
        <f ca="1">VLOOKUP(C7,Assemblies!E:P,2,0)</f>
        <v>UPPER B-SIDE SIDE SEAL CASSETTE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'7.3'!Q14</f>
        <v>10068.336600000001</v>
      </c>
      <c r="Q7" s="103">
        <f t="shared" si="1"/>
        <v>10068.336600000001</v>
      </c>
    </row>
    <row r="8" spans="1:17" s="1" customFormat="1" ht="12.75" customHeight="1" x14ac:dyDescent="0.2">
      <c r="A8" s="150" t="s">
        <v>60</v>
      </c>
      <c r="B8" s="1">
        <v>1</v>
      </c>
      <c r="C8" s="145" t="s">
        <v>1089</v>
      </c>
      <c r="D8" s="314" t="str">
        <f ca="1">VLOOKUP(C8,Assemblies!E:P,2,0)</f>
        <v>LOWER A-SIDE SIDE SEAL 
CASSETTE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ref="O8" ca="1" si="2">B8*$L$2</f>
        <v>1</v>
      </c>
      <c r="P8" s="147">
        <f>'7.4'!Q15</f>
        <v>10250.2966</v>
      </c>
      <c r="Q8" s="103">
        <f t="shared" ref="Q8" si="3">B8*P8</f>
        <v>10250.2966</v>
      </c>
    </row>
    <row r="9" spans="1:17" s="1" customFormat="1" ht="12.75" customHeight="1" x14ac:dyDescent="0.2">
      <c r="A9" s="150" t="s">
        <v>62</v>
      </c>
      <c r="B9" s="1">
        <v>1</v>
      </c>
      <c r="C9" s="145" t="s">
        <v>1090</v>
      </c>
      <c r="D9" s="314" t="str">
        <f ca="1">VLOOKUP(C9,Assemblies!E:P,2,0)</f>
        <v>UPPER A-SIDE SIDE SEAL 
CASSETTE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ref="O9:O12" ca="1" si="4">B9*$L$2</f>
        <v>1</v>
      </c>
      <c r="P9" s="147">
        <f>'7.5'!Q14</f>
        <v>10068.336600000001</v>
      </c>
      <c r="Q9" s="103">
        <f t="shared" ref="Q9:Q12" si="5">B9*P9</f>
        <v>10068.336600000001</v>
      </c>
    </row>
    <row r="10" spans="1:17" s="1" customFormat="1" ht="12.75" customHeight="1" x14ac:dyDescent="0.2">
      <c r="A10" s="150" t="s">
        <v>64</v>
      </c>
      <c r="B10" s="1">
        <v>1</v>
      </c>
      <c r="C10" s="145" t="s">
        <v>1091</v>
      </c>
      <c r="D10" s="314" t="str">
        <f ca="1">VLOOKUP(C10,Assemblies!E:P,2,0)</f>
        <v>LOWER CENTER SIDE SEAL 
CASSETTE</v>
      </c>
      <c r="E10" s="314"/>
      <c r="F10" s="31"/>
      <c r="G10" s="32"/>
      <c r="H10" s="303"/>
      <c r="I10" s="303"/>
      <c r="J10" s="28"/>
      <c r="K10" s="28"/>
      <c r="L10" s="28"/>
      <c r="M10" s="28"/>
      <c r="N10" s="33"/>
      <c r="O10" s="146">
        <f t="shared" ca="1" si="4"/>
        <v>1</v>
      </c>
      <c r="P10" s="147">
        <f>'7.6'!Q14</f>
        <v>10246.9166</v>
      </c>
      <c r="Q10" s="103">
        <f t="shared" si="5"/>
        <v>10246.9166</v>
      </c>
    </row>
    <row r="11" spans="1:17" s="1" customFormat="1" ht="12.75" customHeight="1" x14ac:dyDescent="0.2">
      <c r="A11" s="76" t="s">
        <v>66</v>
      </c>
      <c r="B11" s="1">
        <v>1</v>
      </c>
      <c r="C11" s="145" t="s">
        <v>1092</v>
      </c>
      <c r="D11" s="314" t="str">
        <f ca="1">VLOOKUP(C11,Assemblies!E:P,2,0)</f>
        <v>UPPER CENTER SIDE SEAL 
CASSETTE</v>
      </c>
      <c r="E11" s="314"/>
      <c r="F11" s="31"/>
      <c r="G11" s="32"/>
      <c r="H11" s="303"/>
      <c r="I11" s="303"/>
      <c r="J11" s="28"/>
      <c r="K11" s="28"/>
      <c r="L11" s="28"/>
      <c r="M11" s="28"/>
      <c r="N11" s="33"/>
      <c r="O11" s="146">
        <f t="shared" ref="O11" ca="1" si="6">B11*$L$2</f>
        <v>1</v>
      </c>
      <c r="P11" s="147">
        <f>'7.7'!Q16</f>
        <v>10479.606600000001</v>
      </c>
      <c r="Q11" s="103">
        <f t="shared" ref="Q11" si="7">B11*P11</f>
        <v>10479.606600000001</v>
      </c>
    </row>
    <row r="12" spans="1:17" s="1" customFormat="1" ht="12.75" customHeight="1" x14ac:dyDescent="0.2">
      <c r="A12" s="76" t="s">
        <v>68</v>
      </c>
      <c r="B12" s="1">
        <v>8</v>
      </c>
      <c r="C12" s="145" t="s">
        <v>131</v>
      </c>
      <c r="D12" s="314" t="str">
        <f ca="1">VLOOKUP(C12,Assemblies!E:P,2,0)</f>
        <v>Frame Gusset</v>
      </c>
      <c r="E12" s="314"/>
      <c r="F12" s="31"/>
      <c r="G12" s="32"/>
      <c r="H12" s="303"/>
      <c r="I12" s="303"/>
      <c r="J12" s="28"/>
      <c r="K12" s="28"/>
      <c r="L12" s="28"/>
      <c r="M12" s="28"/>
      <c r="N12" s="33"/>
      <c r="O12" s="146">
        <f t="shared" ca="1" si="4"/>
        <v>8</v>
      </c>
      <c r="P12" s="147">
        <f>'1.1.3'!Q10</f>
        <v>21.919999999999998</v>
      </c>
      <c r="Q12" s="103">
        <f t="shared" si="5"/>
        <v>175.35999999999999</v>
      </c>
    </row>
    <row r="13" spans="1:17" s="1" customFormat="1" ht="12.75" customHeight="1" thickBot="1" x14ac:dyDescent="0.25">
      <c r="A13" s="76" t="s">
        <v>70</v>
      </c>
      <c r="B13" s="1">
        <v>1</v>
      </c>
      <c r="C13" s="145" t="s">
        <v>1093</v>
      </c>
      <c r="D13" s="314" t="str">
        <f ca="1">VLOOKUP(C13,Assemblies!E:P,2,0)</f>
        <v>ZIPPER SEAL IO ENCLOSURE</v>
      </c>
      <c r="E13" s="314"/>
      <c r="F13" s="31"/>
      <c r="G13" s="32"/>
      <c r="H13" s="303"/>
      <c r="I13" s="303"/>
      <c r="J13" s="28"/>
      <c r="K13" s="28"/>
      <c r="L13" s="28"/>
      <c r="M13" s="28"/>
      <c r="N13" s="33"/>
      <c r="O13" s="146">
        <f t="shared" ref="O13" ca="1" si="8">B13*$L$2</f>
        <v>1</v>
      </c>
      <c r="P13" s="147">
        <f>'0.9'!Q16</f>
        <v>889.18000000000006</v>
      </c>
      <c r="Q13" s="103">
        <f t="shared" ref="Q13" si="9">B13*P13</f>
        <v>889.18000000000006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77525.891599999988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23">
    <mergeCell ref="D14:E14"/>
    <mergeCell ref="H14:I14"/>
    <mergeCell ref="H10:I10"/>
    <mergeCell ref="D12:E12"/>
    <mergeCell ref="H12:I12"/>
    <mergeCell ref="D11:E11"/>
    <mergeCell ref="H11:I11"/>
    <mergeCell ref="D1:E1"/>
    <mergeCell ref="D4:E4"/>
    <mergeCell ref="H4:I4"/>
    <mergeCell ref="D13:E13"/>
    <mergeCell ref="H13:I13"/>
    <mergeCell ref="D9:E9"/>
    <mergeCell ref="H9:I9"/>
    <mergeCell ref="D8:E8"/>
    <mergeCell ref="H8:I8"/>
    <mergeCell ref="D5:E5"/>
    <mergeCell ref="H5:I5"/>
    <mergeCell ref="D6:E6"/>
    <mergeCell ref="H6:I6"/>
    <mergeCell ref="D7:E7"/>
    <mergeCell ref="H7:I7"/>
    <mergeCell ref="D10:E10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3DFF91-A625-4FD1-8628-90A5F985401A}">
          <x14:formula1>
            <xm:f>Assemblies!$E:$E</xm:f>
          </x14:formula1>
          <xm:sqref>C5:C13</xm:sqref>
        </x14:dataValidation>
      </x14:dataValidations>
    </ext>
  </extLst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3498-F7C8-4539-B1E5-2B65A3A213B5}">
  <sheetPr codeName="Sheet165">
    <tabColor theme="9" tint="0.59999389629810485"/>
  </sheetPr>
  <dimension ref="A1:Q49"/>
  <sheetViews>
    <sheetView zoomScale="115" zoomScaleNormal="115" workbookViewId="0">
      <selection activeCell="C12" sqref="C1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'7'!C5</f>
        <v>PG10.7.1.0.A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'7'!D5</f>
        <v>SIDE SEAL FRAME</v>
      </c>
      <c r="D3" s="85" t="s">
        <v>50</v>
      </c>
      <c r="E3" s="86" t="str">
        <f ca="1">MID(CELL("filename",A1),FIND("]",CELL("filename",A1))+1,256)</f>
        <v>7.1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1094</v>
      </c>
      <c r="D5" s="336" t="str">
        <f ca="1">VLOOKUP(C5,Assemblies!E:P,2,0)</f>
        <v>HANDWHEEL ASSY, SIDE SEAL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" ca="1" si="0">B5*$L$2</f>
        <v>1</v>
      </c>
      <c r="P5" s="117">
        <f>'7.1.1'!Q18</f>
        <v>1907.9099999999999</v>
      </c>
      <c r="Q5" s="118">
        <f t="shared" ref="Q5" si="1">B5*P5</f>
        <v>1907.9099999999999</v>
      </c>
    </row>
    <row r="6" spans="1:17" s="1" customFormat="1" ht="12.75" customHeight="1" x14ac:dyDescent="0.2">
      <c r="A6" s="150" t="s">
        <v>56</v>
      </c>
      <c r="B6" s="1">
        <v>24</v>
      </c>
      <c r="C6" s="145" t="s">
        <v>1095</v>
      </c>
      <c r="D6" s="314" t="str">
        <f ca="1">VLOOKUP(C6,Assemblies!E:P,2,0)</f>
        <v>SIDE SEAL CASSETTE RAIL ASSY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ref="O6:O8" ca="1" si="2">B6*$L$2</f>
        <v>24</v>
      </c>
      <c r="P6" s="147">
        <f>'7.1.2'!Q13</f>
        <v>262.863</v>
      </c>
      <c r="Q6" s="103">
        <f t="shared" ref="Q6:Q8" si="3">B6*P6</f>
        <v>6308.7119999999995</v>
      </c>
    </row>
    <row r="7" spans="1:17" s="1" customFormat="1" ht="12.75" customHeight="1" x14ac:dyDescent="0.2">
      <c r="A7" s="76" t="s">
        <v>58</v>
      </c>
      <c r="B7" s="1">
        <v>2</v>
      </c>
      <c r="C7" s="145" t="s">
        <v>1096</v>
      </c>
      <c r="D7" s="314" t="str">
        <f ca="1">VLOOKUP(C7,Assemblies!E:P,2,0)</f>
        <v>HEATER PLUG ENCLOSURE, SIDE 
SEAL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ca="1" si="2"/>
        <v>2</v>
      </c>
      <c r="P7" s="147">
        <f>'7.1.3'!Q15</f>
        <v>0</v>
      </c>
      <c r="Q7" s="103">
        <f t="shared" si="3"/>
        <v>0</v>
      </c>
    </row>
    <row r="8" spans="1:17" s="1" customFormat="1" ht="12.75" customHeight="1" x14ac:dyDescent="0.2">
      <c r="A8" s="76" t="s">
        <v>60</v>
      </c>
      <c r="B8" s="1">
        <v>2</v>
      </c>
      <c r="C8" s="145" t="s">
        <v>1097</v>
      </c>
      <c r="D8" s="314" t="str">
        <f ca="1">VLOOKUP(C8,Assemblies!E:P,2,0)</f>
        <v>WEB SUPPORT ASSY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ca="1" si="2"/>
        <v>2</v>
      </c>
      <c r="P8" s="147">
        <f>'7.1.3'!Q15</f>
        <v>0</v>
      </c>
      <c r="Q8" s="103">
        <f t="shared" si="3"/>
        <v>0</v>
      </c>
    </row>
    <row r="9" spans="1:17" s="1" customFormat="1" ht="12.75" customHeight="1" x14ac:dyDescent="0.2">
      <c r="A9" s="76" t="s">
        <v>62</v>
      </c>
      <c r="B9" s="1">
        <v>6</v>
      </c>
      <c r="C9" s="145" t="s">
        <v>1098</v>
      </c>
      <c r="D9" s="314" t="str">
        <f ca="1">VLOOKUP(C9,Assemblies!E:P,2,0)</f>
        <v>BELT TENSIONER ASSEM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ref="O9" ca="1" si="4">B9*$L$2</f>
        <v>6</v>
      </c>
      <c r="P9" s="147">
        <f>'7.1.3'!Q16</f>
        <v>383.21999999999997</v>
      </c>
      <c r="Q9" s="103">
        <f t="shared" ref="Q9" si="5">B9*P9</f>
        <v>2299.3199999999997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77">
        <v>1</v>
      </c>
      <c r="B11" s="20">
        <v>2</v>
      </c>
      <c r="C11" s="121" t="s">
        <v>1099</v>
      </c>
      <c r="D11" s="314" t="str">
        <f>VLOOKUP(C11,Machined!C:X,2,0)</f>
        <v>LEAD SCREW PLATE SIDE SEAL</v>
      </c>
      <c r="E11" s="329"/>
      <c r="F11" s="107" t="str">
        <f>VLOOKUP($C11,Machined!C:Z,13,0)</f>
        <v>MIC-6 CAST ALUMINUM</v>
      </c>
      <c r="G11" s="44" t="str">
        <f>IF(VLOOKUP($C11,Machined!C:Z,16,0) = 0, " ", VLOOKUP($C11,Machined!C:Z,16,0))</f>
        <v>Bemox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MIC-6 CAST ALUMINUM</v>
      </c>
      <c r="J11" s="44">
        <f>IF(VLOOKUP($C11,Machined!C:Z,18,0) = 0, " ", VLOOKUP($C11,Machined!C:Z,18,0))</f>
        <v>45461</v>
      </c>
      <c r="K11" s="44">
        <f>IF(VLOOKUP($C11,Machined!C:Z,19,0) = 0, " ", VLOOKUP($C11,Machined!C:Z,19,0))</f>
        <v>45462</v>
      </c>
      <c r="L11" s="44">
        <f>IF(VLOOKUP($C11,Machined!C:Z,20,0) = 0, " ", VLOOKUP($C11,Machined!C:Z,20,0))</f>
        <v>45492</v>
      </c>
      <c r="M11" s="44">
        <f>IF(VLOOKUP($C11,Machined!C:Z,21,0) = 0, " ", VLOOKUP($C11,Machined!C:Z,21,0))</f>
        <v>45492</v>
      </c>
      <c r="N11" s="129">
        <f>IF(VLOOKUP($C11,Machined!C:Z,22,0) = 0, " ", VLOOKUP($C11,Machined!C:Z,22,0))</f>
        <v>55559</v>
      </c>
      <c r="O11" s="45">
        <f ca="1">B11*$L$2</f>
        <v>2</v>
      </c>
      <c r="P11" s="49">
        <f>VLOOKUP(C11,Machined!C:F,3,0)</f>
        <v>302.25</v>
      </c>
      <c r="Q11" s="50">
        <f>B11*P11</f>
        <v>604.5</v>
      </c>
    </row>
    <row r="12" spans="1:17" s="2" customFormat="1" ht="12.75" customHeight="1" x14ac:dyDescent="0.25">
      <c r="A12" s="77">
        <v>2</v>
      </c>
      <c r="B12" s="20">
        <v>1</v>
      </c>
      <c r="C12" s="121" t="s">
        <v>1100</v>
      </c>
      <c r="D12" s="314" t="str">
        <f>VLOOKUP(C12,Machined!C:X,2,0)</f>
        <v>HANDWHEEL GEAR PLATE</v>
      </c>
      <c r="E12" s="329"/>
      <c r="F12" s="107" t="str">
        <f>VLOOKUP($C12,Machined!C:Z,13,0)</f>
        <v>MIC-6 CAST ALUMINUM</v>
      </c>
      <c r="G12" s="44" t="str">
        <f>IF(VLOOKUP($C12,Machined!C:Z,16,0) = 0, " ", VLOOKUP($C12,Machined!C:Z,16,0))</f>
        <v>Bemox</v>
      </c>
      <c r="H12" s="320" t="str">
        <f>IF(VLOOKUP($C12,Machined!C:Z,17,0) = 0, " ", VLOOKUP($C12,Machined!C:Z,17,0))</f>
        <v xml:space="preserve"> </v>
      </c>
      <c r="I12" s="321" t="str">
        <f>IF(VLOOKUP($C12,Machined!$C:$Y,13,0) = 0, " ", VLOOKUP($C12,Machined!$C:$Y,13,0))</f>
        <v>MIC-6 CAST ALUMINUM</v>
      </c>
      <c r="J12" s="44">
        <f>IF(VLOOKUP($C12,Machined!C:Z,18,0) = 0, " ", VLOOKUP($C12,Machined!C:Z,18,0))</f>
        <v>45461</v>
      </c>
      <c r="K12" s="44">
        <f>IF(VLOOKUP($C12,Machined!C:Z,19,0) = 0, " ", VLOOKUP($C12,Machined!C:Z,19,0))</f>
        <v>45462</v>
      </c>
      <c r="L12" s="44">
        <f>IF(VLOOKUP($C12,Machined!C:Z,20,0) = 0, " ", VLOOKUP($C12,Machined!C:Z,20,0))</f>
        <v>45492</v>
      </c>
      <c r="M12" s="44">
        <f>IF(VLOOKUP($C12,Machined!C:Z,21,0) = 0, " ", VLOOKUP($C12,Machined!C:Z,21,0))</f>
        <v>45492</v>
      </c>
      <c r="N12" s="129">
        <f>IF(VLOOKUP($C12,Machined!C:Z,22,0) = 0, " ", VLOOKUP($C12,Machined!C:Z,22,0))</f>
        <v>55559</v>
      </c>
      <c r="O12" s="45">
        <f t="shared" ref="O12:O13" ca="1" si="6">B12*$L$2</f>
        <v>1</v>
      </c>
      <c r="P12" s="49">
        <f>VLOOKUP(C12,Machined!C:F,3,0)</f>
        <v>379.5</v>
      </c>
      <c r="Q12" s="50">
        <f t="shared" ref="Q12:Q13" si="7">B12*P12</f>
        <v>379.5</v>
      </c>
    </row>
    <row r="13" spans="1:17" s="2" customFormat="1" ht="12.75" customHeight="1" x14ac:dyDescent="0.25">
      <c r="A13" s="77">
        <v>3</v>
      </c>
      <c r="B13" s="20">
        <v>2</v>
      </c>
      <c r="C13" s="121" t="s">
        <v>1101</v>
      </c>
      <c r="D13" s="314" t="str">
        <f>VLOOKUP(C13,Machined!C:X,2,0)</f>
        <v>LEAD SCREW PLATE SIDE SEAL</v>
      </c>
      <c r="E13" s="329"/>
      <c r="F13" s="107" t="str">
        <f>VLOOKUP($C13,Machined!C:Z,13,0)</f>
        <v>MIC-6 CAST ALUMINUM</v>
      </c>
      <c r="G13" s="44" t="str">
        <f>IF(VLOOKUP($C13,Machined!C:Z,16,0) = 0, " ", VLOOKUP($C13,Machined!C:Z,16,0))</f>
        <v>Bemox</v>
      </c>
      <c r="H13" s="320" t="str">
        <f>IF(VLOOKUP($C13,Machined!C:Z,17,0) = 0, " ", VLOOKUP($C13,Machined!C:Z,17,0))</f>
        <v xml:space="preserve"> </v>
      </c>
      <c r="I13" s="321" t="str">
        <f>IF(VLOOKUP($C13,Machined!$C:$Y,13,0) = 0, " ", VLOOKUP($C13,Machined!$C:$Y,13,0))</f>
        <v>MIC-6 CAST ALUMINUM</v>
      </c>
      <c r="J13" s="44">
        <f>IF(VLOOKUP($C13,Machined!C:Z,18,0) = 0, " ", VLOOKUP($C13,Machined!C:Z,18,0))</f>
        <v>45461</v>
      </c>
      <c r="K13" s="44">
        <f>IF(VLOOKUP($C13,Machined!C:Z,19,0) = 0, " ", VLOOKUP($C13,Machined!C:Z,19,0))</f>
        <v>45462</v>
      </c>
      <c r="L13" s="44">
        <f>IF(VLOOKUP($C13,Machined!C:Z,20,0) = 0, " ", VLOOKUP($C13,Machined!C:Z,20,0))</f>
        <v>45492</v>
      </c>
      <c r="M13" s="44">
        <f>IF(VLOOKUP($C13,Machined!C:Z,21,0) = 0, " ", VLOOKUP($C13,Machined!C:Z,21,0))</f>
        <v>45492</v>
      </c>
      <c r="N13" s="129">
        <f>IF(VLOOKUP($C13,Machined!C:Z,22,0) = 0, " ", VLOOKUP($C13,Machined!C:Z,22,0))</f>
        <v>55559</v>
      </c>
      <c r="O13" s="45">
        <f t="shared" ca="1" si="6"/>
        <v>2</v>
      </c>
      <c r="P13" s="49">
        <f>VLOOKUP(C13,Machined!C:F,3,0)</f>
        <v>173.75</v>
      </c>
      <c r="Q13" s="50">
        <f t="shared" si="7"/>
        <v>347.5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x14ac:dyDescent="0.25">
      <c r="A15" s="4">
        <v>301</v>
      </c>
      <c r="B15" s="2">
        <v>16</v>
      </c>
      <c r="C15" s="135" t="s">
        <v>104</v>
      </c>
      <c r="D15" s="325" t="str">
        <f>VLOOKUP(C15,Purchased!A:B,2,0)</f>
        <v>BRX GOTO T-NUT 10 M8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400 additional quantity added to 55710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45463</v>
      </c>
      <c r="M15" s="46">
        <f>IF(VLOOKUP(C15,Purchased!A:R,16,0)=0, " ",VLOOKUP(C15,Purchased!A:R,16,0))</f>
        <v>45481</v>
      </c>
      <c r="N15" s="130">
        <f>IF(VLOOKUP(C15,Purchased!A:R,17,0)=0, " ", VLOOKUP(C15,Purchased!A:R,17,0))</f>
        <v>45481</v>
      </c>
      <c r="O15" s="47">
        <f t="shared" ref="O15:O34" ca="1" si="8">B15*$L$2</f>
        <v>16</v>
      </c>
      <c r="P15" s="51">
        <f>VLOOKUP(C15,Purchased!A:D,3,FALSE)</f>
        <v>0.56000000000000005</v>
      </c>
      <c r="Q15" s="52">
        <f t="shared" ref="Q15:Q34" si="9">B15*P15</f>
        <v>8.9600000000000009</v>
      </c>
    </row>
    <row r="16" spans="1:17" s="2" customFormat="1" ht="12.75" customHeight="1" x14ac:dyDescent="0.25">
      <c r="A16" s="4">
        <v>302</v>
      </c>
      <c r="B16" s="2">
        <v>116</v>
      </c>
      <c r="C16" s="135" t="s">
        <v>149</v>
      </c>
      <c r="D16" s="325" t="str">
        <f>VLOOKUP(C16,Purchased!A:B,2,0)</f>
        <v>BRX GOTO QUICK CONNECTOR N10 0°</v>
      </c>
      <c r="E16" s="326"/>
      <c r="F16" s="108" t="str">
        <f>IF(VLOOKUP($C16,Purchased!A:Z,11,0) = 0, " ", VLOOKUP($C16,Purchased!A:Z,11,0))</f>
        <v>T-SLOTS</v>
      </c>
      <c r="G16" s="108" t="str">
        <f>IF(VLOOKUP($C16,Purchased!A:Z,12,0)=0, " ", VLOOKUP($C16,Purchased!A:Z,12,0))</f>
        <v>Process Tech</v>
      </c>
      <c r="H16" s="327" t="str">
        <f>IF(VLOOKUP($C16,Purchased!A:Z,13,0)=0, " ", VLOOKUP($C16,Purchased!A:Z,13,0))</f>
        <v>500 More on P.O. #55639 Part# 659730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>
        <f>IF(VLOOKUP(C16,Purchased!A:R,15,0)=0, " ", VLOOKUP(C16,Purchased!A:R,15,0))</f>
        <v>45362</v>
      </c>
      <c r="M16" s="46">
        <f>IF(VLOOKUP(C16,Purchased!A:R,16,0)=0, " ",VLOOKUP(C16,Purchased!A:R,16,0))</f>
        <v>45378</v>
      </c>
      <c r="N16" s="130">
        <f>IF(VLOOKUP(C16,Purchased!A:R,17,0)=0, " ", VLOOKUP(C16,Purchased!A:R,17,0))</f>
        <v>45378</v>
      </c>
      <c r="O16" s="47">
        <f t="shared" ca="1" si="8"/>
        <v>116</v>
      </c>
      <c r="P16" s="51">
        <f>VLOOKUP(C16,Purchased!A:D,3,FALSE)</f>
        <v>4.17</v>
      </c>
      <c r="Q16" s="52">
        <f t="shared" si="9"/>
        <v>483.71999999999997</v>
      </c>
    </row>
    <row r="17" spans="1:17" s="2" customFormat="1" ht="12.75" customHeight="1" x14ac:dyDescent="0.25">
      <c r="A17" s="4">
        <v>303</v>
      </c>
      <c r="B17" s="2">
        <v>32</v>
      </c>
      <c r="C17" s="135">
        <v>3842535466</v>
      </c>
      <c r="D17" s="325" t="str">
        <f>VLOOKUP(C17,Purchased!A:B,2,0)</f>
        <v>BRX GOTO QUICK CONNECTOR N10 90°</v>
      </c>
      <c r="E17" s="326"/>
      <c r="F17" s="108" t="str">
        <f>IF(VLOOKUP($C17,Purchased!A:Z,11,0) = 0, " ", VLOOKUP($C17,Purchased!A:Z,11,0))</f>
        <v>T-SLOTS</v>
      </c>
      <c r="G17" s="108" t="str">
        <f>IF(VLOOKUP($C17,Purchased!A:Z,12,0)=0, " ", VLOOKUP($C17,Purchased!A:Z,12,0))</f>
        <v>Process Tech</v>
      </c>
      <c r="H17" s="327" t="str">
        <f>IF(VLOOKUP($C17,Purchased!A:Z,13,0)=0, " ", VLOOKUP($C17,Purchased!A:Z,13,0))</f>
        <v>Ordered 300 8/29/24 JP</v>
      </c>
      <c r="I17" s="328"/>
      <c r="J17" s="46" t="str">
        <f>IF(VLOOKUP($C17,Purchased!A:Z,14,0)=0, " ", VLOOKUP($C17,Purchased!A:Z,14,0))</f>
        <v>N/A</v>
      </c>
      <c r="K17" s="46" t="str">
        <f>IF(VLOOKUP(C17,Purchased!A:R,14,0)=0, " ", VLOOKUP(C17,Purchased!A:R,14,0))</f>
        <v>N/A</v>
      </c>
      <c r="L17" s="46">
        <f>IF(VLOOKUP(C17,Purchased!A:R,15,0)=0, " ", VLOOKUP(C17,Purchased!A:R,15,0))</f>
        <v>45533</v>
      </c>
      <c r="M17" s="46">
        <f>IF(VLOOKUP(C17,Purchased!A:R,16,0)=0, " ",VLOOKUP(C17,Purchased!A:R,16,0))</f>
        <v>45540</v>
      </c>
      <c r="N17" s="130" t="str">
        <f>IF(VLOOKUP(C17,Purchased!A:R,17,0)=0, " ", VLOOKUP(C17,Purchased!A:R,17,0))</f>
        <v xml:space="preserve"> </v>
      </c>
      <c r="O17" s="47">
        <f t="shared" ca="1" si="8"/>
        <v>32</v>
      </c>
      <c r="P17" s="51">
        <f>VLOOKUP(C17,Purchased!A:D,3,FALSE)</f>
        <v>4.17</v>
      </c>
      <c r="Q17" s="52">
        <f t="shared" si="9"/>
        <v>133.44</v>
      </c>
    </row>
    <row r="18" spans="1:17" s="2" customFormat="1" ht="12" customHeight="1" x14ac:dyDescent="0.25">
      <c r="A18" s="4">
        <v>304</v>
      </c>
      <c r="B18" s="2">
        <v>16</v>
      </c>
      <c r="C18" s="135" t="s">
        <v>172</v>
      </c>
      <c r="D18" s="325" t="str">
        <f>VLOOKUP(C18,Purchased!A:B,2,0)</f>
        <v>BRX GOTO T-NUT 10 M6</v>
      </c>
      <c r="E18" s="326"/>
      <c r="F18" s="108" t="str">
        <f>IF(VLOOKUP($C18,Purchased!A:Z,11,0) = 0, " ", VLOOKUP($C18,Purchased!A:Z,11,0))</f>
        <v>BRX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45463</v>
      </c>
      <c r="K18" s="46">
        <f>IF(VLOOKUP(C18,Purchased!A:R,14,0)=0, " ", VLOOKUP(C18,Purchased!A:R,14,0))</f>
        <v>45463</v>
      </c>
      <c r="L18" s="46">
        <f>IF(VLOOKUP(C18,Purchased!A:R,15,0)=0, " ", VLOOKUP(C18,Purchased!A:R,15,0))</f>
        <v>45463</v>
      </c>
      <c r="M18" s="46">
        <f>IF(VLOOKUP(C18,Purchased!A:R,16,0)=0, " ",VLOOKUP(C18,Purchased!A:R,16,0))</f>
        <v>45481</v>
      </c>
      <c r="N18" s="130">
        <f>IF(VLOOKUP(C18,Purchased!A:R,17,0)=0, " ", VLOOKUP(C18,Purchased!A:R,17,0))</f>
        <v>45481</v>
      </c>
      <c r="O18" s="47">
        <f t="shared" ca="1" si="8"/>
        <v>16</v>
      </c>
      <c r="P18" s="51">
        <f>VLOOKUP(C18,Purchased!A:D,3,FALSE)</f>
        <v>0.56000000000000005</v>
      </c>
      <c r="Q18" s="52">
        <f t="shared" si="9"/>
        <v>8.9600000000000009</v>
      </c>
    </row>
    <row r="19" spans="1:17" s="2" customFormat="1" ht="12" customHeight="1" x14ac:dyDescent="0.25">
      <c r="A19" s="4">
        <v>305</v>
      </c>
      <c r="B19" s="2">
        <v>6</v>
      </c>
      <c r="C19" s="135" t="s">
        <v>1102</v>
      </c>
      <c r="D19" s="325" t="str">
        <f>VLOOKUP(C19,Purchased!A:B,2,0)</f>
        <v>Stainless Bearing Rod</v>
      </c>
      <c r="E19" s="326"/>
      <c r="F19" s="108" t="str">
        <f>IF(VLOOKUP($C19,Purchased!A:Z,11,0) = 0, " ", VLOOKUP($C19,Purchased!A:Z,11,0))</f>
        <v>IGUS</v>
      </c>
      <c r="G19" s="108" t="str">
        <f>IF(VLOOKUP($C19,Purchased!A:Z,12,0)=0, " ", VLOOKUP($C19,Purchased!A:Z,12,0))</f>
        <v>IGUS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45489</v>
      </c>
      <c r="M19" s="46">
        <f>IF(VLOOKUP(C19,Purchased!A:R,16,0)=0, " ",VLOOKUP(C19,Purchased!A:R,16,0))</f>
        <v>45534</v>
      </c>
      <c r="N19" s="130">
        <f>IF(VLOOKUP(C19,Purchased!A:R,17,0)=0, " ", VLOOKUP(C19,Purchased!A:R,17,0))</f>
        <v>45534</v>
      </c>
      <c r="O19" s="47">
        <f t="shared" ca="1" si="8"/>
        <v>6</v>
      </c>
      <c r="P19" s="51">
        <f>VLOOKUP(C19,Purchased!A:D,3,FALSE)</f>
        <v>187.73</v>
      </c>
      <c r="Q19" s="52">
        <f t="shared" si="9"/>
        <v>1126.3799999999999</v>
      </c>
    </row>
    <row r="20" spans="1:17" s="2" customFormat="1" ht="12" customHeight="1" x14ac:dyDescent="0.25">
      <c r="A20" s="4">
        <v>306</v>
      </c>
      <c r="B20" s="2">
        <v>12</v>
      </c>
      <c r="C20" s="135" t="s">
        <v>1103</v>
      </c>
      <c r="D20" s="325" t="str">
        <f>VLOOKUP(C20,Purchased!A:B,2,0)</f>
        <v>16MM ID Chrome Plated Steel Shaft Collar, Clamping Two-Piece</v>
      </c>
      <c r="E20" s="326"/>
      <c r="F20" s="108" t="str">
        <f>IF(VLOOKUP($C20,Purchased!A:Z,11,0) = 0, " ", VLOOKUP($C20,Purchased!A:Z,11,0))</f>
        <v>CLIMAX</v>
      </c>
      <c r="G20" s="108" t="str">
        <f>IF(VLOOKUP($C20,Purchased!A:Z,12,0)=0, " ", VLOOKUP($C20,Purchased!A:Z,12,0))</f>
        <v>BDI</v>
      </c>
      <c r="H20" s="327" t="str">
        <f>IF(VLOOKUP($C20,Purchased!A:Z,13,0)=0, " ", VLOOKUP($C20,Purchased!A:Z,13,0))</f>
        <v xml:space="preserve"># 196678 </v>
      </c>
      <c r="I20" s="328"/>
      <c r="J20" s="46">
        <f>IF(VLOOKUP($C20,Purchased!A:Z,14,0)=0, " ", VLOOKUP($C20,Purchased!A:Z,14,0))</f>
        <v>45460</v>
      </c>
      <c r="K20" s="46">
        <f>IF(VLOOKUP(C20,Purchased!A:R,14,0)=0, " ", VLOOKUP(C20,Purchased!A:R,14,0))</f>
        <v>45460</v>
      </c>
      <c r="L20" s="46">
        <f>IF(VLOOKUP(C20,Purchased!A:R,15,0)=0, " ", VLOOKUP(C20,Purchased!A:R,15,0))</f>
        <v>45462</v>
      </c>
      <c r="M20" s="46">
        <f>IF(VLOOKUP(C20,Purchased!A:R,16,0)=0, " ",VLOOKUP(C20,Purchased!A:R,16,0))</f>
        <v>45495</v>
      </c>
      <c r="N20" s="130">
        <f>IF(VLOOKUP(C20,Purchased!A:R,17,0)=0, " ", VLOOKUP(C20,Purchased!A:R,17,0))</f>
        <v>45495</v>
      </c>
      <c r="O20" s="47">
        <f t="shared" ca="1" si="8"/>
        <v>12</v>
      </c>
      <c r="P20" s="51">
        <f>VLOOKUP(C20,Purchased!A:D,3,FALSE)</f>
        <v>11.81</v>
      </c>
      <c r="Q20" s="52">
        <f t="shared" si="9"/>
        <v>141.72</v>
      </c>
    </row>
    <row r="21" spans="1:17" s="2" customFormat="1" ht="12" customHeight="1" x14ac:dyDescent="0.25">
      <c r="A21" s="4">
        <v>307</v>
      </c>
      <c r="B21" s="2">
        <v>3</v>
      </c>
      <c r="C21" s="135" t="s">
        <v>1104</v>
      </c>
      <c r="D21" s="325" t="str">
        <f>VLOOKUP(C21,Purchased!A:B,2,0)</f>
        <v>XL Series Timing Belt, 42" 420XL037</v>
      </c>
      <c r="E21" s="326"/>
      <c r="F21" s="108" t="str">
        <f>IF(VLOOKUP($C21,Purchased!A:Z,11,0) = 0, " ", VLOOKUP($C21,Purchased!A:Z,11,0))</f>
        <v>Timken</v>
      </c>
      <c r="G21" s="108" t="str">
        <f>IF(VLOOKUP($C21,Purchased!A:Z,12,0)=0, " ", VLOOKUP($C21,Purchased!A:Z,12,0))</f>
        <v>BDI</v>
      </c>
      <c r="H21" s="327" t="str">
        <f>IF(VLOOKUP($C21,Purchased!A:Z,13,0)=0, " ", VLOOKUP($C21,Purchased!A:Z,13,0))</f>
        <v># 231078</v>
      </c>
      <c r="I21" s="328"/>
      <c r="J21" s="46">
        <f>IF(VLOOKUP($C21,Purchased!A:Z,14,0)=0, " ", VLOOKUP($C21,Purchased!A:Z,14,0))</f>
        <v>45460</v>
      </c>
      <c r="K21" s="46">
        <f>IF(VLOOKUP(C21,Purchased!A:R,14,0)=0, " ", VLOOKUP(C21,Purchased!A:R,14,0))</f>
        <v>45460</v>
      </c>
      <c r="L21" s="46">
        <f>IF(VLOOKUP(C21,Purchased!A:R,15,0)=0, " ", VLOOKUP(C21,Purchased!A:R,15,0))</f>
        <v>45462</v>
      </c>
      <c r="M21" s="46">
        <f>IF(VLOOKUP(C21,Purchased!A:R,16,0)=0, " ",VLOOKUP(C21,Purchased!A:R,16,0))</f>
        <v>45495</v>
      </c>
      <c r="N21" s="130">
        <f>IF(VLOOKUP(C21,Purchased!A:R,17,0)=0, " ", VLOOKUP(C21,Purchased!A:R,17,0))</f>
        <v>45495</v>
      </c>
      <c r="O21" s="47">
        <f t="shared" ca="1" si="8"/>
        <v>3</v>
      </c>
      <c r="P21" s="51">
        <f>VLOOKUP(C21,Purchased!A:D,3,FALSE)</f>
        <v>7.58</v>
      </c>
      <c r="Q21" s="52">
        <f t="shared" si="9"/>
        <v>22.740000000000002</v>
      </c>
    </row>
    <row r="22" spans="1:17" s="2" customFormat="1" ht="12" customHeight="1" x14ac:dyDescent="0.25">
      <c r="A22" s="4">
        <v>308</v>
      </c>
      <c r="B22" s="2">
        <v>2</v>
      </c>
      <c r="C22" s="135" t="s">
        <v>1105</v>
      </c>
      <c r="D22" s="325" t="str">
        <f>VLOOKUP(C22,Purchased!A:B,2,0)</f>
        <v>XL Series Timing Belt, 31" 310XL037</v>
      </c>
      <c r="E22" s="326"/>
      <c r="F22" s="108" t="str">
        <f>IF(VLOOKUP($C22,Purchased!A:Z,11,0) = 0, " ", VLOOKUP($C22,Purchased!A:Z,11,0))</f>
        <v>Timken</v>
      </c>
      <c r="G22" s="108" t="str">
        <f>IF(VLOOKUP($C22,Purchased!A:Z,12,0)=0, " ", VLOOKUP($C22,Purchased!A:Z,12,0))</f>
        <v>BDI</v>
      </c>
      <c r="H22" s="327" t="str">
        <f>IF(VLOOKUP($C22,Purchased!A:Z,13,0)=0, " ", VLOOKUP($C22,Purchased!A:Z,13,0))</f>
        <v># 231062</v>
      </c>
      <c r="I22" s="328"/>
      <c r="J22" s="46">
        <f>IF(VLOOKUP($C22,Purchased!A:Z,14,0)=0, " ", VLOOKUP($C22,Purchased!A:Z,14,0))</f>
        <v>45460</v>
      </c>
      <c r="K22" s="46">
        <f>IF(VLOOKUP(C22,Purchased!A:R,14,0)=0, " ", VLOOKUP(C22,Purchased!A:R,14,0))</f>
        <v>45460</v>
      </c>
      <c r="L22" s="46">
        <f>IF(VLOOKUP(C22,Purchased!A:R,15,0)=0, " ", VLOOKUP(C22,Purchased!A:R,15,0))</f>
        <v>45462</v>
      </c>
      <c r="M22" s="46">
        <f>IF(VLOOKUP(C22,Purchased!A:R,16,0)=0, " ",VLOOKUP(C22,Purchased!A:R,16,0))</f>
        <v>45495</v>
      </c>
      <c r="N22" s="130">
        <f>IF(VLOOKUP(C22,Purchased!A:R,17,0)=0, " ", VLOOKUP(C22,Purchased!A:R,17,0))</f>
        <v>45495</v>
      </c>
      <c r="O22" s="47">
        <f t="shared" ca="1" si="8"/>
        <v>2</v>
      </c>
      <c r="P22" s="51">
        <f>VLOOKUP(C22,Purchased!A:D,3,FALSE)</f>
        <v>6.28</v>
      </c>
      <c r="Q22" s="52">
        <f t="shared" si="9"/>
        <v>12.56</v>
      </c>
    </row>
    <row r="23" spans="1:17" s="2" customFormat="1" ht="12" customHeight="1" x14ac:dyDescent="0.25">
      <c r="A23" s="4">
        <v>309</v>
      </c>
      <c r="B23" s="2">
        <v>1</v>
      </c>
      <c r="C23" s="135" t="s">
        <v>1106</v>
      </c>
      <c r="D23" s="325" t="str">
        <f>VLOOKUP(C23,Purchased!A:B,2,0)</f>
        <v>XL Series Timing Belt, Trade No. 330XL037 33"</v>
      </c>
      <c r="E23" s="326"/>
      <c r="F23" s="108" t="str">
        <f>IF(VLOOKUP($C23,Purchased!A:Z,11,0) = 0, " ", VLOOKUP($C23,Purchased!A:Z,11,0))</f>
        <v>Timken</v>
      </c>
      <c r="G23" s="108" t="str">
        <f>IF(VLOOKUP($C23,Purchased!A:Z,12,0)=0, " ", VLOOKUP($C23,Purchased!A:Z,12,0))</f>
        <v>BDI</v>
      </c>
      <c r="H23" s="327" t="str">
        <f>IF(VLOOKUP($C23,Purchased!A:Z,13,0)=0, " ", VLOOKUP($C23,Purchased!A:Z,13,0))</f>
        <v># 231064</v>
      </c>
      <c r="I23" s="328"/>
      <c r="J23" s="46">
        <f>IF(VLOOKUP($C23,Purchased!A:Z,14,0)=0, " ", VLOOKUP($C23,Purchased!A:Z,14,0))</f>
        <v>45460</v>
      </c>
      <c r="K23" s="46">
        <f>IF(VLOOKUP(C23,Purchased!A:R,14,0)=0, " ", VLOOKUP(C23,Purchased!A:R,14,0))</f>
        <v>45460</v>
      </c>
      <c r="L23" s="46">
        <f>IF(VLOOKUP(C23,Purchased!A:R,15,0)=0, " ", VLOOKUP(C23,Purchased!A:R,15,0))</f>
        <v>45462</v>
      </c>
      <c r="M23" s="46">
        <f>IF(VLOOKUP(C23,Purchased!A:R,16,0)=0, " ",VLOOKUP(C23,Purchased!A:R,16,0))</f>
        <v>45495</v>
      </c>
      <c r="N23" s="130">
        <f>IF(VLOOKUP(C23,Purchased!A:R,17,0)=0, " ", VLOOKUP(C23,Purchased!A:R,17,0))</f>
        <v>45495</v>
      </c>
      <c r="O23" s="47">
        <f t="shared" ca="1" si="8"/>
        <v>1</v>
      </c>
      <c r="P23" s="51">
        <f>VLOOKUP(C23,Purchased!A:D,3,FALSE)</f>
        <v>6.55</v>
      </c>
      <c r="Q23" s="52">
        <f t="shared" si="9"/>
        <v>6.55</v>
      </c>
    </row>
    <row r="24" spans="1:17" s="2" customFormat="1" ht="12" customHeight="1" x14ac:dyDescent="0.25">
      <c r="A24" s="4">
        <v>310</v>
      </c>
      <c r="B24" s="2">
        <v>12</v>
      </c>
      <c r="C24" s="135" t="s">
        <v>738</v>
      </c>
      <c r="D24" s="325" t="str">
        <f>VLOOKUP(C24,Purchased!A:B,2,0)</f>
        <v>Corrosion-Resistant Timing Belt Pulley</v>
      </c>
      <c r="E24" s="326"/>
      <c r="F24" s="108" t="str">
        <f>IF(VLOOKUP($C24,Purchased!A:Z,11,0) = 0, " ", VLOOKUP($C24,Purchased!A:Z,11,0))</f>
        <v>BMF</v>
      </c>
      <c r="G24" s="108" t="str">
        <f>IF(VLOOKUP($C24,Purchased!A:Z,12,0)=0, " ", VLOOKUP($C24,Purchased!A:Z,12,0))</f>
        <v>BDI</v>
      </c>
      <c r="H24" s="327" t="str">
        <f>IF(VLOOKUP($C24,Purchased!A:Z,13,0)=0, " ", VLOOKUP($C24,Purchased!A:Z,13,0))</f>
        <v>22707419 - 32XL037M6FA12</v>
      </c>
      <c r="I24" s="328"/>
      <c r="J24" s="46">
        <f>IF(VLOOKUP($C24,Purchased!A:Z,14,0)=0, " ", VLOOKUP($C24,Purchased!A:Z,14,0))</f>
        <v>45481</v>
      </c>
      <c r="K24" s="46">
        <f>IF(VLOOKUP(C24,Purchased!A:R,14,0)=0, " ", VLOOKUP(C24,Purchased!A:R,14,0))</f>
        <v>45481</v>
      </c>
      <c r="L24" s="46">
        <f>IF(VLOOKUP(C24,Purchased!A:R,15,0)=0, " ", VLOOKUP(C24,Purchased!A:R,15,0))</f>
        <v>45481</v>
      </c>
      <c r="M24" s="46">
        <f>IF(VLOOKUP(C24,Purchased!A:R,16,0)=0, " ",VLOOKUP(C24,Purchased!A:R,16,0))</f>
        <v>45495</v>
      </c>
      <c r="N24" s="130">
        <f>IF(VLOOKUP(C24,Purchased!A:R,17,0)=0, " ", VLOOKUP(C24,Purchased!A:R,17,0))</f>
        <v>45495</v>
      </c>
      <c r="O24" s="47">
        <f t="shared" ca="1" si="8"/>
        <v>12</v>
      </c>
      <c r="P24" s="51">
        <f>VLOOKUP(C24,Purchased!A:D,3,FALSE)</f>
        <v>13.15</v>
      </c>
      <c r="Q24" s="52">
        <f t="shared" si="9"/>
        <v>157.80000000000001</v>
      </c>
    </row>
    <row r="25" spans="1:17" s="2" customFormat="1" ht="12" customHeight="1" x14ac:dyDescent="0.25">
      <c r="A25" s="4">
        <v>311</v>
      </c>
      <c r="B25" s="2">
        <v>15</v>
      </c>
      <c r="C25" s="135" t="s">
        <v>1107</v>
      </c>
      <c r="D25" s="325" t="str">
        <f>VLOOKUP(C25,Purchased!A:B,2,0)</f>
        <v>12mm ID 0.5mm Thick 316 SS Ring Shim</v>
      </c>
      <c r="E25" s="326"/>
      <c r="F25" s="108" t="str">
        <f>IF(VLOOKUP($C25,Purchased!A:Z,11,0) = 0, " ", VLOOKUP($C25,Purchased!A:Z,11,0))</f>
        <v>MCM</v>
      </c>
      <c r="G25" s="108" t="str">
        <f>IF(VLOOKUP($C25,Purchased!A:Z,12,0)=0, " ", VLOOKUP($C25,Purchased!A:Z,12,0))</f>
        <v>MCM</v>
      </c>
      <c r="H25" s="327" t="str">
        <f>IF(VLOOKUP($C25,Purchased!A:Z,13,0)=0, " ", VLOOKUP($C25,Purchased!A:Z,13,0))</f>
        <v>1 Additional Quantity Added to 55697</v>
      </c>
      <c r="I25" s="328"/>
      <c r="J25" s="46">
        <f>IF(VLOOKUP($C25,Purchased!A:Z,14,0)=0, " ", VLOOKUP($C25,Purchased!A:Z,14,0))</f>
        <v>45481</v>
      </c>
      <c r="K25" s="46">
        <f>IF(VLOOKUP(C25,Purchased!A:R,14,0)=0, " ", VLOOKUP(C25,Purchased!A:R,14,0))</f>
        <v>45481</v>
      </c>
      <c r="L25" s="46">
        <f>IF(VLOOKUP(C25,Purchased!A:R,15,0)=0, " ", VLOOKUP(C25,Purchased!A:R,15,0))</f>
        <v>45481</v>
      </c>
      <c r="M25" s="46">
        <f>IF(VLOOKUP(C25,Purchased!A:R,16,0)=0, " ",VLOOKUP(C25,Purchased!A:R,16,0))</f>
        <v>45482</v>
      </c>
      <c r="N25" s="130">
        <f>IF(VLOOKUP(C25,Purchased!A:R,17,0)=0, " ", VLOOKUP(C25,Purchased!A:R,17,0))</f>
        <v>45482</v>
      </c>
      <c r="O25" s="47">
        <f t="shared" ca="1" si="8"/>
        <v>15</v>
      </c>
      <c r="P25" s="51">
        <f>VLOOKUP(C25,Purchased!A:D,3,FALSE)</f>
        <v>12.97</v>
      </c>
      <c r="Q25" s="52">
        <f t="shared" si="9"/>
        <v>194.55</v>
      </c>
    </row>
    <row r="26" spans="1:17" s="2" customFormat="1" ht="12" customHeight="1" x14ac:dyDescent="0.25">
      <c r="A26" s="4">
        <v>312</v>
      </c>
      <c r="B26" s="2">
        <v>9</v>
      </c>
      <c r="C26" s="135" t="s">
        <v>1108</v>
      </c>
      <c r="D26" s="325" t="str">
        <f>VLOOKUP(C26,Purchased!A:B,2,0)</f>
        <v>12mm ID Clamping Shaft Collar</v>
      </c>
      <c r="E26" s="326"/>
      <c r="F26" s="108" t="str">
        <f>IF(VLOOKUP($C26,Purchased!A:Z,11,0) = 0, " ", VLOOKUP($C26,Purchased!A:Z,11,0))</f>
        <v>CLIMAX</v>
      </c>
      <c r="G26" s="108" t="str">
        <f>IF(VLOOKUP($C26,Purchased!A:Z,12,0)=0, " ", VLOOKUP($C26,Purchased!A:Z,12,0))</f>
        <v>BDI</v>
      </c>
      <c r="H26" s="327" t="str">
        <f>IF(VLOOKUP($C26,Purchased!A:Z,13,0)=0, " ", VLOOKUP($C26,Purchased!A:Z,13,0))</f>
        <v># 196586</v>
      </c>
      <c r="I26" s="328"/>
      <c r="J26" s="46">
        <f>IF(VLOOKUP($C26,Purchased!A:Z,14,0)=0, " ", VLOOKUP($C26,Purchased!A:Z,14,0))</f>
        <v>45460</v>
      </c>
      <c r="K26" s="46">
        <f>IF(VLOOKUP(C26,Purchased!A:R,14,0)=0, " ", VLOOKUP(C26,Purchased!A:R,14,0))</f>
        <v>45460</v>
      </c>
      <c r="L26" s="46">
        <f>IF(VLOOKUP(C26,Purchased!A:R,15,0)=0, " ", VLOOKUP(C26,Purchased!A:R,15,0))</f>
        <v>45462</v>
      </c>
      <c r="M26" s="46">
        <f>IF(VLOOKUP(C26,Purchased!A:R,16,0)=0, " ",VLOOKUP(C26,Purchased!A:R,16,0))</f>
        <v>45495</v>
      </c>
      <c r="N26" s="130">
        <f>IF(VLOOKUP(C26,Purchased!A:R,17,0)=0, " ", VLOOKUP(C26,Purchased!A:R,17,0))</f>
        <v>45495</v>
      </c>
      <c r="O26" s="47">
        <f t="shared" ca="1" si="8"/>
        <v>9</v>
      </c>
      <c r="P26" s="51">
        <f>VLOOKUP(C26,Purchased!A:D,3,FALSE)</f>
        <v>6.43</v>
      </c>
      <c r="Q26" s="52">
        <f t="shared" si="9"/>
        <v>57.87</v>
      </c>
    </row>
    <row r="27" spans="1:17" s="2" customFormat="1" ht="12" customHeight="1" x14ac:dyDescent="0.25">
      <c r="A27" s="4">
        <v>313</v>
      </c>
      <c r="B27" s="2">
        <v>24</v>
      </c>
      <c r="C27" s="135" t="s">
        <v>1109</v>
      </c>
      <c r="D27" s="325" t="str">
        <f>VLOOKUP(C27,Purchased!A:B,2,0)</f>
        <v>12mm ID Ball Bearing</v>
      </c>
      <c r="E27" s="326"/>
      <c r="F27" s="108" t="str">
        <f>IF(VLOOKUP($C27,Purchased!A:Z,11,0) = 0, " ", VLOOKUP($C27,Purchased!A:Z,11,0))</f>
        <v>MCM</v>
      </c>
      <c r="G27" s="108" t="str">
        <f>IF(VLOOKUP($C27,Purchased!A:Z,12,0)=0, " ", VLOOKUP($C27,Purchased!A:Z,12,0))</f>
        <v>MCM</v>
      </c>
      <c r="H27" s="327" t="str">
        <f>IF(VLOOKUP($C27,Purchased!A:Z,13,0)=0, " ", VLOOKUP($C27,Purchased!A:Z,13,0))</f>
        <v xml:space="preserve"> </v>
      </c>
      <c r="I27" s="328"/>
      <c r="J27" s="46">
        <f>IF(VLOOKUP($C27,Purchased!A:Z,14,0)=0, " ", VLOOKUP($C27,Purchased!A:Z,14,0))</f>
        <v>45481</v>
      </c>
      <c r="K27" s="46">
        <f>IF(VLOOKUP(C27,Purchased!A:R,14,0)=0, " ", VLOOKUP(C27,Purchased!A:R,14,0))</f>
        <v>45481</v>
      </c>
      <c r="L27" s="46">
        <f>IF(VLOOKUP(C27,Purchased!A:R,15,0)=0, " ", VLOOKUP(C27,Purchased!A:R,15,0))</f>
        <v>45481</v>
      </c>
      <c r="M27" s="46">
        <f>IF(VLOOKUP(C27,Purchased!A:R,16,0)=0, " ",VLOOKUP(C27,Purchased!A:R,16,0))</f>
        <v>45482</v>
      </c>
      <c r="N27" s="130">
        <f>IF(VLOOKUP(C27,Purchased!A:R,17,0)=0, " ", VLOOKUP(C27,Purchased!A:R,17,0))</f>
        <v>45482</v>
      </c>
      <c r="O27" s="47">
        <f t="shared" ca="1" si="8"/>
        <v>24</v>
      </c>
      <c r="P27" s="51">
        <f>VLOOKUP(C27,Purchased!A:D,3,FALSE)</f>
        <v>24</v>
      </c>
      <c r="Q27" s="52">
        <f t="shared" si="9"/>
        <v>576</v>
      </c>
    </row>
    <row r="28" spans="1:17" s="2" customFormat="1" ht="12" customHeight="1" x14ac:dyDescent="0.25">
      <c r="A28" s="4">
        <v>314</v>
      </c>
      <c r="B28" s="2">
        <v>3</v>
      </c>
      <c r="C28" s="135" t="s">
        <v>1110</v>
      </c>
      <c r="D28" s="325" t="str">
        <f>VLOOKUP(C28,Purchased!A:B,2,0)</f>
        <v>FLAT 1045 STEEL SPACER, NICKEL PLATED, 20MM OD, 12MM ID, 10MM THICK</v>
      </c>
      <c r="E28" s="326"/>
      <c r="F28" s="108" t="str">
        <f>IF(VLOOKUP($C28,Purchased!A:Z,11,0) = 0, " ", VLOOKUP($C28,Purchased!A:Z,11,0))</f>
        <v>MISUMI</v>
      </c>
      <c r="G28" s="108" t="str">
        <f>IF(VLOOKUP($C28,Purchased!A:Z,12,0)=0, " ", VLOOKUP($C28,Purchased!A:Z,12,0))</f>
        <v>MISUMI</v>
      </c>
      <c r="H28" s="327" t="str">
        <f>IF(VLOOKUP($C28,Purchased!A:Z,13,0)=0, " ", VLOOKUP($C28,Purchased!A:Z,13,0))</f>
        <v xml:space="preserve"> </v>
      </c>
      <c r="I28" s="328"/>
      <c r="J28" s="46">
        <f>IF(VLOOKUP($C28,Purchased!A:Z,14,0)=0, " ", VLOOKUP($C28,Purchased!A:Z,14,0))</f>
        <v>45483</v>
      </c>
      <c r="K28" s="46">
        <f>IF(VLOOKUP(C28,Purchased!A:R,14,0)=0, " ", VLOOKUP(C28,Purchased!A:R,14,0))</f>
        <v>45483</v>
      </c>
      <c r="L28" s="46">
        <f>IF(VLOOKUP(C28,Purchased!A:R,15,0)=0, " ", VLOOKUP(C28,Purchased!A:R,15,0))</f>
        <v>45483</v>
      </c>
      <c r="M28" s="46">
        <f>IF(VLOOKUP(C28,Purchased!A:R,16,0)=0, " ",VLOOKUP(C28,Purchased!A:R,16,0))</f>
        <v>45512</v>
      </c>
      <c r="N28" s="130">
        <f>IF(VLOOKUP(C28,Purchased!A:R,17,0)=0, " ", VLOOKUP(C28,Purchased!A:R,17,0))</f>
        <v>45512</v>
      </c>
      <c r="O28" s="47">
        <f t="shared" ca="1" si="8"/>
        <v>3</v>
      </c>
      <c r="P28" s="51">
        <f>VLOOKUP(C28,Purchased!A:D,3,FALSE)</f>
        <v>17.34</v>
      </c>
      <c r="Q28" s="52">
        <f t="shared" si="9"/>
        <v>52.019999999999996</v>
      </c>
    </row>
    <row r="29" spans="1:17" s="2" customFormat="1" ht="12" customHeight="1" x14ac:dyDescent="0.25">
      <c r="A29" s="4">
        <v>315</v>
      </c>
      <c r="B29" s="2">
        <v>6</v>
      </c>
      <c r="C29" s="135" t="s">
        <v>1111</v>
      </c>
      <c r="D29" s="325" t="str">
        <f>VLOOKUP(C29,Purchased!A:B,2,0)</f>
        <v>Spacer</v>
      </c>
      <c r="E29" s="326"/>
      <c r="F29" s="108" t="str">
        <f>IF(VLOOKUP($C29,Purchased!A:Z,11,0) = 0, " ", VLOOKUP($C29,Purchased!A:Z,11,0))</f>
        <v>MISUMI</v>
      </c>
      <c r="G29" s="108" t="str">
        <f>IF(VLOOKUP($C29,Purchased!A:Z,12,0)=0, " ", VLOOKUP($C29,Purchased!A:Z,12,0))</f>
        <v>MISUMI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45483</v>
      </c>
      <c r="K29" s="46">
        <f>IF(VLOOKUP(C29,Purchased!A:R,14,0)=0, " ", VLOOKUP(C29,Purchased!A:R,14,0))</f>
        <v>45483</v>
      </c>
      <c r="L29" s="46">
        <f>IF(VLOOKUP(C29,Purchased!A:R,15,0)=0, " ", VLOOKUP(C29,Purchased!A:R,15,0))</f>
        <v>45483</v>
      </c>
      <c r="M29" s="46">
        <f>IF(VLOOKUP(C29,Purchased!A:R,16,0)=0, " ",VLOOKUP(C29,Purchased!A:R,16,0))</f>
        <v>45512</v>
      </c>
      <c r="N29" s="130">
        <f>IF(VLOOKUP(C29,Purchased!A:R,17,0)=0, " ", VLOOKUP(C29,Purchased!A:R,17,0))</f>
        <v>45512</v>
      </c>
      <c r="O29" s="47">
        <f t="shared" ca="1" si="8"/>
        <v>6</v>
      </c>
      <c r="P29" s="51">
        <f>VLOOKUP(C29,Purchased!A:D,3,FALSE)</f>
        <v>17.34</v>
      </c>
      <c r="Q29" s="52">
        <f t="shared" si="9"/>
        <v>104.03999999999999</v>
      </c>
    </row>
    <row r="30" spans="1:17" s="2" customFormat="1" ht="12" customHeight="1" x14ac:dyDescent="0.25">
      <c r="A30" s="4">
        <v>316</v>
      </c>
      <c r="B30" s="2">
        <v>9</v>
      </c>
      <c r="C30" s="135" t="s">
        <v>656</v>
      </c>
      <c r="D30" s="325" t="str">
        <f>VLOOKUP(C30,Purchased!A:B,2,0)</f>
        <v>Fitting T</v>
      </c>
      <c r="E30" s="326"/>
      <c r="F30" s="108" t="str">
        <f>IF(VLOOKUP($C30,Purchased!A:Z,11,0) = 0, " ", VLOOKUP($C30,Purchased!A:Z,11,0))</f>
        <v>SMC</v>
      </c>
      <c r="G30" s="108" t="str">
        <f>IF(VLOOKUP($C30,Purchased!A:Z,12,0)=0, " ", VLOOKUP($C30,Purchased!A:Z,12,0))</f>
        <v>AAP</v>
      </c>
      <c r="H30" s="327" t="str">
        <f>IF(VLOOKUP($C30,Purchased!A:Z,13,0)=0, " ", VLOOKUP($C30,Purchased!A:Z,13,0))</f>
        <v>check nuline qty first</v>
      </c>
      <c r="I30" s="328"/>
      <c r="J30" s="46">
        <f>IF(VLOOKUP($C30,Purchased!A:Z,14,0)=0, " ", VLOOKUP($C30,Purchased!A:Z,14,0))</f>
        <v>45489</v>
      </c>
      <c r="K30" s="46">
        <f>IF(VLOOKUP(C30,Purchased!A:R,14,0)=0, " ", VLOOKUP(C30,Purchased!A:R,14,0))</f>
        <v>45489</v>
      </c>
      <c r="L30" s="46">
        <f>IF(VLOOKUP(C30,Purchased!A:R,15,0)=0, " ", VLOOKUP(C30,Purchased!A:R,15,0))</f>
        <v>45491</v>
      </c>
      <c r="M30" s="46">
        <f>IF(VLOOKUP(C30,Purchased!A:R,16,0)=0, " ",VLOOKUP(C30,Purchased!A:R,16,0))</f>
        <v>45520</v>
      </c>
      <c r="N30" s="130">
        <f>IF(VLOOKUP(C30,Purchased!A:R,17,0)=0, " ", VLOOKUP(C30,Purchased!A:R,17,0))</f>
        <v>45511</v>
      </c>
      <c r="O30" s="47">
        <f t="shared" ca="1" si="8"/>
        <v>9</v>
      </c>
      <c r="P30" s="51">
        <f>VLOOKUP(C30,Purchased!A:D,3,FALSE)</f>
        <v>1.69</v>
      </c>
      <c r="Q30" s="52">
        <f t="shared" si="9"/>
        <v>15.209999999999999</v>
      </c>
    </row>
    <row r="31" spans="1:17" s="2" customFormat="1" ht="12" customHeight="1" x14ac:dyDescent="0.25">
      <c r="A31" s="4">
        <v>317</v>
      </c>
      <c r="B31" s="2">
        <v>2</v>
      </c>
      <c r="C31" s="135" t="s">
        <v>1112</v>
      </c>
      <c r="D31" s="325" t="str">
        <f>VLOOKUP(C31,Purchased!A:B,2,0)</f>
        <v>Splitting T</v>
      </c>
      <c r="E31" s="326"/>
      <c r="F31" s="108" t="str">
        <f>IF(VLOOKUP($C31,Purchased!A:Z,11,0) = 0, " ", VLOOKUP($C31,Purchased!A:Z,11,0))</f>
        <v>SMC</v>
      </c>
      <c r="G31" s="108" t="str">
        <f>IF(VLOOKUP($C31,Purchased!A:Z,12,0)=0, " ", VLOOKUP($C31,Purchased!A:Z,12,0))</f>
        <v>AAP</v>
      </c>
      <c r="H31" s="327" t="str">
        <f>IF(VLOOKUP($C31,Purchased!A:Z,13,0)=0, " ", VLOOKUP($C31,Purchased!A:Z,13,0))</f>
        <v xml:space="preserve"> </v>
      </c>
      <c r="I31" s="328"/>
      <c r="J31" s="46">
        <f>IF(VLOOKUP($C31,Purchased!A:Z,14,0)=0, " ", VLOOKUP($C31,Purchased!A:Z,14,0))</f>
        <v>45489</v>
      </c>
      <c r="K31" s="46">
        <f>IF(VLOOKUP(C31,Purchased!A:R,14,0)=0, " ", VLOOKUP(C31,Purchased!A:R,14,0))</f>
        <v>45489</v>
      </c>
      <c r="L31" s="46">
        <f>IF(VLOOKUP(C31,Purchased!A:R,15,0)=0, " ", VLOOKUP(C31,Purchased!A:R,15,0))</f>
        <v>45491</v>
      </c>
      <c r="M31" s="46">
        <f>IF(VLOOKUP(C31,Purchased!A:R,16,0)=0, " ",VLOOKUP(C31,Purchased!A:R,16,0))</f>
        <v>45520</v>
      </c>
      <c r="N31" s="130">
        <f>IF(VLOOKUP(C31,Purchased!A:R,17,0)=0, " ", VLOOKUP(C31,Purchased!A:R,17,0))</f>
        <v>45511</v>
      </c>
      <c r="O31" s="47">
        <f t="shared" ca="1" si="8"/>
        <v>2</v>
      </c>
      <c r="P31" s="51">
        <f>VLOOKUP(C31,Purchased!A:D,3,FALSE)</f>
        <v>2.16</v>
      </c>
      <c r="Q31" s="52">
        <f t="shared" si="9"/>
        <v>4.32</v>
      </c>
    </row>
    <row r="32" spans="1:17" s="2" customFormat="1" ht="12" customHeight="1" x14ac:dyDescent="0.25">
      <c r="A32" s="4">
        <v>318</v>
      </c>
      <c r="B32" s="2">
        <v>1</v>
      </c>
      <c r="C32" s="135" t="s">
        <v>1113</v>
      </c>
      <c r="D32" s="325" t="str">
        <f>VLOOKUP(C32,Purchased!A:B,2,0)</f>
        <v xml:space="preserve">4mm to 6mm quick connect </v>
      </c>
      <c r="E32" s="326"/>
      <c r="F32" s="108" t="str">
        <f>IF(VLOOKUP($C32,Purchased!A:Z,11,0) = 0, " ", VLOOKUP($C32,Purchased!A:Z,11,0))</f>
        <v>SMC</v>
      </c>
      <c r="G32" s="108" t="str">
        <f>IF(VLOOKUP($C32,Purchased!A:Z,12,0)=0, " ", VLOOKUP($C32,Purchased!A:Z,12,0))</f>
        <v>AAP</v>
      </c>
      <c r="H32" s="327" t="str">
        <f>IF(VLOOKUP($C32,Purchased!A:Z,13,0)=0, " ", VLOOKUP($C32,Purchased!A:Z,13,0))</f>
        <v xml:space="preserve"> </v>
      </c>
      <c r="I32" s="328"/>
      <c r="J32" s="46">
        <f>IF(VLOOKUP($C32,Purchased!A:Z,14,0)=0, " ", VLOOKUP($C32,Purchased!A:Z,14,0))</f>
        <v>45489</v>
      </c>
      <c r="K32" s="46">
        <f>IF(VLOOKUP(C32,Purchased!A:R,14,0)=0, " ", VLOOKUP(C32,Purchased!A:R,14,0))</f>
        <v>45489</v>
      </c>
      <c r="L32" s="46">
        <f>IF(VLOOKUP(C32,Purchased!A:R,15,0)=0, " ", VLOOKUP(C32,Purchased!A:R,15,0))</f>
        <v>45491</v>
      </c>
      <c r="M32" s="46">
        <f>IF(VLOOKUP(C32,Purchased!A:R,16,0)=0, " ",VLOOKUP(C32,Purchased!A:R,16,0))</f>
        <v>45520</v>
      </c>
      <c r="N32" s="130">
        <f>IF(VLOOKUP(C32,Purchased!A:R,17,0)=0, " ", VLOOKUP(C32,Purchased!A:R,17,0))</f>
        <v>45511</v>
      </c>
      <c r="O32" s="47">
        <f t="shared" ca="1" si="8"/>
        <v>1</v>
      </c>
      <c r="P32" s="51">
        <f>VLOOKUP(C32,Purchased!A:D,3,FALSE)</f>
        <v>1.84</v>
      </c>
      <c r="Q32" s="52">
        <f t="shared" si="9"/>
        <v>1.84</v>
      </c>
    </row>
    <row r="33" spans="1:17" s="2" customFormat="1" ht="12" customHeight="1" x14ac:dyDescent="0.25">
      <c r="A33" s="4">
        <v>319</v>
      </c>
      <c r="B33" s="2">
        <v>2</v>
      </c>
      <c r="C33" s="135" t="s">
        <v>528</v>
      </c>
      <c r="D33" s="325" t="str">
        <f>VLOOKUP(C33,Purchased!A:B,2,0)</f>
        <v>BRX 45X90 GREY END CAP</v>
      </c>
      <c r="E33" s="326"/>
      <c r="F33" s="108" t="str">
        <f>IF(VLOOKUP($C33,Purchased!A:Z,11,0) = 0, " ", VLOOKUP($C33,Purchased!A:Z,11,0))</f>
        <v>BRX</v>
      </c>
      <c r="G33" s="108" t="str">
        <f>IF(VLOOKUP($C33,Purchased!A:Z,12,0)=0, " ", VLOOKUP($C33,Purchased!A:Z,12,0))</f>
        <v>AAP</v>
      </c>
      <c r="H33" s="327" t="str">
        <f>IF(VLOOKUP($C33,Purchased!A:Z,13,0)=0, " ", VLOOKUP($C33,Purchased!A:Z,13,0))</f>
        <v xml:space="preserve"> </v>
      </c>
      <c r="I33" s="328"/>
      <c r="J33" s="46" t="str">
        <f>IF(VLOOKUP($C33,Purchased!A:Z,14,0)=0, " ", VLOOKUP($C33,Purchased!A:Z,14,0))</f>
        <v>N/A</v>
      </c>
      <c r="K33" s="46" t="str">
        <f>IF(VLOOKUP(C33,Purchased!A:R,14,0)=0, " ", VLOOKUP(C33,Purchased!A:R,14,0))</f>
        <v>N/A</v>
      </c>
      <c r="L33" s="46">
        <f>IF(VLOOKUP(C33,Purchased!A:R,15,0)=0, " ", VLOOKUP(C33,Purchased!A:R,15,0))</f>
        <v>45524</v>
      </c>
      <c r="M33" s="46">
        <f>IF(VLOOKUP(C33,Purchased!A:R,16,0)=0, " ",VLOOKUP(C33,Purchased!A:R,16,0))</f>
        <v>45547</v>
      </c>
      <c r="N33" s="130" t="str">
        <f>IF(VLOOKUP(C33,Purchased!A:R,17,0)=0, " ", VLOOKUP(C33,Purchased!A:R,17,0))</f>
        <v xml:space="preserve"> </v>
      </c>
      <c r="O33" s="47">
        <f t="shared" ca="1" si="8"/>
        <v>2</v>
      </c>
      <c r="P33" s="51">
        <f>VLOOKUP(C33,Purchased!A:D,3,FALSE)</f>
        <v>2.14</v>
      </c>
      <c r="Q33" s="52">
        <f t="shared" si="9"/>
        <v>4.28</v>
      </c>
    </row>
    <row r="34" spans="1:17" s="2" customFormat="1" ht="12" customHeight="1" x14ac:dyDescent="0.25">
      <c r="A34" s="4">
        <v>320</v>
      </c>
      <c r="B34" s="2">
        <v>2</v>
      </c>
      <c r="C34" s="135">
        <v>3842548758</v>
      </c>
      <c r="D34" s="325" t="str">
        <f>VLOOKUP(C34,Purchased!A:B,2,0)</f>
        <v>BRX 3842548758 Cover Cap 90x90 Grey</v>
      </c>
      <c r="E34" s="326"/>
      <c r="F34" s="108" t="str">
        <f>IF(VLOOKUP($C34,Purchased!A:Z,11,0) = 0, " ", VLOOKUP($C34,Purchased!A:Z,11,0))</f>
        <v>BRX</v>
      </c>
      <c r="G34" s="108" t="str">
        <f>IF(VLOOKUP($C34,Purchased!A:Z,12,0)=0, " ", VLOOKUP($C34,Purchased!A:Z,12,0))</f>
        <v>AAP</v>
      </c>
      <c r="H34" s="327" t="str">
        <f>IF(VLOOKUP($C34,Purchased!A:Z,13,0)=0, " ", VLOOKUP($C34,Purchased!A:Z,13,0))</f>
        <v xml:space="preserve"> </v>
      </c>
      <c r="I34" s="328"/>
      <c r="J34" s="46" t="str">
        <f>IF(VLOOKUP($C34,Purchased!A:Z,14,0)=0, " ", VLOOKUP($C34,Purchased!A:Z,14,0))</f>
        <v>N/A</v>
      </c>
      <c r="K34" s="46" t="str">
        <f>IF(VLOOKUP(C34,Purchased!A:R,14,0)=0, " ", VLOOKUP(C34,Purchased!A:R,14,0))</f>
        <v>N/A</v>
      </c>
      <c r="L34" s="46">
        <f>IF(VLOOKUP(C34,Purchased!A:R,15,0)=0, " ", VLOOKUP(C34,Purchased!A:R,15,0))</f>
        <v>45524</v>
      </c>
      <c r="M34" s="46">
        <f>IF(VLOOKUP(C34,Purchased!A:R,16,0)=0, " ",VLOOKUP(C34,Purchased!A:R,16,0))</f>
        <v>45547</v>
      </c>
      <c r="N34" s="130" t="str">
        <f>IF(VLOOKUP(C34,Purchased!A:R,17,0)=0, " ", VLOOKUP(C34,Purchased!A:R,17,0))</f>
        <v xml:space="preserve"> </v>
      </c>
      <c r="O34" s="47">
        <f t="shared" ca="1" si="8"/>
        <v>2</v>
      </c>
      <c r="P34" s="51">
        <f>VLOOKUP(C34,Purchased!A:D,3,FALSE)</f>
        <v>2.83</v>
      </c>
      <c r="Q34" s="52">
        <f t="shared" si="9"/>
        <v>5.66</v>
      </c>
    </row>
    <row r="35" spans="1:17" s="2" customFormat="1" ht="12.75" customHeight="1" x14ac:dyDescent="0.25">
      <c r="A35" s="25"/>
      <c r="B35" s="26"/>
      <c r="C35" s="26"/>
      <c r="D35" s="332"/>
      <c r="E35" s="333"/>
      <c r="F35" s="26"/>
      <c r="G35" s="26"/>
      <c r="H35" s="322"/>
      <c r="I35" s="323"/>
      <c r="J35" s="27"/>
      <c r="K35" s="27"/>
      <c r="L35" s="27"/>
      <c r="M35" s="28"/>
      <c r="N35" s="29"/>
      <c r="O35" s="29"/>
      <c r="P35" s="148"/>
      <c r="Q35" s="149"/>
    </row>
    <row r="36" spans="1:17" s="2" customFormat="1" ht="12.75" customHeight="1" x14ac:dyDescent="0.25">
      <c r="A36" s="4">
        <v>501</v>
      </c>
      <c r="B36" s="2">
        <v>16</v>
      </c>
      <c r="C36" s="122" t="s">
        <v>186</v>
      </c>
      <c r="D36" s="325"/>
      <c r="E36" s="326"/>
      <c r="F36" s="108">
        <f>VLOOKUP(C36,Bolts!A:L,5,0)</f>
        <v>0</v>
      </c>
      <c r="G36" s="108">
        <f>VLOOKUP(C36,Bolts!A:L,6,0)</f>
        <v>0</v>
      </c>
      <c r="H36" s="108">
        <f>VLOOKUP(C36,Bolts!A:L,7,0)</f>
        <v>0</v>
      </c>
      <c r="I36" s="109"/>
      <c r="J36" s="46">
        <f>VLOOKUP(C36,Bolts!A:L,8,0)</f>
        <v>0</v>
      </c>
      <c r="K36" s="46">
        <f>VLOOKUP(C36,Bolts!A:L,9,0)</f>
        <v>0</v>
      </c>
      <c r="L36" s="46">
        <f>VLOOKUP(C36,Bolts!A:L,10,0)</f>
        <v>0</v>
      </c>
      <c r="M36" s="46">
        <f>VLOOKUP(C36,Bolts!A:L,11,0)</f>
        <v>0</v>
      </c>
      <c r="N36" s="130">
        <f>VLOOKUP(C36,Bolts!A:L,12,0)</f>
        <v>0</v>
      </c>
      <c r="O36" s="47">
        <f ca="1">B36*$L$2</f>
        <v>16</v>
      </c>
      <c r="P36" s="51">
        <f>VLOOKUP(C36,Bolts!A:B,2,FALSE)</f>
        <v>0</v>
      </c>
      <c r="Q36" s="52">
        <f>B36*P36</f>
        <v>0</v>
      </c>
    </row>
    <row r="37" spans="1:17" s="2" customFormat="1" ht="12.75" customHeight="1" x14ac:dyDescent="0.25">
      <c r="A37" s="4">
        <v>502</v>
      </c>
      <c r="B37" s="2">
        <v>16</v>
      </c>
      <c r="C37" s="122" t="s">
        <v>174</v>
      </c>
      <c r="D37" s="325"/>
      <c r="E37" s="326"/>
      <c r="F37" s="108">
        <f>VLOOKUP(C37,Bolts!A:L,5,0)</f>
        <v>0</v>
      </c>
      <c r="G37" s="108">
        <f>VLOOKUP(C37,Bolts!A:L,6,0)</f>
        <v>0</v>
      </c>
      <c r="H37" s="108">
        <f>VLOOKUP(C37,Bolts!A:L,7,0)</f>
        <v>0</v>
      </c>
      <c r="I37" s="109"/>
      <c r="J37" s="46">
        <f>VLOOKUP(C37,Bolts!A:L,8,0)</f>
        <v>0</v>
      </c>
      <c r="K37" s="46">
        <f>VLOOKUP(C37,Bolts!A:L,9,0)</f>
        <v>0</v>
      </c>
      <c r="L37" s="46">
        <f>VLOOKUP(C37,Bolts!A:L,10,0)</f>
        <v>0</v>
      </c>
      <c r="M37" s="46">
        <f>VLOOKUP(C37,Bolts!A:L,11,0)</f>
        <v>0</v>
      </c>
      <c r="N37" s="130">
        <f>VLOOKUP(C37,Bolts!A:L,12,0)</f>
        <v>0</v>
      </c>
      <c r="O37" s="47">
        <f ca="1">B37*$L$2</f>
        <v>16</v>
      </c>
      <c r="P37" s="51">
        <f>VLOOKUP(C37,Bolts!A:B,2,FALSE)</f>
        <v>0</v>
      </c>
      <c r="Q37" s="52">
        <f>B37*P37</f>
        <v>0</v>
      </c>
    </row>
    <row r="38" spans="1:17" s="2" customFormat="1" ht="12.75" customHeight="1" x14ac:dyDescent="0.25">
      <c r="A38" s="25"/>
      <c r="B38" s="26"/>
      <c r="C38" s="26"/>
      <c r="D38" s="332"/>
      <c r="E38" s="333"/>
      <c r="F38" s="26"/>
      <c r="G38" s="26"/>
      <c r="H38" s="322"/>
      <c r="I38" s="323"/>
      <c r="J38" s="27"/>
      <c r="K38" s="27"/>
      <c r="L38" s="27"/>
      <c r="M38" s="28"/>
      <c r="N38" s="29"/>
      <c r="O38" s="29"/>
      <c r="P38" s="148"/>
      <c r="Q38" s="149"/>
    </row>
    <row r="39" spans="1:17" s="2" customFormat="1" ht="12.75" customHeight="1" x14ac:dyDescent="0.25">
      <c r="A39" s="4">
        <v>701</v>
      </c>
      <c r="B39" s="2">
        <v>6</v>
      </c>
      <c r="C39" s="123" t="s">
        <v>1114</v>
      </c>
      <c r="D39" s="325" t="str">
        <f>VLOOKUP(C39,Extrusion!B:C,2,0)</f>
        <v>APPROVED EL 8/1</v>
      </c>
      <c r="E39" s="326"/>
      <c r="F39" s="108" t="str">
        <f ca="1">VLOOKUP(C39,Extrusion!B:N,5,0)</f>
        <v/>
      </c>
      <c r="G39" s="108">
        <f>VLOOKUP(C39,Extrusion!B:N,6,0)</f>
        <v>1</v>
      </c>
      <c r="H39" s="108">
        <f>VLOOKUP(C39,Extrusion!B:N,7,0)</f>
        <v>0</v>
      </c>
      <c r="I39" s="109"/>
      <c r="J39" s="46" t="str">
        <f>VLOOKUP(C39,Extrusion!B:N,8,0)</f>
        <v>T-Slots</v>
      </c>
      <c r="K39" s="46">
        <f>VLOOKUP(C39,Extrusion!B:N,9,0)</f>
        <v>0</v>
      </c>
      <c r="L39" s="46">
        <f>VLOOKUP(C39,Extrusion!B:N,10,0)</f>
        <v>0</v>
      </c>
      <c r="M39" s="46">
        <f>VLOOKUP(C39,Extrusion!B:N,11,0)</f>
        <v>0</v>
      </c>
      <c r="N39" s="47">
        <f>VLOOKUP(C39,Extrusion!B:O,12,0)</f>
        <v>0</v>
      </c>
      <c r="O39" s="47">
        <f t="shared" ref="O39:O41" ca="1" si="10">B39*$L$2</f>
        <v>6</v>
      </c>
      <c r="P39" s="51">
        <f>VLOOKUP(C39,Extrusion!B:G,4,0)</f>
        <v>6</v>
      </c>
      <c r="Q39" s="52">
        <f t="shared" ref="Q39:Q45" si="11">B39*P39</f>
        <v>36</v>
      </c>
    </row>
    <row r="40" spans="1:17" s="2" customFormat="1" ht="12.75" customHeight="1" x14ac:dyDescent="0.25">
      <c r="A40" s="4">
        <v>702</v>
      </c>
      <c r="B40" s="2">
        <v>2</v>
      </c>
      <c r="C40" s="123" t="s">
        <v>1115</v>
      </c>
      <c r="D40" s="325" t="str">
        <f>VLOOKUP(C40,Extrusion!B:C,2,0)</f>
        <v>APPROVED EL 8/1</v>
      </c>
      <c r="E40" s="326"/>
      <c r="F40" s="108" t="str">
        <f ca="1">VLOOKUP(C40,Extrusion!B:N,5,0)</f>
        <v/>
      </c>
      <c r="G40" s="108">
        <f>VLOOKUP(C40,Extrusion!B:N,6,0)</f>
        <v>1</v>
      </c>
      <c r="H40" s="108">
        <f>VLOOKUP(C40,Extrusion!B:N,7,0)</f>
        <v>0</v>
      </c>
      <c r="I40" s="109"/>
      <c r="J40" s="46" t="str">
        <f>VLOOKUP(C40,Extrusion!B:N,8,0)</f>
        <v>T-Slots</v>
      </c>
      <c r="K40" s="46">
        <f>VLOOKUP(C40,Extrusion!B:N,9,0)</f>
        <v>0</v>
      </c>
      <c r="L40" s="46">
        <f>VLOOKUP(C40,Extrusion!B:N,10,0)</f>
        <v>0</v>
      </c>
      <c r="M40" s="46">
        <f>VLOOKUP(C40,Extrusion!B:N,11,0)</f>
        <v>0</v>
      </c>
      <c r="N40" s="47">
        <f>VLOOKUP(C40,Extrusion!B:O,12,0)</f>
        <v>0</v>
      </c>
      <c r="O40" s="47">
        <f t="shared" ca="1" si="10"/>
        <v>2</v>
      </c>
      <c r="P40" s="51">
        <f>VLOOKUP(C40,Extrusion!B:G,4,0)</f>
        <v>2</v>
      </c>
      <c r="Q40" s="52">
        <f t="shared" si="11"/>
        <v>4</v>
      </c>
    </row>
    <row r="41" spans="1:17" s="2" customFormat="1" ht="12.75" customHeight="1" x14ac:dyDescent="0.25">
      <c r="A41" s="4">
        <v>703</v>
      </c>
      <c r="B41" s="2">
        <v>4</v>
      </c>
      <c r="C41" s="123" t="s">
        <v>538</v>
      </c>
      <c r="D41" s="325" t="str">
        <f>VLOOKUP(C41,Extrusion!B:C,2,0)</f>
        <v>APPROVED EL 8/1</v>
      </c>
      <c r="E41" s="326"/>
      <c r="F41" s="108" t="str">
        <f ca="1">VLOOKUP(C41,Extrusion!B:N,5,0)</f>
        <v/>
      </c>
      <c r="G41" s="108">
        <f>VLOOKUP(C41,Extrusion!B:N,6,0)</f>
        <v>1</v>
      </c>
      <c r="H41" s="108">
        <f>VLOOKUP(C41,Extrusion!B:N,7,0)</f>
        <v>0</v>
      </c>
      <c r="I41" s="109"/>
      <c r="J41" s="46" t="str">
        <f>VLOOKUP(C41,Extrusion!B:N,8,0)</f>
        <v>T-Slots</v>
      </c>
      <c r="K41" s="46">
        <f>VLOOKUP(C41,Extrusion!B:N,9,0)</f>
        <v>0</v>
      </c>
      <c r="L41" s="46">
        <f>VLOOKUP(C41,Extrusion!B:N,10,0)</f>
        <v>0</v>
      </c>
      <c r="M41" s="46">
        <f>VLOOKUP(C41,Extrusion!B:N,11,0)</f>
        <v>0</v>
      </c>
      <c r="N41" s="47">
        <f>VLOOKUP(C41,Extrusion!B:O,12,0)</f>
        <v>0</v>
      </c>
      <c r="O41" s="47">
        <f t="shared" ca="1" si="10"/>
        <v>4</v>
      </c>
      <c r="P41" s="51">
        <f>VLOOKUP(C41,Extrusion!B:G,4,0)</f>
        <v>8</v>
      </c>
      <c r="Q41" s="52">
        <f t="shared" si="11"/>
        <v>32</v>
      </c>
    </row>
    <row r="42" spans="1:17" s="2" customFormat="1" ht="12.75" customHeight="1" x14ac:dyDescent="0.25">
      <c r="A42" s="4">
        <v>704</v>
      </c>
      <c r="B42" s="2">
        <v>4</v>
      </c>
      <c r="C42" s="123" t="s">
        <v>1116</v>
      </c>
      <c r="D42" s="325" t="str">
        <f>VLOOKUP(C42,Extrusion!B:C,2,0)</f>
        <v>APPROVED EL 8/1</v>
      </c>
      <c r="E42" s="326"/>
      <c r="F42" s="108" t="str">
        <f ca="1">VLOOKUP(C42,Extrusion!B:N,5,0)</f>
        <v/>
      </c>
      <c r="G42" s="108">
        <f>VLOOKUP(C42,Extrusion!B:N,6,0)</f>
        <v>1</v>
      </c>
      <c r="H42" s="108">
        <f>VLOOKUP(C42,Extrusion!B:N,7,0)</f>
        <v>0</v>
      </c>
      <c r="I42" s="109"/>
      <c r="J42" s="46" t="str">
        <f>VLOOKUP(C42,Extrusion!B:N,8,0)</f>
        <v>T-Slots</v>
      </c>
      <c r="K42" s="46">
        <f>VLOOKUP(C42,Extrusion!B:N,9,0)</f>
        <v>0</v>
      </c>
      <c r="L42" s="46">
        <f>VLOOKUP(C42,Extrusion!B:N,10,0)</f>
        <v>0</v>
      </c>
      <c r="M42" s="46">
        <f>VLOOKUP(C42,Extrusion!B:N,11,0)</f>
        <v>0</v>
      </c>
      <c r="N42" s="47">
        <f>VLOOKUP(C42,Extrusion!B:O,12,0)</f>
        <v>0</v>
      </c>
      <c r="O42" s="47">
        <f t="shared" ref="O42:O45" ca="1" si="12">B42*$L$2</f>
        <v>4</v>
      </c>
      <c r="P42" s="51">
        <f>VLOOKUP(C42,Extrusion!B:G,4,0)</f>
        <v>4</v>
      </c>
      <c r="Q42" s="52">
        <f t="shared" si="11"/>
        <v>16</v>
      </c>
    </row>
    <row r="43" spans="1:17" s="2" customFormat="1" ht="12.75" customHeight="1" x14ac:dyDescent="0.25">
      <c r="A43" s="4">
        <v>705</v>
      </c>
      <c r="B43" s="2">
        <v>4</v>
      </c>
      <c r="C43" s="123" t="s">
        <v>1117</v>
      </c>
      <c r="D43" s="325" t="str">
        <f>VLOOKUP(C43,Extrusion!B:C,2,0)</f>
        <v>APPROVED EL 8/1</v>
      </c>
      <c r="E43" s="326"/>
      <c r="F43" s="108" t="str">
        <f ca="1">VLOOKUP(C43,Extrusion!B:N,5,0)</f>
        <v/>
      </c>
      <c r="G43" s="108">
        <f>VLOOKUP(C43,Extrusion!B:N,6,0)</f>
        <v>1</v>
      </c>
      <c r="H43" s="108">
        <f>VLOOKUP(C43,Extrusion!B:N,7,0)</f>
        <v>0</v>
      </c>
      <c r="I43" s="109"/>
      <c r="J43" s="46" t="str">
        <f>VLOOKUP(C43,Extrusion!B:N,8,0)</f>
        <v>T-Slots</v>
      </c>
      <c r="K43" s="46">
        <f>VLOOKUP(C43,Extrusion!B:N,9,0)</f>
        <v>0</v>
      </c>
      <c r="L43" s="46">
        <f>VLOOKUP(C43,Extrusion!B:N,10,0)</f>
        <v>0</v>
      </c>
      <c r="M43" s="46">
        <f>VLOOKUP(C43,Extrusion!B:N,11,0)</f>
        <v>0</v>
      </c>
      <c r="N43" s="47">
        <f>VLOOKUP(C43,Extrusion!B:O,12,0)</f>
        <v>0</v>
      </c>
      <c r="O43" s="47">
        <f t="shared" ca="1" si="12"/>
        <v>4</v>
      </c>
      <c r="P43" s="51">
        <f>VLOOKUP(C43,Extrusion!B:G,4,0)</f>
        <v>4</v>
      </c>
      <c r="Q43" s="52">
        <f t="shared" si="11"/>
        <v>16</v>
      </c>
    </row>
    <row r="44" spans="1:17" s="2" customFormat="1" ht="12.75" customHeight="1" x14ac:dyDescent="0.25">
      <c r="A44" s="4">
        <v>706</v>
      </c>
      <c r="B44" s="2">
        <v>2</v>
      </c>
      <c r="C44" s="123" t="s">
        <v>1118</v>
      </c>
      <c r="D44" s="325" t="str">
        <f>VLOOKUP(C44,Extrusion!B:C,2,0)</f>
        <v>APPROVED EL 8/1</v>
      </c>
      <c r="E44" s="326"/>
      <c r="F44" s="108" t="str">
        <f ca="1">VLOOKUP(C44,Extrusion!B:N,5,0)</f>
        <v/>
      </c>
      <c r="G44" s="108">
        <f>VLOOKUP(C44,Extrusion!B:N,6,0)</f>
        <v>1</v>
      </c>
      <c r="H44" s="108">
        <f>VLOOKUP(C44,Extrusion!B:N,7,0)</f>
        <v>0</v>
      </c>
      <c r="I44" s="109"/>
      <c r="J44" s="46" t="str">
        <f>VLOOKUP(C44,Extrusion!B:N,8,0)</f>
        <v>T-Slots</v>
      </c>
      <c r="K44" s="46">
        <f>VLOOKUP(C44,Extrusion!B:N,9,0)</f>
        <v>0</v>
      </c>
      <c r="L44" s="46">
        <f>VLOOKUP(C44,Extrusion!B:N,10,0)</f>
        <v>0</v>
      </c>
      <c r="M44" s="46">
        <f>VLOOKUP(C44,Extrusion!B:N,11,0)</f>
        <v>0</v>
      </c>
      <c r="N44" s="47">
        <f>VLOOKUP(C44,Extrusion!B:O,12,0)</f>
        <v>0</v>
      </c>
      <c r="O44" s="47">
        <f t="shared" ref="O44" ca="1" si="13">B44*$L$2</f>
        <v>2</v>
      </c>
      <c r="P44" s="51">
        <f>VLOOKUP(C44,Extrusion!B:G,4,0)</f>
        <v>2</v>
      </c>
      <c r="Q44" s="52">
        <f t="shared" si="11"/>
        <v>4</v>
      </c>
    </row>
    <row r="45" spans="1:17" s="2" customFormat="1" ht="12.75" customHeight="1" x14ac:dyDescent="0.25">
      <c r="A45" s="4">
        <v>707</v>
      </c>
      <c r="B45" s="2">
        <v>2</v>
      </c>
      <c r="C45" s="123" t="s">
        <v>1119</v>
      </c>
      <c r="D45" s="325" t="str">
        <f>VLOOKUP(C45,Extrusion!B:C,2,0)</f>
        <v>APPROVED EL 8/1</v>
      </c>
      <c r="E45" s="326"/>
      <c r="F45" s="108" t="str">
        <f ca="1">VLOOKUP(C45,Extrusion!B:N,5,0)</f>
        <v/>
      </c>
      <c r="G45" s="108">
        <f>VLOOKUP(C45,Extrusion!B:N,6,0)</f>
        <v>1</v>
      </c>
      <c r="H45" s="108">
        <f>VLOOKUP(C45,Extrusion!B:N,7,0)</f>
        <v>0</v>
      </c>
      <c r="I45" s="109"/>
      <c r="J45" s="46" t="str">
        <f>VLOOKUP(C45,Extrusion!B:N,8,0)</f>
        <v>T-Slots</v>
      </c>
      <c r="K45" s="46">
        <f>VLOOKUP(C45,Extrusion!B:N,9,0)</f>
        <v>0</v>
      </c>
      <c r="L45" s="46">
        <f>VLOOKUP(C45,Extrusion!B:N,10,0)</f>
        <v>0</v>
      </c>
      <c r="M45" s="46">
        <f>VLOOKUP(C45,Extrusion!B:N,11,0)</f>
        <v>0</v>
      </c>
      <c r="N45" s="47">
        <f>VLOOKUP(C45,Extrusion!B:O,12,0)</f>
        <v>0</v>
      </c>
      <c r="O45" s="47">
        <f t="shared" ca="1" si="12"/>
        <v>2</v>
      </c>
      <c r="P45" s="51">
        <f>VLOOKUP(C45,Extrusion!B:G,4,0)</f>
        <v>2</v>
      </c>
      <c r="Q45" s="52">
        <f t="shared" si="11"/>
        <v>4</v>
      </c>
    </row>
    <row r="46" spans="1:17" s="2" customFormat="1" ht="12.75" customHeight="1" x14ac:dyDescent="0.25">
      <c r="A46" s="4">
        <v>708</v>
      </c>
      <c r="B46" s="2">
        <v>2</v>
      </c>
      <c r="C46" s="123" t="s">
        <v>1120</v>
      </c>
      <c r="D46" s="325" t="str">
        <f>VLOOKUP(C46,Extrusion!B:C,2,0)</f>
        <v>APPROVED EL 8/1</v>
      </c>
      <c r="E46" s="326"/>
      <c r="F46" s="108" t="str">
        <f ca="1">VLOOKUP(C46,Extrusion!B:N,5,0)</f>
        <v/>
      </c>
      <c r="G46" s="108">
        <f>VLOOKUP(C46,Extrusion!B:N,6,0)</f>
        <v>1</v>
      </c>
      <c r="H46" s="108">
        <f>VLOOKUP(C46,Extrusion!B:N,7,0)</f>
        <v>0</v>
      </c>
      <c r="I46" s="109"/>
      <c r="J46" s="46" t="str">
        <f>VLOOKUP(C46,Extrusion!B:N,8,0)</f>
        <v>T-Slots</v>
      </c>
      <c r="K46" s="46">
        <f>VLOOKUP(C46,Extrusion!B:N,9,0)</f>
        <v>0</v>
      </c>
      <c r="L46" s="46">
        <f>VLOOKUP(C46,Extrusion!B:N,10,0)</f>
        <v>0</v>
      </c>
      <c r="M46" s="46">
        <f>VLOOKUP(C46,Extrusion!B:N,11,0)</f>
        <v>0</v>
      </c>
      <c r="N46" s="47">
        <f>VLOOKUP(C46,Extrusion!B:O,12,0)</f>
        <v>0</v>
      </c>
      <c r="O46" s="47">
        <f t="shared" ref="O46" ca="1" si="14">B46*$L$2</f>
        <v>2</v>
      </c>
      <c r="P46" s="51">
        <f>VLOOKUP(C46,Extrusion!B:G,4,0)</f>
        <v>2</v>
      </c>
      <c r="Q46" s="52">
        <f t="shared" ref="Q46" si="15">B46*P46</f>
        <v>4</v>
      </c>
    </row>
    <row r="47" spans="1:17" s="2" customFormat="1" ht="12.75" customHeight="1" thickBot="1" x14ac:dyDescent="0.3">
      <c r="A47" s="4">
        <v>709</v>
      </c>
      <c r="B47" s="2">
        <v>1</v>
      </c>
      <c r="C47" s="123" t="s">
        <v>1121</v>
      </c>
      <c r="D47" s="325" t="str">
        <f>VLOOKUP(C47,Extrusion!B:C,2,0)</f>
        <v>APPROVED EL 8/1</v>
      </c>
      <c r="E47" s="326"/>
      <c r="F47" s="108" t="str">
        <f ca="1">VLOOKUP(C47,Extrusion!B:N,5,0)</f>
        <v/>
      </c>
      <c r="G47" s="108">
        <f>VLOOKUP(C47,Extrusion!B:N,6,0)</f>
        <v>1</v>
      </c>
      <c r="H47" s="108">
        <f>VLOOKUP(C47,Extrusion!B:N,7,0)</f>
        <v>0</v>
      </c>
      <c r="I47" s="109"/>
      <c r="J47" s="46" t="str">
        <f>VLOOKUP(C47,Extrusion!B:N,8,0)</f>
        <v>T-Slots</v>
      </c>
      <c r="K47" s="46">
        <f>VLOOKUP(C47,Extrusion!B:N,9,0)</f>
        <v>0</v>
      </c>
      <c r="L47" s="46">
        <f>VLOOKUP(C47,Extrusion!B:N,10,0)</f>
        <v>0</v>
      </c>
      <c r="M47" s="46">
        <f>VLOOKUP(C47,Extrusion!B:N,11,0)</f>
        <v>0</v>
      </c>
      <c r="N47" s="47">
        <f>VLOOKUP(C47,Extrusion!B:O,12,0)</f>
        <v>0</v>
      </c>
      <c r="O47" s="47">
        <f t="shared" ref="O47" ca="1" si="16">B47*$L$2</f>
        <v>1</v>
      </c>
      <c r="P47" s="51">
        <f>VLOOKUP(C47,Extrusion!B:G,4,0)</f>
        <v>1</v>
      </c>
      <c r="Q47" s="52">
        <f t="shared" ref="Q47" si="17">B47*P47</f>
        <v>1</v>
      </c>
    </row>
    <row r="48" spans="1:17" s="2" customFormat="1" ht="12" customHeight="1" thickBot="1" x14ac:dyDescent="0.25">
      <c r="A48" s="34"/>
      <c r="B48" s="35"/>
      <c r="C48" s="35"/>
      <c r="D48" s="316"/>
      <c r="E48" s="354"/>
      <c r="F48" s="35"/>
      <c r="G48" s="35"/>
      <c r="H48" s="309"/>
      <c r="I48" s="309"/>
      <c r="J48" s="36"/>
      <c r="K48" s="36"/>
      <c r="L48" s="36"/>
      <c r="M48" s="37"/>
      <c r="N48" s="132"/>
      <c r="O48" s="38"/>
      <c r="P48" s="99" t="s">
        <v>43</v>
      </c>
      <c r="Q48" s="104">
        <f>SUM(Q5:Q45)</f>
        <v>15078.061999999994</v>
      </c>
    </row>
    <row r="49" spans="4:17" s="2" customFormat="1" ht="12" customHeight="1" x14ac:dyDescent="0.2">
      <c r="D49" s="21"/>
      <c r="E49" s="21"/>
      <c r="J49" s="8"/>
      <c r="K49" s="8"/>
      <c r="L49" s="8"/>
      <c r="M49" s="8"/>
      <c r="N49" s="131"/>
      <c r="O49" s="5"/>
      <c r="P49" s="98"/>
      <c r="Q49" s="105"/>
    </row>
  </sheetData>
  <sheetProtection selectLockedCells="1"/>
  <mergeCells count="80">
    <mergeCell ref="D46:E46"/>
    <mergeCell ref="D33:E33"/>
    <mergeCell ref="H33:I33"/>
    <mergeCell ref="D47:E47"/>
    <mergeCell ref="D34:E34"/>
    <mergeCell ref="H34:I34"/>
    <mergeCell ref="D43:E43"/>
    <mergeCell ref="D45:E45"/>
    <mergeCell ref="D37:E37"/>
    <mergeCell ref="D38:E38"/>
    <mergeCell ref="D42:E42"/>
    <mergeCell ref="D44:E44"/>
    <mergeCell ref="D11:E11"/>
    <mergeCell ref="H11:I11"/>
    <mergeCell ref="D12:E12"/>
    <mergeCell ref="H12:I12"/>
    <mergeCell ref="D13:E13"/>
    <mergeCell ref="H13:I13"/>
    <mergeCell ref="H17:I17"/>
    <mergeCell ref="H35:I35"/>
    <mergeCell ref="H38:I38"/>
    <mergeCell ref="D16:E16"/>
    <mergeCell ref="H16:I16"/>
    <mergeCell ref="D17:E17"/>
    <mergeCell ref="D35:E35"/>
    <mergeCell ref="D36:E36"/>
    <mergeCell ref="D18:E18"/>
    <mergeCell ref="H18:I18"/>
    <mergeCell ref="D19:E19"/>
    <mergeCell ref="H19:I19"/>
    <mergeCell ref="D20:E20"/>
    <mergeCell ref="H20:I20"/>
    <mergeCell ref="D21:E21"/>
    <mergeCell ref="H21:I21"/>
    <mergeCell ref="D22:E22"/>
    <mergeCell ref="H22:I22"/>
    <mergeCell ref="D23:E23"/>
    <mergeCell ref="H24:I24"/>
    <mergeCell ref="D25:E25"/>
    <mergeCell ref="D1:E1"/>
    <mergeCell ref="D4:E4"/>
    <mergeCell ref="H4:I4"/>
    <mergeCell ref="D9:E9"/>
    <mergeCell ref="H9:I9"/>
    <mergeCell ref="D5:E5"/>
    <mergeCell ref="H5:I5"/>
    <mergeCell ref="D7:E7"/>
    <mergeCell ref="H7:I7"/>
    <mergeCell ref="D8:E8"/>
    <mergeCell ref="H8:I8"/>
    <mergeCell ref="D48:E48"/>
    <mergeCell ref="H48:I48"/>
    <mergeCell ref="D6:E6"/>
    <mergeCell ref="H6:I6"/>
    <mergeCell ref="D10:E10"/>
    <mergeCell ref="H10:I10"/>
    <mergeCell ref="D39:E39"/>
    <mergeCell ref="D40:E40"/>
    <mergeCell ref="D41:E41"/>
    <mergeCell ref="D14:E14"/>
    <mergeCell ref="H14:I14"/>
    <mergeCell ref="D15:E15"/>
    <mergeCell ref="H15:I15"/>
    <mergeCell ref="H23:I23"/>
    <mergeCell ref="D24:E24"/>
    <mergeCell ref="H25:I25"/>
    <mergeCell ref="D31:E31"/>
    <mergeCell ref="H31:I31"/>
    <mergeCell ref="D32:E32"/>
    <mergeCell ref="H32:I32"/>
    <mergeCell ref="D26:E26"/>
    <mergeCell ref="H26:I26"/>
    <mergeCell ref="D27:E27"/>
    <mergeCell ref="H27:I27"/>
    <mergeCell ref="D28:E28"/>
    <mergeCell ref="H28:I28"/>
    <mergeCell ref="D29:E29"/>
    <mergeCell ref="H29:I29"/>
    <mergeCell ref="D30:E30"/>
    <mergeCell ref="H30:I30"/>
  </mergeCells>
  <conditionalFormatting sqref="M10">
    <cfRule type="cellIs" dxfId="810" priority="45" stopIfTrue="1" operator="lessThanOrEqual">
      <formula>$L10</formula>
    </cfRule>
    <cfRule type="cellIs" dxfId="809" priority="46" operator="greaterThan">
      <formula>L10</formula>
    </cfRule>
  </conditionalFormatting>
  <conditionalFormatting sqref="M14 M35:M47">
    <cfRule type="cellIs" dxfId="808" priority="41" stopIfTrue="1" operator="lessThanOrEqual">
      <formula>$L14</formula>
    </cfRule>
    <cfRule type="cellIs" dxfId="807" priority="42" operator="greaterThan">
      <formula>L14</formula>
    </cfRule>
  </conditionalFormatting>
  <conditionalFormatting sqref="M15">
    <cfRule type="cellIs" dxfId="806" priority="39" stopIfTrue="1" operator="lessThanOrEqual">
      <formula>$L15</formula>
    </cfRule>
    <cfRule type="cellIs" dxfId="805" priority="40" operator="greaterThan">
      <formula>L15</formula>
    </cfRule>
  </conditionalFormatting>
  <conditionalFormatting sqref="M16:M34">
    <cfRule type="cellIs" dxfId="804" priority="1" stopIfTrue="1" operator="lessThanOrEqual">
      <formula>$L16</formula>
    </cfRule>
    <cfRule type="cellIs" dxfId="803" priority="2" operator="greaterThan">
      <formula>L16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693FFB3-6D40-43FA-A2F0-26678AA29535}">
          <x14:formula1>
            <xm:f>Extrusion!$B:$B</xm:f>
          </x14:formula1>
          <xm:sqref>C39:C47</xm:sqref>
        </x14:dataValidation>
        <x14:dataValidation type="list" allowBlank="1" showInputMessage="1" showErrorMessage="1" xr:uid="{C548A2BE-FB8F-4CD8-BDCC-D469982CA3D3}">
          <x14:formula1>
            <xm:f>Bolts!$A:$A</xm:f>
          </x14:formula1>
          <xm:sqref>C36:C37</xm:sqref>
        </x14:dataValidation>
        <x14:dataValidation type="list" allowBlank="1" showInputMessage="1" showErrorMessage="1" xr:uid="{837C5F62-BA12-495D-841C-83EB4C16365D}">
          <x14:formula1>
            <xm:f>Assemblies!$E:$E</xm:f>
          </x14:formula1>
          <xm:sqref>C5:C9</xm:sqref>
        </x14:dataValidation>
        <x14:dataValidation type="list" allowBlank="1" showInputMessage="1" showErrorMessage="1" xr:uid="{61BCEED9-14AC-4988-BC3D-1C4D2EE115F9}">
          <x14:formula1>
            <xm:f>Machined!$C:$C</xm:f>
          </x14:formula1>
          <xm:sqref>C11:C13</xm:sqref>
        </x14:dataValidation>
        <x14:dataValidation type="list" allowBlank="1" showInputMessage="1" showErrorMessage="1" xr:uid="{00604F01-00D2-4542-933B-36BFA953A6C2}">
          <x14:formula1>
            <xm:f>Purchased!$A:$A</xm:f>
          </x14:formula1>
          <xm:sqref>C15:C34</xm:sqref>
        </x14:dataValidation>
      </x14:dataValidations>
    </ext>
  </extLst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997DF-8AB8-49C7-AA15-C5F43214ADC6}">
  <sheetPr codeName="Sheet166">
    <tabColor theme="6" tint="0.59999389629810485"/>
  </sheetPr>
  <dimension ref="A1:Q19"/>
  <sheetViews>
    <sheetView zoomScale="115" zoomScaleNormal="115" workbookViewId="0">
      <selection activeCell="C6" sqref="C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'7.1'!C5</f>
        <v>PG10.7.1.1.0.A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'7.1'!D5</f>
        <v>HANDWHEEL ASSY, SIDE SEAL</v>
      </c>
      <c r="D3" s="85" t="s">
        <v>50</v>
      </c>
      <c r="E3" s="86" t="str">
        <f ca="1">MID(CELL("filename",A1),FIND("]",CELL("filename",A1))+1,256)</f>
        <v>7.1.1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1122</v>
      </c>
      <c r="D5" s="314" t="str">
        <f>VLOOKUP(C5,Machined!C:X,2,0)</f>
        <v>HANDWHEEL PLATE, 12MM TO 
14MM, SIDE SEAL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45462</v>
      </c>
      <c r="L5" s="44">
        <f>IF(VLOOKUP($C5,Machined!C:Z,20,0) = 0, " ", VLOOKUP($C5,Machined!C:Z,20,0))</f>
        <v>45492</v>
      </c>
      <c r="M5" s="44">
        <f>IF(VLOOKUP($C5,Machined!C:Z,21,0) = 0, " ", VLOOKUP($C5,Machined!C:Z,21,0))</f>
        <v>45492</v>
      </c>
      <c r="N5" s="129">
        <f>IF(VLOOKUP($C5,Machined!C:Z,22,0) = 0, " ", VLOOKUP($C5,Machined!C:Z,22,0))</f>
        <v>55559</v>
      </c>
      <c r="O5" s="45">
        <f ca="1">B5*$L$2</f>
        <v>1</v>
      </c>
      <c r="P5" s="49">
        <f>VLOOKUP(C5,Machined!C:F,3,0)</f>
        <v>344.5</v>
      </c>
      <c r="Q5" s="50">
        <f>B5*P5</f>
        <v>344.5</v>
      </c>
    </row>
    <row r="6" spans="1:17" s="2" customFormat="1" ht="12.75" customHeight="1" x14ac:dyDescent="0.25">
      <c r="A6" s="77">
        <v>2</v>
      </c>
      <c r="B6" s="20">
        <v>3</v>
      </c>
      <c r="C6" s="121" t="s">
        <v>1123</v>
      </c>
      <c r="D6" s="314" t="str">
        <f>VLOOKUP(C6,Machined!C:X,2,0)</f>
        <v>SIDE SEAL HANDWHEEL SHAFT</v>
      </c>
      <c r="E6" s="329"/>
      <c r="F6" s="107" t="str">
        <f>VLOOKUP($C6,Machined!C:Z,13,0)</f>
        <v>303 TG&amp;P, Round Stock, -0.0005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>Material by Nuline</v>
      </c>
      <c r="I6" s="321" t="str">
        <f>IF(VLOOKUP($C6,Machined!$C:$Y,13,0) = 0, " ", VLOOKUP($C6,Machined!$C:$Y,13,0))</f>
        <v>303 TG&amp;P, Round Stock, -0.0005</v>
      </c>
      <c r="J6" s="44">
        <f>IF(VLOOKUP($C6,Machined!C:Z,18,0) = 0, " ", VLOOKUP($C6,Machined!C:Z,18,0))</f>
        <v>45524</v>
      </c>
      <c r="K6" s="44">
        <f>IF(VLOOKUP($C6,Machined!C:Z,19,0) = 0, " ", VLOOKUP($C6,Machined!C:Z,19,0))</f>
        <v>45527</v>
      </c>
      <c r="L6" s="44">
        <f>IF(VLOOKUP($C6,Machined!C:Z,20,0) = 0, " ", VLOOKUP($C6,Machined!C:Z,20,0))</f>
        <v>45555</v>
      </c>
      <c r="M6" s="44">
        <f>IF(VLOOKUP($C6,Machined!C:Z,21,0) = 0, " ", VLOOKUP($C6,Machined!C:Z,21,0))</f>
        <v>45527</v>
      </c>
      <c r="N6" s="129">
        <f>IF(VLOOKUP($C6,Machined!C:Z,22,0) = 0, " ", VLOOKUP($C6,Machined!C:Z,22,0))</f>
        <v>55699</v>
      </c>
      <c r="O6" s="45">
        <f t="shared" ref="O6:O7" ca="1" si="0">B6*$L$2</f>
        <v>3</v>
      </c>
      <c r="P6" s="49">
        <f>VLOOKUP(C6,Machined!C:F,3,0)</f>
        <v>115.3</v>
      </c>
      <c r="Q6" s="50">
        <f t="shared" ref="Q6:Q7" si="1">B6*P6</f>
        <v>345.9</v>
      </c>
    </row>
    <row r="7" spans="1:17" s="2" customFormat="1" ht="12.75" customHeight="1" x14ac:dyDescent="0.25">
      <c r="A7" s="77" t="s">
        <v>626</v>
      </c>
      <c r="B7" s="20">
        <v>2</v>
      </c>
      <c r="C7" s="121" t="s">
        <v>664</v>
      </c>
      <c r="D7" s="314" t="str">
        <f>VLOOKUP(C7,Machined!C:X,2,0)</f>
        <v>MODIFIED MCM 7758K31 Pushbutton Enclosure</v>
      </c>
      <c r="E7" s="329"/>
      <c r="F7" s="107" t="str">
        <f>VLOOKUP($C7,Machined!C:Z,13,0)</f>
        <v>PURCHASED PART</v>
      </c>
      <c r="G7" s="44" t="str">
        <f>IF(VLOOKUP($C7,Machined!C:Z,16,0) = 0, " ", VLOOKUP($C7,Machined!C:Z,16,0))</f>
        <v xml:space="preserve">Nuline 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PURCHASED PART</v>
      </c>
      <c r="J7" s="44">
        <f>IF(VLOOKUP($C7,Machined!C:Z,18,0) = 0, " ", VLOOKUP($C7,Machined!C:Z,18,0))</f>
        <v>45497</v>
      </c>
      <c r="K7" s="44">
        <f>IF(VLOOKUP($C7,Machined!C:Z,19,0) = 0, " ", VLOOKUP($C7,Machined!C:Z,19,0))</f>
        <v>45497</v>
      </c>
      <c r="L7" s="44">
        <f>IF(VLOOKUP($C7,Machined!C:Z,20,0) = 0, " ", VLOOKUP($C7,Machined!C:Z,20,0))</f>
        <v>45499</v>
      </c>
      <c r="M7" s="44">
        <f>IF(VLOOKUP($C7,Machined!C:Z,21,0) = 0, " ", VLOOKUP($C7,Machined!C:Z,21,0))</f>
        <v>45499</v>
      </c>
      <c r="N7" s="129">
        <f>IF(VLOOKUP($C7,Machined!C:Z,22,0) = 0, " ", VLOOKUP($C7,Machined!C:Z,22,0))</f>
        <v>55640</v>
      </c>
      <c r="O7" s="45">
        <f t="shared" ca="1" si="0"/>
        <v>2</v>
      </c>
      <c r="P7" s="49">
        <f>VLOOKUP(C7,Machined!C:F,3,0)</f>
        <v>36.28</v>
      </c>
      <c r="Q7" s="50">
        <f t="shared" si="1"/>
        <v>72.56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4">
        <v>301</v>
      </c>
      <c r="B9" s="2">
        <v>3</v>
      </c>
      <c r="C9" s="135" t="s">
        <v>172</v>
      </c>
      <c r="D9" s="325" t="str">
        <f>VLOOKUP(C9,Purchased!A:B,2,0)</f>
        <v>BRX GOTO T-NUT 10 M6</v>
      </c>
      <c r="E9" s="326"/>
      <c r="F9" s="108" t="str">
        <f>IF(VLOOKUP($C9,Purchased!A:Z,11,0) = 0, " ", VLOOKUP($C9,Purchased!A:Z,11,0))</f>
        <v>BRX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45463</v>
      </c>
      <c r="K9" s="46">
        <f>IF(VLOOKUP(C9,Purchased!A:R,14,0)=0, " ", VLOOKUP(C9,Purchased!A:R,14,0))</f>
        <v>45463</v>
      </c>
      <c r="L9" s="46">
        <f>IF(VLOOKUP(C9,Purchased!A:R,15,0)=0, " ", VLOOKUP(C9,Purchased!A:R,15,0))</f>
        <v>45463</v>
      </c>
      <c r="M9" s="46">
        <f>IF(VLOOKUP(C9,Purchased!A:R,16,0)=0, " ",VLOOKUP(C9,Purchased!A:R,16,0))</f>
        <v>45481</v>
      </c>
      <c r="N9" s="130">
        <f>IF(VLOOKUP(C9,Purchased!A:R,17,0)=0, " ", VLOOKUP(C9,Purchased!A:R,17,0))</f>
        <v>45481</v>
      </c>
      <c r="O9" s="47">
        <f t="shared" ref="O9:O14" ca="1" si="2">B9*$L$2</f>
        <v>3</v>
      </c>
      <c r="P9" s="51">
        <f>VLOOKUP(C9,Purchased!A:D,3,FALSE)</f>
        <v>0.56000000000000005</v>
      </c>
      <c r="Q9" s="52">
        <f t="shared" ref="Q9:Q14" si="3">B9*P9</f>
        <v>1.6800000000000002</v>
      </c>
    </row>
    <row r="10" spans="1:17" s="2" customFormat="1" ht="12.75" customHeight="1" x14ac:dyDescent="0.25">
      <c r="A10" s="4">
        <v>302</v>
      </c>
      <c r="B10" s="2">
        <v>3</v>
      </c>
      <c r="C10" s="135" t="s">
        <v>501</v>
      </c>
      <c r="D10" s="325" t="str">
        <f>VLOOKUP(C10,Purchased!A:B,2,0)</f>
        <v>Digital Position Indicator DD51-E-SST-IP65-C2</v>
      </c>
      <c r="E10" s="326"/>
      <c r="F10" s="108" t="str">
        <f>IF(VLOOKUP($C10,Purchased!A:Z,11,0) = 0, " ", VLOOKUP($C10,Purchased!A:Z,11,0))</f>
        <v>ELESA</v>
      </c>
      <c r="G10" s="108" t="str">
        <f>IF(VLOOKUP($C10,Purchased!A:Z,12,0)=0, " ", VLOOKUP($C10,Purchased!A:Z,12,0))</f>
        <v>ELESA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45506</v>
      </c>
      <c r="K10" s="46">
        <f>IF(VLOOKUP(C10,Purchased!A:R,14,0)=0, " ", VLOOKUP(C10,Purchased!A:R,14,0))</f>
        <v>45506</v>
      </c>
      <c r="L10" s="46">
        <f>IF(VLOOKUP(C10,Purchased!A:R,15,0)=0, " ", VLOOKUP(C10,Purchased!A:R,15,0))</f>
        <v>45526</v>
      </c>
      <c r="M10" s="46">
        <f>IF(VLOOKUP(C10,Purchased!A:R,16,0)=0, " ",VLOOKUP(C10,Purchased!A:R,16,0))</f>
        <v>45551</v>
      </c>
      <c r="N10" s="130">
        <f>IF(VLOOKUP(C10,Purchased!A:R,17,0)=0, " ", VLOOKUP(C10,Purchased!A:R,17,0))</f>
        <v>45551</v>
      </c>
      <c r="O10" s="47">
        <f t="shared" ca="1" si="2"/>
        <v>3</v>
      </c>
      <c r="P10" s="51">
        <f>VLOOKUP(C10,Purchased!A:D,3,FALSE)</f>
        <v>258</v>
      </c>
      <c r="Q10" s="52">
        <f t="shared" si="3"/>
        <v>774</v>
      </c>
    </row>
    <row r="11" spans="1:17" s="2" customFormat="1" ht="12.75" customHeight="1" x14ac:dyDescent="0.25">
      <c r="A11" s="4">
        <v>303</v>
      </c>
      <c r="B11" s="2">
        <v>3</v>
      </c>
      <c r="C11" s="135" t="s">
        <v>500</v>
      </c>
      <c r="D11" s="325" t="str">
        <f>VLOOKUP(C11,Purchased!A:B,2,0)</f>
        <v>Aluminum Handwheel GN 322.3-160-B14-R</v>
      </c>
      <c r="E11" s="326"/>
      <c r="F11" s="108" t="str">
        <f>IF(VLOOKUP($C11,Purchased!A:Z,11,0) = 0, " ", VLOOKUP($C11,Purchased!A:Z,11,0))</f>
        <v>ELESA</v>
      </c>
      <c r="G11" s="108" t="str">
        <f>IF(VLOOKUP($C11,Purchased!A:Z,12,0)=0, " ", VLOOKUP($C11,Purchased!A:Z,12,0))</f>
        <v>ELESA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45506</v>
      </c>
      <c r="K11" s="46">
        <f>IF(VLOOKUP(C11,Purchased!A:R,14,0)=0, " ", VLOOKUP(C11,Purchased!A:R,14,0))</f>
        <v>45506</v>
      </c>
      <c r="L11" s="46">
        <f>IF(VLOOKUP(C11,Purchased!A:R,15,0)=0, " ", VLOOKUP(C11,Purchased!A:R,15,0))</f>
        <v>45526</v>
      </c>
      <c r="M11" s="46">
        <f>IF(VLOOKUP(C11,Purchased!A:R,16,0)=0, " ",VLOOKUP(C11,Purchased!A:R,16,0))</f>
        <v>45551</v>
      </c>
      <c r="N11" s="130">
        <f>IF(VLOOKUP(C11,Purchased!A:R,17,0)=0, " ", VLOOKUP(C11,Purchased!A:R,17,0))</f>
        <v>45551</v>
      </c>
      <c r="O11" s="47">
        <f t="shared" ca="1" si="2"/>
        <v>3</v>
      </c>
      <c r="P11" s="51">
        <f>VLOOKUP(C11,Purchased!A:D,3,FALSE)</f>
        <v>87.05</v>
      </c>
      <c r="Q11" s="52">
        <f t="shared" si="3"/>
        <v>261.14999999999998</v>
      </c>
    </row>
    <row r="12" spans="1:17" s="2" customFormat="1" ht="12.75" customHeight="1" x14ac:dyDescent="0.25">
      <c r="A12" s="4">
        <v>304</v>
      </c>
      <c r="B12" s="2">
        <v>3</v>
      </c>
      <c r="C12" s="135" t="s">
        <v>1124</v>
      </c>
      <c r="D12" s="325" t="str">
        <f>VLOOKUP(C12,Purchased!A:B,2,0)</f>
        <v>12mm ID 24mm OD Ball Bearing</v>
      </c>
      <c r="E12" s="326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45481</v>
      </c>
      <c r="K12" s="46">
        <f>IF(VLOOKUP(C12,Purchased!A:R,14,0)=0, " ", VLOOKUP(C12,Purchased!A:R,14,0))</f>
        <v>45481</v>
      </c>
      <c r="L12" s="46">
        <f>IF(VLOOKUP(C12,Purchased!A:R,15,0)=0, " ", VLOOKUP(C12,Purchased!A:R,15,0))</f>
        <v>45481</v>
      </c>
      <c r="M12" s="46">
        <f>IF(VLOOKUP(C12,Purchased!A:R,16,0)=0, " ",VLOOKUP(C12,Purchased!A:R,16,0))</f>
        <v>45482</v>
      </c>
      <c r="N12" s="130">
        <f>IF(VLOOKUP(C12,Purchased!A:R,17,0)=0, " ", VLOOKUP(C12,Purchased!A:R,17,0))</f>
        <v>45482</v>
      </c>
      <c r="O12" s="47">
        <f t="shared" ca="1" si="2"/>
        <v>3</v>
      </c>
      <c r="P12" s="51">
        <f>VLOOKUP(C12,Purchased!A:D,3,FALSE)</f>
        <v>14.29</v>
      </c>
      <c r="Q12" s="52">
        <f t="shared" si="3"/>
        <v>42.87</v>
      </c>
    </row>
    <row r="13" spans="1:17" s="2" customFormat="1" ht="12.75" customHeight="1" x14ac:dyDescent="0.25">
      <c r="A13" s="4">
        <v>305</v>
      </c>
      <c r="B13" s="2">
        <v>3</v>
      </c>
      <c r="C13" s="135" t="s">
        <v>667</v>
      </c>
      <c r="D13" s="325" t="str">
        <f>VLOOKUP(C13,Purchased!A:B,2,0)</f>
        <v>Pushbutton, Green</v>
      </c>
      <c r="E13" s="326"/>
      <c r="F13" s="108" t="str">
        <f>IF(VLOOKUP($C13,Purchased!A:Z,11,0) = 0, " ", VLOOKUP($C13,Purchased!A:Z,11,0))</f>
        <v>NITRA</v>
      </c>
      <c r="G13" s="108" t="str">
        <f>IF(VLOOKUP($C13,Purchased!A:Z,12,0)=0, " ", VLOOKUP($C13,Purchased!A:Z,12,0))</f>
        <v>AUTO DIRECT</v>
      </c>
      <c r="H13" s="327" t="str">
        <f>IF(VLOOKUP($C13,Purchased!A:Z,13,0)=0, " ", VLOOKUP($C13,Purchased!A:Z,13,0))</f>
        <v xml:space="preserve"> 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 t="str">
        <f>IF(VLOOKUP(C13,Purchased!A:R,15,0)=0, " ", VLOOKUP(C13,Purchased!A:R,15,0))</f>
        <v xml:space="preserve"> </v>
      </c>
      <c r="M13" s="46" t="str">
        <f>IF(VLOOKUP(C13,Purchased!A:R,16,0)=0, " ",VLOOKUP(C13,Purchased!A:R,16,0))</f>
        <v xml:space="preserve"> </v>
      </c>
      <c r="N13" s="130" t="str">
        <f>IF(VLOOKUP(C13,Purchased!A:R,17,0)=0, " ", VLOOKUP(C13,Purchased!A:R,17,0))</f>
        <v xml:space="preserve"> </v>
      </c>
      <c r="O13" s="47">
        <f t="shared" ca="1" si="2"/>
        <v>3</v>
      </c>
      <c r="P13" s="51">
        <f>VLOOKUP(C13,Purchased!A:D,3,FALSE)</f>
        <v>2.75</v>
      </c>
      <c r="Q13" s="52">
        <f t="shared" si="3"/>
        <v>8.25</v>
      </c>
    </row>
    <row r="14" spans="1:17" s="2" customFormat="1" ht="12.75" customHeight="1" x14ac:dyDescent="0.25">
      <c r="A14" s="4">
        <v>306</v>
      </c>
      <c r="B14" s="2">
        <v>3</v>
      </c>
      <c r="C14" s="135" t="s">
        <v>668</v>
      </c>
      <c r="D14" s="325" t="str">
        <f>VLOOKUP(C14,Purchased!A:B,2,0)</f>
        <v>Pneumatic Switch for pushbutton</v>
      </c>
      <c r="E14" s="326"/>
      <c r="F14" s="108" t="str">
        <f>IF(VLOOKUP($C14,Purchased!A:Z,11,0) = 0, " ", VLOOKUP($C14,Purchased!A:Z,11,0))</f>
        <v>NITRA</v>
      </c>
      <c r="G14" s="108" t="str">
        <f>IF(VLOOKUP($C14,Purchased!A:Z,12,0)=0, " ", VLOOKUP($C14,Purchased!A:Z,12,0))</f>
        <v>AUTO DIRECT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 t="str">
        <f>IF(VLOOKUP(C14,Purchased!A:R,15,0)=0, " ", VLOOKUP(C14,Purchased!A:R,15,0))</f>
        <v xml:space="preserve"> </v>
      </c>
      <c r="M14" s="46" t="str">
        <f>IF(VLOOKUP(C14,Purchased!A:R,16,0)=0, " ",VLOOKUP(C14,Purchased!A:R,16,0))</f>
        <v xml:space="preserve"> </v>
      </c>
      <c r="N14" s="130" t="str">
        <f>IF(VLOOKUP(C14,Purchased!A:R,17,0)=0, " ", VLOOKUP(C14,Purchased!A:R,17,0))</f>
        <v xml:space="preserve"> </v>
      </c>
      <c r="O14" s="47">
        <f t="shared" ca="1" si="2"/>
        <v>3</v>
      </c>
      <c r="P14" s="51">
        <f>VLOOKUP(C14,Purchased!A:D,3,FALSE)</f>
        <v>19</v>
      </c>
      <c r="Q14" s="52">
        <f t="shared" si="3"/>
        <v>57</v>
      </c>
    </row>
    <row r="15" spans="1:17" s="2" customFormat="1" ht="12.75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.75" customHeight="1" x14ac:dyDescent="0.25">
      <c r="A16" s="4">
        <v>501</v>
      </c>
      <c r="B16" s="2">
        <v>12</v>
      </c>
      <c r="C16" s="122" t="s">
        <v>506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12</v>
      </c>
      <c r="P16" s="51">
        <f>VLOOKUP(C16,Bolts!A:B,2,FALSE)</f>
        <v>0</v>
      </c>
      <c r="Q16" s="52">
        <f>B16*P16</f>
        <v>0</v>
      </c>
    </row>
    <row r="17" spans="1:17" s="2" customFormat="1" ht="12.75" customHeight="1" thickBot="1" x14ac:dyDescent="0.3">
      <c r="A17" s="4">
        <v>502</v>
      </c>
      <c r="B17" s="2">
        <v>3</v>
      </c>
      <c r="C17" s="122" t="s">
        <v>382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3</v>
      </c>
      <c r="P17" s="51">
        <f>VLOOKUP(C17,Bolts!A:B,2,FALSE)</f>
        <v>0</v>
      </c>
      <c r="Q17" s="52">
        <f>B17*P17</f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SUM(Q5:Q17)</f>
        <v>1907.9099999999999</v>
      </c>
    </row>
    <row r="19" spans="1:17" s="2" customFormat="1" ht="12" customHeight="1" x14ac:dyDescent="0.2">
      <c r="D19" s="21"/>
      <c r="E19" s="21"/>
      <c r="J19" s="8"/>
      <c r="K19" s="8"/>
      <c r="L19" s="8"/>
      <c r="M19" s="8"/>
      <c r="N19" s="131"/>
      <c r="O19" s="5"/>
      <c r="P19" s="98"/>
      <c r="Q19" s="105"/>
    </row>
  </sheetData>
  <sheetProtection selectLockedCells="1"/>
  <mergeCells count="29">
    <mergeCell ref="D14:E14"/>
    <mergeCell ref="H14:I14"/>
    <mergeCell ref="D11:E11"/>
    <mergeCell ref="H11:I11"/>
    <mergeCell ref="D12:E12"/>
    <mergeCell ref="H12:I12"/>
    <mergeCell ref="D13:E13"/>
    <mergeCell ref="H13:I13"/>
    <mergeCell ref="D10:E10"/>
    <mergeCell ref="H10:I10"/>
    <mergeCell ref="D1:E1"/>
    <mergeCell ref="D4:E4"/>
    <mergeCell ref="H4:I4"/>
    <mergeCell ref="D18:E18"/>
    <mergeCell ref="H18:I18"/>
    <mergeCell ref="D5:E5"/>
    <mergeCell ref="H5:I5"/>
    <mergeCell ref="D6:E6"/>
    <mergeCell ref="H6:I6"/>
    <mergeCell ref="D7:E7"/>
    <mergeCell ref="D16:E16"/>
    <mergeCell ref="D17:E17"/>
    <mergeCell ref="H7:I7"/>
    <mergeCell ref="D8:E8"/>
    <mergeCell ref="H8:I8"/>
    <mergeCell ref="D9:E9"/>
    <mergeCell ref="D15:E15"/>
    <mergeCell ref="H15:I15"/>
    <mergeCell ref="H9:I9"/>
  </mergeCells>
  <conditionalFormatting sqref="M8 M15:M17">
    <cfRule type="cellIs" dxfId="802" priority="15" stopIfTrue="1" operator="lessThanOrEqual">
      <formula>$L8</formula>
    </cfRule>
    <cfRule type="cellIs" dxfId="801" priority="16" operator="greaterThan">
      <formula>L8</formula>
    </cfRule>
  </conditionalFormatting>
  <conditionalFormatting sqref="M9">
    <cfRule type="cellIs" dxfId="800" priority="11" stopIfTrue="1" operator="lessThanOrEqual">
      <formula>$L9</formula>
    </cfRule>
    <cfRule type="cellIs" dxfId="799" priority="12" operator="greaterThan">
      <formula>L9</formula>
    </cfRule>
  </conditionalFormatting>
  <conditionalFormatting sqref="M10">
    <cfRule type="cellIs" dxfId="798" priority="9" stopIfTrue="1" operator="lessThanOrEqual">
      <formula>$L10</formula>
    </cfRule>
    <cfRule type="cellIs" dxfId="797" priority="10" operator="greaterThan">
      <formula>L10</formula>
    </cfRule>
  </conditionalFormatting>
  <conditionalFormatting sqref="M11">
    <cfRule type="cellIs" dxfId="796" priority="7" stopIfTrue="1" operator="lessThanOrEqual">
      <formula>$L11</formula>
    </cfRule>
    <cfRule type="cellIs" dxfId="795" priority="8" operator="greaterThan">
      <formula>L11</formula>
    </cfRule>
  </conditionalFormatting>
  <conditionalFormatting sqref="M12">
    <cfRule type="cellIs" dxfId="794" priority="5" stopIfTrue="1" operator="lessThanOrEqual">
      <formula>$L12</formula>
    </cfRule>
    <cfRule type="cellIs" dxfId="793" priority="6" operator="greaterThan">
      <formula>L12</formula>
    </cfRule>
  </conditionalFormatting>
  <conditionalFormatting sqref="M13">
    <cfRule type="cellIs" dxfId="792" priority="3" stopIfTrue="1" operator="lessThanOrEqual">
      <formula>$L13</formula>
    </cfRule>
    <cfRule type="cellIs" dxfId="791" priority="4" operator="greaterThan">
      <formula>L13</formula>
    </cfRule>
  </conditionalFormatting>
  <conditionalFormatting sqref="M14">
    <cfRule type="cellIs" dxfId="790" priority="1" stopIfTrue="1" operator="lessThanOrEqual">
      <formula>$L14</formula>
    </cfRule>
    <cfRule type="cellIs" dxfId="789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E52348-6D20-4993-AE1C-236A5B84624A}">
          <x14:formula1>
            <xm:f>Bolts!$A:$A</xm:f>
          </x14:formula1>
          <xm:sqref>C16:C17</xm:sqref>
        </x14:dataValidation>
        <x14:dataValidation type="list" allowBlank="1" showInputMessage="1" showErrorMessage="1" xr:uid="{E4E307F4-CC55-4668-9B39-373D04B7400A}">
          <x14:formula1>
            <xm:f>Machined!$C:$C</xm:f>
          </x14:formula1>
          <xm:sqref>C5:C7</xm:sqref>
        </x14:dataValidation>
        <x14:dataValidation type="list" allowBlank="1" showInputMessage="1" showErrorMessage="1" xr:uid="{FE8AC096-B92A-4729-BE56-98A74A24B45B}">
          <x14:formula1>
            <xm:f>Purchased!$A:$A</xm:f>
          </x14:formula1>
          <xm:sqref>C9:C14</xm:sqref>
        </x14:dataValidation>
      </x14:dataValidations>
    </ext>
  </extLst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98514-7E97-4FE3-A58B-2AF388E1D62A}">
  <sheetPr codeName="Sheet167">
    <tabColor theme="6" tint="0.59999389629810485"/>
  </sheetPr>
  <dimension ref="A1:Q14"/>
  <sheetViews>
    <sheetView zoomScale="115" zoomScaleNormal="115" workbookViewId="0">
      <selection activeCell="F9" sqref="F9:Q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'7.1'!C6</f>
        <v>PG10.7.1.2.0.A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'7.1'!D6</f>
        <v>SIDE SEAL CASSETTE RAIL ASSY</v>
      </c>
      <c r="D3" s="85" t="s">
        <v>50</v>
      </c>
      <c r="E3" s="86" t="str">
        <f ca="1">MID(CELL("filename",A1),FIND("]",CELL("filename",A1))+1,256)</f>
        <v>7.1.2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1125</v>
      </c>
      <c r="D5" s="314" t="str">
        <f>VLOOKUP(C5,Machined!C:X,2,0)</f>
        <v>SIDE SEAL RAIL PLATE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MtnStatesAuto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55569</v>
      </c>
      <c r="O5" s="45">
        <f t="shared" ref="O5" ca="1" si="0">B5*$L$2</f>
        <v>24</v>
      </c>
      <c r="P5" s="49">
        <f>VLOOKUP(C5,Machined!C:F,3,0)</f>
        <v>66</v>
      </c>
      <c r="Q5" s="50">
        <f t="shared" ref="Q5" si="1">B5*P5</f>
        <v>66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8</v>
      </c>
      <c r="C7" s="135" t="s">
        <v>172</v>
      </c>
      <c r="D7" s="325" t="str">
        <f>VLOOKUP(C7,Purchased!A:B,2,0)</f>
        <v>BRX GOTO T-NUT 10 M6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9" ca="1" si="2">B7*$L$2</f>
        <v>192</v>
      </c>
      <c r="P7" s="51">
        <f>VLOOKUP(C7,Purchased!A:D,3,FALSE)</f>
        <v>0.56000000000000005</v>
      </c>
      <c r="Q7" s="52">
        <f t="shared" ref="Q7:Q9" si="3">B7*P7</f>
        <v>4.4800000000000004</v>
      </c>
    </row>
    <row r="8" spans="1:17" s="2" customFormat="1" ht="12.75" customHeight="1" x14ac:dyDescent="0.25">
      <c r="A8" s="4">
        <v>302</v>
      </c>
      <c r="B8" s="2">
        <v>2</v>
      </c>
      <c r="C8" s="135" t="s">
        <v>178</v>
      </c>
      <c r="D8" s="325" t="str">
        <f>VLOOKUP(C8,Purchased!A:B,2,0)</f>
        <v>10mm Dia 20mm L Steel Dowel Pin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>3 Additional Quantity Added to 55697</v>
      </c>
      <c r="I8" s="328"/>
      <c r="J8" s="46">
        <f>IF(VLOOKUP($C8,Purchased!A:Z,14,0)=0, " ", VLOOKUP($C8,Purchased!A:Z,14,0))</f>
        <v>45481</v>
      </c>
      <c r="K8" s="46">
        <f>IF(VLOOKUP(C8,Purchased!A:R,14,0)=0, " ", VLOOKUP(C8,Purchased!A:R,14,0))</f>
        <v>45481</v>
      </c>
      <c r="L8" s="46">
        <f>IF(VLOOKUP(C8,Purchased!A:R,15,0)=0, " ", VLOOKUP(C8,Purchased!A:R,15,0))</f>
        <v>45481</v>
      </c>
      <c r="M8" s="46">
        <f>IF(VLOOKUP(C8,Purchased!A:R,16,0)=0, " ",VLOOKUP(C8,Purchased!A:R,16,0))</f>
        <v>45482</v>
      </c>
      <c r="N8" s="130">
        <f>IF(VLOOKUP(C8,Purchased!A:R,17,0)=0, " ", VLOOKUP(C8,Purchased!A:R,17,0))</f>
        <v>45482</v>
      </c>
      <c r="O8" s="47">
        <f t="shared" ca="1" si="2"/>
        <v>48</v>
      </c>
      <c r="P8" s="51">
        <f>VLOOKUP(C8,Purchased!A:D,3,FALSE)</f>
        <v>10.57</v>
      </c>
      <c r="Q8" s="52">
        <f t="shared" si="3"/>
        <v>21.14</v>
      </c>
    </row>
    <row r="9" spans="1:17" s="2" customFormat="1" ht="12.75" customHeight="1" x14ac:dyDescent="0.25">
      <c r="A9" s="4">
        <v>303</v>
      </c>
      <c r="B9" s="2">
        <v>1</v>
      </c>
      <c r="C9" s="135" t="s">
        <v>1126</v>
      </c>
      <c r="D9" s="325" t="str">
        <f>VLOOKUP(C9,Purchased!A:B,2,0)</f>
        <v>15mm Ball Rail L-400mm T-20mm</v>
      </c>
      <c r="E9" s="326"/>
      <c r="F9" s="108" t="str">
        <f>IF(VLOOKUP($C9,Purchased!A:Z,11,0) = 0, " ", VLOOKUP($C9,Purchased!A:Z,11,0))</f>
        <v>BRL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>R164510341/400</v>
      </c>
      <c r="I9" s="328"/>
      <c r="J9" s="46">
        <f>IF(VLOOKUP($C9,Purchased!A:Z,14,0)=0, " ", VLOOKUP($C9,Purchased!A:Z,14,0))</f>
        <v>45461</v>
      </c>
      <c r="K9" s="46">
        <f>IF(VLOOKUP(C9,Purchased!A:R,14,0)=0, " ", VLOOKUP(C9,Purchased!A:R,14,0))</f>
        <v>45461</v>
      </c>
      <c r="L9" s="46">
        <f>IF(VLOOKUP(C9,Purchased!A:R,15,0)=0, " ", VLOOKUP(C9,Purchased!A:R,15,0))</f>
        <v>45462</v>
      </c>
      <c r="M9" s="46">
        <f>IF(VLOOKUP(C9,Purchased!A:R,16,0)=0, " ",VLOOKUP(C9,Purchased!A:R,16,0))</f>
        <v>45504</v>
      </c>
      <c r="N9" s="130">
        <f>IF(VLOOKUP(C9,Purchased!A:R,17,0)=0, " ", VLOOKUP(C9,Purchased!A:R,17,0))</f>
        <v>45504</v>
      </c>
      <c r="O9" s="47">
        <f t="shared" ca="1" si="2"/>
        <v>24</v>
      </c>
      <c r="P9" s="51">
        <f>VLOOKUP(C9,Purchased!A:D,3,FALSE)</f>
        <v>171.24299999999999</v>
      </c>
      <c r="Q9" s="52">
        <f t="shared" si="3"/>
        <v>171.24299999999999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501</v>
      </c>
      <c r="B11" s="2">
        <v>4</v>
      </c>
      <c r="C11" s="122" t="s">
        <v>349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96</v>
      </c>
      <c r="P11" s="51">
        <f>VLOOKUP(C11,Bolts!A:B,2,FALSE)</f>
        <v>0</v>
      </c>
      <c r="Q11" s="52">
        <f>B11*P11</f>
        <v>0</v>
      </c>
    </row>
    <row r="12" spans="1:17" s="2" customFormat="1" ht="12.75" customHeight="1" thickBot="1" x14ac:dyDescent="0.3">
      <c r="A12" s="4">
        <v>502</v>
      </c>
      <c r="B12" s="2">
        <v>8</v>
      </c>
      <c r="C12" s="122" t="s">
        <v>246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192</v>
      </c>
      <c r="P12" s="51">
        <f>VLOOKUP(C12,Bolts!A:B,2,FALSE)</f>
        <v>0</v>
      </c>
      <c r="Q12" s="52">
        <f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262.863</v>
      </c>
    </row>
    <row r="14" spans="1:17" s="2" customFormat="1" ht="12" customHeight="1" x14ac:dyDescent="0.2">
      <c r="D14" s="21"/>
      <c r="E14" s="21"/>
      <c r="J14" s="8"/>
      <c r="K14" s="8"/>
      <c r="L14" s="8"/>
      <c r="M14" s="8"/>
      <c r="N14" s="131"/>
      <c r="O14" s="5"/>
      <c r="P14" s="98"/>
      <c r="Q14" s="105"/>
    </row>
  </sheetData>
  <sheetProtection selectLockedCells="1"/>
  <mergeCells count="19">
    <mergeCell ref="D10:E10"/>
    <mergeCell ref="H10:I10"/>
    <mergeCell ref="D12:E12"/>
    <mergeCell ref="D13:E13"/>
    <mergeCell ref="H13:I13"/>
    <mergeCell ref="D11:E11"/>
    <mergeCell ref="H6:I6"/>
    <mergeCell ref="D1:E1"/>
    <mergeCell ref="D4:E4"/>
    <mergeCell ref="H4:I4"/>
    <mergeCell ref="D9:E9"/>
    <mergeCell ref="H9:I9"/>
    <mergeCell ref="D5:E5"/>
    <mergeCell ref="H5:I5"/>
    <mergeCell ref="D6:E6"/>
    <mergeCell ref="D7:E7"/>
    <mergeCell ref="H7:I7"/>
    <mergeCell ref="D8:E8"/>
    <mergeCell ref="H8:I8"/>
  </mergeCells>
  <conditionalFormatting sqref="M6 M10:M12">
    <cfRule type="cellIs" dxfId="788" priority="7" stopIfTrue="1" operator="lessThanOrEqual">
      <formula>$L6</formula>
    </cfRule>
    <cfRule type="cellIs" dxfId="787" priority="8" operator="greaterThan">
      <formula>L6</formula>
    </cfRule>
  </conditionalFormatting>
  <conditionalFormatting sqref="M7">
    <cfRule type="cellIs" dxfId="786" priority="5" stopIfTrue="1" operator="lessThanOrEqual">
      <formula>$L7</formula>
    </cfRule>
    <cfRule type="cellIs" dxfId="785" priority="6" operator="greaterThan">
      <formula>L7</formula>
    </cfRule>
  </conditionalFormatting>
  <conditionalFormatting sqref="M8">
    <cfRule type="cellIs" dxfId="784" priority="3" stopIfTrue="1" operator="lessThanOrEqual">
      <formula>$L8</formula>
    </cfRule>
    <cfRule type="cellIs" dxfId="783" priority="4" operator="greaterThan">
      <formula>L8</formula>
    </cfRule>
  </conditionalFormatting>
  <conditionalFormatting sqref="M9">
    <cfRule type="cellIs" dxfId="782" priority="1" stopIfTrue="1" operator="lessThanOrEqual">
      <formula>$L9</formula>
    </cfRule>
    <cfRule type="cellIs" dxfId="781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3234D22-C00D-41B4-81AE-C2324C7BAB69}">
          <x14:formula1>
            <xm:f>Bolts!$A:$A</xm:f>
          </x14:formula1>
          <xm:sqref>C11:C12</xm:sqref>
        </x14:dataValidation>
        <x14:dataValidation type="list" allowBlank="1" showInputMessage="1" showErrorMessage="1" xr:uid="{ACA91663-96E3-49E1-91E2-721C73838E18}">
          <x14:formula1>
            <xm:f>Machined!$C:$C</xm:f>
          </x14:formula1>
          <xm:sqref>C5</xm:sqref>
        </x14:dataValidation>
        <x14:dataValidation type="list" allowBlank="1" showInputMessage="1" showErrorMessage="1" xr:uid="{351F2E09-15E6-43AF-869D-524816061388}">
          <x14:formula1>
            <xm:f>Purchased!$A:$A</xm:f>
          </x14:formula1>
          <xm:sqref>C7:C9</xm:sqref>
        </x14:dataValidation>
      </x14:dataValidations>
    </ext>
  </extLst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35239-0B88-4737-84A0-F47F2C12F153}">
  <sheetPr codeName="Sheet168">
    <tabColor theme="6" tint="0.59999389629810485"/>
  </sheetPr>
  <dimension ref="A1:Q17"/>
  <sheetViews>
    <sheetView zoomScale="115" zoomScaleNormal="115" workbookViewId="0">
      <selection activeCell="F10" sqref="F10:Q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'7.1'!C7</f>
        <v>PG10.7.1.3.0.A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'7.1'!D7</f>
        <v>HEATER PLUG ENCLOSURE, SIDE 
SEAL</v>
      </c>
      <c r="D3" s="85" t="s">
        <v>50</v>
      </c>
      <c r="E3" s="86" t="str">
        <f ca="1">MID(CELL("filename",A1),FIND("]",CELL("filename",A1))+1,256)</f>
        <v>7.1.3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1127</v>
      </c>
      <c r="D5" s="314" t="str">
        <f>VLOOKUP(C5,Machined!C:X,2,0)</f>
        <v>MODIFIED HAMMOND C3RWT4324
4X4X24 WIRING TROUGH</v>
      </c>
      <c r="E5" s="329"/>
      <c r="F5" s="107" t="str">
        <f>VLOOKUP($C5,Machined!C:Z,13,0)</f>
        <v>PURCHASED PART</v>
      </c>
      <c r="G5" s="44" t="str">
        <f>IF(VLOOKUP($C5,Machined!C:Z,16,0) = 0, " ", VLOOKUP($C5,Machined!C:Z,16,0))</f>
        <v>Nuline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PURCHASED PART</v>
      </c>
      <c r="J5" s="44">
        <f>IF(VLOOKUP($C5,Machined!C:Z,18,0) = 0, " ", VLOOKUP($C5,Machined!C:Z,18,0))</f>
        <v>45496</v>
      </c>
      <c r="K5" s="44">
        <f>IF(VLOOKUP($C5,Machined!C:Z,19,0) = 0, " ", VLOOKUP($C5,Machined!C:Z,19,0))</f>
        <v>45496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55622</v>
      </c>
      <c r="O5" s="45">
        <f t="shared" ref="O5" ca="1" si="0">B5*$L$2</f>
        <v>2</v>
      </c>
      <c r="P5" s="49">
        <f>VLOOKUP(C5,Machined!C:F,3,0)</f>
        <v>109.75</v>
      </c>
      <c r="Q5" s="50">
        <f t="shared" ref="Q5" si="1">B5*P5</f>
        <v>109.75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3</v>
      </c>
      <c r="C7" s="135" t="s">
        <v>1128</v>
      </c>
      <c r="D7" s="325" t="str">
        <f>VLOOKUP(C7,Purchased!A:B,2,0)</f>
        <v>Thermocuple plug</v>
      </c>
      <c r="E7" s="326"/>
      <c r="F7" s="108" t="str">
        <f>IF(VLOOKUP($C7,Purchased!A:Z,11,0) = 0, " ", VLOOKUP($C7,Purchased!A:Z,11,0))</f>
        <v>Watlow</v>
      </c>
      <c r="G7" s="108" t="str">
        <f>IF(VLOOKUP($C7,Purchased!A:Z,12,0)=0, " ", VLOOKUP($C7,Purchased!A:Z,12,0))</f>
        <v>Valin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45518</v>
      </c>
      <c r="K7" s="46">
        <f>IF(VLOOKUP(C7,Purchased!A:R,14,0)=0, " ", VLOOKUP(C7,Purchased!A:R,14,0))</f>
        <v>45518</v>
      </c>
      <c r="L7" s="46">
        <f>IF(VLOOKUP(C7,Purchased!A:R,15,0)=0, " ", VLOOKUP(C7,Purchased!A:R,15,0))</f>
        <v>45518</v>
      </c>
      <c r="M7" s="46">
        <f>IF(VLOOKUP(C7,Purchased!A:R,16,0)=0, " ",VLOOKUP(C7,Purchased!A:R,16,0))</f>
        <v>45524</v>
      </c>
      <c r="N7" s="130" t="str">
        <f>IF(VLOOKUP(C7,Purchased!A:R,17,0)=0, " ", VLOOKUP(C7,Purchased!A:R,17,0))</f>
        <v xml:space="preserve"> </v>
      </c>
      <c r="O7" s="47">
        <f t="shared" ref="O7:O10" ca="1" si="2">B7*$L$2</f>
        <v>6</v>
      </c>
      <c r="P7" s="51">
        <f>VLOOKUP(C7,Purchased!A:D,3,FALSE)</f>
        <v>25.4</v>
      </c>
      <c r="Q7" s="52">
        <f t="shared" ref="Q7:Q10" si="3">B7*P7</f>
        <v>76.199999999999989</v>
      </c>
    </row>
    <row r="8" spans="1:17" s="2" customFormat="1" ht="12.75" customHeight="1" x14ac:dyDescent="0.25">
      <c r="A8" s="4">
        <v>302</v>
      </c>
      <c r="B8" s="2">
        <v>4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2"/>
        <v>8</v>
      </c>
      <c r="P8" s="51">
        <f>VLOOKUP(C8,Purchased!A:D,3,FALSE)</f>
        <v>0.56000000000000005</v>
      </c>
      <c r="Q8" s="52">
        <f t="shared" si="3"/>
        <v>2.2400000000000002</v>
      </c>
    </row>
    <row r="9" spans="1:17" s="2" customFormat="1" ht="12.75" customHeight="1" x14ac:dyDescent="0.25">
      <c r="A9" s="4">
        <v>303</v>
      </c>
      <c r="B9" s="2">
        <v>3</v>
      </c>
      <c r="C9" s="135" t="s">
        <v>1129</v>
      </c>
      <c r="D9" s="325" t="str">
        <f>VLOOKUP(C9,Purchased!A:B,2,0)</f>
        <v>Three Slot L7-30 277V 30A Female Receptacle</v>
      </c>
      <c r="E9" s="326"/>
      <c r="F9" s="108" t="str">
        <f>IF(VLOOKUP($C9,Purchased!A:Z,11,0) = 0, " ", VLOOKUP($C9,Purchased!A:Z,11,0))</f>
        <v>P&amp;S</v>
      </c>
      <c r="G9" s="108" t="str">
        <f>IF(VLOOKUP($C9,Purchased!A:Z,12,0)=0, " ", VLOOKUP($C9,Purchased!A:Z,12,0))</f>
        <v>WESCO DIST</v>
      </c>
      <c r="H9" s="327" t="str">
        <f>IF(VLOOKUP($C9,Purchased!A:Z,13,0)=0, " ", VLOOKUP($C9,Purchased!A:Z,13,0))</f>
        <v>P&amp;S L730-R R SGL 3W30A277V T/L</v>
      </c>
      <c r="I9" s="328"/>
      <c r="J9" s="46">
        <f>IF(VLOOKUP($C9,Purchased!A:Z,14,0)=0, " ", VLOOKUP($C9,Purchased!A:Z,14,0))</f>
        <v>45463</v>
      </c>
      <c r="K9" s="46">
        <f>IF(VLOOKUP(C9,Purchased!A:R,14,0)=0, " ", VLOOKUP(C9,Purchased!A:R,14,0))</f>
        <v>45463</v>
      </c>
      <c r="L9" s="46">
        <f>IF(VLOOKUP(C9,Purchased!A:R,15,0)=0, " ", VLOOKUP(C9,Purchased!A:R,15,0))</f>
        <v>45463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45485</v>
      </c>
      <c r="O9" s="47">
        <f t="shared" ca="1" si="2"/>
        <v>6</v>
      </c>
      <c r="P9" s="51">
        <f>VLOOKUP(C9,Purchased!A:D,3,FALSE)</f>
        <v>36.36</v>
      </c>
      <c r="Q9" s="52">
        <f t="shared" si="3"/>
        <v>109.08</v>
      </c>
    </row>
    <row r="10" spans="1:17" s="2" customFormat="1" ht="12.75" customHeight="1" x14ac:dyDescent="0.25">
      <c r="A10" s="4">
        <v>304</v>
      </c>
      <c r="B10" s="2">
        <v>3</v>
      </c>
      <c r="C10" s="135" t="s">
        <v>1130</v>
      </c>
      <c r="D10" s="325" t="str">
        <f>VLOOKUP(C10,Purchased!A:B,2,0)</f>
        <v>L7-30 277V 30 A Male Plug</v>
      </c>
      <c r="E10" s="326"/>
      <c r="F10" s="108" t="str">
        <f>IF(VLOOKUP($C10,Purchased!A:Z,11,0) = 0, " ", VLOOKUP($C10,Purchased!A:Z,11,0))</f>
        <v>P&amp;S</v>
      </c>
      <c r="G10" s="108" t="str">
        <f>IF(VLOOKUP($C10,Purchased!A:Z,12,0)=0, " ", VLOOKUP($C10,Purchased!A:Z,12,0))</f>
        <v>WESCO DIST</v>
      </c>
      <c r="H10" s="327" t="str">
        <f>IF(VLOOKUP($C10,Purchased!A:Z,13,0)=0, " ", VLOOKUP($C10,Purchased!A:Z,13,0))</f>
        <v>P&amp;S L730-P TURNLOK PLUG 3W 30A, 277V</v>
      </c>
      <c r="I10" s="328"/>
      <c r="J10" s="46">
        <f>IF(VLOOKUP($C10,Purchased!A:Z,14,0)=0, " ", VLOOKUP($C10,Purchased!A:Z,14,0))</f>
        <v>45463</v>
      </c>
      <c r="K10" s="46">
        <f>IF(VLOOKUP(C10,Purchased!A:R,14,0)=0, " ", VLOOKUP(C10,Purchased!A:R,14,0))</f>
        <v>45463</v>
      </c>
      <c r="L10" s="46">
        <f>IF(VLOOKUP(C10,Purchased!A:R,15,0)=0, " ", VLOOKUP(C10,Purchased!A:R,15,0))</f>
        <v>45463</v>
      </c>
      <c r="M10" s="46">
        <f>IF(VLOOKUP(C10,Purchased!A:R,16,0)=0, " ",VLOOKUP(C10,Purchased!A:R,16,0))</f>
        <v>45485</v>
      </c>
      <c r="N10" s="130">
        <f>IF(VLOOKUP(C10,Purchased!A:R,17,0)=0, " ", VLOOKUP(C10,Purchased!A:R,17,0))</f>
        <v>45485</v>
      </c>
      <c r="O10" s="47">
        <f t="shared" ca="1" si="2"/>
        <v>6</v>
      </c>
      <c r="P10" s="51">
        <f>VLOOKUP(C10,Purchased!A:D,3,FALSE)</f>
        <v>28.65</v>
      </c>
      <c r="Q10" s="52">
        <f t="shared" si="3"/>
        <v>85.949999999999989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4">
        <v>501</v>
      </c>
      <c r="B12" s="2">
        <v>4</v>
      </c>
      <c r="C12" s="122" t="s">
        <v>179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8</v>
      </c>
      <c r="P12" s="51">
        <f>VLOOKUP(C12,Bolts!A:B,2,FALSE)</f>
        <v>0</v>
      </c>
      <c r="Q12" s="52">
        <f>B12*P12</f>
        <v>0</v>
      </c>
    </row>
    <row r="13" spans="1:17" s="2" customFormat="1" ht="12.75" customHeight="1" x14ac:dyDescent="0.25">
      <c r="A13" s="4">
        <v>502</v>
      </c>
      <c r="B13" s="2">
        <v>6</v>
      </c>
      <c r="C13" s="122" t="s">
        <v>1131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12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503</v>
      </c>
      <c r="B14" s="2">
        <v>4</v>
      </c>
      <c r="C14" s="122" t="s">
        <v>199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8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thickBot="1" x14ac:dyDescent="0.3">
      <c r="A15" s="4">
        <v>504</v>
      </c>
      <c r="B15" s="2">
        <v>6</v>
      </c>
      <c r="C15" s="122" t="s">
        <v>1132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12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383.21999999999997</v>
      </c>
    </row>
    <row r="17" spans="4:5" s="2" customFormat="1" ht="12" customHeight="1" x14ac:dyDescent="0.2">
      <c r="D17" s="21"/>
      <c r="E17" s="21"/>
    </row>
  </sheetData>
  <sheetProtection selectLockedCells="1"/>
  <mergeCells count="23">
    <mergeCell ref="D7:E7"/>
    <mergeCell ref="H7:I7"/>
    <mergeCell ref="D8:E8"/>
    <mergeCell ref="H8:I8"/>
    <mergeCell ref="D14:E14"/>
    <mergeCell ref="D12:E12"/>
    <mergeCell ref="D13:E13"/>
    <mergeCell ref="D15:E15"/>
    <mergeCell ref="D16:E16"/>
    <mergeCell ref="H16:I16"/>
    <mergeCell ref="D1:E1"/>
    <mergeCell ref="D4:E4"/>
    <mergeCell ref="H4:I4"/>
    <mergeCell ref="D11:E11"/>
    <mergeCell ref="H11:I11"/>
    <mergeCell ref="D9:E9"/>
    <mergeCell ref="H9:I9"/>
    <mergeCell ref="D10:E10"/>
    <mergeCell ref="H10:I10"/>
    <mergeCell ref="D5:E5"/>
    <mergeCell ref="H5:I5"/>
    <mergeCell ref="D6:E6"/>
    <mergeCell ref="H6:I6"/>
  </mergeCells>
  <conditionalFormatting sqref="M6 M11:M15">
    <cfRule type="cellIs" dxfId="780" priority="9" stopIfTrue="1" operator="lessThanOrEqual">
      <formula>$L6</formula>
    </cfRule>
    <cfRule type="cellIs" dxfId="779" priority="10" operator="greaterThan">
      <formula>L6</formula>
    </cfRule>
  </conditionalFormatting>
  <conditionalFormatting sqref="M7">
    <cfRule type="cellIs" dxfId="778" priority="7" stopIfTrue="1" operator="lessThanOrEqual">
      <formula>$L7</formula>
    </cfRule>
    <cfRule type="cellIs" dxfId="777" priority="8" operator="greaterThan">
      <formula>L7</formula>
    </cfRule>
  </conditionalFormatting>
  <conditionalFormatting sqref="M8">
    <cfRule type="cellIs" dxfId="776" priority="5" stopIfTrue="1" operator="lessThanOrEqual">
      <formula>$L8</formula>
    </cfRule>
    <cfRule type="cellIs" dxfId="775" priority="6" operator="greaterThan">
      <formula>L8</formula>
    </cfRule>
  </conditionalFormatting>
  <conditionalFormatting sqref="M9">
    <cfRule type="cellIs" dxfId="774" priority="3" stopIfTrue="1" operator="lessThanOrEqual">
      <formula>$L9</formula>
    </cfRule>
    <cfRule type="cellIs" dxfId="773" priority="4" operator="greaterThan">
      <formula>L9</formula>
    </cfRule>
  </conditionalFormatting>
  <conditionalFormatting sqref="M10">
    <cfRule type="cellIs" dxfId="772" priority="1" stopIfTrue="1" operator="lessThanOrEqual">
      <formula>$L10</formula>
    </cfRule>
    <cfRule type="cellIs" dxfId="771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07A2895-63FD-46ED-A12A-8DC4CBB30B34}">
          <x14:formula1>
            <xm:f>Bolts!$A:$A</xm:f>
          </x14:formula1>
          <xm:sqref>C12:C15</xm:sqref>
        </x14:dataValidation>
        <x14:dataValidation type="list" allowBlank="1" showInputMessage="1" showErrorMessage="1" xr:uid="{604D1A85-1133-4532-A3CB-6A30036CCCDC}">
          <x14:formula1>
            <xm:f>Machined!$C:$C</xm:f>
          </x14:formula1>
          <xm:sqref>C5</xm:sqref>
        </x14:dataValidation>
        <x14:dataValidation type="list" allowBlank="1" showInputMessage="1" showErrorMessage="1" xr:uid="{FD4341AF-A436-4825-BEB9-4EC2593251DC}">
          <x14:formula1>
            <xm:f>Purchased!$A:$A</xm:f>
          </x14:formula1>
          <xm:sqref>C7:C10</xm:sqref>
        </x14:dataValidation>
      </x14:dataValidations>
    </ext>
  </extLst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A19E2-918E-4991-B4A2-B3E5DEA1E0A6}">
  <sheetPr codeName="Sheet169">
    <tabColor theme="6" tint="0.59999389629810485"/>
  </sheetPr>
  <dimension ref="A1:Q13"/>
  <sheetViews>
    <sheetView zoomScale="115" zoomScaleNormal="115" workbookViewId="0">
      <selection activeCell="F9" sqref="F9:Q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'7.1'!C8</f>
        <v>PG10.7.1.4.0.A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'7.1'!D8</f>
        <v>WEB SUPPORT ASSY</v>
      </c>
      <c r="D3" s="85" t="s">
        <v>50</v>
      </c>
      <c r="E3" s="86" t="str">
        <f ca="1">MID(CELL("filename",A1),FIND("]",CELL("filename",A1))+1,256)</f>
        <v>7.1.4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1133</v>
      </c>
      <c r="D5" s="314" t="str">
        <f>VLOOKUP(C5,Machined!C:X,2,0)</f>
        <v>Web Support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Nuline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303 TG&amp;P, Round Stock, -0.0005</v>
      </c>
      <c r="J5" s="44" t="str">
        <f>IF(VLOOKUP($C5,Machined!C:Z,18,0) = 0, " ", VLOOKUP($C5,Machined!C:Z,18,0))</f>
        <v xml:space="preserve"> </v>
      </c>
      <c r="K5" s="44" t="str">
        <f>IF(VLOOKUP($C5,Machined!C:Z,19,0) = 0, " ", VLOOKUP($C5,Machined!C:Z,19,0))</f>
        <v xml:space="preserve"> </v>
      </c>
      <c r="L5" s="44">
        <f>IF(VLOOKUP($C5,Machined!C:Z,20,0) = 0, " ", VLOOKUP($C5,Machined!C:Z,20,0))</f>
        <v>45520</v>
      </c>
      <c r="M5" s="44" t="str">
        <f>IF(VLOOKUP($C5,Machined!C:Z,21,0) = 0, " ", VLOOKUP($C5,Machined!C:Z,21,0))</f>
        <v xml:space="preserve"> </v>
      </c>
      <c r="N5" s="129">
        <f>IF(VLOOKUP($C5,Machined!C:Z,22,0) = 0, " ", VLOOKUP($C5,Machined!C:Z,22,0))</f>
        <v>55555</v>
      </c>
      <c r="O5" s="45">
        <f t="shared" ref="O5" ca="1" si="0">B5*$L$2</f>
        <v>2</v>
      </c>
      <c r="P5" s="49">
        <f>VLOOKUP(C5,Machined!C:F,3,0)</f>
        <v>0</v>
      </c>
      <c r="Q5" s="50">
        <f t="shared" ref="Q5" si="1">B5*P5</f>
        <v>0</v>
      </c>
    </row>
    <row r="6" spans="1:17" s="2" customFormat="1" ht="12.75" customHeight="1" x14ac:dyDescent="0.25">
      <c r="A6" s="77">
        <v>2</v>
      </c>
      <c r="B6" s="20">
        <v>2</v>
      </c>
      <c r="C6" s="121" t="s">
        <v>170</v>
      </c>
      <c r="D6" s="314" t="str">
        <f>VLOOKUP(C6,Machined!C:X,2,0)</f>
        <v>SINGLE ROLLER BRACKET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45435</v>
      </c>
      <c r="K6" s="44">
        <f>IF(VLOOKUP($C6,Machined!C:Z,19,0) = 0, " ", VLOOKUP($C6,Machined!C:Z,19,0))</f>
        <v>45446</v>
      </c>
      <c r="L6" s="44">
        <f>IF(VLOOKUP($C6,Machined!C:Z,20,0) = 0, " ", VLOOKUP($C6,Machined!C:Z,20,0))</f>
        <v>45481</v>
      </c>
      <c r="M6" s="44">
        <f>IF(VLOOKUP($C6,Machined!C:Z,21,0) = 0, " ", VLOOKUP($C6,Machined!C:Z,21,0))</f>
        <v>45481</v>
      </c>
      <c r="N6" s="129">
        <f>IF(VLOOKUP($C6,Machined!C:Z,22,0) = 0, " ", VLOOKUP($C6,Machined!C:Z,22,0))</f>
        <v>55532</v>
      </c>
      <c r="O6" s="45">
        <f t="shared" ref="O6" ca="1" si="2">B6*$L$2</f>
        <v>4</v>
      </c>
      <c r="P6" s="49">
        <f>VLOOKUP(C6,Machined!C:F,3,0)</f>
        <v>30.25</v>
      </c>
      <c r="Q6" s="50">
        <f t="shared" ref="Q6" si="3">B6*P6</f>
        <v>60.5</v>
      </c>
    </row>
    <row r="7" spans="1:17" s="2" customFormat="1" ht="12.75" customHeight="1" x14ac:dyDescent="0.25">
      <c r="A7" s="77">
        <v>3</v>
      </c>
      <c r="B7" s="20">
        <v>2</v>
      </c>
      <c r="C7" s="121" t="s">
        <v>171</v>
      </c>
      <c r="D7" s="314" t="str">
        <f>VLOOKUP(C7,Machined!C:X,2,0)</f>
        <v>SINGLE ROLLER BRACKET CLAMP</v>
      </c>
      <c r="E7" s="329"/>
      <c r="F7" s="107" t="str">
        <f>VLOOKUP($C7,Machined!C:Z,13,0)</f>
        <v>1018 COLD ROLLED STEEL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1018 COLD ROLLED STEEL</v>
      </c>
      <c r="J7" s="44">
        <f>IF(VLOOKUP($C7,Machined!C:Z,18,0) = 0, " ", VLOOKUP($C7,Machined!C:Z,18,0))</f>
        <v>45435</v>
      </c>
      <c r="K7" s="44">
        <f>IF(VLOOKUP($C7,Machined!C:Z,19,0) = 0, " ", VLOOKUP($C7,Machined!C:Z,19,0))</f>
        <v>45446</v>
      </c>
      <c r="L7" s="44">
        <f>IF(VLOOKUP($C7,Machined!C:Z,20,0) = 0, " ", VLOOKUP($C7,Machined!C:Z,20,0))</f>
        <v>45481</v>
      </c>
      <c r="M7" s="44">
        <f>IF(VLOOKUP($C7,Machined!C:Z,21,0) = 0, " ", VLOOKUP($C7,Machined!C:Z,21,0))</f>
        <v>45481</v>
      </c>
      <c r="N7" s="129">
        <f>IF(VLOOKUP($C7,Machined!C:Z,22,0) = 0, " ", VLOOKUP($C7,Machined!C:Z,22,0))</f>
        <v>55532</v>
      </c>
      <c r="O7" s="45">
        <f t="shared" ref="O7" ca="1" si="4">B7*$L$2</f>
        <v>4</v>
      </c>
      <c r="P7" s="49">
        <f>VLOOKUP(C7,Machined!C:F,3,0)</f>
        <v>16.2</v>
      </c>
      <c r="Q7" s="50">
        <f t="shared" ref="Q7" si="5">B7*P7</f>
        <v>32.4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4">
        <v>301</v>
      </c>
      <c r="B9" s="2">
        <v>4</v>
      </c>
      <c r="C9" s="135" t="s">
        <v>172</v>
      </c>
      <c r="D9" s="325" t="str">
        <f>VLOOKUP(C9,Purchased!A:B,2,0)</f>
        <v>BRX GOTO T-NUT 10 M6</v>
      </c>
      <c r="E9" s="326"/>
      <c r="F9" s="108" t="str">
        <f>IF(VLOOKUP($C9,Purchased!A:Z,11,0) = 0, " ", VLOOKUP($C9,Purchased!A:Z,11,0))</f>
        <v>BRX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45463</v>
      </c>
      <c r="K9" s="46">
        <f>IF(VLOOKUP(C9,Purchased!A:R,14,0)=0, " ", VLOOKUP(C9,Purchased!A:R,14,0))</f>
        <v>45463</v>
      </c>
      <c r="L9" s="46">
        <f>IF(VLOOKUP(C9,Purchased!A:R,15,0)=0, " ", VLOOKUP(C9,Purchased!A:R,15,0))</f>
        <v>45463</v>
      </c>
      <c r="M9" s="46">
        <f>IF(VLOOKUP(C9,Purchased!A:R,16,0)=0, " ",VLOOKUP(C9,Purchased!A:R,16,0))</f>
        <v>45481</v>
      </c>
      <c r="N9" s="130">
        <f>IF(VLOOKUP(C9,Purchased!A:R,17,0)=0, " ", VLOOKUP(C9,Purchased!A:R,17,0))</f>
        <v>45481</v>
      </c>
      <c r="O9" s="47">
        <f t="shared" ref="O9" ca="1" si="6">B9*$L$2</f>
        <v>8</v>
      </c>
      <c r="P9" s="51">
        <f>VLOOKUP(C9,Purchased!A:D,3,FALSE)</f>
        <v>0.56000000000000005</v>
      </c>
      <c r="Q9" s="52">
        <f t="shared" ref="Q9" si="7">B9*P9</f>
        <v>2.2400000000000002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thickBot="1" x14ac:dyDescent="0.3">
      <c r="A11" s="4">
        <v>501</v>
      </c>
      <c r="B11" s="2">
        <v>4</v>
      </c>
      <c r="C11" s="122" t="s">
        <v>174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8</v>
      </c>
      <c r="P11" s="51">
        <f>VLOOKUP(C11,Bolts!A:B,2,FALSE)</f>
        <v>0</v>
      </c>
      <c r="Q11" s="52">
        <f>B11*P11</f>
        <v>0</v>
      </c>
    </row>
    <row r="12" spans="1:17" s="2" customFormat="1" ht="12" customHeight="1" thickBot="1" x14ac:dyDescent="0.3">
      <c r="A12" s="34"/>
      <c r="B12" s="35"/>
      <c r="C12" s="35"/>
      <c r="D12" s="316"/>
      <c r="E12" s="317"/>
      <c r="F12" s="35"/>
      <c r="G12" s="35"/>
      <c r="H12" s="309"/>
      <c r="I12" s="310"/>
      <c r="J12" s="36"/>
      <c r="K12" s="36"/>
      <c r="L12" s="36"/>
      <c r="M12" s="37"/>
      <c r="N12" s="132"/>
      <c r="O12" s="38"/>
      <c r="P12" s="99" t="s">
        <v>43</v>
      </c>
      <c r="Q12" s="104">
        <f>SUM(Q7:Q11)</f>
        <v>34.64</v>
      </c>
    </row>
    <row r="13" spans="1:17" s="2" customFormat="1" ht="12" customHeight="1" x14ac:dyDescent="0.2">
      <c r="D13" s="21"/>
      <c r="E13" s="21"/>
      <c r="J13" s="8"/>
      <c r="K13" s="8"/>
      <c r="L13" s="8"/>
      <c r="M13" s="8"/>
      <c r="N13" s="131"/>
      <c r="O13" s="5"/>
      <c r="P13" s="98"/>
      <c r="Q13" s="105"/>
    </row>
  </sheetData>
  <sheetProtection selectLockedCells="1"/>
  <mergeCells count="18">
    <mergeCell ref="D11:E11"/>
    <mergeCell ref="D12:E12"/>
    <mergeCell ref="H12:I12"/>
    <mergeCell ref="D6:E6"/>
    <mergeCell ref="H6:I6"/>
    <mergeCell ref="D10:E10"/>
    <mergeCell ref="H10:I10"/>
    <mergeCell ref="D9:E9"/>
    <mergeCell ref="H9:I9"/>
    <mergeCell ref="D8:E8"/>
    <mergeCell ref="H8:I8"/>
    <mergeCell ref="D1:E1"/>
    <mergeCell ref="D4:E4"/>
    <mergeCell ref="H4:I4"/>
    <mergeCell ref="D7:E7"/>
    <mergeCell ref="H7:I7"/>
    <mergeCell ref="D5:E5"/>
    <mergeCell ref="H5:I5"/>
  </mergeCells>
  <conditionalFormatting sqref="M8 M10:M11">
    <cfRule type="cellIs" dxfId="770" priority="3" stopIfTrue="1" operator="lessThanOrEqual">
      <formula>$L8</formula>
    </cfRule>
    <cfRule type="cellIs" dxfId="769" priority="4" operator="greaterThan">
      <formula>L8</formula>
    </cfRule>
  </conditionalFormatting>
  <conditionalFormatting sqref="M9">
    <cfRule type="cellIs" dxfId="768" priority="1" stopIfTrue="1" operator="lessThanOrEqual">
      <formula>$L9</formula>
    </cfRule>
    <cfRule type="cellIs" dxfId="767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6233F2-5F08-46A9-9E82-1DDA9AF8EEEF}">
          <x14:formula1>
            <xm:f>Bolts!$A:$A</xm:f>
          </x14:formula1>
          <xm:sqref>C11</xm:sqref>
        </x14:dataValidation>
        <x14:dataValidation type="list" allowBlank="1" showInputMessage="1" showErrorMessage="1" xr:uid="{5FDC1212-99F5-451F-BAC7-F45F3E38ABCC}">
          <x14:formula1>
            <xm:f>Machined!$C:$C</xm:f>
          </x14:formula1>
          <xm:sqref>C5:C7</xm:sqref>
        </x14:dataValidation>
        <x14:dataValidation type="list" allowBlank="1" showInputMessage="1" showErrorMessage="1" xr:uid="{187607A9-6393-49F6-97F4-ED08D2BBB778}">
          <x14:formula1>
            <xm:f>Purchased!$A:$A</xm:f>
          </x14:formula1>
          <xm:sqref>C9</xm:sqref>
        </x14:dataValidation>
      </x14:dataValidations>
    </ext>
  </extLst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0C65-9912-4510-973A-EBA050ED48B1}">
  <sheetPr codeName="Sheet170">
    <tabColor theme="6" tint="0.59999389629810485"/>
  </sheetPr>
  <dimension ref="A1:Q16"/>
  <sheetViews>
    <sheetView zoomScale="115" zoomScaleNormal="115" workbookViewId="0">
      <selection activeCell="F11" sqref="F11:Q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'7.1'!C9</f>
        <v>PG10.7.1.5.0.A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'7.1'!D9</f>
        <v>BELT TENSIONER ASSEM</v>
      </c>
      <c r="D3" s="85" t="s">
        <v>50</v>
      </c>
      <c r="E3" s="86" t="str">
        <f ca="1">MID(CELL("filename",A1),FIND("]",CELL("filename",A1))+1,256)</f>
        <v>7.1.5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912</v>
      </c>
      <c r="D5" s="314" t="str">
        <f>VLOOKUP(C5,Machined!C:X,2,0)</f>
        <v>TENSIONER CAP WASHER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45510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55658</v>
      </c>
      <c r="O5" s="45">
        <f t="shared" ref="O5" ca="1" si="0">B5*$L$2</f>
        <v>12</v>
      </c>
      <c r="P5" s="49">
        <f>VLOOKUP(C5,Machined!C:F,3,0)</f>
        <v>0</v>
      </c>
      <c r="Q5" s="50">
        <f t="shared" ref="Q5" si="1"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1</v>
      </c>
      <c r="C7" s="135" t="s">
        <v>913</v>
      </c>
      <c r="D7" s="325" t="str">
        <f>VLOOKUP(C7,Purchased!A:B,2,0)</f>
        <v>Shaft-Mount Track Roller</v>
      </c>
      <c r="E7" s="326"/>
      <c r="F7" s="108" t="str">
        <f>IF(VLOOKUP($C7,Purchased!A:Z,11,0) = 0, " ", VLOOKUP($C7,Purchased!A:Z,11,0))</f>
        <v>NTN</v>
      </c>
      <c r="G7" s="108" t="str">
        <f>IF(VLOOKUP($C7,Purchased!A:Z,12,0)=0, " ", VLOOKUP($C7,Purchased!A:Z,12,0))</f>
        <v>BDI</v>
      </c>
      <c r="H7" s="327" t="str">
        <f>IF(VLOOKUP($C7,Purchased!A:Z,13,0)=0, " ", VLOOKUP($C7,Purchased!A:Z,13,0))</f>
        <v>12 more PO 55766, Part # 1224723, or Part # 203024</v>
      </c>
      <c r="I7" s="328"/>
      <c r="J7" s="46">
        <f>IF(VLOOKUP($C7,Purchased!A:Z,14,0)=0, " ", VLOOKUP($C7,Purchased!A:Z,14,0))</f>
        <v>45460</v>
      </c>
      <c r="K7" s="46">
        <f>IF(VLOOKUP(C7,Purchased!A:R,14,0)=0, " ", VLOOKUP(C7,Purchased!A:R,14,0))</f>
        <v>45460</v>
      </c>
      <c r="L7" s="46">
        <f>IF(VLOOKUP(C7,Purchased!A:R,15,0)=0, " ", VLOOKUP(C7,Purchased!A:R,15,0))</f>
        <v>45462</v>
      </c>
      <c r="M7" s="46">
        <f>IF(VLOOKUP(C7,Purchased!A:R,16,0)=0, " ",VLOOKUP(C7,Purchased!A:R,16,0))</f>
        <v>45495</v>
      </c>
      <c r="N7" s="130">
        <f>IF(VLOOKUP(C7,Purchased!A:R,17,0)=0, " ", VLOOKUP(C7,Purchased!A:R,17,0))</f>
        <v>45495</v>
      </c>
      <c r="O7" s="47">
        <f t="shared" ref="O7:O11" ca="1" si="2">B7*$L$2</f>
        <v>6</v>
      </c>
      <c r="P7" s="51">
        <f>VLOOKUP(C7,Purchased!A:D,3,FALSE)</f>
        <v>63.14</v>
      </c>
      <c r="Q7" s="52">
        <f t="shared" ref="Q7:Q11" si="3">B7*P7</f>
        <v>63.14</v>
      </c>
    </row>
    <row r="8" spans="1:17" s="2" customFormat="1" ht="12.75" customHeight="1" x14ac:dyDescent="0.25">
      <c r="A8" s="4">
        <v>302</v>
      </c>
      <c r="B8" s="2">
        <v>1</v>
      </c>
      <c r="C8" s="135" t="s">
        <v>914</v>
      </c>
      <c r="D8" s="325" t="str">
        <f>VLOOKUP(C8,Purchased!A:B,2,0)</f>
        <v>Zinc-Plated Class 10.9 Steel Washer, M10 Screw Size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45481</v>
      </c>
      <c r="K8" s="46">
        <f>IF(VLOOKUP(C8,Purchased!A:R,14,0)=0, " ", VLOOKUP(C8,Purchased!A:R,14,0))</f>
        <v>45481</v>
      </c>
      <c r="L8" s="46">
        <f>IF(VLOOKUP(C8,Purchased!A:R,15,0)=0, " ", VLOOKUP(C8,Purchased!A:R,15,0))</f>
        <v>45481</v>
      </c>
      <c r="M8" s="46">
        <f>IF(VLOOKUP(C8,Purchased!A:R,16,0)=0, " ",VLOOKUP(C8,Purchased!A:R,16,0))</f>
        <v>45482</v>
      </c>
      <c r="N8" s="130">
        <f>IF(VLOOKUP(C8,Purchased!A:R,17,0)=0, " ", VLOOKUP(C8,Purchased!A:R,17,0))</f>
        <v>45482</v>
      </c>
      <c r="O8" s="47">
        <f t="shared" ca="1" si="2"/>
        <v>6</v>
      </c>
      <c r="P8" s="51">
        <f>VLOOKUP(C8,Purchased!A:D,3,FALSE)</f>
        <v>12.41</v>
      </c>
      <c r="Q8" s="52">
        <f t="shared" si="3"/>
        <v>12.41</v>
      </c>
    </row>
    <row r="9" spans="1:17" s="2" customFormat="1" ht="12.75" customHeight="1" x14ac:dyDescent="0.25">
      <c r="A9" s="4">
        <v>303</v>
      </c>
      <c r="B9" s="2">
        <v>1</v>
      </c>
      <c r="C9" s="135" t="s">
        <v>915</v>
      </c>
      <c r="D9" s="325" t="str">
        <f>VLOOKUP(C9,Purchased!A:B,2,0)</f>
        <v>Medium-Strength Steel Thin Hex Nut, Fine-Thread, Zinc-Plated, M10 x 1.25 mm 
Thread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>Nuline Stock</v>
      </c>
      <c r="I9" s="328"/>
      <c r="J9" s="46">
        <f>IF(VLOOKUP($C9,Purchased!A:Z,14,0)=0, " ", VLOOKUP($C9,Purchased!A:Z,14,0))</f>
        <v>45481</v>
      </c>
      <c r="K9" s="46">
        <f>IF(VLOOKUP(C9,Purchased!A:R,14,0)=0, " ", VLOOKUP(C9,Purchased!A:R,14,0))</f>
        <v>45481</v>
      </c>
      <c r="L9" s="46">
        <f>IF(VLOOKUP(C9,Purchased!A:R,15,0)=0, " ", VLOOKUP(C9,Purchased!A:R,15,0))</f>
        <v>45481</v>
      </c>
      <c r="M9" s="46">
        <f>IF(VLOOKUP(C9,Purchased!A:R,16,0)=0, " ",VLOOKUP(C9,Purchased!A:R,16,0))</f>
        <v>45482</v>
      </c>
      <c r="N9" s="130">
        <f>IF(VLOOKUP(C9,Purchased!A:R,17,0)=0, " ", VLOOKUP(C9,Purchased!A:R,17,0))</f>
        <v>45482</v>
      </c>
      <c r="O9" s="47">
        <f t="shared" ca="1" si="2"/>
        <v>6</v>
      </c>
      <c r="P9" s="51">
        <f>VLOOKUP(C9,Purchased!A:D,3,FALSE)</f>
        <v>15.75</v>
      </c>
      <c r="Q9" s="52">
        <f t="shared" si="3"/>
        <v>15.75</v>
      </c>
    </row>
    <row r="10" spans="1:17" s="2" customFormat="1" ht="12.75" customHeight="1" x14ac:dyDescent="0.25">
      <c r="A10" s="4">
        <v>304</v>
      </c>
      <c r="B10" s="2">
        <v>2</v>
      </c>
      <c r="C10" s="135" t="s">
        <v>916</v>
      </c>
      <c r="D10" s="325" t="str">
        <f>VLOOKUP(C10,Purchased!A:B,2,0)</f>
        <v>FLAT 1045 STEEL SPACER, NICKEL PLATED, 20MM OD, 10MM ID, 10MM THICK</v>
      </c>
      <c r="E10" s="326"/>
      <c r="F10" s="108" t="str">
        <f>IF(VLOOKUP($C10,Purchased!A:Z,11,0) = 0, " ", VLOOKUP($C10,Purchased!A:Z,11,0))</f>
        <v>MISUMI</v>
      </c>
      <c r="G10" s="108" t="str">
        <f>IF(VLOOKUP($C10,Purchased!A:Z,12,0)=0, " ", VLOOKUP($C10,Purchased!A:Z,12,0))</f>
        <v>MISUMI</v>
      </c>
      <c r="H10" s="327" t="str">
        <f>IF(VLOOKUP($C10,Purchased!A:Z,13,0)=0, " ", VLOOKUP($C10,Purchased!A:Z,13,0))</f>
        <v>20 more on PO 55693</v>
      </c>
      <c r="I10" s="328"/>
      <c r="J10" s="46">
        <f>IF(VLOOKUP($C10,Purchased!A:Z,14,0)=0, " ", VLOOKUP($C10,Purchased!A:Z,14,0))</f>
        <v>45483</v>
      </c>
      <c r="K10" s="46">
        <f>IF(VLOOKUP(C10,Purchased!A:R,14,0)=0, " ", VLOOKUP(C10,Purchased!A:R,14,0))</f>
        <v>45483</v>
      </c>
      <c r="L10" s="46">
        <f>IF(VLOOKUP(C10,Purchased!A:R,15,0)=0, " ", VLOOKUP(C10,Purchased!A:R,15,0))</f>
        <v>45483</v>
      </c>
      <c r="M10" s="46">
        <f>IF(VLOOKUP(C10,Purchased!A:R,16,0)=0, " ",VLOOKUP(C10,Purchased!A:R,16,0))</f>
        <v>45512</v>
      </c>
      <c r="N10" s="130">
        <f>IF(VLOOKUP(C10,Purchased!A:R,17,0)=0, " ", VLOOKUP(C10,Purchased!A:R,17,0))</f>
        <v>45512</v>
      </c>
      <c r="O10" s="47">
        <f t="shared" ca="1" si="2"/>
        <v>12</v>
      </c>
      <c r="P10" s="51">
        <f>VLOOKUP(C10,Purchased!A:D,3,FALSE)</f>
        <v>8.9700000000000006</v>
      </c>
      <c r="Q10" s="52">
        <f t="shared" si="3"/>
        <v>17.940000000000001</v>
      </c>
    </row>
    <row r="11" spans="1:17" s="2" customFormat="1" ht="12.75" customHeight="1" x14ac:dyDescent="0.25">
      <c r="A11" s="4">
        <v>305</v>
      </c>
      <c r="B11" s="2">
        <v>1</v>
      </c>
      <c r="C11" s="135" t="s">
        <v>1134</v>
      </c>
      <c r="D11" s="325" t="str">
        <f>VLOOKUP(C11,Purchased!A:B,2,0)</f>
        <v>FLAT 1045 STEEL SPACER, NICKEL PLATED, 20MM OD, 10MM ID, 7.5MM THICK</v>
      </c>
      <c r="E11" s="326"/>
      <c r="F11" s="108" t="str">
        <f>IF(VLOOKUP($C11,Purchased!A:Z,11,0) = 0, " ", VLOOKUP($C11,Purchased!A:Z,11,0))</f>
        <v>MISUMI</v>
      </c>
      <c r="G11" s="108" t="str">
        <f>IF(VLOOKUP($C11,Purchased!A:Z,12,0)=0, " ", VLOOKUP($C11,Purchased!A:Z,12,0))</f>
        <v>MISUMI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45483</v>
      </c>
      <c r="K11" s="46">
        <f>IF(VLOOKUP(C11,Purchased!A:R,14,0)=0, " ", VLOOKUP(C11,Purchased!A:R,14,0))</f>
        <v>45483</v>
      </c>
      <c r="L11" s="46">
        <f>IF(VLOOKUP(C11,Purchased!A:R,15,0)=0, " ", VLOOKUP(C11,Purchased!A:R,15,0))</f>
        <v>45483</v>
      </c>
      <c r="M11" s="46">
        <f>IF(VLOOKUP(C11,Purchased!A:R,16,0)=0, " ",VLOOKUP(C11,Purchased!A:R,16,0))</f>
        <v>45512</v>
      </c>
      <c r="N11" s="130">
        <f>IF(VLOOKUP(C11,Purchased!A:R,17,0)=0, " ", VLOOKUP(C11,Purchased!A:R,17,0))</f>
        <v>45512</v>
      </c>
      <c r="O11" s="47">
        <f t="shared" ca="1" si="2"/>
        <v>6</v>
      </c>
      <c r="P11" s="51">
        <f>VLOOKUP(C11,Purchased!A:D,3,FALSE)</f>
        <v>17.34</v>
      </c>
      <c r="Q11" s="52">
        <f t="shared" si="3"/>
        <v>17.34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3</v>
      </c>
      <c r="C13" s="122" t="s">
        <v>312</v>
      </c>
      <c r="D13" s="325"/>
      <c r="E13" s="326"/>
      <c r="F13" s="108" t="str">
        <f>VLOOKUP(C13,Bolts!A:L,5,0)</f>
        <v xml:space="preserve"> </v>
      </c>
      <c r="G13" s="108" t="str">
        <f>VLOOKUP(C13,Bolts!A:L,6,0)</f>
        <v xml:space="preserve"> 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18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thickBot="1" x14ac:dyDescent="0.3">
      <c r="A14" s="4">
        <v>502</v>
      </c>
      <c r="B14" s="2">
        <v>3</v>
      </c>
      <c r="C14" s="122" t="s">
        <v>188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18</v>
      </c>
      <c r="P14" s="51">
        <f>VLOOKUP(C14,Bolts!A:B,2,FALSE)</f>
        <v>0</v>
      </c>
      <c r="Q14" s="52">
        <f>B14*P14</f>
        <v>0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126.58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sheetProtection selectLockedCells="1"/>
  <mergeCells count="23">
    <mergeCell ref="D15:E15"/>
    <mergeCell ref="H15:I15"/>
    <mergeCell ref="D14:E14"/>
    <mergeCell ref="D9:E9"/>
    <mergeCell ref="H9:I9"/>
    <mergeCell ref="D11:E11"/>
    <mergeCell ref="H11:I11"/>
    <mergeCell ref="D12:E12"/>
    <mergeCell ref="H12:I12"/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13:E13"/>
    <mergeCell ref="D10:E10"/>
    <mergeCell ref="H10:I10"/>
  </mergeCells>
  <conditionalFormatting sqref="M6 M12:M14">
    <cfRule type="cellIs" dxfId="766" priority="11" stopIfTrue="1" operator="lessThanOrEqual">
      <formula>$L6</formula>
    </cfRule>
    <cfRule type="cellIs" dxfId="765" priority="12" operator="greaterThan">
      <formula>L6</formula>
    </cfRule>
  </conditionalFormatting>
  <conditionalFormatting sqref="M7:M8">
    <cfRule type="cellIs" dxfId="764" priority="7" stopIfTrue="1" operator="lessThanOrEqual">
      <formula>$L7</formula>
    </cfRule>
    <cfRule type="cellIs" dxfId="763" priority="8" operator="greaterThan">
      <formula>L7</formula>
    </cfRule>
  </conditionalFormatting>
  <conditionalFormatting sqref="M9">
    <cfRule type="cellIs" dxfId="762" priority="5" stopIfTrue="1" operator="lessThanOrEqual">
      <formula>$L9</formula>
    </cfRule>
    <cfRule type="cellIs" dxfId="761" priority="6" operator="greaterThan">
      <formula>L9</formula>
    </cfRule>
  </conditionalFormatting>
  <conditionalFormatting sqref="M10">
    <cfRule type="cellIs" dxfId="760" priority="3" stopIfTrue="1" operator="lessThanOrEqual">
      <formula>$L10</formula>
    </cfRule>
    <cfRule type="cellIs" dxfId="759" priority="4" operator="greaterThan">
      <formula>L10</formula>
    </cfRule>
  </conditionalFormatting>
  <conditionalFormatting sqref="M11">
    <cfRule type="cellIs" dxfId="758" priority="1" stopIfTrue="1" operator="lessThanOrEqual">
      <formula>$L11</formula>
    </cfRule>
    <cfRule type="cellIs" dxfId="757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05054B-749B-4FA3-A880-98BD77F342FC}">
          <x14:formula1>
            <xm:f>Bolts!$A:$A</xm:f>
          </x14:formula1>
          <xm:sqref>C13:C14</xm:sqref>
        </x14:dataValidation>
        <x14:dataValidation type="list" allowBlank="1" showInputMessage="1" showErrorMessage="1" xr:uid="{33F10F4B-9C24-4686-9A5D-3FD6EA0DC586}">
          <x14:formula1>
            <xm:f>Machined!$C:$C</xm:f>
          </x14:formula1>
          <xm:sqref>C5</xm:sqref>
        </x14:dataValidation>
        <x14:dataValidation type="list" allowBlank="1" showInputMessage="1" showErrorMessage="1" xr:uid="{647AFC85-819A-4801-BE0E-901803CD16D6}">
          <x14:formula1>
            <xm:f>Purchased!$A:$A</xm:f>
          </x14:formula1>
          <xm:sqref>C7:C11</xm:sqref>
        </x14:dataValidation>
      </x14:dataValidations>
    </ext>
  </extLst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1E883-A7F4-416D-A681-4D7D1A4B5C3B}">
  <sheetPr codeName="Sheet171">
    <tabColor theme="9" tint="0.59999389629810485"/>
  </sheetPr>
  <dimension ref="A1:Q16"/>
  <sheetViews>
    <sheetView zoomScale="115" zoomScaleNormal="115" workbookViewId="0">
      <selection activeCell="P12" sqref="P1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'7'!C6</f>
        <v>PG10.7.2.0.A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'7'!D6</f>
        <v>LOWER B-SIDE SIDE SEAL CASSETTE</v>
      </c>
      <c r="D3" s="85" t="s">
        <v>50</v>
      </c>
      <c r="E3" s="86" t="str">
        <f ca="1">MID(CELL("filename",A1),FIND("]",CELL("filename",A1))+1,256)</f>
        <v>7.2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71" t="s">
        <v>17</v>
      </c>
      <c r="G4" s="164" t="s">
        <v>18</v>
      </c>
      <c r="H4" s="318" t="s">
        <v>19</v>
      </c>
      <c r="I4" s="319"/>
      <c r="J4" s="164" t="s">
        <v>51</v>
      </c>
      <c r="K4" s="164" t="s">
        <v>21</v>
      </c>
      <c r="L4" s="164" t="s">
        <v>22</v>
      </c>
      <c r="M4" s="164" t="s">
        <v>52</v>
      </c>
      <c r="N4" s="172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1135</v>
      </c>
      <c r="D5" s="336" t="str">
        <f ca="1">VLOOKUP(C5,Assemblies!E:P,2,0)</f>
        <v>SIDE SEAL FRAME ASSY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:O14" ca="1" si="0">B5*$L$2</f>
        <v>1</v>
      </c>
      <c r="P5" s="117">
        <f>'7.2.1'!Q19</f>
        <v>771.41199999999992</v>
      </c>
      <c r="Q5" s="118">
        <f t="shared" ref="Q5:Q14" si="1">B5*P5</f>
        <v>771.41199999999992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1136</v>
      </c>
      <c r="D6" s="314" t="str">
        <f ca="1">VLOOKUP(C6,Assemblies!E:P,2,0)</f>
        <v>LOWER SIDE SEAL SERVO ASSY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ref="O6:O9" ca="1" si="2">B6*$L$2</f>
        <v>1</v>
      </c>
      <c r="P6" s="147">
        <f>'7.2.2'!Q25</f>
        <v>5168.2514000000001</v>
      </c>
      <c r="Q6" s="103">
        <f t="shared" ref="Q6:Q9" si="3">B6*P6</f>
        <v>5168.2514000000001</v>
      </c>
    </row>
    <row r="7" spans="1:17" s="1" customFormat="1" ht="12.75" customHeight="1" x14ac:dyDescent="0.2">
      <c r="A7" s="76" t="s">
        <v>58</v>
      </c>
      <c r="B7" s="1">
        <v>1</v>
      </c>
      <c r="C7" s="145" t="s">
        <v>1137</v>
      </c>
      <c r="D7" s="314" t="str">
        <f ca="1">VLOOKUP(C7,Assemblies!E:P,2,0)</f>
        <v>LOWER SIDE SEAL HEAD ASSY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ca="1" si="2"/>
        <v>1</v>
      </c>
      <c r="P7" s="147">
        <f>'7.2.3'!Q23</f>
        <v>1311.6</v>
      </c>
      <c r="Q7" s="103">
        <f t="shared" si="3"/>
        <v>1311.6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1138</v>
      </c>
      <c r="D8" s="314" t="str">
        <f ca="1">VLOOKUP(C8,Assemblies!E:P,2,0)</f>
        <v>SIDE SEAL RUNNER BLOCK BRAKE ASSY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ca="1" si="2"/>
        <v>2</v>
      </c>
      <c r="P8" s="147">
        <f>'7.2.4'!Q14</f>
        <v>588.61329999999998</v>
      </c>
      <c r="Q8" s="103">
        <f t="shared" si="3"/>
        <v>1177.2266</v>
      </c>
    </row>
    <row r="9" spans="1:17" s="1" customFormat="1" ht="12.75" customHeight="1" x14ac:dyDescent="0.2">
      <c r="A9" s="76" t="s">
        <v>62</v>
      </c>
      <c r="B9" s="1">
        <v>2</v>
      </c>
      <c r="C9" s="145" t="s">
        <v>1139</v>
      </c>
      <c r="D9" s="314" t="str">
        <f ca="1">VLOOKUP(C9,Assemblies!E:P,2,0)</f>
        <v>SEAL BAR ROD END ASSY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ca="1" si="2"/>
        <v>2</v>
      </c>
      <c r="P9" s="147">
        <f>'7.2.5'!Q19</f>
        <v>360.20000000000005</v>
      </c>
      <c r="Q9" s="103">
        <f t="shared" si="3"/>
        <v>720.40000000000009</v>
      </c>
    </row>
    <row r="10" spans="1:17" s="1" customFormat="1" ht="12.75" customHeight="1" x14ac:dyDescent="0.2">
      <c r="A10" s="150" t="s">
        <v>64</v>
      </c>
      <c r="B10" s="1">
        <v>1</v>
      </c>
      <c r="C10" s="145" t="s">
        <v>1140</v>
      </c>
      <c r="D10" s="314" t="str">
        <f ca="1">VLOOKUP(C10,Assemblies!E:P,2,0)</f>
        <v>SIDE SEAL TEFLON ROLL ASSY</v>
      </c>
      <c r="E10" s="314"/>
      <c r="F10" s="31"/>
      <c r="G10" s="32"/>
      <c r="H10" s="303"/>
      <c r="I10" s="303"/>
      <c r="J10" s="28"/>
      <c r="K10" s="28"/>
      <c r="L10" s="28"/>
      <c r="M10" s="28"/>
      <c r="N10" s="33"/>
      <c r="O10" s="146">
        <f t="shared" ca="1" si="0"/>
        <v>1</v>
      </c>
      <c r="P10" s="147">
        <f>'7.2.6'!Q14</f>
        <v>574.78</v>
      </c>
      <c r="Q10" s="103">
        <f t="shared" si="1"/>
        <v>574.78</v>
      </c>
    </row>
    <row r="11" spans="1:17" s="1" customFormat="1" ht="12.75" customHeight="1" x14ac:dyDescent="0.2">
      <c r="A11" s="76" t="s">
        <v>66</v>
      </c>
      <c r="B11" s="1">
        <v>1</v>
      </c>
      <c r="C11" s="145" t="s">
        <v>1141</v>
      </c>
      <c r="D11" s="314" t="str">
        <f ca="1">VLOOKUP(C11,Assemblies!E:P,2,0)</f>
        <v>Igus Lead Nut Assy</v>
      </c>
      <c r="E11" s="314"/>
      <c r="F11" s="31"/>
      <c r="G11" s="32"/>
      <c r="H11" s="303"/>
      <c r="I11" s="303"/>
      <c r="J11" s="28"/>
      <c r="K11" s="28"/>
      <c r="L11" s="28"/>
      <c r="M11" s="28"/>
      <c r="N11" s="33"/>
      <c r="O11" s="146">
        <f t="shared" ref="O11" ca="1" si="4">B11*$L$2</f>
        <v>1</v>
      </c>
      <c r="P11" s="147">
        <f>'7.2.7'!Q9</f>
        <v>18.940000000000001</v>
      </c>
      <c r="Q11" s="103">
        <f t="shared" ref="Q11" si="5">B11*P11</f>
        <v>18.940000000000001</v>
      </c>
    </row>
    <row r="12" spans="1:17" s="1" customFormat="1" ht="12.75" customHeight="1" x14ac:dyDescent="0.2">
      <c r="A12" s="76" t="s">
        <v>68</v>
      </c>
      <c r="B12" s="1">
        <v>2</v>
      </c>
      <c r="C12" s="145" t="s">
        <v>1142</v>
      </c>
      <c r="D12" s="314" t="str">
        <f ca="1">VLOOKUP(C12,Assemblies!E:P,2,0)</f>
        <v>Modified Igus Slider</v>
      </c>
      <c r="E12" s="314"/>
      <c r="F12" s="31"/>
      <c r="G12" s="32"/>
      <c r="H12" s="303"/>
      <c r="I12" s="303"/>
      <c r="J12" s="28"/>
      <c r="K12" s="28"/>
      <c r="L12" s="28"/>
      <c r="M12" s="28"/>
      <c r="N12" s="33"/>
      <c r="O12" s="146">
        <f ca="1">B12*$L$2</f>
        <v>2</v>
      </c>
      <c r="P12" s="147">
        <f>'7.2.8'!Q9</f>
        <v>9.75</v>
      </c>
      <c r="Q12" s="103">
        <f>B12*P12</f>
        <v>19.5</v>
      </c>
    </row>
    <row r="13" spans="1:17" s="1" customFormat="1" ht="12.75" customHeight="1" x14ac:dyDescent="0.2">
      <c r="A13" s="76" t="s">
        <v>70</v>
      </c>
      <c r="B13" s="1">
        <v>2</v>
      </c>
      <c r="C13" s="145" t="s">
        <v>1143</v>
      </c>
      <c r="D13" s="314" t="str">
        <f ca="1">VLOOKUP(C13,Assemblies!E:P,2,0)</f>
        <v>SIDE SEAL RUNNER BLOCK ASSY</v>
      </c>
      <c r="E13" s="314"/>
      <c r="F13" s="31"/>
      <c r="G13" s="32"/>
      <c r="H13" s="303"/>
      <c r="I13" s="303"/>
      <c r="J13" s="28"/>
      <c r="K13" s="28"/>
      <c r="L13" s="28"/>
      <c r="M13" s="28"/>
      <c r="N13" s="33"/>
      <c r="O13" s="146">
        <f t="shared" ref="O13" ca="1" si="6">B13*$L$2</f>
        <v>2</v>
      </c>
      <c r="P13" s="147">
        <f>'7.2.9'!Q11</f>
        <v>162.86330000000001</v>
      </c>
      <c r="Q13" s="103">
        <f t="shared" ref="Q13" si="7">B13*P13</f>
        <v>325.72660000000002</v>
      </c>
    </row>
    <row r="14" spans="1:17" s="1" customFormat="1" ht="12.75" customHeight="1" thickBot="1" x14ac:dyDescent="0.25">
      <c r="A14" s="76" t="s">
        <v>72</v>
      </c>
      <c r="B14" s="1">
        <v>1</v>
      </c>
      <c r="C14" s="145" t="s">
        <v>1144</v>
      </c>
      <c r="D14" s="314" t="str">
        <f ca="1">VLOOKUP(C14,Assemblies!E:P,2,0)</f>
        <v>ERGO TRACK GUIDE ASSEM</v>
      </c>
      <c r="E14" s="314"/>
      <c r="F14" s="31"/>
      <c r="G14" s="32"/>
      <c r="H14" s="303"/>
      <c r="I14" s="303"/>
      <c r="J14" s="28"/>
      <c r="K14" s="28"/>
      <c r="L14" s="28"/>
      <c r="M14" s="28"/>
      <c r="N14" s="33"/>
      <c r="O14" s="146">
        <f t="shared" ca="1" si="0"/>
        <v>1</v>
      </c>
      <c r="P14" s="147">
        <f>'7.2.10'!Q11</f>
        <v>181.96</v>
      </c>
      <c r="Q14" s="103">
        <f t="shared" si="1"/>
        <v>181.96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10269.7966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sheetProtection selectLockedCells="1"/>
  <mergeCells count="25">
    <mergeCell ref="D13:E13"/>
    <mergeCell ref="H13:I13"/>
    <mergeCell ref="D15:E15"/>
    <mergeCell ref="H15:I15"/>
    <mergeCell ref="D6:E6"/>
    <mergeCell ref="H6:I6"/>
    <mergeCell ref="D7:E7"/>
    <mergeCell ref="H7:I7"/>
    <mergeCell ref="D8:E8"/>
    <mergeCell ref="H8:I8"/>
    <mergeCell ref="D9:E9"/>
    <mergeCell ref="H9:I9"/>
    <mergeCell ref="D14:E14"/>
    <mergeCell ref="H14:I14"/>
    <mergeCell ref="D10:E10"/>
    <mergeCell ref="H10:I10"/>
    <mergeCell ref="D12:E12"/>
    <mergeCell ref="H12:I12"/>
    <mergeCell ref="D11:E11"/>
    <mergeCell ref="H11:I11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849B1E-7098-4487-8D1B-BFF0D5D8D933}">
          <x14:formula1>
            <xm:f>Assemblies!$E:$E</xm:f>
          </x14:formula1>
          <xm:sqref>C5:C14</xm:sqref>
        </x14:dataValidation>
      </x14:dataValidations>
    </ext>
  </extLst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C5535-A67F-4F2D-82B2-FCDC102D327C}">
  <sheetPr codeName="Sheet172">
    <tabColor theme="6" tint="0.59999389629810485"/>
  </sheetPr>
  <dimension ref="A1:Q20"/>
  <sheetViews>
    <sheetView zoomScale="115" zoomScaleNormal="115" workbookViewId="0">
      <selection activeCell="F11" sqref="F11:Q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'7.2'!C5</f>
        <v>PG10.7.2.1.0.A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'7.2'!D5</f>
        <v>SIDE SEAL FRAME ASSY</v>
      </c>
      <c r="D3" s="85" t="s">
        <v>50</v>
      </c>
      <c r="E3" s="86" t="str">
        <f ca="1">MID(CELL("filename",A1),FIND("]",CELL("filename",A1))+1,256)</f>
        <v>7.2.1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4</v>
      </c>
      <c r="C5" s="121" t="s">
        <v>1145</v>
      </c>
      <c r="D5" s="314" t="str">
        <f>VLOOKUP(C5,Machined!C:X,2,0)</f>
        <v>Linear Bearing Block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MtnStatesAuto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55569</v>
      </c>
      <c r="O5" s="45">
        <f t="shared" ref="O5:O8" ca="1" si="0">B5*$L$2</f>
        <v>24</v>
      </c>
      <c r="P5" s="49">
        <f>VLOOKUP(C5,Machined!C:F,3,0)</f>
        <v>72.3</v>
      </c>
      <c r="Q5" s="50">
        <f t="shared" ref="Q5:Q8" si="1">B5*P5</f>
        <v>289.2</v>
      </c>
    </row>
    <row r="6" spans="1:17" s="2" customFormat="1" ht="12.75" customHeight="1" x14ac:dyDescent="0.25">
      <c r="A6" s="77">
        <v>2</v>
      </c>
      <c r="B6" s="20">
        <v>1</v>
      </c>
      <c r="C6" s="121" t="s">
        <v>1146</v>
      </c>
      <c r="D6" s="314" t="str">
        <f>VLOOKUP(C6,Machined!C:X,2,0)</f>
        <v>Side Seal Side Plate L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MtnStatesAuto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55569</v>
      </c>
      <c r="O6" s="45">
        <f t="shared" ca="1" si="0"/>
        <v>6</v>
      </c>
      <c r="P6" s="49">
        <f>VLOOKUP(C6,Machined!C:F,3,0)</f>
        <v>116</v>
      </c>
      <c r="Q6" s="50">
        <f t="shared" si="1"/>
        <v>116</v>
      </c>
    </row>
    <row r="7" spans="1:17" s="2" customFormat="1" ht="12.75" customHeight="1" x14ac:dyDescent="0.25">
      <c r="A7" s="77">
        <v>3</v>
      </c>
      <c r="B7" s="20">
        <v>1</v>
      </c>
      <c r="C7" s="121" t="s">
        <v>1147</v>
      </c>
      <c r="D7" s="314" t="str">
        <f>VLOOKUP(C7,Machined!C:X,2,0)</f>
        <v>Side Seal Side Plate R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MtnStatesAuto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55569</v>
      </c>
      <c r="O7" s="45">
        <f t="shared" ca="1" si="0"/>
        <v>6</v>
      </c>
      <c r="P7" s="49">
        <f>VLOOKUP(C7,Machined!C:F,3,0)</f>
        <v>116</v>
      </c>
      <c r="Q7" s="50">
        <f t="shared" si="1"/>
        <v>116</v>
      </c>
    </row>
    <row r="8" spans="1:17" s="2" customFormat="1" ht="12.75" customHeight="1" x14ac:dyDescent="0.25">
      <c r="A8" s="77">
        <v>4</v>
      </c>
      <c r="B8" s="20">
        <v>1</v>
      </c>
      <c r="C8" s="121" t="s">
        <v>1148</v>
      </c>
      <c r="D8" s="314" t="str">
        <f>VLOOKUP(C8,Machined!C:X,2,0)</f>
        <v>Side Seal Cassette Strut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>NEED TO ADD CLEARANCE HOLES TO TWO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45462</v>
      </c>
      <c r="L8" s="44">
        <f>IF(VLOOKUP($C8,Machined!C:Z,20,0) = 0, " ", VLOOKUP($C8,Machined!C:Z,20,0))</f>
        <v>45492</v>
      </c>
      <c r="M8" s="44">
        <f>IF(VLOOKUP($C8,Machined!C:Z,21,0) = 0, " ", VLOOKUP($C8,Machined!C:Z,21,0))</f>
        <v>45492</v>
      </c>
      <c r="N8" s="129">
        <f>IF(VLOOKUP($C8,Machined!C:Z,22,0) = 0, " ", VLOOKUP($C8,Machined!C:Z,22,0))</f>
        <v>55559</v>
      </c>
      <c r="O8" s="45">
        <f t="shared" ca="1" si="0"/>
        <v>6</v>
      </c>
      <c r="P8" s="49">
        <f>VLOOKUP(C8,Machined!C:F,3,0)</f>
        <v>85.42</v>
      </c>
      <c r="Q8" s="50">
        <f t="shared" si="1"/>
        <v>85.42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4">
        <v>301</v>
      </c>
      <c r="B10" s="2">
        <v>4</v>
      </c>
      <c r="C10" s="135" t="s">
        <v>1149</v>
      </c>
      <c r="D10" s="325" t="str">
        <f>VLOOKUP(C10,Purchased!A:B,2,0)</f>
        <v>30mm Shaft Fixed Alignment Ball Bearing</v>
      </c>
      <c r="E10" s="326"/>
      <c r="F10" s="108" t="str">
        <f>IF(VLOOKUP($C10,Purchased!A:Z,11,0) = 0, " ", VLOOKUP($C10,Purchased!A:Z,11,0))</f>
        <v>NIPPON</v>
      </c>
      <c r="G10" s="108" t="str">
        <f>IF(VLOOKUP($C10,Purchased!A:Z,12,0)=0, " ", VLOOKUP($C10,Purchased!A:Z,12,0))</f>
        <v>BDI</v>
      </c>
      <c r="H10" s="327" t="str">
        <f>IF(VLOOKUP($C10,Purchased!A:Z,13,0)=0, " ", VLOOKUP($C10,Purchased!A:Z,13,0))</f>
        <v>Part # KB30GUU</v>
      </c>
      <c r="I10" s="328"/>
      <c r="J10" s="46">
        <f>IF(VLOOKUP($C10,Purchased!A:Z,14,0)=0, " ", VLOOKUP($C10,Purchased!A:Z,14,0))</f>
        <v>45456</v>
      </c>
      <c r="K10" s="46">
        <f>IF(VLOOKUP(C10,Purchased!A:R,14,0)=0, " ", VLOOKUP(C10,Purchased!A:R,14,0))</f>
        <v>45456</v>
      </c>
      <c r="L10" s="46">
        <f>IF(VLOOKUP(C10,Purchased!A:R,15,0)=0, " ", VLOOKUP(C10,Purchased!A:R,15,0))</f>
        <v>45456</v>
      </c>
      <c r="M10" s="46">
        <f>IF(VLOOKUP(C10,Purchased!A:R,16,0)=0, " ",VLOOKUP(C10,Purchased!A:R,16,0))</f>
        <v>45468</v>
      </c>
      <c r="N10" s="130">
        <f>IF(VLOOKUP(C10,Purchased!A:R,17,0)=0, " ", VLOOKUP(C10,Purchased!A:R,17,0))</f>
        <v>45468</v>
      </c>
      <c r="O10" s="47">
        <f t="shared" ref="O10:O11" ca="1" si="2">B10*$L$2</f>
        <v>24</v>
      </c>
      <c r="P10" s="51">
        <f>VLOOKUP(C10,Purchased!A:D,3,FALSE)</f>
        <v>38.86</v>
      </c>
      <c r="Q10" s="52">
        <f t="shared" ref="Q10:Q11" si="3">B10*P10</f>
        <v>155.44</v>
      </c>
    </row>
    <row r="11" spans="1:17" s="2" customFormat="1" ht="12.75" customHeight="1" x14ac:dyDescent="0.25">
      <c r="A11" s="4">
        <v>302</v>
      </c>
      <c r="B11" s="2">
        <v>8</v>
      </c>
      <c r="C11" s="135" t="s">
        <v>1150</v>
      </c>
      <c r="D11" s="325" t="str">
        <f>VLOOKUP(C11,Purchased!A:B,2,0)</f>
        <v>External Retaining Ring for FIxed Alignment Ball Bearing</v>
      </c>
      <c r="E11" s="326"/>
      <c r="F11" s="108" t="str">
        <f>IF(VLOOKUP($C11,Purchased!A:Z,11,0) = 0, " ", VLOOKUP($C11,Purchased!A:Z,11,0))</f>
        <v>Smalley</v>
      </c>
      <c r="G11" s="108" t="str">
        <f>IF(VLOOKUP($C11,Purchased!A:Z,12,0)=0, " ", VLOOKUP($C11,Purchased!A:Z,12,0))</f>
        <v>Smalley</v>
      </c>
      <c r="H11" s="327" t="str">
        <f>IF(VLOOKUP($C11,Purchased!A:Z,13,0)=0, " ", VLOOKUP($C11,Purchased!A:Z,13,0))</f>
        <v>RSSD-047-CSBO-TW -  credit card - 100 PC min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45483</v>
      </c>
      <c r="M11" s="46">
        <f>IF(VLOOKUP(C11,Purchased!A:R,16,0)=0, " ",VLOOKUP(C11,Purchased!A:R,16,0))</f>
        <v>45492</v>
      </c>
      <c r="N11" s="130">
        <f>IF(VLOOKUP(C11,Purchased!A:R,17,0)=0, " ", VLOOKUP(C11,Purchased!A:R,17,0))</f>
        <v>45492</v>
      </c>
      <c r="O11" s="47">
        <f t="shared" ca="1" si="2"/>
        <v>48</v>
      </c>
      <c r="P11" s="51">
        <f>VLOOKUP(C11,Purchased!A:D,3,FALSE)</f>
        <v>0.41899999999999998</v>
      </c>
      <c r="Q11" s="52">
        <f t="shared" si="3"/>
        <v>3.3519999999999999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4</v>
      </c>
      <c r="C13" s="122" t="s">
        <v>174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24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4</v>
      </c>
      <c r="C14" s="122" t="s">
        <v>180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24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x14ac:dyDescent="0.25">
      <c r="A15" s="4">
        <v>503</v>
      </c>
      <c r="B15" s="2">
        <v>8</v>
      </c>
      <c r="C15" s="122" t="s">
        <v>1151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48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4">
        <v>504</v>
      </c>
      <c r="B16" s="2">
        <v>8</v>
      </c>
      <c r="C16" s="122" t="s">
        <v>633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48</v>
      </c>
      <c r="P16" s="51">
        <f>VLOOKUP(C16,Bolts!A:B,2,FALSE)</f>
        <v>0</v>
      </c>
      <c r="Q16" s="52">
        <f>B16*P16</f>
        <v>0</v>
      </c>
    </row>
    <row r="17" spans="1:17" s="2" customFormat="1" ht="12.75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.75" customHeight="1" thickBot="1" x14ac:dyDescent="0.3">
      <c r="A18" s="4">
        <v>701</v>
      </c>
      <c r="B18" s="2">
        <v>1</v>
      </c>
      <c r="C18" s="123" t="s">
        <v>1152</v>
      </c>
      <c r="D18" s="325" t="str">
        <f>VLOOKUP(C18,Extrusion!B:C,2,0)</f>
        <v>APPROVED EL 8/1</v>
      </c>
      <c r="E18" s="326"/>
      <c r="F18" s="108" t="str">
        <f ca="1">VLOOKUP(C18,Extrusion!B:N,5,0)</f>
        <v/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t="shared" ref="O18" ca="1" si="4">B18*$L$2</f>
        <v>6</v>
      </c>
      <c r="P18" s="51">
        <f>VLOOKUP(C18,Extrusion!B:G,4,0)</f>
        <v>6</v>
      </c>
      <c r="Q18" s="52">
        <f t="shared" ref="Q18" si="5">B18*P18</f>
        <v>6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SUM(Q5:Q18)</f>
        <v>771.41199999999992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</sheetData>
  <sheetProtection selectLockedCells="1"/>
  <mergeCells count="28">
    <mergeCell ref="D19:E19"/>
    <mergeCell ref="H19:I19"/>
    <mergeCell ref="D5:E5"/>
    <mergeCell ref="H5:I5"/>
    <mergeCell ref="D6:E6"/>
    <mergeCell ref="H6:I6"/>
    <mergeCell ref="D7:E7"/>
    <mergeCell ref="D11:E11"/>
    <mergeCell ref="H11:I11"/>
    <mergeCell ref="D9:E9"/>
    <mergeCell ref="H9:I9"/>
    <mergeCell ref="D12:E12"/>
    <mergeCell ref="H12:I12"/>
    <mergeCell ref="D16:E16"/>
    <mergeCell ref="D17:E17"/>
    <mergeCell ref="H17:I17"/>
    <mergeCell ref="D18:E18"/>
    <mergeCell ref="D1:E1"/>
    <mergeCell ref="D4:E4"/>
    <mergeCell ref="H4:I4"/>
    <mergeCell ref="D10:E10"/>
    <mergeCell ref="H10:I10"/>
    <mergeCell ref="H7:I7"/>
    <mergeCell ref="D8:E8"/>
    <mergeCell ref="H8:I8"/>
    <mergeCell ref="D15:E15"/>
    <mergeCell ref="D13:E13"/>
    <mergeCell ref="D14:E14"/>
  </mergeCells>
  <conditionalFormatting sqref="M9 M12:M18">
    <cfRule type="cellIs" dxfId="756" priority="5" stopIfTrue="1" operator="lessThanOrEqual">
      <formula>$L9</formula>
    </cfRule>
    <cfRule type="cellIs" dxfId="755" priority="6" operator="greaterThan">
      <formula>L9</formula>
    </cfRule>
  </conditionalFormatting>
  <conditionalFormatting sqref="M10">
    <cfRule type="cellIs" dxfId="754" priority="3" stopIfTrue="1" operator="lessThanOrEqual">
      <formula>$L10</formula>
    </cfRule>
    <cfRule type="cellIs" dxfId="753" priority="4" operator="greaterThan">
      <formula>L10</formula>
    </cfRule>
  </conditionalFormatting>
  <conditionalFormatting sqref="M11">
    <cfRule type="cellIs" dxfId="752" priority="1" stopIfTrue="1" operator="lessThanOrEqual">
      <formula>$L11</formula>
    </cfRule>
    <cfRule type="cellIs" dxfId="751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FDD4D30-91F3-4AC9-B721-8C269A4D7090}">
          <x14:formula1>
            <xm:f>Extrusion!$B:$B</xm:f>
          </x14:formula1>
          <xm:sqref>C18</xm:sqref>
        </x14:dataValidation>
        <x14:dataValidation type="list" allowBlank="1" showInputMessage="1" showErrorMessage="1" xr:uid="{0A92E788-5A99-497B-98C3-65D968EE8243}">
          <x14:formula1>
            <xm:f>Bolts!$A:$A</xm:f>
          </x14:formula1>
          <xm:sqref>C13:C16</xm:sqref>
        </x14:dataValidation>
        <x14:dataValidation type="list" allowBlank="1" showInputMessage="1" showErrorMessage="1" xr:uid="{9F29FA88-A39F-4DC5-A7C9-55AF9D45A7C7}">
          <x14:formula1>
            <xm:f>Machined!$C:$C</xm:f>
          </x14:formula1>
          <xm:sqref>C5:C8</xm:sqref>
        </x14:dataValidation>
        <x14:dataValidation type="list" allowBlank="1" showInputMessage="1" showErrorMessage="1" xr:uid="{E2466F93-1BCB-4AE9-A86A-6EA16891B11B}">
          <x14:formula1>
            <xm:f>Purchased!$A:$A</xm:f>
          </x14:formula1>
          <xm:sqref>C10:C11</xm:sqref>
        </x14:dataValidation>
      </x14:dataValidations>
    </ext>
  </extLst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62F7-CEC2-4B3A-9875-6D7C991496DB}">
  <sheetPr codeName="Sheet173">
    <tabColor theme="6" tint="0.59999389629810485"/>
  </sheetPr>
  <dimension ref="A1:Q26"/>
  <sheetViews>
    <sheetView zoomScale="115" zoomScaleNormal="115" workbookViewId="0">
      <selection activeCell="A15" sqref="A15:Q1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'7.2'!C6</f>
        <v>PG10.7.2.2.0.A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3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'7.2'!D6</f>
        <v>LOWER SIDE SEAL SERVO ASSY</v>
      </c>
      <c r="D3" s="85" t="s">
        <v>50</v>
      </c>
      <c r="E3" s="86" t="str">
        <f ca="1">MID(CELL("filename",A1),FIND("]",CELL("filename",A1))+1,256)</f>
        <v>7.2.2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1153</v>
      </c>
      <c r="D5" s="314" t="str">
        <f>VLOOKUP(C5,Machined!C:X,2,0)</f>
        <v>Side Seal Crank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Nuline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303 TG&amp;P, Round Stock, -0.0005</v>
      </c>
      <c r="J5" s="44">
        <f>IF(VLOOKUP($C5,Machined!C:Z,18,0) = 0, " ", VLOOKUP($C5,Machined!C:Z,18,0))</f>
        <v>45525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45541</v>
      </c>
      <c r="M5" s="44">
        <f>IF(VLOOKUP($C5,Machined!C:Z,21,0) = 0, " ", VLOOKUP($C5,Machined!C:Z,21,0))</f>
        <v>45541</v>
      </c>
      <c r="N5" s="129">
        <f>IF(VLOOKUP($C5,Machined!C:Z,22,0) = 0, " ", VLOOKUP($C5,Machined!C:Z,22,0))</f>
        <v>55700</v>
      </c>
      <c r="O5" s="45">
        <f t="shared" ref="O5" ca="1" si="0">B5*$L$2</f>
        <v>3</v>
      </c>
      <c r="P5" s="49">
        <f>VLOOKUP(C5,Machined!C:F,3,0)</f>
        <v>72.95</v>
      </c>
      <c r="Q5" s="50">
        <f t="shared" ref="Q5" si="1">B5*P5</f>
        <v>72.95</v>
      </c>
    </row>
    <row r="6" spans="1:17" s="2" customFormat="1" ht="12.75" customHeight="1" x14ac:dyDescent="0.25">
      <c r="A6" s="77">
        <v>2</v>
      </c>
      <c r="B6" s="20">
        <v>1</v>
      </c>
      <c r="C6" s="121" t="s">
        <v>1154</v>
      </c>
      <c r="D6" s="314" t="str">
        <f>VLOOKUP(C6,Machined!C:X,2,0)</f>
        <v>Seal Bar Gearbox Plate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MtnStatesAuto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55569</v>
      </c>
      <c r="O6" s="45">
        <f t="shared" ref="O6" ca="1" si="2">B6*$L$2</f>
        <v>3</v>
      </c>
      <c r="P6" s="49">
        <f>VLOOKUP(C6,Machined!C:F,3,0)</f>
        <v>70.3</v>
      </c>
      <c r="Q6" s="50">
        <f t="shared" ref="Q6" si="3">B6*P6</f>
        <v>70.3</v>
      </c>
    </row>
    <row r="7" spans="1:17" s="2" customFormat="1" ht="12.75" customHeight="1" x14ac:dyDescent="0.25">
      <c r="A7" s="77">
        <v>3</v>
      </c>
      <c r="B7" s="20">
        <v>2</v>
      </c>
      <c r="C7" s="121" t="s">
        <v>1155</v>
      </c>
      <c r="D7" s="314" t="str">
        <f>VLOOKUP(C7,Machined!C:X,2,0)</f>
        <v>Shipp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MtnStatesAuto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55569</v>
      </c>
      <c r="O7" s="45">
        <f t="shared" ref="O7:O8" ca="1" si="4">B7*$L$2</f>
        <v>6</v>
      </c>
      <c r="P7" s="49">
        <f>VLOOKUP(C7,Machined!C:F,3,0)</f>
        <v>53.4</v>
      </c>
      <c r="Q7" s="50">
        <f t="shared" ref="Q7:Q8" si="5">B7*P7</f>
        <v>106.8</v>
      </c>
    </row>
    <row r="8" spans="1:17" s="2" customFormat="1" ht="12.75" customHeight="1" x14ac:dyDescent="0.25">
      <c r="A8" s="77">
        <v>4</v>
      </c>
      <c r="B8" s="20">
        <v>1</v>
      </c>
      <c r="C8" s="121" t="s">
        <v>1156</v>
      </c>
      <c r="D8" s="314" t="str">
        <f>VLOOKUP(C8,Machined!C:X,2,0)</f>
        <v>Large Gearbox Offset Block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55569</v>
      </c>
      <c r="O8" s="45">
        <f t="shared" ca="1" si="4"/>
        <v>3</v>
      </c>
      <c r="P8" s="49">
        <f>VLOOKUP(C8,Machined!C:F,3,0)</f>
        <v>123.15</v>
      </c>
      <c r="Q8" s="50">
        <f t="shared" si="5"/>
        <v>123.15</v>
      </c>
    </row>
    <row r="9" spans="1:17" s="2" customFormat="1" ht="12.75" customHeight="1" x14ac:dyDescent="0.25">
      <c r="A9" s="77">
        <v>4</v>
      </c>
      <c r="B9" s="20">
        <v>2</v>
      </c>
      <c r="C9" s="121" t="s">
        <v>1157</v>
      </c>
      <c r="D9" s="314" t="str">
        <f>VLOOKUP(C9,Machined!C:X,2,0)</f>
        <v>Crankshaft Bearing Mount Plate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MtnStatesAuto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45461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55569</v>
      </c>
      <c r="O9" s="45">
        <f t="shared" ref="O9" ca="1" si="6">B9*$L$2</f>
        <v>6</v>
      </c>
      <c r="P9" s="49">
        <f>VLOOKUP(C9,Machined!C:F,3,0)</f>
        <v>66.3</v>
      </c>
      <c r="Q9" s="50">
        <f t="shared" ref="Q9" si="7">B9*P9</f>
        <v>132.6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16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:O16" ca="1" si="8">B11*$L$2</f>
        <v>48</v>
      </c>
      <c r="P11" s="51">
        <f>VLOOKUP(C11,Purchased!A:D,3,FALSE)</f>
        <v>0.56000000000000005</v>
      </c>
      <c r="Q11" s="52">
        <f t="shared" ref="Q11:Q16" si="9">B11*P11</f>
        <v>8.9600000000000009</v>
      </c>
    </row>
    <row r="12" spans="1:17" s="2" customFormat="1" ht="12.75" customHeight="1" x14ac:dyDescent="0.25">
      <c r="A12" s="4">
        <v>302</v>
      </c>
      <c r="B12" s="2">
        <v>2</v>
      </c>
      <c r="C12" s="135" t="s">
        <v>1158</v>
      </c>
      <c r="D12" s="325" t="str">
        <f>VLOOKUP(C12,Purchased!A:B,2,0)</f>
        <v>Mounted Steel Ball Bearing with Cast Iron Housing</v>
      </c>
      <c r="E12" s="326"/>
      <c r="F12" s="108" t="str">
        <f>IF(VLOOKUP($C12,Purchased!A:Z,11,0) = 0, " ", VLOOKUP($C12,Purchased!A:Z,11,0))</f>
        <v>Timken</v>
      </c>
      <c r="G12" s="108" t="str">
        <f>IF(VLOOKUP($C12,Purchased!A:Z,12,0)=0, " ", VLOOKUP($C12,Purchased!A:Z,12,0))</f>
        <v>BDI</v>
      </c>
      <c r="H12" s="327" t="str">
        <f>IF(VLOOKUP($C12,Purchased!A:Z,13,0)=0, " ", VLOOKUP($C12,Purchased!A:Z,13,0))</f>
        <v># 20353591</v>
      </c>
      <c r="I12" s="328"/>
      <c r="J12" s="46">
        <f>IF(VLOOKUP($C12,Purchased!A:Z,14,0)=0, " ", VLOOKUP($C12,Purchased!A:Z,14,0))</f>
        <v>45460</v>
      </c>
      <c r="K12" s="46">
        <f>IF(VLOOKUP(C12,Purchased!A:R,14,0)=0, " ", VLOOKUP(C12,Purchased!A:R,14,0))</f>
        <v>45460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45495</v>
      </c>
      <c r="O12" s="47">
        <f t="shared" ca="1" si="8"/>
        <v>6</v>
      </c>
      <c r="P12" s="51">
        <f>VLOOKUP(C12,Purchased!A:D,3,FALSE)</f>
        <v>62.35</v>
      </c>
      <c r="Q12" s="52">
        <f t="shared" si="9"/>
        <v>124.7</v>
      </c>
    </row>
    <row r="13" spans="1:17" s="2" customFormat="1" ht="12.75" customHeight="1" x14ac:dyDescent="0.25">
      <c r="A13" s="4">
        <v>303</v>
      </c>
      <c r="B13" s="2">
        <v>2</v>
      </c>
      <c r="C13" s="135" t="s">
        <v>1159</v>
      </c>
      <c r="D13" s="325" t="str">
        <f>VLOOKUP(C13,Purchased!A:B,2,0)</f>
        <v>Rounded Machine Key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8"/>
        <v>6</v>
      </c>
      <c r="P13" s="51">
        <f>VLOOKUP(C13,Purchased!A:D,3,FALSE)</f>
        <v>6.04</v>
      </c>
      <c r="Q13" s="52">
        <f t="shared" si="9"/>
        <v>12.08</v>
      </c>
    </row>
    <row r="14" spans="1:17" s="2" customFormat="1" ht="12.75" customHeight="1" x14ac:dyDescent="0.25">
      <c r="A14" s="4">
        <v>304</v>
      </c>
      <c r="B14" s="2">
        <v>1</v>
      </c>
      <c r="C14" s="135" t="s">
        <v>1160</v>
      </c>
      <c r="D14" s="325" t="str">
        <f>VLOOKUP(C14,Purchased!A:B,2,0)</f>
        <v>K302WG0200EZ502U Gearmotor, Lower Side Seal</v>
      </c>
      <c r="E14" s="326"/>
      <c r="F14" s="108" t="str">
        <f>IF(VLOOKUP($C14,Purchased!A:Z,11,0) = 0, " ", VLOOKUP($C14,Purchased!A:Z,11,0))</f>
        <v>Stober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45426</v>
      </c>
      <c r="K14" s="46">
        <f>IF(VLOOKUP(C14,Purchased!A:R,14,0)=0, " ", VLOOKUP(C14,Purchased!A:R,14,0))</f>
        <v>45426</v>
      </c>
      <c r="L14" s="46">
        <f>IF(VLOOKUP(C14,Purchased!A:R,15,0)=0, " ", VLOOKUP(C14,Purchased!A:R,15,0))</f>
        <v>45426</v>
      </c>
      <c r="M14" s="46">
        <f>IF(VLOOKUP(C14,Purchased!A:R,16,0)=0, " ",VLOOKUP(C14,Purchased!A:R,16,0))</f>
        <v>45524</v>
      </c>
      <c r="N14" s="130">
        <f>IF(VLOOKUP(C14,Purchased!A:R,17,0)=0, " ", VLOOKUP(C14,Purchased!A:R,17,0))</f>
        <v>45524</v>
      </c>
      <c r="O14" s="47">
        <f t="shared" ca="1" si="8"/>
        <v>3</v>
      </c>
      <c r="P14" s="51">
        <f>VLOOKUP(C14,Purchased!A:D,3,FALSE)</f>
        <v>3966.3107</v>
      </c>
      <c r="Q14" s="52">
        <f t="shared" si="9"/>
        <v>3966.3107</v>
      </c>
    </row>
    <row r="15" spans="1:17" s="2" customFormat="1" ht="12.75" customHeight="1" x14ac:dyDescent="0.25">
      <c r="A15" s="4">
        <v>305</v>
      </c>
      <c r="B15" s="2">
        <v>1</v>
      </c>
      <c r="C15" s="135" t="s">
        <v>425</v>
      </c>
      <c r="D15" s="325" t="str">
        <f>VLOOKUP(C15,Purchased!A:B,2,0)</f>
        <v>STOBER - Power cable -56876, 10MTR</v>
      </c>
      <c r="E15" s="326"/>
      <c r="F15" s="108" t="str">
        <f>IF(VLOOKUP($C15,Purchased!A:Z,11,0) = 0, " ", VLOOKUP($C15,Purchased!A:Z,11,0))</f>
        <v>STOBER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45464</v>
      </c>
      <c r="M15" s="46">
        <f>IF(VLOOKUP(C15,Purchased!A:R,16,0)=0, " ",VLOOKUP(C15,Purchased!A:R,16,0))</f>
        <v>45532</v>
      </c>
      <c r="N15" s="130">
        <f>IF(VLOOKUP(C15,Purchased!A:R,17,0)=0, " ", VLOOKUP(C15,Purchased!A:R,17,0))</f>
        <v>45532</v>
      </c>
      <c r="O15" s="47">
        <f t="shared" ca="1" si="8"/>
        <v>3</v>
      </c>
      <c r="P15" s="51">
        <f>VLOOKUP(C15,Purchased!A:D,3,FALSE)</f>
        <v>290.44470000000001</v>
      </c>
      <c r="Q15" s="52">
        <f t="shared" si="9"/>
        <v>290.44470000000001</v>
      </c>
    </row>
    <row r="16" spans="1:17" s="2" customFormat="1" ht="12.75" customHeight="1" x14ac:dyDescent="0.25">
      <c r="A16" s="4">
        <v>306</v>
      </c>
      <c r="B16" s="2">
        <v>1</v>
      </c>
      <c r="C16" s="135" t="s">
        <v>426</v>
      </c>
      <c r="D16" s="325" t="str">
        <f>VLOOKUP(C16,Purchased!A:B,2,0)</f>
        <v>STOBER - Encoder cable -57815, 10MTR</v>
      </c>
      <c r="E16" s="326"/>
      <c r="F16" s="108" t="str">
        <f>IF(VLOOKUP($C16,Purchased!A:Z,11,0) = 0, " ", VLOOKUP($C16,Purchased!A:Z,11,0))</f>
        <v>STOBER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45463</v>
      </c>
      <c r="K16" s="46">
        <f>IF(VLOOKUP(C16,Purchased!A:R,14,0)=0, " ", VLOOKUP(C16,Purchased!A:R,14,0))</f>
        <v>45463</v>
      </c>
      <c r="L16" s="46">
        <f>IF(VLOOKUP(C16,Purchased!A:R,15,0)=0, " ", VLOOKUP(C16,Purchased!A:R,15,0))</f>
        <v>45464</v>
      </c>
      <c r="M16" s="46">
        <f>IF(VLOOKUP(C16,Purchased!A:R,16,0)=0, " ",VLOOKUP(C16,Purchased!A:R,16,0))</f>
        <v>45532</v>
      </c>
      <c r="N16" s="130">
        <f>IF(VLOOKUP(C16,Purchased!A:R,17,0)=0, " ", VLOOKUP(C16,Purchased!A:R,17,0))</f>
        <v>45532</v>
      </c>
      <c r="O16" s="47">
        <f t="shared" ca="1" si="8"/>
        <v>3</v>
      </c>
      <c r="P16" s="51">
        <f>VLOOKUP(C16,Purchased!A:D,3,FALSE)</f>
        <v>259.95600000000002</v>
      </c>
      <c r="Q16" s="52">
        <f t="shared" si="9"/>
        <v>259.95600000000002</v>
      </c>
    </row>
    <row r="17" spans="1:17" s="2" customFormat="1" ht="12.75" customHeight="1" x14ac:dyDescent="0.2">
      <c r="A17" s="25"/>
      <c r="B17" s="26"/>
      <c r="C17" s="26"/>
      <c r="D17" s="332"/>
      <c r="E17" s="346"/>
      <c r="F17" s="26"/>
      <c r="G17" s="26"/>
      <c r="H17" s="322"/>
      <c r="I17" s="322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.75" customHeight="1" x14ac:dyDescent="0.25">
      <c r="A18" s="4">
        <v>501</v>
      </c>
      <c r="B18" s="2">
        <v>8</v>
      </c>
      <c r="C18" s="122" t="s">
        <v>203</v>
      </c>
      <c r="D18" s="325"/>
      <c r="E18" s="342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24</v>
      </c>
      <c r="P18" s="51">
        <f>VLOOKUP(C18,Bolts!A:B,2,FALSE)</f>
        <v>0</v>
      </c>
      <c r="Q18" s="52">
        <f>B18*P18</f>
        <v>0</v>
      </c>
    </row>
    <row r="19" spans="1:17" s="2" customFormat="1" ht="12" customHeight="1" x14ac:dyDescent="0.25">
      <c r="A19" s="4">
        <v>502</v>
      </c>
      <c r="B19" s="2">
        <v>4</v>
      </c>
      <c r="C19" s="122" t="s">
        <v>269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ref="O19:O24" ca="1" si="10">B19*$L$2</f>
        <v>12</v>
      </c>
      <c r="P19" s="51">
        <f>VLOOKUP(C19,Bolts!A:B,2,FALSE)</f>
        <v>0</v>
      </c>
      <c r="Q19" s="52">
        <f t="shared" ref="Q19:Q24" si="11">B19*P19</f>
        <v>0</v>
      </c>
    </row>
    <row r="20" spans="1:17" s="2" customFormat="1" ht="12" customHeight="1" x14ac:dyDescent="0.25">
      <c r="A20" s="4">
        <v>503</v>
      </c>
      <c r="B20" s="2">
        <v>4</v>
      </c>
      <c r="C20" s="122" t="s">
        <v>1161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10"/>
        <v>12</v>
      </c>
      <c r="P20" s="51">
        <f>VLOOKUP(C20,Bolts!A:B,2,FALSE)</f>
        <v>0</v>
      </c>
      <c r="Q20" s="52">
        <f t="shared" si="11"/>
        <v>0</v>
      </c>
    </row>
    <row r="21" spans="1:17" s="2" customFormat="1" ht="12" customHeight="1" x14ac:dyDescent="0.25">
      <c r="A21" s="4">
        <v>504</v>
      </c>
      <c r="B21" s="2">
        <v>4</v>
      </c>
      <c r="C21" s="122" t="s">
        <v>1162</v>
      </c>
      <c r="D21" s="325"/>
      <c r="E21" s="326"/>
      <c r="F21" s="108" t="str">
        <f>VLOOKUP(C21,Bolts!A:L,5,0)</f>
        <v xml:space="preserve"> </v>
      </c>
      <c r="G21" s="108" t="str">
        <f>VLOOKUP(C21,Bolts!A:L,6,0)</f>
        <v xml:space="preserve"> 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10"/>
        <v>12</v>
      </c>
      <c r="P21" s="51">
        <f>VLOOKUP(C21,Bolts!A:B,2,FALSE)</f>
        <v>0</v>
      </c>
      <c r="Q21" s="52">
        <f t="shared" si="11"/>
        <v>0</v>
      </c>
    </row>
    <row r="22" spans="1:17" s="2" customFormat="1" ht="12" customHeight="1" x14ac:dyDescent="0.25">
      <c r="A22" s="4">
        <v>505</v>
      </c>
      <c r="B22" s="2">
        <v>2</v>
      </c>
      <c r="C22" s="122" t="s">
        <v>188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10"/>
        <v>6</v>
      </c>
      <c r="P22" s="51">
        <f>VLOOKUP(C22,Bolts!A:B,2,FALSE)</f>
        <v>0</v>
      </c>
      <c r="Q22" s="52">
        <f t="shared" si="11"/>
        <v>0</v>
      </c>
    </row>
    <row r="23" spans="1:17" s="2" customFormat="1" ht="12" customHeight="1" x14ac:dyDescent="0.25">
      <c r="A23" s="4">
        <v>506</v>
      </c>
      <c r="B23" s="2">
        <v>4</v>
      </c>
      <c r="C23" s="122" t="s">
        <v>692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10"/>
        <v>12</v>
      </c>
      <c r="P23" s="51">
        <f>VLOOKUP(C23,Bolts!A:B,2,FALSE)</f>
        <v>0</v>
      </c>
      <c r="Q23" s="52">
        <f t="shared" si="11"/>
        <v>0</v>
      </c>
    </row>
    <row r="24" spans="1:17" s="2" customFormat="1" ht="12" customHeight="1" thickBot="1" x14ac:dyDescent="0.3">
      <c r="A24" s="4">
        <v>507</v>
      </c>
      <c r="B24" s="2">
        <v>4</v>
      </c>
      <c r="C24" s="122" t="s">
        <v>1163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10"/>
        <v>12</v>
      </c>
      <c r="P24" s="51">
        <f>VLOOKUP(C24,Bolts!A:B,2,FALSE)</f>
        <v>0</v>
      </c>
      <c r="Q24" s="52">
        <f t="shared" si="11"/>
        <v>0</v>
      </c>
    </row>
    <row r="25" spans="1:17" s="2" customFormat="1" ht="12" customHeight="1" thickBot="1" x14ac:dyDescent="0.3">
      <c r="A25" s="34"/>
      <c r="B25" s="35"/>
      <c r="C25" s="35"/>
      <c r="D25" s="316"/>
      <c r="E25" s="317"/>
      <c r="F25" s="35"/>
      <c r="G25" s="35"/>
      <c r="H25" s="309"/>
      <c r="I25" s="310"/>
      <c r="J25" s="36"/>
      <c r="K25" s="36"/>
      <c r="L25" s="36"/>
      <c r="M25" s="37"/>
      <c r="N25" s="132"/>
      <c r="O25" s="38"/>
      <c r="P25" s="99" t="s">
        <v>43</v>
      </c>
      <c r="Q25" s="104">
        <f>SUM(Q5:Q18)</f>
        <v>5168.2514000000001</v>
      </c>
    </row>
    <row r="26" spans="1:17" s="2" customFormat="1" ht="12" customHeight="1" x14ac:dyDescent="0.2">
      <c r="D26" s="21"/>
      <c r="E26" s="21"/>
      <c r="J26" s="8"/>
      <c r="K26" s="8"/>
      <c r="L26" s="8"/>
      <c r="M26" s="8"/>
      <c r="N26" s="131"/>
      <c r="O26" s="5"/>
      <c r="P26" s="98"/>
      <c r="Q26" s="105"/>
    </row>
  </sheetData>
  <sheetProtection selectLockedCells="1"/>
  <mergeCells count="38">
    <mergeCell ref="D15:E15"/>
    <mergeCell ref="H15:I15"/>
    <mergeCell ref="D16:E16"/>
    <mergeCell ref="H16:I16"/>
    <mergeCell ref="D25:E25"/>
    <mergeCell ref="H25:I25"/>
    <mergeCell ref="D19:E19"/>
    <mergeCell ref="D20:E20"/>
    <mergeCell ref="D21:E21"/>
    <mergeCell ref="D22:E22"/>
    <mergeCell ref="D23:E23"/>
    <mergeCell ref="D24:E24"/>
    <mergeCell ref="H5:I5"/>
    <mergeCell ref="D6:E6"/>
    <mergeCell ref="H6:I6"/>
    <mergeCell ref="D8:E8"/>
    <mergeCell ref="H8:I8"/>
    <mergeCell ref="H11:I11"/>
    <mergeCell ref="D12:E12"/>
    <mergeCell ref="H12:I12"/>
    <mergeCell ref="D14:E14"/>
    <mergeCell ref="H14:I14"/>
    <mergeCell ref="D1:E1"/>
    <mergeCell ref="D4:E4"/>
    <mergeCell ref="D18:E18"/>
    <mergeCell ref="H4:I4"/>
    <mergeCell ref="D5:E5"/>
    <mergeCell ref="D17:E17"/>
    <mergeCell ref="H17:I17"/>
    <mergeCell ref="D13:E13"/>
    <mergeCell ref="H13:I13"/>
    <mergeCell ref="D7:E7"/>
    <mergeCell ref="H7:I7"/>
    <mergeCell ref="D9:E9"/>
    <mergeCell ref="H9:I9"/>
    <mergeCell ref="D10:E10"/>
    <mergeCell ref="H10:I10"/>
    <mergeCell ref="D11:E11"/>
  </mergeCells>
  <conditionalFormatting sqref="M10 M17:M24">
    <cfRule type="cellIs" dxfId="750" priority="13" stopIfTrue="1" operator="lessThanOrEqual">
      <formula>$L10</formula>
    </cfRule>
    <cfRule type="cellIs" dxfId="749" priority="14" operator="greaterThan">
      <formula>L10</formula>
    </cfRule>
  </conditionalFormatting>
  <conditionalFormatting sqref="M11">
    <cfRule type="cellIs" dxfId="748" priority="11" stopIfTrue="1" operator="lessThanOrEqual">
      <formula>$L11</formula>
    </cfRule>
    <cfRule type="cellIs" dxfId="747" priority="12" operator="greaterThan">
      <formula>L11</formula>
    </cfRule>
  </conditionalFormatting>
  <conditionalFormatting sqref="M12">
    <cfRule type="cellIs" dxfId="746" priority="9" stopIfTrue="1" operator="lessThanOrEqual">
      <formula>$L12</formula>
    </cfRule>
    <cfRule type="cellIs" dxfId="745" priority="10" operator="greaterThan">
      <formula>L12</formula>
    </cfRule>
  </conditionalFormatting>
  <conditionalFormatting sqref="M13">
    <cfRule type="cellIs" dxfId="744" priority="7" stopIfTrue="1" operator="lessThanOrEqual">
      <formula>$L13</formula>
    </cfRule>
    <cfRule type="cellIs" dxfId="743" priority="8" operator="greaterThan">
      <formula>L13</formula>
    </cfRule>
  </conditionalFormatting>
  <conditionalFormatting sqref="M14">
    <cfRule type="cellIs" dxfId="742" priority="5" stopIfTrue="1" operator="lessThanOrEqual">
      <formula>$L14</formula>
    </cfRule>
    <cfRule type="cellIs" dxfId="741" priority="6" operator="greaterThan">
      <formula>L14</formula>
    </cfRule>
  </conditionalFormatting>
  <conditionalFormatting sqref="M15">
    <cfRule type="cellIs" dxfId="740" priority="3" stopIfTrue="1" operator="lessThanOrEqual">
      <formula>$L15</formula>
    </cfRule>
    <cfRule type="cellIs" dxfId="739" priority="4" operator="greaterThan">
      <formula>L15</formula>
    </cfRule>
  </conditionalFormatting>
  <conditionalFormatting sqref="M16">
    <cfRule type="cellIs" dxfId="738" priority="1" stopIfTrue="1" operator="lessThanOrEqual">
      <formula>$L16</formula>
    </cfRule>
    <cfRule type="cellIs" dxfId="737" priority="2" operator="greaterThan">
      <formula>L16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81144E-DC71-4F84-8902-9332E1F4E90D}">
          <x14:formula1>
            <xm:f>Bolts!$A:$A</xm:f>
          </x14:formula1>
          <xm:sqref>C18:C24</xm:sqref>
        </x14:dataValidation>
        <x14:dataValidation type="list" allowBlank="1" showInputMessage="1" showErrorMessage="1" xr:uid="{724432A2-7F7B-4BD6-8ED7-3DF6A2EC1EE6}">
          <x14:formula1>
            <xm:f>Machined!$C:$C</xm:f>
          </x14:formula1>
          <xm:sqref>C5:C9</xm:sqref>
        </x14:dataValidation>
        <x14:dataValidation type="list" allowBlank="1" showInputMessage="1" showErrorMessage="1" xr:uid="{5FD52C8C-0555-4151-B08F-F01062FCBD36}">
          <x14:formula1>
            <xm:f>Purchased!$A:$A</xm:f>
          </x14:formula1>
          <xm:sqref>C11:C16</xm:sqref>
        </x14:dataValidation>
      </x14:dataValidations>
    </ext>
  </extLst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DEC53-0963-4760-82B7-F850B8AA7930}">
  <sheetPr codeName="Sheet174">
    <tabColor theme="6" tint="0.59999389629810485"/>
  </sheetPr>
  <dimension ref="A1:Q24"/>
  <sheetViews>
    <sheetView zoomScale="115" zoomScaleNormal="115" workbookViewId="0">
      <selection activeCell="F15" sqref="A1:Q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'7.2'!C7</f>
        <v>PG10.7.2.3.0.A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'7.2'!D7</f>
        <v>LOWER SIDE SEAL HEAD ASSY</v>
      </c>
      <c r="D3" s="85" t="s">
        <v>50</v>
      </c>
      <c r="E3" s="86" t="str">
        <f ca="1">MID(CELL("filename",A1),FIND("]",CELL("filename",A1))+1,256)</f>
        <v>7.2.3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1164</v>
      </c>
      <c r="D5" s="314" t="str">
        <f>VLOOKUP(C5,Machined!C:X,2,0)</f>
        <v>Upper Side Seal Bar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55566</v>
      </c>
      <c r="O5" s="45">
        <f t="shared" ref="O5:O9" ca="1" si="0">B5*$L$2</f>
        <v>2</v>
      </c>
      <c r="P5" s="49">
        <f>VLOOKUP(C5,Machined!C:F,3,0)</f>
        <v>119.63</v>
      </c>
      <c r="Q5" s="50">
        <f t="shared" ref="Q5:Q9" si="1">B5*P5</f>
        <v>119.63</v>
      </c>
    </row>
    <row r="6" spans="1:17" s="2" customFormat="1" ht="12.75" customHeight="1" x14ac:dyDescent="0.25">
      <c r="A6" s="77">
        <v>2</v>
      </c>
      <c r="B6" s="20">
        <v>1</v>
      </c>
      <c r="C6" s="121" t="s">
        <v>1165</v>
      </c>
      <c r="D6" s="314" t="str">
        <f>VLOOKUP(C6,Machined!C:X,2,0)</f>
        <v>Side Seal Mid Bar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55566</v>
      </c>
      <c r="O6" s="45">
        <f t="shared" ca="1" si="0"/>
        <v>2</v>
      </c>
      <c r="P6" s="49">
        <f>VLOOKUP(C6,Machined!C:F,3,0)</f>
        <v>112.42</v>
      </c>
      <c r="Q6" s="50">
        <f t="shared" si="1"/>
        <v>112.42</v>
      </c>
    </row>
    <row r="7" spans="1:17" s="2" customFormat="1" ht="12.75" customHeight="1" x14ac:dyDescent="0.25">
      <c r="A7" s="77">
        <v>3</v>
      </c>
      <c r="B7" s="20">
        <v>1</v>
      </c>
      <c r="C7" s="121" t="s">
        <v>1166</v>
      </c>
      <c r="D7" s="314" t="str">
        <f>VLOOKUP(C7,Machined!C:X,2,0)</f>
        <v>Side Seal Die Cap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45464</v>
      </c>
      <c r="L7" s="44">
        <f>IF(VLOOKUP($C7,Machined!C:Z,20,0) = 0, " ", VLOOKUP($C7,Machined!C:Z,20,0))</f>
        <v>45495</v>
      </c>
      <c r="M7" s="44">
        <f>IF(VLOOKUP($C7,Machined!C:Z,21,0) = 0, " ", VLOOKUP($C7,Machined!C:Z,21,0))</f>
        <v>45495</v>
      </c>
      <c r="N7" s="129">
        <f>IF(VLOOKUP($C7,Machined!C:Z,22,0) = 0, " ", VLOOKUP($C7,Machined!C:Z,22,0))</f>
        <v>55566</v>
      </c>
      <c r="O7" s="45">
        <f t="shared" ca="1" si="0"/>
        <v>2</v>
      </c>
      <c r="P7" s="49">
        <f>VLOOKUP(C7,Machined!C:F,3,0)</f>
        <v>130.75</v>
      </c>
      <c r="Q7" s="50">
        <f t="shared" si="1"/>
        <v>130.75</v>
      </c>
    </row>
    <row r="8" spans="1:17" s="2" customFormat="1" ht="12.75" customHeight="1" x14ac:dyDescent="0.25">
      <c r="A8" s="77">
        <v>4</v>
      </c>
      <c r="B8" s="20">
        <v>1</v>
      </c>
      <c r="C8" s="121" t="s">
        <v>1167</v>
      </c>
      <c r="D8" s="314" t="str">
        <f>VLOOKUP(C8,Machined!C:X,2,0)</f>
        <v>Side Seal Mounting Tube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45462</v>
      </c>
      <c r="L8" s="44">
        <f>IF(VLOOKUP($C8,Machined!C:Z,20,0) = 0, " ", VLOOKUP($C8,Machined!C:Z,20,0))</f>
        <v>45492</v>
      </c>
      <c r="M8" s="44">
        <f>IF(VLOOKUP($C8,Machined!C:Z,21,0) = 0, " ", VLOOKUP($C8,Machined!C:Z,21,0))</f>
        <v>45492</v>
      </c>
      <c r="N8" s="129">
        <f>IF(VLOOKUP($C8,Machined!C:Z,22,0) = 0, " ", VLOOKUP($C8,Machined!C:Z,22,0))</f>
        <v>55559</v>
      </c>
      <c r="O8" s="45">
        <f t="shared" ca="1" si="0"/>
        <v>2</v>
      </c>
      <c r="P8" s="49">
        <f>VLOOKUP(C8,Machined!C:F,3,0)</f>
        <v>173.25</v>
      </c>
      <c r="Q8" s="50">
        <f t="shared" si="1"/>
        <v>173.25</v>
      </c>
    </row>
    <row r="9" spans="1:17" s="2" customFormat="1" ht="12.75" customHeight="1" x14ac:dyDescent="0.25">
      <c r="A9" s="77">
        <v>5</v>
      </c>
      <c r="B9" s="20">
        <v>2</v>
      </c>
      <c r="C9" s="121" t="s">
        <v>1168</v>
      </c>
      <c r="D9" s="314" t="str">
        <f>VLOOKUP(C9,Machined!C:X,2,0)</f>
        <v>MODIFIED MCM 9604T190 Steel Flanged Shaft Collar, 30mm Dia</v>
      </c>
      <c r="E9" s="329"/>
      <c r="F9" s="107" t="str">
        <f>VLOOKUP($C9,Machined!C:Z,13,0)</f>
        <v>PURCHASED PART</v>
      </c>
      <c r="G9" s="44" t="str">
        <f>IF(VLOOKUP($C9,Machined!C:Z,16,0) = 0, " ", VLOOKUP($C9,Machined!C:Z,16,0))</f>
        <v>Nuline</v>
      </c>
      <c r="H9" s="320" t="str">
        <f>IF(VLOOKUP($C9,Machined!C:Z,17,0) = 0, " ", VLOOKUP($C9,Machined!C:Z,17,0))</f>
        <v>Act part # 1LM030AFXK</v>
      </c>
      <c r="I9" s="321" t="str">
        <f>IF(VLOOKUP($C9,Machined!$C:$Y,13,0) = 0, " ", VLOOKUP($C9,Machined!$C:$Y,13,0))</f>
        <v>PURCHASED PART</v>
      </c>
      <c r="J9" s="44">
        <f>IF(VLOOKUP($C9,Machined!C:Z,18,0) = 0, " ", VLOOKUP($C9,Machined!C:Z,18,0))</f>
        <v>45452</v>
      </c>
      <c r="K9" s="44">
        <f>IF(VLOOKUP($C9,Machined!C:Z,19,0) = 0, " ", VLOOKUP($C9,Machined!C:Z,19,0))</f>
        <v>45456</v>
      </c>
      <c r="L9" s="44">
        <f>IF(VLOOKUP($C9,Machined!C:Z,20,0) = 0, " ", VLOOKUP($C9,Machined!C:Z,20,0))</f>
        <v>45468</v>
      </c>
      <c r="M9" s="44">
        <f>IF(VLOOKUP($C9,Machined!C:Z,21,0) = 0, " ", VLOOKUP($C9,Machined!C:Z,21,0))</f>
        <v>45469</v>
      </c>
      <c r="N9" s="129">
        <f>IF(VLOOKUP($C9,Machined!C:Z,22,0) = 0, " ", VLOOKUP($C9,Machined!C:Z,22,0))</f>
        <v>55553</v>
      </c>
      <c r="O9" s="45">
        <f t="shared" ca="1" si="0"/>
        <v>4</v>
      </c>
      <c r="P9" s="49">
        <f>VLOOKUP(C9,Machined!C:F,3,0)</f>
        <v>89.26</v>
      </c>
      <c r="Q9" s="50">
        <f t="shared" si="1"/>
        <v>178.52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14</v>
      </c>
      <c r="C11" s="135" t="s">
        <v>1169</v>
      </c>
      <c r="D11" s="325" t="str">
        <f>VLOOKUP(C11,Purchased!A:B,2,0)</f>
        <v>ALLOY STEEL CUP POINT SET SCREW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ref="O11:O15" ca="1" si="2">B11*$L$2</f>
        <v>28</v>
      </c>
      <c r="P11" s="51">
        <f>VLOOKUP(C11,Purchased!A:D,3,FALSE)</f>
        <v>13.62</v>
      </c>
      <c r="Q11" s="52">
        <f t="shared" ref="Q11:Q15" si="3">B11*P11</f>
        <v>190.67999999999998</v>
      </c>
    </row>
    <row r="12" spans="1:17" s="2" customFormat="1" ht="12.75" customHeight="1" x14ac:dyDescent="0.25">
      <c r="A12" s="4">
        <v>302</v>
      </c>
      <c r="B12" s="2">
        <v>1</v>
      </c>
      <c r="C12" s="135" t="s">
        <v>1170</v>
      </c>
      <c r="D12" s="325" t="str">
        <f>VLOOKUP(C12,Purchased!A:B,2,0)</f>
        <v>Thermocouple 60in Length</v>
      </c>
      <c r="E12" s="326"/>
      <c r="F12" s="108" t="str">
        <f>IF(VLOOKUP($C12,Purchased!A:Z,11,0) = 0, " ", VLOOKUP($C12,Purchased!A:Z,11,0))</f>
        <v>ACROLAB</v>
      </c>
      <c r="G12" s="108" t="str">
        <f>IF(VLOOKUP($C12,Purchased!A:Z,12,0)=0, " ", VLOOKUP($C12,Purchased!A:Z,12,0))</f>
        <v>ACROLAB</v>
      </c>
      <c r="H12" s="327" t="str">
        <f>IF(VLOOKUP($C12,Purchased!A:Z,13,0)=0, " ", VLOOKUP($C12,Purchased!A:Z,13,0))</f>
        <v>Vendor is moving and late 8/01/24 JP</v>
      </c>
      <c r="I12" s="328"/>
      <c r="J12" s="46">
        <f>IF(VLOOKUP($C12,Purchased!A:Z,14,0)=0, " ", VLOOKUP($C12,Purchased!A:Z,14,0))</f>
        <v>45462</v>
      </c>
      <c r="K12" s="46">
        <f>IF(VLOOKUP(C12,Purchased!A:R,14,0)=0, " ", VLOOKUP(C12,Purchased!A:R,14,0))</f>
        <v>45462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45512</v>
      </c>
      <c r="O12" s="47">
        <f t="shared" ca="1" si="2"/>
        <v>2</v>
      </c>
      <c r="P12" s="51">
        <f>VLOOKUP(C12,Purchased!A:D,3,FALSE)</f>
        <v>52.6</v>
      </c>
      <c r="Q12" s="52">
        <f t="shared" si="3"/>
        <v>52.6</v>
      </c>
    </row>
    <row r="13" spans="1:17" s="2" customFormat="1" ht="12.75" customHeight="1" x14ac:dyDescent="0.25">
      <c r="A13" s="4">
        <v>303</v>
      </c>
      <c r="B13" s="2">
        <v>1</v>
      </c>
      <c r="C13" s="135" t="s">
        <v>1171</v>
      </c>
      <c r="D13" s="325" t="str">
        <f>VLOOKUP(C13,Purchased!A:B,2,0)</f>
        <v>26in ISOBAR</v>
      </c>
      <c r="E13" s="326"/>
      <c r="F13" s="108" t="str">
        <f>IF(VLOOKUP($C13,Purchased!A:Z,11,0) = 0, " ", VLOOKUP($C13,Purchased!A:Z,11,0))</f>
        <v>ACROLAB</v>
      </c>
      <c r="G13" s="108" t="str">
        <f>IF(VLOOKUP($C13,Purchased!A:Z,12,0)=0, " ", VLOOKUP($C13,Purchased!A:Z,12,0))</f>
        <v>ACROLAB</v>
      </c>
      <c r="H13" s="327" t="str">
        <f>IF(VLOOKUP($C13,Purchased!A:Z,13,0)=0, " ", VLOOKUP($C13,Purchased!A:Z,13,0))</f>
        <v>Vendor is moving and late 8/01/24 JP</v>
      </c>
      <c r="I13" s="328"/>
      <c r="J13" s="46">
        <f>IF(VLOOKUP($C13,Purchased!A:Z,14,0)=0, " ", VLOOKUP($C13,Purchased!A:Z,14,0))</f>
        <v>45462</v>
      </c>
      <c r="K13" s="46">
        <f>IF(VLOOKUP(C13,Purchased!A:R,14,0)=0, " ", VLOOKUP(C13,Purchased!A:R,14,0))</f>
        <v>45462</v>
      </c>
      <c r="L13" s="46">
        <f>IF(VLOOKUP(C13,Purchased!A:R,15,0)=0, " ", VLOOKUP(C13,Purchased!A:R,15,0))</f>
        <v>45462</v>
      </c>
      <c r="M13" s="46">
        <f>IF(VLOOKUP(C13,Purchased!A:R,16,0)=0, " ",VLOOKUP(C13,Purchased!A:R,16,0))</f>
        <v>45495</v>
      </c>
      <c r="N13" s="130">
        <f>IF(VLOOKUP(C13,Purchased!A:R,17,0)=0, " ", VLOOKUP(C13,Purchased!A:R,17,0))</f>
        <v>45512</v>
      </c>
      <c r="O13" s="47">
        <f t="shared" ca="1" si="2"/>
        <v>2</v>
      </c>
      <c r="P13" s="51">
        <f>VLOOKUP(C13,Purchased!A:D,3,FALSE)</f>
        <v>77</v>
      </c>
      <c r="Q13" s="52">
        <f t="shared" si="3"/>
        <v>77</v>
      </c>
    </row>
    <row r="14" spans="1:17" s="2" customFormat="1" ht="12.75" customHeight="1" x14ac:dyDescent="0.25">
      <c r="A14" s="4">
        <v>304</v>
      </c>
      <c r="B14" s="2">
        <v>1</v>
      </c>
      <c r="C14" s="135" t="s">
        <v>1172</v>
      </c>
      <c r="D14" s="325" t="str">
        <f>VLOOKUP(C14,Purchased!A:B,2,0)</f>
        <v>CARTRIDGE HEATER</v>
      </c>
      <c r="E14" s="326"/>
      <c r="F14" s="108" t="str">
        <f>IF(VLOOKUP($C14,Purchased!A:Z,11,0) = 0, " ", VLOOKUP($C14,Purchased!A:Z,11,0))</f>
        <v>ACROLAB</v>
      </c>
      <c r="G14" s="108" t="str">
        <f>IF(VLOOKUP($C14,Purchased!A:Z,12,0)=0, " ", VLOOKUP($C14,Purchased!A:Z,12,0))</f>
        <v>ACROLAB</v>
      </c>
      <c r="H14" s="327" t="str">
        <f>IF(VLOOKUP($C14,Purchased!A:Z,13,0)=0, " ", VLOOKUP($C14,Purchased!A:Z,13,0))</f>
        <v>Vendor is moving and late 8/01/24 JP</v>
      </c>
      <c r="I14" s="328"/>
      <c r="J14" s="46">
        <f>IF(VLOOKUP($C14,Purchased!A:Z,14,0)=0, " ", VLOOKUP($C14,Purchased!A:Z,14,0))</f>
        <v>45462</v>
      </c>
      <c r="K14" s="46">
        <f>IF(VLOOKUP(C14,Purchased!A:R,14,0)=0, " ", VLOOKUP(C14,Purchased!A:R,14,0))</f>
        <v>45462</v>
      </c>
      <c r="L14" s="46">
        <f>IF(VLOOKUP(C14,Purchased!A:R,15,0)=0, " ", VLOOKUP(C14,Purchased!A:R,15,0))</f>
        <v>45462</v>
      </c>
      <c r="M14" s="46">
        <f>IF(VLOOKUP(C14,Purchased!A:R,16,0)=0, " ",VLOOKUP(C14,Purchased!A:R,16,0))</f>
        <v>45495</v>
      </c>
      <c r="N14" s="130">
        <f>IF(VLOOKUP(C14,Purchased!A:R,17,0)=0, " ", VLOOKUP(C14,Purchased!A:R,17,0))</f>
        <v>45512</v>
      </c>
      <c r="O14" s="47">
        <f t="shared" ca="1" si="2"/>
        <v>2</v>
      </c>
      <c r="P14" s="51">
        <f>VLOOKUP(C14,Purchased!A:D,3,FALSE)</f>
        <v>271.87</v>
      </c>
      <c r="Q14" s="52">
        <f t="shared" si="3"/>
        <v>271.87</v>
      </c>
    </row>
    <row r="15" spans="1:17" s="2" customFormat="1" ht="12.75" customHeight="1" x14ac:dyDescent="0.25">
      <c r="A15" s="4">
        <v>305</v>
      </c>
      <c r="B15" s="2">
        <v>1</v>
      </c>
      <c r="C15" s="135" t="s">
        <v>1173</v>
      </c>
      <c r="D15" s="325" t="str">
        <f>VLOOKUP(C15,Purchased!A:B,2,0)</f>
        <v>1/8in NPT Bayonet Adapter</v>
      </c>
      <c r="E15" s="326"/>
      <c r="F15" s="108" t="str">
        <f>IF(VLOOKUP($C15,Purchased!A:Z,11,0) = 0, " ", VLOOKUP($C15,Purchased!A:Z,11,0))</f>
        <v>ACROLAB</v>
      </c>
      <c r="G15" s="108" t="str">
        <f>IF(VLOOKUP($C15,Purchased!A:Z,12,0)=0, " ", VLOOKUP($C15,Purchased!A:Z,12,0))</f>
        <v>ACROLAB</v>
      </c>
      <c r="H15" s="327" t="str">
        <f>IF(VLOOKUP($C15,Purchased!A:Z,13,0)=0, " ", VLOOKUP($C15,Purchased!A:Z,13,0))</f>
        <v>Vendor is moving and late 8/01/24 JP</v>
      </c>
      <c r="I15" s="328"/>
      <c r="J15" s="46">
        <f>IF(VLOOKUP($C15,Purchased!A:Z,14,0)=0, " ", VLOOKUP($C15,Purchased!A:Z,14,0))</f>
        <v>45462</v>
      </c>
      <c r="K15" s="46">
        <f>IF(VLOOKUP(C15,Purchased!A:R,14,0)=0, " ", VLOOKUP(C15,Purchased!A:R,14,0))</f>
        <v>45462</v>
      </c>
      <c r="L15" s="46">
        <f>IF(VLOOKUP(C15,Purchased!A:R,15,0)=0, " ", VLOOKUP(C15,Purchased!A:R,15,0))</f>
        <v>45462</v>
      </c>
      <c r="M15" s="46">
        <f>IF(VLOOKUP(C15,Purchased!A:R,16,0)=0, " ",VLOOKUP(C15,Purchased!A:R,16,0))</f>
        <v>45495</v>
      </c>
      <c r="N15" s="130">
        <f>IF(VLOOKUP(C15,Purchased!A:R,17,0)=0, " ", VLOOKUP(C15,Purchased!A:R,17,0))</f>
        <v>45512</v>
      </c>
      <c r="O15" s="47">
        <f t="shared" ca="1" si="2"/>
        <v>2</v>
      </c>
      <c r="P15" s="51">
        <f>VLOOKUP(C15,Purchased!A:D,3,FALSE)</f>
        <v>4.88</v>
      </c>
      <c r="Q15" s="52">
        <f t="shared" si="3"/>
        <v>4.88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</v>
      </c>
      <c r="C17" s="122" t="s">
        <v>1174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ref="O17:O22" ca="1" si="4">B17*$L$2</f>
        <v>4</v>
      </c>
      <c r="P17" s="51">
        <f>VLOOKUP(C17,Bolts!A:B,2,FALSE)</f>
        <v>0</v>
      </c>
      <c r="Q17" s="52">
        <f t="shared" ref="Q17:Q22" si="5">B17*P17</f>
        <v>0</v>
      </c>
    </row>
    <row r="18" spans="1:17" s="2" customFormat="1" ht="12.75" customHeight="1" x14ac:dyDescent="0.25">
      <c r="A18" s="4">
        <v>502</v>
      </c>
      <c r="B18" s="2">
        <v>6</v>
      </c>
      <c r="C18" s="122" t="s">
        <v>1175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ca="1" si="4"/>
        <v>12</v>
      </c>
      <c r="P18" s="51">
        <f>VLOOKUP(C18,Bolts!A:B,2,FALSE)</f>
        <v>0</v>
      </c>
      <c r="Q18" s="52">
        <f t="shared" si="5"/>
        <v>0</v>
      </c>
    </row>
    <row r="19" spans="1:17" s="2" customFormat="1" ht="12.75" customHeight="1" x14ac:dyDescent="0.25">
      <c r="A19" s="4">
        <v>503</v>
      </c>
      <c r="B19" s="2">
        <v>12</v>
      </c>
      <c r="C19" s="122" t="s">
        <v>243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4"/>
        <v>24</v>
      </c>
      <c r="P19" s="51">
        <f>VLOOKUP(C19,Bolts!A:B,2,FALSE)</f>
        <v>0</v>
      </c>
      <c r="Q19" s="52">
        <f t="shared" si="5"/>
        <v>0</v>
      </c>
    </row>
    <row r="20" spans="1:17" s="2" customFormat="1" ht="12.75" customHeight="1" x14ac:dyDescent="0.25">
      <c r="A20" s="4">
        <v>504</v>
      </c>
      <c r="B20" s="2">
        <v>8</v>
      </c>
      <c r="C20" s="122" t="s">
        <v>180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4"/>
        <v>16</v>
      </c>
      <c r="P20" s="51">
        <f>VLOOKUP(C20,Bolts!A:B,2,FALSE)</f>
        <v>0</v>
      </c>
      <c r="Q20" s="52">
        <f t="shared" si="5"/>
        <v>0</v>
      </c>
    </row>
    <row r="21" spans="1:17" s="2" customFormat="1" ht="12.75" customHeight="1" x14ac:dyDescent="0.25">
      <c r="A21" s="4">
        <v>505</v>
      </c>
      <c r="B21" s="2">
        <v>8</v>
      </c>
      <c r="C21" s="122" t="s">
        <v>199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4"/>
        <v>16</v>
      </c>
      <c r="P21" s="51">
        <f>VLOOKUP(C21,Bolts!A:B,2,FALSE)</f>
        <v>0</v>
      </c>
      <c r="Q21" s="52">
        <f t="shared" si="5"/>
        <v>0</v>
      </c>
    </row>
    <row r="22" spans="1:17" s="2" customFormat="1" ht="12.75" customHeight="1" thickBot="1" x14ac:dyDescent="0.3">
      <c r="A22" s="4">
        <v>506</v>
      </c>
      <c r="B22" s="2">
        <v>42</v>
      </c>
      <c r="C22" s="122" t="s">
        <v>1176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4"/>
        <v>84</v>
      </c>
      <c r="P22" s="51">
        <f>VLOOKUP(C22,Bolts!A:B,2,FALSE)</f>
        <v>0</v>
      </c>
      <c r="Q22" s="52">
        <f t="shared" si="5"/>
        <v>0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SUM(Q5:Q22)</f>
        <v>1311.6</v>
      </c>
    </row>
    <row r="24" spans="1:17" s="2" customFormat="1" ht="12" customHeight="1" x14ac:dyDescent="0.2">
      <c r="D24" s="21"/>
      <c r="E24" s="21"/>
      <c r="J24" s="8"/>
      <c r="K24" s="8"/>
      <c r="L24" s="8"/>
      <c r="M24" s="8"/>
      <c r="N24" s="131"/>
      <c r="O24" s="5"/>
      <c r="P24" s="98"/>
      <c r="Q24" s="105"/>
    </row>
  </sheetData>
  <sheetProtection selectLockedCells="1"/>
  <mergeCells count="35">
    <mergeCell ref="D23:E23"/>
    <mergeCell ref="H23:I23"/>
    <mergeCell ref="D17:E17"/>
    <mergeCell ref="D18:E18"/>
    <mergeCell ref="D12:E12"/>
    <mergeCell ref="H12:I12"/>
    <mergeCell ref="D16:E16"/>
    <mergeCell ref="H16:I16"/>
    <mergeCell ref="D22:E22"/>
    <mergeCell ref="D14:E14"/>
    <mergeCell ref="H14:I14"/>
    <mergeCell ref="D21:E21"/>
    <mergeCell ref="D15:E15"/>
    <mergeCell ref="H15:I15"/>
    <mergeCell ref="D19:E19"/>
    <mergeCell ref="D20:E20"/>
    <mergeCell ref="D1:E1"/>
    <mergeCell ref="D4:E4"/>
    <mergeCell ref="H4:I4"/>
    <mergeCell ref="D8:E8"/>
    <mergeCell ref="H8:I8"/>
    <mergeCell ref="D5:E5"/>
    <mergeCell ref="H5:I5"/>
    <mergeCell ref="D6:E6"/>
    <mergeCell ref="H6:I6"/>
    <mergeCell ref="D7:E7"/>
    <mergeCell ref="H7:I7"/>
    <mergeCell ref="D13:E13"/>
    <mergeCell ref="H13:I13"/>
    <mergeCell ref="D11:E11"/>
    <mergeCell ref="H11:I11"/>
    <mergeCell ref="D9:E9"/>
    <mergeCell ref="H9:I9"/>
    <mergeCell ref="D10:E10"/>
    <mergeCell ref="H10:I10"/>
  </mergeCells>
  <conditionalFormatting sqref="M10 M16:M22">
    <cfRule type="cellIs" dxfId="736" priority="11" stopIfTrue="1" operator="lessThanOrEqual">
      <formula>$L10</formula>
    </cfRule>
    <cfRule type="cellIs" dxfId="735" priority="12" operator="greaterThan">
      <formula>L10</formula>
    </cfRule>
  </conditionalFormatting>
  <conditionalFormatting sqref="M11">
    <cfRule type="cellIs" dxfId="734" priority="9" stopIfTrue="1" operator="lessThanOrEqual">
      <formula>$L11</formula>
    </cfRule>
    <cfRule type="cellIs" dxfId="733" priority="10" operator="greaterThan">
      <formula>L11</formula>
    </cfRule>
  </conditionalFormatting>
  <conditionalFormatting sqref="M12">
    <cfRule type="cellIs" dxfId="732" priority="7" stopIfTrue="1" operator="lessThanOrEqual">
      <formula>$L12</formula>
    </cfRule>
    <cfRule type="cellIs" dxfId="731" priority="8" operator="greaterThan">
      <formula>L12</formula>
    </cfRule>
  </conditionalFormatting>
  <conditionalFormatting sqref="M13:M15">
    <cfRule type="cellIs" dxfId="730" priority="1" stopIfTrue="1" operator="lessThanOrEqual">
      <formula>$L13</formula>
    </cfRule>
    <cfRule type="cellIs" dxfId="729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0BC7078-ACF1-46AF-A057-70F661E9A9AA}">
          <x14:formula1>
            <xm:f>Bolts!$A:$A</xm:f>
          </x14:formula1>
          <xm:sqref>C17:C22</xm:sqref>
        </x14:dataValidation>
        <x14:dataValidation type="list" allowBlank="1" showInputMessage="1" showErrorMessage="1" xr:uid="{A600588D-2408-421A-8320-76C10DFF0AD9}">
          <x14:formula1>
            <xm:f>Machined!$C:$C</xm:f>
          </x14:formula1>
          <xm:sqref>C5:C9</xm:sqref>
        </x14:dataValidation>
        <x14:dataValidation type="list" allowBlank="1" showInputMessage="1" showErrorMessage="1" xr:uid="{9679CAFA-B3C6-40E5-BEBD-1D80CCD6BB6C}">
          <x14:formula1>
            <xm:f>Purchased!$A:$A</xm:f>
          </x14:formula1>
          <xm:sqref>C11:C15</xm:sqref>
        </x14:dataValidation>
      </x14:dataValidations>
    </ext>
  </extLst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BF56B-E0CF-4C5A-815F-8A1CC90D8E1B}">
  <sheetPr codeName="Sheet175">
    <tabColor theme="6" tint="0.59999389629810485"/>
  </sheetPr>
  <dimension ref="A1:Q15"/>
  <sheetViews>
    <sheetView zoomScale="115" zoomScaleNormal="115" workbookViewId="0">
      <selection activeCell="F9" sqref="F9:Q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'7.2'!C8</f>
        <v>PG10.7.2.4.0.A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'7.2'!D8</f>
        <v>SIDE SEAL RUNNER BLOCK BRAKE ASSY</v>
      </c>
      <c r="D3" s="85" t="s">
        <v>50</v>
      </c>
      <c r="E3" s="86" t="str">
        <f ca="1">MID(CELL("filename",A1),FIND("]",CELL("filename",A1))+1,256)</f>
        <v>7.2.4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1177</v>
      </c>
      <c r="D5" s="314" t="str">
        <f>VLOOKUP(C5,Machined!C:X,2,0)</f>
        <v>Runner Block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55570</v>
      </c>
      <c r="O5" s="45">
        <f t="shared" ref="O5" ca="1" si="0">B5*$L$2</f>
        <v>12</v>
      </c>
      <c r="P5" s="49">
        <f>VLOOKUP(C5,Machined!C:F,3,0)</f>
        <v>50.45</v>
      </c>
      <c r="Q5" s="50">
        <f t="shared" ref="Q5" si="1">B5*P5</f>
        <v>50.45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1</v>
      </c>
      <c r="C7" s="135" t="s">
        <v>629</v>
      </c>
      <c r="D7" s="325" t="str">
        <f>VLOOKUP(C7,Purchased!A:B,2,0)</f>
        <v>15mm C1 Preload Runner Block</v>
      </c>
      <c r="E7" s="326"/>
      <c r="F7" s="108" t="str">
        <f>IF(VLOOKUP($C7,Purchased!A:Z,11,0) = 0, " ", VLOOKUP($C7,Purchased!A:Z,11,0))</f>
        <v>BRL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Ordered 24 additional PO 55645</v>
      </c>
      <c r="I7" s="328"/>
      <c r="J7" s="46">
        <f>IF(VLOOKUP($C7,Purchased!A:Z,14,0)=0, " ", VLOOKUP($C7,Purchased!A:Z,14,0))</f>
        <v>45461</v>
      </c>
      <c r="K7" s="46">
        <f>IF(VLOOKUP(C7,Purchased!A:R,14,0)=0, " ", VLOOKUP(C7,Purchased!A:R,14,0))</f>
        <v>45461</v>
      </c>
      <c r="L7" s="46">
        <f>IF(VLOOKUP(C7,Purchased!A:R,15,0)=0, " ", VLOOKUP(C7,Purchased!A:R,15,0))</f>
        <v>45462</v>
      </c>
      <c r="M7" s="46">
        <f>IF(VLOOKUP(C7,Purchased!A:R,16,0)=0, " ",VLOOKUP(C7,Purchased!A:R,16,0))</f>
        <v>45504</v>
      </c>
      <c r="N7" s="130">
        <f>IF(VLOOKUP(C7,Purchased!A:R,17,0)=0, " ", VLOOKUP(C7,Purchased!A:R,17,0))</f>
        <v>45504</v>
      </c>
      <c r="O7" s="47">
        <f t="shared" ref="O7:O9" ca="1" si="2">B7*$L$2</f>
        <v>12</v>
      </c>
      <c r="P7" s="51">
        <f>VLOOKUP(C7,Purchased!A:D,3,FALSE)</f>
        <v>109.2133</v>
      </c>
      <c r="Q7" s="52">
        <f t="shared" ref="Q7:Q9" si="3">B7*P7</f>
        <v>109.2133</v>
      </c>
    </row>
    <row r="8" spans="1:17" s="2" customFormat="1" ht="12.75" customHeight="1" x14ac:dyDescent="0.25">
      <c r="A8" s="4">
        <v>302</v>
      </c>
      <c r="B8" s="2">
        <v>1</v>
      </c>
      <c r="C8" s="135" t="s">
        <v>694</v>
      </c>
      <c r="D8" s="325" t="str">
        <f>VLOOKUP(C8,Purchased!A:B,2,0)</f>
        <v>Metric M5 to 4mm hose quick connect</v>
      </c>
      <c r="E8" s="326"/>
      <c r="F8" s="108" t="str">
        <f>IF(VLOOKUP($C8,Purchased!A:Z,11,0) = 0, " ", VLOOKUP($C8,Purchased!A:Z,11,0))</f>
        <v>SMC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45489</v>
      </c>
      <c r="K8" s="46">
        <f>IF(VLOOKUP(C8,Purchased!A:R,14,0)=0, " ", VLOOKUP(C8,Purchased!A:R,14,0))</f>
        <v>45489</v>
      </c>
      <c r="L8" s="46">
        <f>IF(VLOOKUP(C8,Purchased!A:R,15,0)=0, " ", VLOOKUP(C8,Purchased!A:R,15,0))</f>
        <v>45491</v>
      </c>
      <c r="M8" s="46">
        <f>IF(VLOOKUP(C8,Purchased!A:R,16,0)=0, " ",VLOOKUP(C8,Purchased!A:R,16,0))</f>
        <v>45520</v>
      </c>
      <c r="N8" s="130">
        <f>IF(VLOOKUP(C8,Purchased!A:R,17,0)=0, " ", VLOOKUP(C8,Purchased!A:R,17,0))</f>
        <v>45511</v>
      </c>
      <c r="O8" s="47">
        <f t="shared" ca="1" si="2"/>
        <v>12</v>
      </c>
      <c r="P8" s="51">
        <f>VLOOKUP(C8,Purchased!A:D,3,FALSE)</f>
        <v>0.85</v>
      </c>
      <c r="Q8" s="52">
        <f t="shared" si="3"/>
        <v>0.85</v>
      </c>
    </row>
    <row r="9" spans="1:17" s="2" customFormat="1" ht="12.75" customHeight="1" x14ac:dyDescent="0.25">
      <c r="A9" s="4">
        <v>303</v>
      </c>
      <c r="B9" s="2">
        <v>1</v>
      </c>
      <c r="C9" s="135" t="s">
        <v>654</v>
      </c>
      <c r="D9" s="325" t="str">
        <f>VLOOKUP(C9,Purchased!A:B,2,0)</f>
        <v>Pneumatic Brake</v>
      </c>
      <c r="E9" s="326"/>
      <c r="F9" s="108" t="str">
        <f>IF(VLOOKUP($C9,Purchased!A:Z,11,0) = 0, " ", VLOOKUP($C9,Purchased!A:Z,11,0))</f>
        <v>Zimmer</v>
      </c>
      <c r="G9" s="108" t="str">
        <f>IF(VLOOKUP($C9,Purchased!A:Z,12,0)=0, " ", VLOOKUP($C9,Purchased!A:Z,12,0))</f>
        <v>Zimmer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45482</v>
      </c>
      <c r="K9" s="46">
        <f>IF(VLOOKUP(C9,Purchased!A:R,14,0)=0, " ", VLOOKUP(C9,Purchased!A:R,14,0))</f>
        <v>45482</v>
      </c>
      <c r="L9" s="46">
        <f>IF(VLOOKUP(C9,Purchased!A:R,15,0)=0, " ", VLOOKUP(C9,Purchased!A:R,15,0))</f>
        <v>45482</v>
      </c>
      <c r="M9" s="46">
        <f>IF(VLOOKUP(C9,Purchased!A:R,16,0)=0, " ",VLOOKUP(C9,Purchased!A:R,16,0))</f>
        <v>45512</v>
      </c>
      <c r="N9" s="130">
        <f>IF(VLOOKUP(C9,Purchased!A:R,17,0)=0, " ", VLOOKUP(C9,Purchased!A:R,17,0))</f>
        <v>45512</v>
      </c>
      <c r="O9" s="47">
        <f t="shared" ca="1" si="2"/>
        <v>12</v>
      </c>
      <c r="P9" s="51">
        <f>VLOOKUP(C9,Purchased!A:D,3,FALSE)</f>
        <v>428.1</v>
      </c>
      <c r="Q9" s="52">
        <f t="shared" si="3"/>
        <v>428.1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501</v>
      </c>
      <c r="B11" s="2">
        <v>4</v>
      </c>
      <c r="C11" s="122" t="s">
        <v>198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48</v>
      </c>
      <c r="P11" s="51">
        <f>VLOOKUP(C11,Bolts!A:B,2,FALSE)</f>
        <v>0</v>
      </c>
      <c r="Q11" s="52">
        <f>B11*P11</f>
        <v>0</v>
      </c>
    </row>
    <row r="12" spans="1:17" s="2" customFormat="1" ht="12.75" customHeight="1" x14ac:dyDescent="0.25">
      <c r="A12" s="4">
        <v>502</v>
      </c>
      <c r="B12" s="2">
        <v>4</v>
      </c>
      <c r="C12" s="122" t="s">
        <v>107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48</v>
      </c>
      <c r="P12" s="51">
        <f>VLOOKUP(C12,Bolts!A:B,2,FALSE)</f>
        <v>0</v>
      </c>
      <c r="Q12" s="52">
        <f>B12*P12</f>
        <v>0</v>
      </c>
    </row>
    <row r="13" spans="1:17" s="2" customFormat="1" ht="12.75" customHeight="1" thickBot="1" x14ac:dyDescent="0.3">
      <c r="A13" s="4">
        <v>503</v>
      </c>
      <c r="B13" s="2">
        <v>4</v>
      </c>
      <c r="C13" s="122" t="s">
        <v>246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48</v>
      </c>
      <c r="P13" s="51">
        <f>VLOOKUP(C13,Bolts!A:B,2,FALSE)</f>
        <v>0</v>
      </c>
      <c r="Q13" s="52">
        <f>B13*P13</f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588.61329999999998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20">
    <mergeCell ref="D10:E10"/>
    <mergeCell ref="H10:I10"/>
    <mergeCell ref="D13:E13"/>
    <mergeCell ref="D14:E14"/>
    <mergeCell ref="H14:I14"/>
    <mergeCell ref="D11:E11"/>
    <mergeCell ref="D12:E12"/>
    <mergeCell ref="D1:E1"/>
    <mergeCell ref="D4:E4"/>
    <mergeCell ref="H4:I4"/>
    <mergeCell ref="D7:E7"/>
    <mergeCell ref="H7:I7"/>
    <mergeCell ref="D9:E9"/>
    <mergeCell ref="H9:I9"/>
    <mergeCell ref="D5:E5"/>
    <mergeCell ref="H5:I5"/>
    <mergeCell ref="D6:E6"/>
    <mergeCell ref="H6:I6"/>
    <mergeCell ref="D8:E8"/>
    <mergeCell ref="H8:I8"/>
  </mergeCells>
  <conditionalFormatting sqref="M6 M10:M13">
    <cfRule type="cellIs" dxfId="728" priority="7" stopIfTrue="1" operator="lessThanOrEqual">
      <formula>$L6</formula>
    </cfRule>
    <cfRule type="cellIs" dxfId="727" priority="8" operator="greaterThan">
      <formula>L6</formula>
    </cfRule>
  </conditionalFormatting>
  <conditionalFormatting sqref="M7">
    <cfRule type="cellIs" dxfId="726" priority="5" stopIfTrue="1" operator="lessThanOrEqual">
      <formula>$L7</formula>
    </cfRule>
    <cfRule type="cellIs" dxfId="725" priority="6" operator="greaterThan">
      <formula>L7</formula>
    </cfRule>
  </conditionalFormatting>
  <conditionalFormatting sqref="M8">
    <cfRule type="cellIs" dxfId="724" priority="3" stopIfTrue="1" operator="lessThanOrEqual">
      <formula>$L8</formula>
    </cfRule>
    <cfRule type="cellIs" dxfId="723" priority="4" operator="greaterThan">
      <formula>L8</formula>
    </cfRule>
  </conditionalFormatting>
  <conditionalFormatting sqref="M9">
    <cfRule type="cellIs" dxfId="722" priority="1" stopIfTrue="1" operator="lessThanOrEqual">
      <formula>$L9</formula>
    </cfRule>
    <cfRule type="cellIs" dxfId="721" priority="2" operator="greaterThan">
      <formula>L9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B6E4259-0876-4A23-A97C-51F112A39134}">
          <x14:formula1>
            <xm:f>Bolts!$A:$A</xm:f>
          </x14:formula1>
          <xm:sqref>C11:C13</xm:sqref>
        </x14:dataValidation>
        <x14:dataValidation type="list" allowBlank="1" showInputMessage="1" showErrorMessage="1" xr:uid="{0CFB2810-AFDC-42E0-AF64-9FE5EBDB46C4}">
          <x14:formula1>
            <xm:f>Machined!$C:$C</xm:f>
          </x14:formula1>
          <xm:sqref>C5</xm:sqref>
        </x14:dataValidation>
        <x14:dataValidation type="list" allowBlank="1" showInputMessage="1" showErrorMessage="1" xr:uid="{FC97A26C-15E2-42B8-9A45-6EAE78828750}">
          <x14:formula1>
            <xm:f>Purchased!$A:$A</xm:f>
          </x14:formula1>
          <xm:sqref>C7:C9</xm:sqref>
        </x14:dataValidation>
      </x14:dataValidations>
    </ext>
  </extLst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9C48F-2446-45EB-897F-334B863AEEC7}">
  <sheetPr codeName="Sheet176">
    <tabColor theme="6" tint="0.59999389629810485"/>
  </sheetPr>
  <dimension ref="A1:Q20"/>
  <sheetViews>
    <sheetView zoomScale="115" zoomScaleNormal="115" workbookViewId="0">
      <selection activeCell="F14" sqref="F14:Q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'7.2'!C9</f>
        <v>PG10.7.2.5.0.A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'7.2'!D9</f>
        <v>SEAL BAR ROD END ASSY</v>
      </c>
      <c r="D3" s="85" t="s">
        <v>50</v>
      </c>
      <c r="E3" s="86" t="str">
        <f ca="1">MID(CELL("filename",A1),FIND("]",CELL("filename",A1))+1,256)</f>
        <v>7.2.5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1178</v>
      </c>
      <c r="D5" s="314" t="str">
        <f>VLOOKUP(C5,Machined!C:X,2,0)</f>
        <v>Crankshaft Block</v>
      </c>
      <c r="E5" s="329"/>
      <c r="F5" s="107" t="str">
        <f>VLOOKUP($C5,Machined!C:Z,13,0)</f>
        <v>1018 COLD ROLLED STEEL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1018 COLD ROLLED STEEL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55570</v>
      </c>
      <c r="O5" s="45">
        <f t="shared" ref="O5:O8" ca="1" si="0">B5*$L$2</f>
        <v>16</v>
      </c>
      <c r="P5" s="49">
        <f>VLOOKUP(C5,Machined!C:F,3,0)</f>
        <v>122.4</v>
      </c>
      <c r="Q5" s="50">
        <f t="shared" ref="Q5:Q8" si="1">B5*P5</f>
        <v>122.4</v>
      </c>
    </row>
    <row r="6" spans="1:17" s="2" customFormat="1" ht="12.75" customHeight="1" x14ac:dyDescent="0.25">
      <c r="A6" s="77">
        <v>2</v>
      </c>
      <c r="B6" s="20">
        <v>1</v>
      </c>
      <c r="C6" s="121" t="s">
        <v>1179</v>
      </c>
      <c r="D6" s="314" t="str">
        <f>VLOOKUP(C6,Machined!C:X,2,0)</f>
        <v>Linear Shaft Clamp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55570</v>
      </c>
      <c r="O6" s="45">
        <f t="shared" ca="1" si="0"/>
        <v>16</v>
      </c>
      <c r="P6" s="49">
        <f>VLOOKUP(C6,Machined!C:F,3,0)</f>
        <v>85.05</v>
      </c>
      <c r="Q6" s="50">
        <f t="shared" si="1"/>
        <v>85.05</v>
      </c>
    </row>
    <row r="7" spans="1:17" s="2" customFormat="1" ht="12.75" customHeight="1" x14ac:dyDescent="0.25">
      <c r="A7" s="77">
        <v>3</v>
      </c>
      <c r="B7" s="20">
        <v>2</v>
      </c>
      <c r="C7" s="121" t="s">
        <v>1180</v>
      </c>
      <c r="D7" s="314" t="str">
        <f>VLOOKUP(C7,Machined!C:X,2,0)</f>
        <v>MODIFIED MCM 6536N71 BALL 
JOINT ROD END</v>
      </c>
      <c r="E7" s="329"/>
      <c r="F7" s="107" t="str">
        <f>VLOOKUP($C7,Machined!C:Z,13,0)</f>
        <v>PURCHASED PART</v>
      </c>
      <c r="G7" s="44" t="str">
        <f>IF(VLOOKUP($C7,Machined!C:Z,16,0) = 0, " ", VLOOKUP($C7,Machined!C:Z,16,0))</f>
        <v>Nuline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PURCHASED PART</v>
      </c>
      <c r="J7" s="44">
        <f>IF(VLOOKUP($C7,Machined!C:Z,18,0) = 0, " ", VLOOKUP($C7,Machined!C:Z,18,0))</f>
        <v>45460</v>
      </c>
      <c r="K7" s="44">
        <f>IF(VLOOKUP($C7,Machined!C:Z,19,0) = 0, " ", VLOOKUP($C7,Machined!C:Z,19,0))</f>
        <v>45460</v>
      </c>
      <c r="L7" s="44">
        <f>IF(VLOOKUP($C7,Machined!C:Z,20,0) = 0, " ", VLOOKUP($C7,Machined!C:Z,20,0))</f>
        <v>45462</v>
      </c>
      <c r="M7" s="44">
        <f>IF(VLOOKUP($C7,Machined!C:Z,21,0) = 0, " ", VLOOKUP($C7,Machined!C:Z,21,0))</f>
        <v>45490</v>
      </c>
      <c r="N7" s="129">
        <f>IF(VLOOKUP($C7,Machined!C:Z,22,0) = 0, " ", VLOOKUP($C7,Machined!C:Z,22,0))</f>
        <v>55556</v>
      </c>
      <c r="O7" s="45">
        <f t="shared" ca="1" si="0"/>
        <v>32</v>
      </c>
      <c r="P7" s="49">
        <f>VLOOKUP(C7,Machined!C:F,3,0)</f>
        <v>23.5</v>
      </c>
      <c r="Q7" s="50">
        <f t="shared" si="1"/>
        <v>47</v>
      </c>
    </row>
    <row r="8" spans="1:17" s="2" customFormat="1" ht="12.75" customHeight="1" x14ac:dyDescent="0.25">
      <c r="A8" s="77">
        <v>4</v>
      </c>
      <c r="B8" s="20">
        <v>1</v>
      </c>
      <c r="C8" s="121" t="s">
        <v>1181</v>
      </c>
      <c r="D8" s="314" t="str">
        <f>VLOOKUP(C8,Machined!C:X,2,0)</f>
        <v>MODIFIED MCM 95245A155 STEEL 
THREADED ROD</v>
      </c>
      <c r="E8" s="329"/>
      <c r="F8" s="107" t="str">
        <f>VLOOKUP($C8,Machined!C:Z,13,0)</f>
        <v>PURCHASED PART</v>
      </c>
      <c r="G8" s="44" t="str">
        <f>IF(VLOOKUP($C8,Machined!C:Z,16,0) = 0, " ", VLOOKUP($C8,Machined!C:Z,16,0))</f>
        <v xml:space="preserve">Nuline 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PURCHASED PART</v>
      </c>
      <c r="J8" s="44">
        <f>IF(VLOOKUP($C8,Machined!C:Z,18,0) = 0, " ", VLOOKUP($C8,Machined!C:Z,18,0))</f>
        <v>45460</v>
      </c>
      <c r="K8" s="44">
        <f>IF(VLOOKUP($C8,Machined!C:Z,19,0) = 0, " ", VLOOKUP($C8,Machined!C:Z,19,0))</f>
        <v>45460</v>
      </c>
      <c r="L8" s="44">
        <f>IF(VLOOKUP($C8,Machined!C:Z,20,0) = 0, " ", VLOOKUP($C8,Machined!C:Z,20,0))</f>
        <v>45462</v>
      </c>
      <c r="M8" s="44">
        <f>IF(VLOOKUP($C8,Machined!C:Z,21,0) = 0, " ", VLOOKUP($C8,Machined!C:Z,21,0))</f>
        <v>45490</v>
      </c>
      <c r="N8" s="129">
        <f>IF(VLOOKUP($C8,Machined!C:Z,22,0) = 0, " ", VLOOKUP($C8,Machined!C:Z,22,0))</f>
        <v>55556</v>
      </c>
      <c r="O8" s="45">
        <f t="shared" ca="1" si="0"/>
        <v>16</v>
      </c>
      <c r="P8" s="49">
        <f>VLOOKUP(C8,Machined!C:F,3,0)</f>
        <v>9.32</v>
      </c>
      <c r="Q8" s="50">
        <f t="shared" si="1"/>
        <v>9.32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4">
        <v>301</v>
      </c>
      <c r="B10" s="2">
        <v>2</v>
      </c>
      <c r="C10" s="135" t="s">
        <v>1182</v>
      </c>
      <c r="D10" s="325" t="str">
        <f>VLOOKUP(C10,Purchased!A:B,2,0)</f>
        <v>Steel 6mm Dia 30mm L Slotted Spring Pin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45460</v>
      </c>
      <c r="K10" s="46">
        <f>IF(VLOOKUP(C10,Purchased!A:R,14,0)=0, " ", VLOOKUP(C10,Purchased!A:R,14,0))</f>
        <v>45460</v>
      </c>
      <c r="L10" s="46">
        <f>IF(VLOOKUP(C10,Purchased!A:R,15,0)=0, " ", VLOOKUP(C10,Purchased!A:R,15,0))</f>
        <v>45460</v>
      </c>
      <c r="M10" s="46">
        <f>IF(VLOOKUP(C10,Purchased!A:R,16,0)=0, " ",VLOOKUP(C10,Purchased!A:R,16,0))</f>
        <v>45462</v>
      </c>
      <c r="N10" s="130">
        <f>IF(VLOOKUP(C10,Purchased!A:R,17,0)=0, " ", VLOOKUP(C10,Purchased!A:R,17,0))</f>
        <v>45462</v>
      </c>
      <c r="O10" s="47">
        <f t="shared" ref="O10:O14" ca="1" si="2">B10*$L$2</f>
        <v>32</v>
      </c>
      <c r="P10" s="51">
        <f>VLOOKUP(C10,Purchased!A:D,3,FALSE)</f>
        <v>10.92</v>
      </c>
      <c r="Q10" s="52">
        <f t="shared" ref="Q10:Q14" si="3">B10*P10</f>
        <v>21.84</v>
      </c>
    </row>
    <row r="11" spans="1:17" s="2" customFormat="1" ht="12.75" customHeight="1" x14ac:dyDescent="0.25">
      <c r="A11" s="4">
        <v>302</v>
      </c>
      <c r="B11" s="2">
        <v>2</v>
      </c>
      <c r="C11" s="135" t="s">
        <v>1183</v>
      </c>
      <c r="D11" s="325" t="str">
        <f>VLOOKUP(C11,Purchased!A:B,2,0)</f>
        <v>M20 Extreme Strength Hex Head Screw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45482</v>
      </c>
      <c r="M11" s="46">
        <f>IF(VLOOKUP(C11,Purchased!A:R,16,0)=0, " ",VLOOKUP(C11,Purchased!A:R,16,0))</f>
        <v>45483</v>
      </c>
      <c r="N11" s="130">
        <f>IF(VLOOKUP(C11,Purchased!A:R,17,0)=0, " ", VLOOKUP(C11,Purchased!A:R,17,0))</f>
        <v>45483</v>
      </c>
      <c r="O11" s="47">
        <f t="shared" ca="1" si="2"/>
        <v>32</v>
      </c>
      <c r="P11" s="51">
        <f>VLOOKUP(C11,Purchased!A:D,3,FALSE)</f>
        <v>7.33</v>
      </c>
      <c r="Q11" s="52">
        <f t="shared" si="3"/>
        <v>14.66</v>
      </c>
    </row>
    <row r="12" spans="1:17" s="2" customFormat="1" ht="12.75" customHeight="1" x14ac:dyDescent="0.25">
      <c r="A12" s="4">
        <v>303</v>
      </c>
      <c r="B12" s="2">
        <v>1</v>
      </c>
      <c r="C12" s="135" t="s">
        <v>1184</v>
      </c>
      <c r="D12" s="325" t="str">
        <f>VLOOKUP(C12,Purchased!A:B,2,0)</f>
        <v>Spacer 25OD 20ID 6thick</v>
      </c>
      <c r="E12" s="326"/>
      <c r="F12" s="108" t="str">
        <f>IF(VLOOKUP($C12,Purchased!A:Z,11,0) = 0, " ", VLOOKUP($C12,Purchased!A:Z,11,0))</f>
        <v>MISUMI</v>
      </c>
      <c r="G12" s="108" t="str">
        <f>IF(VLOOKUP($C12,Purchased!A:Z,12,0)=0, " ", VLOOKUP($C12,Purchased!A:Z,12,0))</f>
        <v>MISUMI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45483</v>
      </c>
      <c r="K12" s="46">
        <f>IF(VLOOKUP(C12,Purchased!A:R,14,0)=0, " ", VLOOKUP(C12,Purchased!A:R,14,0))</f>
        <v>45483</v>
      </c>
      <c r="L12" s="46">
        <f>IF(VLOOKUP(C12,Purchased!A:R,15,0)=0, " ", VLOOKUP(C12,Purchased!A:R,15,0))</f>
        <v>45483</v>
      </c>
      <c r="M12" s="46">
        <f>IF(VLOOKUP(C12,Purchased!A:R,16,0)=0, " ",VLOOKUP(C12,Purchased!A:R,16,0))</f>
        <v>45512</v>
      </c>
      <c r="N12" s="130">
        <f>IF(VLOOKUP(C12,Purchased!A:R,17,0)=0, " ", VLOOKUP(C12,Purchased!A:R,17,0))</f>
        <v>45512</v>
      </c>
      <c r="O12" s="47">
        <f t="shared" ca="1" si="2"/>
        <v>16</v>
      </c>
      <c r="P12" s="51">
        <f>VLOOKUP(C12,Purchased!A:D,3,FALSE)</f>
        <v>4.04</v>
      </c>
      <c r="Q12" s="52">
        <f t="shared" si="3"/>
        <v>4.04</v>
      </c>
    </row>
    <row r="13" spans="1:17" s="2" customFormat="1" ht="12.75" customHeight="1" x14ac:dyDescent="0.25">
      <c r="A13" s="4">
        <v>304</v>
      </c>
      <c r="B13" s="2">
        <v>1</v>
      </c>
      <c r="C13" s="135" t="s">
        <v>1185</v>
      </c>
      <c r="D13" s="325" t="str">
        <f>VLOOKUP(C13,Purchased!A:B,2,0)</f>
        <v>Spacer 25OD 20ID 8thick</v>
      </c>
      <c r="E13" s="326"/>
      <c r="F13" s="108" t="str">
        <f>IF(VLOOKUP($C13,Purchased!A:Z,11,0) = 0, " ", VLOOKUP($C13,Purchased!A:Z,11,0))</f>
        <v>MISUMI</v>
      </c>
      <c r="G13" s="108" t="str">
        <f>IF(VLOOKUP($C13,Purchased!A:Z,12,0)=0, " ", VLOOKUP($C13,Purchased!A:Z,12,0))</f>
        <v>MISUMI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45483</v>
      </c>
      <c r="K13" s="46">
        <f>IF(VLOOKUP(C13,Purchased!A:R,14,0)=0, " ", VLOOKUP(C13,Purchased!A:R,14,0))</f>
        <v>45483</v>
      </c>
      <c r="L13" s="46">
        <f>IF(VLOOKUP(C13,Purchased!A:R,15,0)=0, " ", VLOOKUP(C13,Purchased!A:R,15,0))</f>
        <v>45483</v>
      </c>
      <c r="M13" s="46">
        <f>IF(VLOOKUP(C13,Purchased!A:R,16,0)=0, " ",VLOOKUP(C13,Purchased!A:R,16,0))</f>
        <v>45512</v>
      </c>
      <c r="N13" s="130">
        <f>IF(VLOOKUP(C13,Purchased!A:R,17,0)=0, " ", VLOOKUP(C13,Purchased!A:R,17,0))</f>
        <v>45512</v>
      </c>
      <c r="O13" s="47">
        <f t="shared" ca="1" si="2"/>
        <v>16</v>
      </c>
      <c r="P13" s="51">
        <f>VLOOKUP(C13,Purchased!A:D,3,FALSE)</f>
        <v>4.04</v>
      </c>
      <c r="Q13" s="52">
        <f t="shared" si="3"/>
        <v>4.04</v>
      </c>
    </row>
    <row r="14" spans="1:17" s="2" customFormat="1" ht="12.75" customHeight="1" x14ac:dyDescent="0.25">
      <c r="A14" s="4">
        <v>305</v>
      </c>
      <c r="B14" s="2">
        <v>1</v>
      </c>
      <c r="C14" s="135" t="s">
        <v>1186</v>
      </c>
      <c r="D14" s="325" t="str">
        <f>VLOOKUP(C14,Purchased!A:B,2,0)</f>
        <v>Drive Rod</v>
      </c>
      <c r="E14" s="326"/>
      <c r="F14" s="108" t="str">
        <f>IF(VLOOKUP($C14,Purchased!A:Z,11,0) = 0, " ", VLOOKUP($C14,Purchased!A:Z,11,0))</f>
        <v>MISUMI</v>
      </c>
      <c r="G14" s="108" t="str">
        <f>IF(VLOOKUP($C14,Purchased!A:Z,12,0)=0, " ", VLOOKUP($C14,Purchased!A:Z,12,0))</f>
        <v>MISUMI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45483</v>
      </c>
      <c r="K14" s="46">
        <f>IF(VLOOKUP(C14,Purchased!A:R,14,0)=0, " ", VLOOKUP(C14,Purchased!A:R,14,0))</f>
        <v>45483</v>
      </c>
      <c r="L14" s="46">
        <f>IF(VLOOKUP(C14,Purchased!A:R,15,0)=0, " ", VLOOKUP(C14,Purchased!A:R,15,0))</f>
        <v>45483</v>
      </c>
      <c r="M14" s="46">
        <f>IF(VLOOKUP(C14,Purchased!A:R,16,0)=0, " ",VLOOKUP(C14,Purchased!A:R,16,0))</f>
        <v>45512</v>
      </c>
      <c r="N14" s="130">
        <f>IF(VLOOKUP(C14,Purchased!A:R,17,0)=0, " ", VLOOKUP(C14,Purchased!A:R,17,0))</f>
        <v>45512</v>
      </c>
      <c r="O14" s="47">
        <f t="shared" ca="1" si="2"/>
        <v>16</v>
      </c>
      <c r="P14" s="51">
        <f>VLOOKUP(C14,Purchased!A:D,3,FALSE)</f>
        <v>51.85</v>
      </c>
      <c r="Q14" s="52">
        <f t="shared" si="3"/>
        <v>51.85</v>
      </c>
    </row>
    <row r="15" spans="1:17" s="2" customFormat="1" ht="12.75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.75" customHeight="1" x14ac:dyDescent="0.25">
      <c r="A16" s="4">
        <v>501</v>
      </c>
      <c r="B16" s="2">
        <v>2</v>
      </c>
      <c r="C16" s="122" t="s">
        <v>264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32</v>
      </c>
      <c r="P16" s="51">
        <f>VLOOKUP(C16,Bolts!A:B,2,FALSE)</f>
        <v>0</v>
      </c>
      <c r="Q16" s="52">
        <f>B16*P16</f>
        <v>0</v>
      </c>
    </row>
    <row r="17" spans="1:17" s="2" customFormat="1" ht="12.75" customHeight="1" x14ac:dyDescent="0.25">
      <c r="A17" s="4">
        <v>502</v>
      </c>
      <c r="B17" s="2">
        <v>1</v>
      </c>
      <c r="C17" s="122" t="s">
        <v>1187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16</v>
      </c>
      <c r="P17" s="51">
        <f>VLOOKUP(C17,Bolts!A:B,2,FALSE)</f>
        <v>0</v>
      </c>
      <c r="Q17" s="52">
        <f>B17*P17</f>
        <v>0</v>
      </c>
    </row>
    <row r="18" spans="1:17" s="2" customFormat="1" ht="12.75" customHeight="1" thickBot="1" x14ac:dyDescent="0.3">
      <c r="A18" s="4">
        <v>503</v>
      </c>
      <c r="B18" s="2">
        <v>1</v>
      </c>
      <c r="C18" s="122" t="s">
        <v>1163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16</v>
      </c>
      <c r="P18" s="51">
        <f>VLOOKUP(C18,Bolts!A:B,2,FALSE)</f>
        <v>0</v>
      </c>
      <c r="Q18" s="52">
        <f>B18*P18</f>
        <v>0</v>
      </c>
    </row>
    <row r="19" spans="1:17" s="2" customFormat="1" ht="12" customHeight="1" thickBot="1" x14ac:dyDescent="0.3">
      <c r="A19" s="34"/>
      <c r="B19" s="35"/>
      <c r="C19" s="35"/>
      <c r="D19" s="316"/>
      <c r="E19" s="317"/>
      <c r="F19" s="35"/>
      <c r="G19" s="35"/>
      <c r="H19" s="309"/>
      <c r="I19" s="310"/>
      <c r="J19" s="36"/>
      <c r="K19" s="36"/>
      <c r="L19" s="36"/>
      <c r="M19" s="37"/>
      <c r="N19" s="132"/>
      <c r="O19" s="38"/>
      <c r="P19" s="99" t="s">
        <v>43</v>
      </c>
      <c r="Q19" s="104">
        <f>SUM(Q5:Q18)</f>
        <v>360.20000000000005</v>
      </c>
    </row>
    <row r="20" spans="1:17" s="2" customFormat="1" ht="12" customHeight="1" x14ac:dyDescent="0.2">
      <c r="D20" s="21"/>
      <c r="E20" s="21"/>
      <c r="J20" s="8"/>
      <c r="K20" s="8"/>
      <c r="L20" s="8"/>
      <c r="M20" s="8"/>
      <c r="N20" s="131"/>
      <c r="O20" s="5"/>
      <c r="P20" s="98"/>
      <c r="Q20" s="105"/>
    </row>
  </sheetData>
  <sheetProtection selectLockedCells="1"/>
  <mergeCells count="30">
    <mergeCell ref="D19:E19"/>
    <mergeCell ref="H19:I19"/>
    <mergeCell ref="D17:E17"/>
    <mergeCell ref="D12:E12"/>
    <mergeCell ref="H12:I12"/>
    <mergeCell ref="D15:E15"/>
    <mergeCell ref="H15:I15"/>
    <mergeCell ref="D18:E18"/>
    <mergeCell ref="D13:E13"/>
    <mergeCell ref="H13:I13"/>
    <mergeCell ref="D16:E16"/>
    <mergeCell ref="D14:E14"/>
    <mergeCell ref="H14:I14"/>
    <mergeCell ref="D1:E1"/>
    <mergeCell ref="D4:E4"/>
    <mergeCell ref="H4:I4"/>
    <mergeCell ref="D8:E8"/>
    <mergeCell ref="H8:I8"/>
    <mergeCell ref="D5:E5"/>
    <mergeCell ref="H5:I5"/>
    <mergeCell ref="D6:E6"/>
    <mergeCell ref="H6:I6"/>
    <mergeCell ref="D7:E7"/>
    <mergeCell ref="H7:I7"/>
    <mergeCell ref="D11:E11"/>
    <mergeCell ref="H11:I11"/>
    <mergeCell ref="D9:E9"/>
    <mergeCell ref="H9:I9"/>
    <mergeCell ref="D10:E10"/>
    <mergeCell ref="H10:I10"/>
  </mergeCells>
  <conditionalFormatting sqref="M9 M15:M18">
    <cfRule type="cellIs" dxfId="720" priority="11" stopIfTrue="1" operator="lessThanOrEqual">
      <formula>$L9</formula>
    </cfRule>
    <cfRule type="cellIs" dxfId="719" priority="12" operator="greaterThan">
      <formula>L9</formula>
    </cfRule>
  </conditionalFormatting>
  <conditionalFormatting sqref="M10">
    <cfRule type="cellIs" dxfId="718" priority="9" stopIfTrue="1" operator="lessThanOrEqual">
      <formula>$L10</formula>
    </cfRule>
    <cfRule type="cellIs" dxfId="717" priority="10" operator="greaterThan">
      <formula>L10</formula>
    </cfRule>
  </conditionalFormatting>
  <conditionalFormatting sqref="M11">
    <cfRule type="cellIs" dxfId="716" priority="7" stopIfTrue="1" operator="lessThanOrEqual">
      <formula>$L11</formula>
    </cfRule>
    <cfRule type="cellIs" dxfId="715" priority="8" operator="greaterThan">
      <formula>L11</formula>
    </cfRule>
  </conditionalFormatting>
  <conditionalFormatting sqref="M12">
    <cfRule type="cellIs" dxfId="714" priority="5" stopIfTrue="1" operator="lessThanOrEqual">
      <formula>$L12</formula>
    </cfRule>
    <cfRule type="cellIs" dxfId="713" priority="6" operator="greaterThan">
      <formula>L12</formula>
    </cfRule>
  </conditionalFormatting>
  <conditionalFormatting sqref="M13">
    <cfRule type="cellIs" dxfId="712" priority="3" stopIfTrue="1" operator="lessThanOrEqual">
      <formula>$L13</formula>
    </cfRule>
    <cfRule type="cellIs" dxfId="711" priority="4" operator="greaterThan">
      <formula>L13</formula>
    </cfRule>
  </conditionalFormatting>
  <conditionalFormatting sqref="M14">
    <cfRule type="cellIs" dxfId="710" priority="1" stopIfTrue="1" operator="lessThanOrEqual">
      <formula>$L14</formula>
    </cfRule>
    <cfRule type="cellIs" dxfId="709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699DC4-2393-4BAA-8DC7-F51A69E0B201}">
          <x14:formula1>
            <xm:f>Bolts!$A:$A</xm:f>
          </x14:formula1>
          <xm:sqref>C16:C18</xm:sqref>
        </x14:dataValidation>
        <x14:dataValidation type="list" allowBlank="1" showInputMessage="1" showErrorMessage="1" xr:uid="{6885CFBC-19A0-4650-85D4-F1B185F1D6D3}">
          <x14:formula1>
            <xm:f>Machined!$C:$C</xm:f>
          </x14:formula1>
          <xm:sqref>C5:C8</xm:sqref>
        </x14:dataValidation>
        <x14:dataValidation type="list" allowBlank="1" showInputMessage="1" showErrorMessage="1" xr:uid="{C9174583-DEED-44D6-A19C-0905724A565D}">
          <x14:formula1>
            <xm:f>Purchased!$A:$A</xm:f>
          </x14:formula1>
          <xm:sqref>C10:C14</xm:sqref>
        </x14:dataValidation>
      </x14:dataValidations>
    </ext>
  </extLst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B7BAF-BE99-4549-B13E-8991B3C3F7A4}">
  <sheetPr codeName="Sheet177">
    <tabColor theme="6" tint="0.59999389629810485"/>
  </sheetPr>
  <dimension ref="A1:Q15"/>
  <sheetViews>
    <sheetView zoomScale="108" zoomScaleNormal="108" workbookViewId="0">
      <selection activeCell="F10" sqref="F10:Q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'7.2'!C10</f>
        <v>PG10.7.2.6.0.A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'7.2'!D10</f>
        <v>SIDE SEAL TEFLON ROLL ASSY</v>
      </c>
      <c r="D3" s="85" t="s">
        <v>50</v>
      </c>
      <c r="E3" s="86" t="str">
        <f ca="1">MID(CELL("filename",A1),FIND("]",CELL("filename",A1))+1,256)</f>
        <v>7.2.6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1188</v>
      </c>
      <c r="D5" s="314" t="str">
        <f>VLOOKUP(C5,Machined!C:X,2,0)</f>
        <v>SIDE SEAL TEFLON ROLL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>Material by Nuline</v>
      </c>
      <c r="I5" s="321" t="str">
        <f>IF(VLOOKUP($C5,Machined!$C:$Y,13,0) = 0, " ", VLOOKUP($C5,Machined!$C:$Y,13,0))</f>
        <v>303 TG&amp;P, Round Stock, -0.0005</v>
      </c>
      <c r="J5" s="44">
        <f>IF(VLOOKUP($C5,Machined!C:Z,18,0) = 0, " ", VLOOKUP($C5,Machined!C:Z,18,0))</f>
        <v>45524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45555</v>
      </c>
      <c r="M5" s="44">
        <f>IF(VLOOKUP($C5,Machined!C:Z,21,0) = 0, " ", VLOOKUP($C5,Machined!C:Z,21,0))</f>
        <v>45527</v>
      </c>
      <c r="N5" s="129">
        <f>IF(VLOOKUP($C5,Machined!C:Z,22,0) = 0, " ", VLOOKUP($C5,Machined!C:Z,22,0))</f>
        <v>55699</v>
      </c>
      <c r="O5" s="45">
        <f t="shared" ref="O5:O8" ca="1" si="0">B5*$L$2</f>
        <v>8</v>
      </c>
      <c r="P5" s="49">
        <f>VLOOKUP(C5,Machined!C:F,3,0)</f>
        <v>65.05</v>
      </c>
      <c r="Q5" s="50">
        <f t="shared" ref="Q5:Q8" si="1">B5*P5</f>
        <v>130.1</v>
      </c>
    </row>
    <row r="6" spans="1:17" s="2" customFormat="1" ht="12.75" customHeight="1" x14ac:dyDescent="0.25">
      <c r="A6" s="77">
        <v>2</v>
      </c>
      <c r="B6" s="20">
        <v>4</v>
      </c>
      <c r="C6" s="121" t="s">
        <v>1189</v>
      </c>
      <c r="D6" s="314" t="str">
        <f>VLOOKUP(C6,Machined!C:X,2,0)</f>
        <v>Teflon Roll Holder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55570</v>
      </c>
      <c r="O6" s="45">
        <f t="shared" ca="1" si="0"/>
        <v>16</v>
      </c>
      <c r="P6" s="49">
        <f>VLOOKUP(C6,Machined!C:F,3,0)</f>
        <v>57.2</v>
      </c>
      <c r="Q6" s="50">
        <f t="shared" si="1"/>
        <v>228.8</v>
      </c>
    </row>
    <row r="7" spans="1:17" s="2" customFormat="1" ht="12.75" customHeight="1" x14ac:dyDescent="0.25">
      <c r="A7" s="77">
        <v>3</v>
      </c>
      <c r="B7" s="20">
        <v>4</v>
      </c>
      <c r="C7" s="121" t="s">
        <v>1190</v>
      </c>
      <c r="D7" s="314" t="str">
        <f>VLOOKUP(C7,Machined!C:X,2,0)</f>
        <v>TEFLON ROLL BRACKET</v>
      </c>
      <c r="E7" s="329"/>
      <c r="F7" s="107" t="str">
        <f>VLOOKUP($C7,Machined!C:Z,13,0)</f>
        <v>1018 COLD ROLLED STEEL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1018 COLD ROLLED STEEL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55570</v>
      </c>
      <c r="O7" s="45">
        <f t="shared" ca="1" si="0"/>
        <v>16</v>
      </c>
      <c r="P7" s="49">
        <f>VLOOKUP(C7,Machined!C:F,3,0)</f>
        <v>27.6</v>
      </c>
      <c r="Q7" s="50">
        <f t="shared" si="1"/>
        <v>110.4</v>
      </c>
    </row>
    <row r="8" spans="1:17" s="2" customFormat="1" ht="12.75" customHeight="1" x14ac:dyDescent="0.25">
      <c r="A8" s="77">
        <v>4</v>
      </c>
      <c r="B8" s="20">
        <v>4</v>
      </c>
      <c r="C8" s="121" t="s">
        <v>1191</v>
      </c>
      <c r="D8" s="314" t="str">
        <f>VLOOKUP(C8,Machined!C:X,2,0)</f>
        <v>Teflon Roll Axle Clamp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Frontier Mach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55570</v>
      </c>
      <c r="O8" s="45">
        <f t="shared" ca="1" si="0"/>
        <v>16</v>
      </c>
      <c r="P8" s="49">
        <f>VLOOKUP(C8,Machined!C:F,3,0)</f>
        <v>21.8</v>
      </c>
      <c r="Q8" s="50">
        <f t="shared" si="1"/>
        <v>87.2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4">
        <v>301</v>
      </c>
      <c r="B10" s="2">
        <v>2</v>
      </c>
      <c r="C10" s="135" t="s">
        <v>1192</v>
      </c>
      <c r="D10" s="325" t="str">
        <f>VLOOKUP(C10,Purchased!A:B,2,0)</f>
        <v>Clamping Two-Piece Shaft Collar</v>
      </c>
      <c r="E10" s="326"/>
      <c r="F10" s="108" t="str">
        <f>IF(VLOOKUP($C10,Purchased!A:Z,11,0) = 0, " ", VLOOKUP($C10,Purchased!A:Z,11,0))</f>
        <v>CLIMAX</v>
      </c>
      <c r="G10" s="108" t="str">
        <f>IF(VLOOKUP($C10,Purchased!A:Z,12,0)=0, " ", VLOOKUP($C10,Purchased!A:Z,12,0))</f>
        <v>BDI</v>
      </c>
      <c r="H10" s="327" t="str">
        <f>IF(VLOOKUP($C10,Purchased!A:Z,13,0)=0, " ", VLOOKUP($C10,Purchased!A:Z,13,0))</f>
        <v># 193455</v>
      </c>
      <c r="I10" s="328"/>
      <c r="J10" s="46">
        <f>IF(VLOOKUP($C10,Purchased!A:Z,14,0)=0, " ", VLOOKUP($C10,Purchased!A:Z,14,0))</f>
        <v>45460</v>
      </c>
      <c r="K10" s="46">
        <f>IF(VLOOKUP(C10,Purchased!A:R,14,0)=0, " ", VLOOKUP(C10,Purchased!A:R,14,0))</f>
        <v>45460</v>
      </c>
      <c r="L10" s="46">
        <f>IF(VLOOKUP(C10,Purchased!A:R,15,0)=0, " ", VLOOKUP(C10,Purchased!A:R,15,0))</f>
        <v>45462</v>
      </c>
      <c r="M10" s="46">
        <f>IF(VLOOKUP(C10,Purchased!A:R,16,0)=0, " ",VLOOKUP(C10,Purchased!A:R,16,0))</f>
        <v>45495</v>
      </c>
      <c r="N10" s="130">
        <f>IF(VLOOKUP(C10,Purchased!A:R,17,0)=0, " ", VLOOKUP(C10,Purchased!A:R,17,0))</f>
        <v>45495</v>
      </c>
      <c r="O10" s="47">
        <f t="shared" ref="O10" ca="1" si="2">B10*$L$2</f>
        <v>8</v>
      </c>
      <c r="P10" s="51">
        <f>VLOOKUP(C10,Purchased!A:D,3,FALSE)</f>
        <v>9.14</v>
      </c>
      <c r="Q10" s="52">
        <f t="shared" ref="Q10" si="3">B10*P10</f>
        <v>18.28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" customHeight="1" x14ac:dyDescent="0.25">
      <c r="A12" s="4">
        <v>501</v>
      </c>
      <c r="B12" s="2">
        <v>8</v>
      </c>
      <c r="C12" s="122" t="s">
        <v>95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t="shared" ref="O12:O13" ca="1" si="4">B12*$L$2</f>
        <v>32</v>
      </c>
      <c r="P12" s="51">
        <f>VLOOKUP(C12,Bolts!A:B,2,FALSE)</f>
        <v>0</v>
      </c>
      <c r="Q12" s="52">
        <f t="shared" ref="Q12:Q13" si="5">B12*P12</f>
        <v>0</v>
      </c>
    </row>
    <row r="13" spans="1:17" s="2" customFormat="1" ht="12" customHeight="1" thickBot="1" x14ac:dyDescent="0.3">
      <c r="A13" s="4">
        <v>502</v>
      </c>
      <c r="B13" s="2">
        <v>16</v>
      </c>
      <c r="C13" s="122" t="s">
        <v>382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ca="1" si="4"/>
        <v>64</v>
      </c>
      <c r="P13" s="51">
        <f>VLOOKUP(C13,Bolts!A:B,2,FALSE)</f>
        <v>0</v>
      </c>
      <c r="Q13" s="52">
        <f t="shared" si="5"/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574.78</v>
      </c>
    </row>
    <row r="15" spans="1:17" s="2" customFormat="1" ht="12" customHeight="1" x14ac:dyDescent="0.2">
      <c r="D15" s="21"/>
      <c r="E15" s="21"/>
    </row>
  </sheetData>
  <sheetProtection selectLockedCells="1"/>
  <mergeCells count="21">
    <mergeCell ref="D13:E13"/>
    <mergeCell ref="D14:E14"/>
    <mergeCell ref="H14:I14"/>
    <mergeCell ref="D12:E12"/>
    <mergeCell ref="D9:E9"/>
    <mergeCell ref="H9:I9"/>
    <mergeCell ref="D8:E8"/>
    <mergeCell ref="H8:I8"/>
    <mergeCell ref="D11:E11"/>
    <mergeCell ref="H11:I11"/>
    <mergeCell ref="D1:E1"/>
    <mergeCell ref="D4:E4"/>
    <mergeCell ref="H4:I4"/>
    <mergeCell ref="D10:E10"/>
    <mergeCell ref="H10:I10"/>
    <mergeCell ref="D5:E5"/>
    <mergeCell ref="H5:I5"/>
    <mergeCell ref="D6:E6"/>
    <mergeCell ref="H6:I6"/>
    <mergeCell ref="D7:E7"/>
    <mergeCell ref="H7:I7"/>
  </mergeCells>
  <conditionalFormatting sqref="M9 M11:M13">
    <cfRule type="cellIs" dxfId="708" priority="3" stopIfTrue="1" operator="lessThanOrEqual">
      <formula>$L9</formula>
    </cfRule>
    <cfRule type="cellIs" dxfId="707" priority="4" operator="greaterThan">
      <formula>L9</formula>
    </cfRule>
  </conditionalFormatting>
  <conditionalFormatting sqref="M10">
    <cfRule type="cellIs" dxfId="706" priority="1" stopIfTrue="1" operator="lessThanOrEqual">
      <formula>$L10</formula>
    </cfRule>
    <cfRule type="cellIs" dxfId="705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4CB290A-AA3B-473A-A7B9-3EA2AEA1C412}">
          <x14:formula1>
            <xm:f>Bolts!$A:$A</xm:f>
          </x14:formula1>
          <xm:sqref>C12:C13</xm:sqref>
        </x14:dataValidation>
        <x14:dataValidation type="list" allowBlank="1" showInputMessage="1" showErrorMessage="1" xr:uid="{EB2E7EEA-4361-430A-BBAF-061597A42C15}">
          <x14:formula1>
            <xm:f>Machined!$C:$C</xm:f>
          </x14:formula1>
          <xm:sqref>C5:C8</xm:sqref>
        </x14:dataValidation>
        <x14:dataValidation type="list" allowBlank="1" showInputMessage="1" showErrorMessage="1" xr:uid="{00801319-3FA4-40CF-BE64-691E32236B5E}">
          <x14:formula1>
            <xm:f>Purchased!$A:$A</xm:f>
          </x14:formula1>
          <xm:sqref>C10</xm:sqref>
        </x14:dataValidation>
      </x14:dataValidations>
    </ext>
  </extLst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E971D-E434-4AB3-BAFF-6BEA00305444}">
  <sheetPr codeName="Sheet178">
    <tabColor theme="6" tint="0.59999389629810485"/>
  </sheetPr>
  <dimension ref="A1:Q10"/>
  <sheetViews>
    <sheetView zoomScale="115" zoomScaleNormal="115" workbookViewId="0">
      <selection activeCell="C5" sqref="C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'7.2'!C11</f>
        <v>PG10.7.2.7.0.A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6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'7.2'!D11</f>
        <v>Igus Lead Nut Assy</v>
      </c>
      <c r="D3" s="85" t="s">
        <v>50</v>
      </c>
      <c r="E3" s="86" t="str">
        <f ca="1">MID(CELL("filename",A1),FIND("]",CELL("filename",A1))+1,256)</f>
        <v>7.2.7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4">
        <v>301</v>
      </c>
      <c r="B5" s="2">
        <v>1</v>
      </c>
      <c r="C5" s="135" t="s">
        <v>1193</v>
      </c>
      <c r="D5" s="325" t="str">
        <f>VLOOKUP(C5,Purchased!A:B,2,0)</f>
        <v>drylin® trapezoidal lead screw nut with flange 8x1.5</v>
      </c>
      <c r="E5" s="326"/>
      <c r="F5" s="108" t="str">
        <f>IF(VLOOKUP($C5,Purchased!A:Z,11,0) = 0, " ", VLOOKUP($C5,Purchased!A:Z,11,0))</f>
        <v>IGUS</v>
      </c>
      <c r="G5" s="108" t="str">
        <f>IF(VLOOKUP($C5,Purchased!A:Z,12,0)=0, " ", VLOOKUP($C5,Purchased!A:Z,12,0))</f>
        <v>IGUS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45489</v>
      </c>
      <c r="K5" s="46">
        <f>IF(VLOOKUP(C5,Purchased!A:R,14,0)=0, " ", VLOOKUP(C5,Purchased!A:R,14,0))</f>
        <v>45489</v>
      </c>
      <c r="L5" s="46">
        <f>IF(VLOOKUP(C5,Purchased!A:R,15,0)=0, " ", VLOOKUP(C5,Purchased!A:R,15,0))</f>
        <v>45489</v>
      </c>
      <c r="M5" s="46">
        <f>IF(VLOOKUP(C5,Purchased!A:R,16,0)=0, " ",VLOOKUP(C5,Purchased!A:R,16,0))</f>
        <v>45534</v>
      </c>
      <c r="N5" s="130">
        <f>IF(VLOOKUP(C5,Purchased!A:R,17,0)=0, " ", VLOOKUP(C5,Purchased!A:R,17,0))</f>
        <v>45534</v>
      </c>
      <c r="O5" s="47">
        <f t="shared" ref="O5" ca="1" si="0">B5*$L$2</f>
        <v>6</v>
      </c>
      <c r="P5" s="51">
        <f>VLOOKUP(C5,Purchased!A:D,3,FALSE)</f>
        <v>18.940000000000001</v>
      </c>
      <c r="Q5" s="52">
        <f t="shared" ref="Q5" si="1">B5*P5</f>
        <v>18.940000000000001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501</v>
      </c>
      <c r="B7" s="2">
        <v>6</v>
      </c>
      <c r="C7" s="122" t="s">
        <v>382</v>
      </c>
      <c r="D7" s="325"/>
      <c r="E7" s="326"/>
      <c r="F7" s="108">
        <f>VLOOKUP(C7,Bolts!A:L,5,0)</f>
        <v>0</v>
      </c>
      <c r="G7" s="108">
        <f>VLOOKUP(C7,Bolts!A:L,6,0)</f>
        <v>0</v>
      </c>
      <c r="H7" s="108">
        <f>VLOOKUP(C7,Bolts!A:L,7,0)</f>
        <v>0</v>
      </c>
      <c r="I7" s="109"/>
      <c r="J7" s="46">
        <f>VLOOKUP(C7,Bolts!A:L,8,0)</f>
        <v>0</v>
      </c>
      <c r="K7" s="46">
        <f>VLOOKUP(C7,Bolts!A:L,9,0)</f>
        <v>0</v>
      </c>
      <c r="L7" s="46">
        <f>VLOOKUP(C7,Bolts!A:L,10,0)</f>
        <v>0</v>
      </c>
      <c r="M7" s="46">
        <f>VLOOKUP(C7,Bolts!A:L,11,0)</f>
        <v>0</v>
      </c>
      <c r="N7" s="130">
        <f>VLOOKUP(C7,Bolts!A:L,12,0)</f>
        <v>0</v>
      </c>
      <c r="O7" s="47">
        <f ca="1">B7*$L$2</f>
        <v>36</v>
      </c>
      <c r="P7" s="51">
        <f>VLOOKUP(C7,Bolts!A:B,2,FALSE)</f>
        <v>0</v>
      </c>
      <c r="Q7" s="52">
        <f>B7*P7</f>
        <v>0</v>
      </c>
    </row>
    <row r="8" spans="1:17" s="2" customFormat="1" ht="12.75" customHeight="1" thickBot="1" x14ac:dyDescent="0.3">
      <c r="A8" s="4">
        <v>502</v>
      </c>
      <c r="B8" s="2">
        <v>6</v>
      </c>
      <c r="C8" s="122" t="s">
        <v>199</v>
      </c>
      <c r="D8" s="325"/>
      <c r="E8" s="326"/>
      <c r="F8" s="108">
        <f>VLOOKUP(C8,Bolts!A:L,5,0)</f>
        <v>0</v>
      </c>
      <c r="G8" s="108">
        <f>VLOOKUP(C8,Bolts!A:L,6,0)</f>
        <v>0</v>
      </c>
      <c r="H8" s="108">
        <f>VLOOKUP(C8,Bolts!A:L,7,0)</f>
        <v>0</v>
      </c>
      <c r="I8" s="109"/>
      <c r="J8" s="46">
        <f>VLOOKUP(C8,Bolts!A:L,8,0)</f>
        <v>0</v>
      </c>
      <c r="K8" s="46">
        <f>VLOOKUP(C8,Bolts!A:L,9,0)</f>
        <v>0</v>
      </c>
      <c r="L8" s="46">
        <f>VLOOKUP(C8,Bolts!A:L,10,0)</f>
        <v>0</v>
      </c>
      <c r="M8" s="46">
        <f>VLOOKUP(C8,Bolts!A:L,11,0)</f>
        <v>0</v>
      </c>
      <c r="N8" s="130">
        <f>VLOOKUP(C8,Bolts!A:L,12,0)</f>
        <v>0</v>
      </c>
      <c r="O8" s="47">
        <f ca="1">B8*$L$2</f>
        <v>36</v>
      </c>
      <c r="P8" s="51">
        <f>VLOOKUP(C8,Bolts!A:B,2,FALSE)</f>
        <v>0</v>
      </c>
      <c r="Q8" s="52">
        <f>B8*P8</f>
        <v>0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18.940000000000001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sheetProtection selectLockedCells="1"/>
  <mergeCells count="11">
    <mergeCell ref="D6:E6"/>
    <mergeCell ref="H6:I6"/>
    <mergeCell ref="D8:E8"/>
    <mergeCell ref="D9:E9"/>
    <mergeCell ref="H9:I9"/>
    <mergeCell ref="D7:E7"/>
    <mergeCell ref="D1:E1"/>
    <mergeCell ref="D4:E4"/>
    <mergeCell ref="H4:I4"/>
    <mergeCell ref="D5:E5"/>
    <mergeCell ref="H5:I5"/>
  </mergeCells>
  <conditionalFormatting sqref="M6:M8">
    <cfRule type="cellIs" dxfId="704" priority="3" stopIfTrue="1" operator="lessThanOrEqual">
      <formula>$L6</formula>
    </cfRule>
    <cfRule type="cellIs" dxfId="703" priority="4" operator="greaterThan">
      <formula>L6</formula>
    </cfRule>
  </conditionalFormatting>
  <conditionalFormatting sqref="M5">
    <cfRule type="cellIs" dxfId="702" priority="1" stopIfTrue="1" operator="lessThanOrEqual">
      <formula>$L5</formula>
    </cfRule>
    <cfRule type="cellIs" dxfId="701" priority="2" operator="greaterThan">
      <formula>L5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F03581-114D-4E31-8FD1-E77A543DF5B5}">
          <x14:formula1>
            <xm:f>Bolts!$A:$A</xm:f>
          </x14:formula1>
          <xm:sqref>C7:C8</xm:sqref>
        </x14:dataValidation>
        <x14:dataValidation type="list" allowBlank="1" showInputMessage="1" showErrorMessage="1" xr:uid="{D28D0B9C-5003-463B-B0DB-2531165AD41A}">
          <x14:formula1>
            <xm:f>Purchased!$A:$A</xm:f>
          </x14:formula1>
          <xm:sqref>C5</xm:sqref>
        </x14:dataValidation>
      </x14:dataValidations>
    </ext>
  </extLst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0EF94-03B1-4644-9DD1-0068A3B04184}">
  <sheetPr codeName="Sheet179">
    <tabColor theme="6" tint="0.59999389629810485"/>
  </sheetPr>
  <dimension ref="A1:Q10"/>
  <sheetViews>
    <sheetView zoomScale="115" zoomScaleNormal="115" workbookViewId="0">
      <selection activeCell="C15" sqref="C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'7.2'!C12</f>
        <v>PG10.7.2.8.0.A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'7.2'!D12</f>
        <v>Modified Igus Slider</v>
      </c>
      <c r="D3" s="85" t="s">
        <v>50</v>
      </c>
      <c r="E3" s="86" t="str">
        <f ca="1">MID(CELL("filename",A1),FIND("]",CELL("filename",A1))+1,256)</f>
        <v>7.2.8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1194</v>
      </c>
      <c r="D5" s="314" t="str">
        <f>VLOOKUP(C5,Machined!C:X,2,0)</f>
        <v xml:space="preserve">Modified IGUS Flanged Lead Nut </v>
      </c>
      <c r="E5" s="329"/>
      <c r="F5" s="107" t="str">
        <f>VLOOKUP($C5,Machined!C:Z,13,0)</f>
        <v>PURCHASED PART</v>
      </c>
      <c r="G5" s="44" t="str">
        <f>IF(VLOOKUP($C5,Machined!C:Z,16,0) = 0, " ", VLOOKUP($C5,Machined!C:Z,16,0))</f>
        <v xml:space="preserve">Nuline </v>
      </c>
      <c r="H5" s="320" t="str">
        <f>IF(VLOOKUP($C5,Machined!C:Z,17,0) = 0, " ", VLOOKUP($C5,Machined!C:Z,17,0))</f>
        <v>P.O. for material</v>
      </c>
      <c r="I5" s="321" t="str">
        <f>IF(VLOOKUP($C5,Machined!$C:$Y,13,0) = 0, " ", VLOOKUP($C5,Machined!$C:$Y,13,0))</f>
        <v>PURCHASED PART</v>
      </c>
      <c r="J5" s="44">
        <f>IF(VLOOKUP($C5,Machined!C:Z,18,0) = 0, " ", VLOOKUP($C5,Machined!C:Z,18,0))</f>
        <v>45510</v>
      </c>
      <c r="K5" s="44">
        <f>IF(VLOOKUP($C5,Machined!C:Z,19,0) = 0, " ", VLOOKUP($C5,Machined!C:Z,19,0))</f>
        <v>45510</v>
      </c>
      <c r="L5" s="44">
        <f>IF(VLOOKUP($C5,Machined!C:Z,20,0) = 0, " ", VLOOKUP($C5,Machined!C:Z,20,0))</f>
        <v>45545</v>
      </c>
      <c r="M5" s="44" t="str">
        <f>IF(VLOOKUP($C5,Machined!C:Z,21,0) = 0, " ", VLOOKUP($C5,Machined!C:Z,21,0))</f>
        <v xml:space="preserve"> </v>
      </c>
      <c r="N5" s="129">
        <f>IF(VLOOKUP($C5,Machined!C:Z,22,0) = 0, " ", VLOOKUP($C5,Machined!C:Z,22,0))</f>
        <v>55660</v>
      </c>
      <c r="O5" s="45">
        <f t="shared" ref="O5" ca="1" si="0">B5*$L$2</f>
        <v>12</v>
      </c>
      <c r="P5" s="49">
        <f>VLOOKUP(C5,Machined!C:F,3,0)</f>
        <v>9.75</v>
      </c>
      <c r="Q5" s="50">
        <f t="shared" ref="Q5" si="1">B5*P5</f>
        <v>9.75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501</v>
      </c>
      <c r="B7" s="2">
        <v>6</v>
      </c>
      <c r="C7" s="122" t="s">
        <v>382</v>
      </c>
      <c r="D7" s="325"/>
      <c r="E7" s="326"/>
      <c r="F7" s="108">
        <f>VLOOKUP(C7,Bolts!A:L,5,0)</f>
        <v>0</v>
      </c>
      <c r="G7" s="108">
        <f>VLOOKUP(C7,Bolts!A:L,6,0)</f>
        <v>0</v>
      </c>
      <c r="H7" s="108">
        <f>VLOOKUP(C7,Bolts!A:L,7,0)</f>
        <v>0</v>
      </c>
      <c r="I7" s="109"/>
      <c r="J7" s="46">
        <f>VLOOKUP(C7,Bolts!A:L,8,0)</f>
        <v>0</v>
      </c>
      <c r="K7" s="46">
        <f>VLOOKUP(C7,Bolts!A:L,9,0)</f>
        <v>0</v>
      </c>
      <c r="L7" s="46">
        <f>VLOOKUP(C7,Bolts!A:L,10,0)</f>
        <v>0</v>
      </c>
      <c r="M7" s="46">
        <f>VLOOKUP(C7,Bolts!A:L,11,0)</f>
        <v>0</v>
      </c>
      <c r="N7" s="130">
        <f>VLOOKUP(C7,Bolts!A:L,12,0)</f>
        <v>0</v>
      </c>
      <c r="O7" s="47">
        <f ca="1">B7*$L$2</f>
        <v>72</v>
      </c>
      <c r="P7" s="51">
        <f>VLOOKUP(C7,Bolts!A:B,2,FALSE)</f>
        <v>0</v>
      </c>
      <c r="Q7" s="52">
        <f>B7*P7</f>
        <v>0</v>
      </c>
    </row>
    <row r="8" spans="1:17" s="2" customFormat="1" ht="12.75" customHeight="1" thickBot="1" x14ac:dyDescent="0.3">
      <c r="A8" s="4">
        <v>502</v>
      </c>
      <c r="B8" s="2">
        <v>6</v>
      </c>
      <c r="C8" s="122" t="s">
        <v>199</v>
      </c>
      <c r="D8" s="325"/>
      <c r="E8" s="326"/>
      <c r="F8" s="108">
        <f>VLOOKUP(C8,Bolts!A:L,5,0)</f>
        <v>0</v>
      </c>
      <c r="G8" s="108">
        <f>VLOOKUP(C8,Bolts!A:L,6,0)</f>
        <v>0</v>
      </c>
      <c r="H8" s="108">
        <f>VLOOKUP(C8,Bolts!A:L,7,0)</f>
        <v>0</v>
      </c>
      <c r="I8" s="109"/>
      <c r="J8" s="46">
        <f>VLOOKUP(C8,Bolts!A:L,8,0)</f>
        <v>0</v>
      </c>
      <c r="K8" s="46">
        <f>VLOOKUP(C8,Bolts!A:L,9,0)</f>
        <v>0</v>
      </c>
      <c r="L8" s="46">
        <f>VLOOKUP(C8,Bolts!A:L,10,0)</f>
        <v>0</v>
      </c>
      <c r="M8" s="46">
        <f>VLOOKUP(C8,Bolts!A:L,11,0)</f>
        <v>0</v>
      </c>
      <c r="N8" s="130">
        <f>VLOOKUP(C8,Bolts!A:L,12,0)</f>
        <v>0</v>
      </c>
      <c r="O8" s="47">
        <f ca="1">B8*$L$2</f>
        <v>72</v>
      </c>
      <c r="P8" s="51">
        <f>VLOOKUP(C8,Bolts!A:B,2,FALSE)</f>
        <v>0</v>
      </c>
      <c r="Q8" s="52">
        <f>B8*P8</f>
        <v>0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9.75</v>
      </c>
    </row>
    <row r="10" spans="1:17" s="2" customFormat="1" ht="12" customHeight="1" x14ac:dyDescent="0.2">
      <c r="D10" s="21"/>
      <c r="E10" s="21"/>
      <c r="J10" s="8"/>
      <c r="K10" s="8"/>
      <c r="L10" s="8"/>
      <c r="M10" s="8"/>
      <c r="N10" s="131"/>
      <c r="O10" s="5"/>
      <c r="P10" s="98"/>
      <c r="Q10" s="105"/>
    </row>
  </sheetData>
  <sheetProtection selectLockedCells="1"/>
  <mergeCells count="11">
    <mergeCell ref="D1:E1"/>
    <mergeCell ref="D4:E4"/>
    <mergeCell ref="H4:I4"/>
    <mergeCell ref="D8:E8"/>
    <mergeCell ref="D9:E9"/>
    <mergeCell ref="H9:I9"/>
    <mergeCell ref="D7:E7"/>
    <mergeCell ref="D5:E5"/>
    <mergeCell ref="H5:I5"/>
    <mergeCell ref="D6:E6"/>
    <mergeCell ref="H6:I6"/>
  </mergeCells>
  <conditionalFormatting sqref="M6:M8">
    <cfRule type="cellIs" dxfId="700" priority="1" stopIfTrue="1" operator="lessThanOrEqual">
      <formula>$L6</formula>
    </cfRule>
    <cfRule type="cellIs" dxfId="699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A718B1-53CC-43C9-B620-B8BDAB23F71F}">
          <x14:formula1>
            <xm:f>Bolts!$A:$A</xm:f>
          </x14:formula1>
          <xm:sqref>C7:C8</xm:sqref>
        </x14:dataValidation>
        <x14:dataValidation type="list" allowBlank="1" showInputMessage="1" showErrorMessage="1" xr:uid="{CF743856-1751-4A46-B026-A952F5F9F15C}">
          <x14:formula1>
            <xm:f>Machined!$C:$C</xm:f>
          </x14:formula1>
          <xm:sqref>C5</xm:sqref>
        </x14:dataValidation>
      </x14:dataValidations>
    </ext>
  </extLst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DAB95-B1F8-4354-9793-E9F96C923BB9}">
  <sheetPr codeName="Sheet180">
    <tabColor theme="6" tint="0.59999389629810485"/>
  </sheetPr>
  <dimension ref="A1:Q12"/>
  <sheetViews>
    <sheetView zoomScale="115" zoomScaleNormal="115" workbookViewId="0">
      <selection activeCell="F7" sqref="F7:Q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'7.2'!C13</f>
        <v>PG10.7.2.9.0.A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'7.2'!D13</f>
        <v>SIDE SEAL RUNNER BLOCK ASSY</v>
      </c>
      <c r="D3" s="85" t="s">
        <v>50</v>
      </c>
      <c r="E3" s="86" t="str">
        <f ca="1">MID(CELL("filename",A1),FIND("]",CELL("filename",A1))+1,256)</f>
        <v>7.2.9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1195</v>
      </c>
      <c r="D5" s="314" t="str">
        <f>VLOOKUP(C5,Machined!C:X,2,0)</f>
        <v>Runner Block Plate No Brake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55570</v>
      </c>
      <c r="O5" s="45">
        <f ca="1">B5*$L$2</f>
        <v>12</v>
      </c>
      <c r="P5" s="49">
        <f>VLOOKUP(C5,Machined!C:F,3,0)</f>
        <v>53.65</v>
      </c>
      <c r="Q5" s="50">
        <f>B5*P5</f>
        <v>53.65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1</v>
      </c>
      <c r="C7" s="135" t="s">
        <v>629</v>
      </c>
      <c r="D7" s="325" t="str">
        <f>VLOOKUP(C7,Purchased!A:B,2,0)</f>
        <v>15mm C1 Preload Runner Block</v>
      </c>
      <c r="E7" s="326"/>
      <c r="F7" s="108" t="str">
        <f>IF(VLOOKUP($C7,Purchased!A:Z,11,0) = 0, " ", VLOOKUP($C7,Purchased!A:Z,11,0))</f>
        <v>BRL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Ordered 24 additional PO 55645</v>
      </c>
      <c r="I7" s="328"/>
      <c r="J7" s="46">
        <f>IF(VLOOKUP($C7,Purchased!A:Z,14,0)=0, " ", VLOOKUP($C7,Purchased!A:Z,14,0))</f>
        <v>45461</v>
      </c>
      <c r="K7" s="46">
        <f>IF(VLOOKUP(C7,Purchased!A:R,14,0)=0, " ", VLOOKUP(C7,Purchased!A:R,14,0))</f>
        <v>45461</v>
      </c>
      <c r="L7" s="46">
        <f>IF(VLOOKUP(C7,Purchased!A:R,15,0)=0, " ", VLOOKUP(C7,Purchased!A:R,15,0))</f>
        <v>45462</v>
      </c>
      <c r="M7" s="46">
        <f>IF(VLOOKUP(C7,Purchased!A:R,16,0)=0, " ",VLOOKUP(C7,Purchased!A:R,16,0))</f>
        <v>45504</v>
      </c>
      <c r="N7" s="130">
        <f>IF(VLOOKUP(C7,Purchased!A:R,17,0)=0, " ", VLOOKUP(C7,Purchased!A:R,17,0))</f>
        <v>45504</v>
      </c>
      <c r="O7" s="47">
        <f t="shared" ref="O7" ca="1" si="0">B7*$L$2</f>
        <v>12</v>
      </c>
      <c r="P7" s="51">
        <f>VLOOKUP(C7,Purchased!A:D,3,FALSE)</f>
        <v>109.2133</v>
      </c>
      <c r="Q7" s="52">
        <f t="shared" ref="Q7" si="1">B7*P7</f>
        <v>109.2133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.75" customHeight="1" x14ac:dyDescent="0.25">
      <c r="A9" s="4">
        <v>501</v>
      </c>
      <c r="B9" s="2">
        <v>4</v>
      </c>
      <c r="C9" s="122" t="s">
        <v>107</v>
      </c>
      <c r="D9" s="325"/>
      <c r="E9" s="326"/>
      <c r="F9" s="108">
        <f>VLOOKUP(C9,Bolts!A:L,5,0)</f>
        <v>0</v>
      </c>
      <c r="G9" s="108">
        <f>VLOOKUP(C9,Bolts!A:L,6,0)</f>
        <v>0</v>
      </c>
      <c r="H9" s="108">
        <f>VLOOKUP(C9,Bolts!A:L,7,0)</f>
        <v>0</v>
      </c>
      <c r="I9" s="109"/>
      <c r="J9" s="46">
        <f>VLOOKUP(C9,Bolts!A:L,8,0)</f>
        <v>0</v>
      </c>
      <c r="K9" s="46">
        <f>VLOOKUP(C9,Bolts!A:L,9,0)</f>
        <v>0</v>
      </c>
      <c r="L9" s="46">
        <f>VLOOKUP(C9,Bolts!A:L,10,0)</f>
        <v>0</v>
      </c>
      <c r="M9" s="46">
        <f>VLOOKUP(C9,Bolts!A:L,11,0)</f>
        <v>0</v>
      </c>
      <c r="N9" s="130">
        <f>VLOOKUP(C9,Bolts!A:L,12,0)</f>
        <v>0</v>
      </c>
      <c r="O9" s="47">
        <f ca="1">B9*$L$2</f>
        <v>48</v>
      </c>
      <c r="P9" s="51">
        <f>VLOOKUP(C9,Bolts!A:B,2,FALSE)</f>
        <v>0</v>
      </c>
      <c r="Q9" s="52">
        <f>B9*P9</f>
        <v>0</v>
      </c>
    </row>
    <row r="10" spans="1:17" s="2" customFormat="1" ht="12.75" customHeight="1" thickBot="1" x14ac:dyDescent="0.3">
      <c r="A10" s="4">
        <v>502</v>
      </c>
      <c r="B10" s="2">
        <v>4</v>
      </c>
      <c r="C10" s="122" t="s">
        <v>174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ca="1">B10*$L$2</f>
        <v>48</v>
      </c>
      <c r="P10" s="51">
        <f>VLOOKUP(C10,Bolts!A:B,2,FALSE)</f>
        <v>0</v>
      </c>
      <c r="Q10" s="52">
        <f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162.86330000000001</v>
      </c>
    </row>
    <row r="12" spans="1:17" s="2" customFormat="1" ht="12" customHeight="1" x14ac:dyDescent="0.2">
      <c r="D12" s="21"/>
      <c r="E12" s="21"/>
      <c r="J12" s="8"/>
      <c r="K12" s="8"/>
      <c r="L12" s="8"/>
      <c r="M12" s="8"/>
      <c r="N12" s="131"/>
      <c r="O12" s="5"/>
      <c r="P12" s="98"/>
      <c r="Q12" s="105"/>
    </row>
  </sheetData>
  <mergeCells count="15">
    <mergeCell ref="D10:E10"/>
    <mergeCell ref="D11:E11"/>
    <mergeCell ref="H11:I11"/>
    <mergeCell ref="D7:E7"/>
    <mergeCell ref="H7:I7"/>
    <mergeCell ref="D8:E8"/>
    <mergeCell ref="H8:I8"/>
    <mergeCell ref="D9:E9"/>
    <mergeCell ref="D6:E6"/>
    <mergeCell ref="H6:I6"/>
    <mergeCell ref="D1:E1"/>
    <mergeCell ref="D4:E4"/>
    <mergeCell ref="H4:I4"/>
    <mergeCell ref="D5:E5"/>
    <mergeCell ref="H5:I5"/>
  </mergeCells>
  <conditionalFormatting sqref="M6 M8:M10">
    <cfRule type="cellIs" dxfId="698" priority="3" stopIfTrue="1" operator="lessThanOrEqual">
      <formula>$L6</formula>
    </cfRule>
    <cfRule type="cellIs" dxfId="697" priority="4" operator="greaterThan">
      <formula>L6</formula>
    </cfRule>
  </conditionalFormatting>
  <conditionalFormatting sqref="M7">
    <cfRule type="cellIs" dxfId="696" priority="1" stopIfTrue="1" operator="lessThanOrEqual">
      <formula>$L7</formula>
    </cfRule>
    <cfRule type="cellIs" dxfId="695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495528-6BB1-4F15-9BA4-7384E43B3ED0}">
          <x14:formula1>
            <xm:f>Bolts!$A:$A</xm:f>
          </x14:formula1>
          <xm:sqref>C9:C10</xm:sqref>
        </x14:dataValidation>
        <x14:dataValidation type="list" allowBlank="1" showInputMessage="1" showErrorMessage="1" xr:uid="{8CD44F44-85CE-46F5-90F6-BA79F9B3E31C}">
          <x14:formula1>
            <xm:f>Machined!$C:$C</xm:f>
          </x14:formula1>
          <xm:sqref>C5</xm:sqref>
        </x14:dataValidation>
        <x14:dataValidation type="list" allowBlank="1" showInputMessage="1" showErrorMessage="1" xr:uid="{2D77AFE6-7237-43EA-BBDD-676FF2D83ED8}">
          <x14:formula1>
            <xm:f>Purchased!$A:$A</xm:f>
          </x14:formula1>
          <xm:sqref>C7</xm:sqref>
        </x14:dataValidation>
      </x14:dataValidations>
    </ext>
  </extLst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E7529-6BF6-4E10-8F12-37059D07B1A4}">
  <sheetPr codeName="Sheet181">
    <tabColor theme="6" tint="0.59999389629810485"/>
  </sheetPr>
  <dimension ref="A1:Q12"/>
  <sheetViews>
    <sheetView zoomScale="115" zoomScaleNormal="115" workbookViewId="0">
      <selection activeCell="F8" sqref="F8:Q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'7.2'!C14</f>
        <v>PG10.7.2.10.0.A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'7.2'!D14</f>
        <v>ERGO TRACK GUIDE ASSEM</v>
      </c>
      <c r="D3" s="85" t="s">
        <v>50</v>
      </c>
      <c r="E3" s="86" t="str">
        <f ca="1">MID(CELL("filename",A1),FIND("]",CELL("filename",A1))+1,256)</f>
        <v>7.2.10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1196</v>
      </c>
      <c r="D5" s="314" t="str">
        <f>VLOOKUP(C5,Machined!C:X,2,0)</f>
        <v>ERGO Guide Standoff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45503</v>
      </c>
      <c r="K5" s="44">
        <f>IF(VLOOKUP($C5,Machined!C:Z,19,0) = 0, " ", VLOOKUP($C5,Machined!C:Z,19,0))</f>
        <v>45509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55656</v>
      </c>
      <c r="O5" s="45">
        <f ca="1">B5*$L$2</f>
        <v>4</v>
      </c>
      <c r="P5" s="49">
        <f>VLOOKUP(C5,Machined!C:F,3,0)</f>
        <v>85</v>
      </c>
      <c r="Q5" s="50">
        <f>B5*P5</f>
        <v>170</v>
      </c>
    </row>
    <row r="6" spans="1:17" s="2" customFormat="1" ht="12.75" customHeight="1" x14ac:dyDescent="0.25">
      <c r="A6" s="77">
        <v>2</v>
      </c>
      <c r="B6" s="20">
        <v>1</v>
      </c>
      <c r="C6" s="121" t="s">
        <v>1197</v>
      </c>
      <c r="D6" s="314" t="str">
        <f>VLOOKUP(C6,Machined!C:X,2,0)</f>
        <v>ERGO Guide Support Bar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45503</v>
      </c>
      <c r="K6" s="44">
        <f>IF(VLOOKUP($C6,Machined!C:Z,19,0) = 0, " ", VLOOKUP($C6,Machined!C:Z,19,0))</f>
        <v>45509</v>
      </c>
      <c r="L6" s="44">
        <f>IF(VLOOKUP($C6,Machined!C:Z,20,0) = 0, " ", VLOOKUP($C6,Machined!C:Z,20,0))</f>
        <v>45540</v>
      </c>
      <c r="M6" s="44">
        <f>IF(VLOOKUP($C6,Machined!C:Z,21,0) = 0, " ", VLOOKUP($C6,Machined!C:Z,21,0))</f>
        <v>45540</v>
      </c>
      <c r="N6" s="129">
        <f>IF(VLOOKUP($C6,Machined!C:Z,22,0) = 0, " ", VLOOKUP($C6,Machined!C:Z,22,0))</f>
        <v>55656</v>
      </c>
      <c r="O6" s="45">
        <f ca="1">B6*$L$2</f>
        <v>2</v>
      </c>
      <c r="P6" s="49">
        <f>VLOOKUP(C6,Machined!C:F,3,0)</f>
        <v>100</v>
      </c>
      <c r="Q6" s="50">
        <f>B6*P6</f>
        <v>100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.75" customHeight="1" x14ac:dyDescent="0.25">
      <c r="A8" s="4">
        <v>301</v>
      </c>
      <c r="B8" s="2">
        <v>6</v>
      </c>
      <c r="C8" s="135" t="s">
        <v>1198</v>
      </c>
      <c r="D8" s="325" t="str">
        <f>VLOOKUP(C8,Purchased!A:B,2,0)</f>
        <v>Zinc-Plated Steel Oversized Washer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ref="O8" ca="1" si="0">B8*$L$2</f>
        <v>12</v>
      </c>
      <c r="P8" s="51">
        <f>VLOOKUP(C8,Purchased!A:D,3,FALSE)</f>
        <v>13.66</v>
      </c>
      <c r="Q8" s="52">
        <f t="shared" ref="Q8" si="1">B8*P8</f>
        <v>81.960000000000008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thickBot="1" x14ac:dyDescent="0.3">
      <c r="A10" s="4">
        <v>501</v>
      </c>
      <c r="B10" s="2">
        <v>10</v>
      </c>
      <c r="C10" s="122" t="s">
        <v>203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ca="1">B10*$L$2</f>
        <v>20</v>
      </c>
      <c r="P10" s="51">
        <f>VLOOKUP(C10,Bolts!A:B,2,FALSE)</f>
        <v>0</v>
      </c>
      <c r="Q10" s="52">
        <f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SUM(Q6:Q10)</f>
        <v>181.96</v>
      </c>
    </row>
    <row r="12" spans="1:17" s="2" customFormat="1" ht="12" customHeight="1" x14ac:dyDescent="0.2">
      <c r="D12" s="21"/>
      <c r="E12" s="21"/>
      <c r="J12" s="8"/>
      <c r="K12" s="8"/>
      <c r="L12" s="8"/>
      <c r="M12" s="8"/>
      <c r="N12" s="131"/>
      <c r="O12" s="5"/>
      <c r="P12" s="98"/>
      <c r="Q12" s="105"/>
    </row>
  </sheetData>
  <mergeCells count="16">
    <mergeCell ref="D11:E11"/>
    <mergeCell ref="H11:I11"/>
    <mergeCell ref="D5:E5"/>
    <mergeCell ref="H5:I5"/>
    <mergeCell ref="D8:E8"/>
    <mergeCell ref="H8:I8"/>
    <mergeCell ref="D9:E9"/>
    <mergeCell ref="H9:I9"/>
    <mergeCell ref="D10:E10"/>
    <mergeCell ref="D7:E7"/>
    <mergeCell ref="H7:I7"/>
    <mergeCell ref="D1:E1"/>
    <mergeCell ref="D4:E4"/>
    <mergeCell ref="H4:I4"/>
    <mergeCell ref="D6:E6"/>
    <mergeCell ref="H6:I6"/>
  </mergeCells>
  <conditionalFormatting sqref="M7 M9:M10">
    <cfRule type="cellIs" dxfId="694" priority="3" stopIfTrue="1" operator="lessThanOrEqual">
      <formula>$L7</formula>
    </cfRule>
    <cfRule type="cellIs" dxfId="693" priority="4" operator="greaterThan">
      <formula>L7</formula>
    </cfRule>
  </conditionalFormatting>
  <conditionalFormatting sqref="M8">
    <cfRule type="cellIs" dxfId="692" priority="1" stopIfTrue="1" operator="lessThanOrEqual">
      <formula>$L8</formula>
    </cfRule>
    <cfRule type="cellIs" dxfId="691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B29EF7-0661-41AB-BFE4-C2172A45AE8F}">
          <x14:formula1>
            <xm:f>Bolts!$A:$A</xm:f>
          </x14:formula1>
          <xm:sqref>C10</xm:sqref>
        </x14:dataValidation>
        <x14:dataValidation type="list" allowBlank="1" showInputMessage="1" showErrorMessage="1" xr:uid="{7784E6BE-E4E6-4538-9A1E-2211B0788D5F}">
          <x14:formula1>
            <xm:f>Machined!$C:$C</xm:f>
          </x14:formula1>
          <xm:sqref>C5:C6</xm:sqref>
        </x14:dataValidation>
        <x14:dataValidation type="list" allowBlank="1" showInputMessage="1" showErrorMessage="1" xr:uid="{F3D78684-8575-424D-91E1-D2E1F1BD41AC}">
          <x14:formula1>
            <xm:f>Purchased!$A:$A</xm:f>
          </x14:formula1>
          <xm:sqref>C8</xm:sqref>
        </x14:dataValidation>
      </x14:dataValidations>
    </ext>
  </extLst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58277-C3BF-49C0-883D-0DF8E6487B1A}">
  <sheetPr codeName="Sheet182">
    <tabColor theme="9" tint="0.59999389629810485"/>
  </sheetPr>
  <dimension ref="A1:Q15"/>
  <sheetViews>
    <sheetView zoomScale="115" zoomScaleNormal="115" workbookViewId="0">
      <selection activeCell="E21" sqref="E2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'7'!C7</f>
        <v>PG10.7.3.0.A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'7'!D7</f>
        <v>UPPER B-SIDE SIDE SEAL CASSETTE</v>
      </c>
      <c r="D3" s="85" t="s">
        <v>50</v>
      </c>
      <c r="E3" s="86" t="str">
        <f ca="1">MID(CELL("filename",A1),FIND("]",CELL("filename",A1))+1,256)</f>
        <v>7.3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71" t="s">
        <v>17</v>
      </c>
      <c r="G4" s="164" t="s">
        <v>18</v>
      </c>
      <c r="H4" s="318" t="s">
        <v>19</v>
      </c>
      <c r="I4" s="319"/>
      <c r="J4" s="164" t="s">
        <v>51</v>
      </c>
      <c r="K4" s="164" t="s">
        <v>21</v>
      </c>
      <c r="L4" s="164" t="s">
        <v>22</v>
      </c>
      <c r="M4" s="164" t="s">
        <v>52</v>
      </c>
      <c r="N4" s="172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1199</v>
      </c>
      <c r="D5" s="336" t="str">
        <f ca="1">VLOOKUP(C5,Assemblies!E:P,2,0)</f>
        <v>UPPER SIDE SEAL SERVO ASSY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:O6" ca="1" si="0">B5*$L$2</f>
        <v>1</v>
      </c>
      <c r="P5" s="117">
        <f>'7.3.1'!Q25</f>
        <v>5168.2514000000001</v>
      </c>
      <c r="Q5" s="118">
        <f t="shared" ref="Q5:Q6" si="1">B5*P5</f>
        <v>5168.2514000000001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1200</v>
      </c>
      <c r="D6" s="314" t="str">
        <f ca="1">VLOOKUP(C6,Assemblies!E:P,2,0)</f>
        <v>UPPER SIDE SEAL HEAD ASSY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'7.3.2'!Q23</f>
        <v>1311.6</v>
      </c>
      <c r="Q6" s="103">
        <f t="shared" si="1"/>
        <v>1311.6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1135</v>
      </c>
      <c r="D7" s="314" t="str">
        <f ca="1">VLOOKUP(C7,Assemblies!E:P,2,0)</f>
        <v>SIDE SEAL FRAME ASSY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ref="O7:O8" ca="1" si="2">B7*$L$2</f>
        <v>1</v>
      </c>
      <c r="P7" s="147">
        <f>'7.2.1'!Q19</f>
        <v>771.41199999999992</v>
      </c>
      <c r="Q7" s="103">
        <f t="shared" ref="Q7:Q8" si="3">B7*P7</f>
        <v>771.41199999999992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1138</v>
      </c>
      <c r="D8" s="314" t="str">
        <f ca="1">VLOOKUP(C8,Assemblies!E:P,2,0)</f>
        <v>SIDE SEAL RUNNER BLOCK BRAKE ASSY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ca="1" si="2"/>
        <v>2</v>
      </c>
      <c r="P8" s="147">
        <f>'7.2.4'!Q14</f>
        <v>588.61329999999998</v>
      </c>
      <c r="Q8" s="103">
        <f t="shared" si="3"/>
        <v>1177.2266</v>
      </c>
    </row>
    <row r="9" spans="1:17" s="1" customFormat="1" ht="12.75" customHeight="1" x14ac:dyDescent="0.2">
      <c r="A9" s="150" t="s">
        <v>62</v>
      </c>
      <c r="B9" s="1">
        <v>2</v>
      </c>
      <c r="C9" s="145" t="s">
        <v>1139</v>
      </c>
      <c r="D9" s="314" t="str">
        <f ca="1">VLOOKUP(C9,Assemblies!E:P,2,0)</f>
        <v>SEAL BAR ROD END ASSY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ref="O9:O13" ca="1" si="4">B9*$L$2</f>
        <v>2</v>
      </c>
      <c r="P9" s="147">
        <f>'7.2.5'!Q19</f>
        <v>360.20000000000005</v>
      </c>
      <c r="Q9" s="103">
        <f t="shared" ref="Q9:Q13" si="5">B9*P9</f>
        <v>720.40000000000009</v>
      </c>
    </row>
    <row r="10" spans="1:17" s="1" customFormat="1" ht="12.75" customHeight="1" x14ac:dyDescent="0.2">
      <c r="A10" s="150" t="s">
        <v>64</v>
      </c>
      <c r="B10" s="1">
        <v>1</v>
      </c>
      <c r="C10" s="145" t="s">
        <v>1140</v>
      </c>
      <c r="D10" s="314" t="str">
        <f ca="1">VLOOKUP(C10,Assemblies!E:P,2,0)</f>
        <v>SIDE SEAL TEFLON ROLL ASSY</v>
      </c>
      <c r="E10" s="314"/>
      <c r="F10" s="31"/>
      <c r="G10" s="32"/>
      <c r="H10" s="303"/>
      <c r="I10" s="303"/>
      <c r="J10" s="28"/>
      <c r="K10" s="28"/>
      <c r="L10" s="28"/>
      <c r="M10" s="28"/>
      <c r="N10" s="33"/>
      <c r="O10" s="146">
        <f t="shared" ca="1" si="4"/>
        <v>1</v>
      </c>
      <c r="P10" s="147">
        <f>'7.2.6'!Q14</f>
        <v>574.78</v>
      </c>
      <c r="Q10" s="103">
        <f t="shared" si="5"/>
        <v>574.78</v>
      </c>
    </row>
    <row r="11" spans="1:17" s="1" customFormat="1" ht="12.75" customHeight="1" x14ac:dyDescent="0.2">
      <c r="A11" s="150" t="s">
        <v>66</v>
      </c>
      <c r="B11" s="1">
        <v>1</v>
      </c>
      <c r="C11" s="145" t="s">
        <v>1141</v>
      </c>
      <c r="D11" s="314" t="str">
        <f ca="1">VLOOKUP(C11,Assemblies!E:P,2,0)</f>
        <v>Igus Lead Nut Assy</v>
      </c>
      <c r="E11" s="314"/>
      <c r="F11" s="31"/>
      <c r="G11" s="32"/>
      <c r="H11" s="303"/>
      <c r="I11" s="303"/>
      <c r="J11" s="28"/>
      <c r="K11" s="28"/>
      <c r="L11" s="28"/>
      <c r="M11" s="28"/>
      <c r="N11" s="33"/>
      <c r="O11" s="146">
        <f t="shared" ref="O11" ca="1" si="6">B11*$L$2</f>
        <v>1</v>
      </c>
      <c r="P11" s="147">
        <f>'7.2.7'!Q9</f>
        <v>18.940000000000001</v>
      </c>
      <c r="Q11" s="103">
        <f t="shared" ref="Q11" si="7">B11*P11</f>
        <v>18.940000000000001</v>
      </c>
    </row>
    <row r="12" spans="1:17" s="1" customFormat="1" ht="12.75" customHeight="1" x14ac:dyDescent="0.2">
      <c r="A12" s="150" t="s">
        <v>68</v>
      </c>
      <c r="B12" s="1">
        <v>2</v>
      </c>
      <c r="C12" s="145" t="s">
        <v>1142</v>
      </c>
      <c r="D12" s="314" t="str">
        <f ca="1">VLOOKUP(C12,Assemblies!E:P,2,0)</f>
        <v>Modified Igus Slider</v>
      </c>
      <c r="E12" s="314"/>
      <c r="F12" s="31"/>
      <c r="G12" s="32"/>
      <c r="H12" s="303"/>
      <c r="I12" s="303"/>
      <c r="J12" s="28"/>
      <c r="K12" s="28"/>
      <c r="L12" s="28"/>
      <c r="M12" s="28"/>
      <c r="N12" s="33"/>
      <c r="O12" s="146">
        <f ca="1">B12*$L$2</f>
        <v>2</v>
      </c>
      <c r="P12" s="147">
        <f>'7.2.8'!Q8</f>
        <v>0</v>
      </c>
      <c r="Q12" s="103">
        <f>B12*P12</f>
        <v>0</v>
      </c>
    </row>
    <row r="13" spans="1:17" s="1" customFormat="1" ht="12.75" customHeight="1" thickBot="1" x14ac:dyDescent="0.25">
      <c r="A13" s="150" t="s">
        <v>70</v>
      </c>
      <c r="B13" s="1">
        <v>2</v>
      </c>
      <c r="C13" s="145" t="s">
        <v>1143</v>
      </c>
      <c r="D13" s="314" t="str">
        <f ca="1">VLOOKUP(C13,Assemblies!E:P,2,0)</f>
        <v>SIDE SEAL RUNNER BLOCK ASSY</v>
      </c>
      <c r="E13" s="314"/>
      <c r="F13" s="31"/>
      <c r="G13" s="32"/>
      <c r="H13" s="303"/>
      <c r="I13" s="303"/>
      <c r="J13" s="28"/>
      <c r="K13" s="28"/>
      <c r="L13" s="28"/>
      <c r="M13" s="28"/>
      <c r="N13" s="33"/>
      <c r="O13" s="146">
        <f t="shared" ca="1" si="4"/>
        <v>2</v>
      </c>
      <c r="P13" s="147">
        <f>'7.2.9'!Q11</f>
        <v>162.86330000000001</v>
      </c>
      <c r="Q13" s="103">
        <f t="shared" si="5"/>
        <v>325.72660000000002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10068.336600000001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23">
    <mergeCell ref="D14:E14"/>
    <mergeCell ref="H14:I14"/>
    <mergeCell ref="D7:E7"/>
    <mergeCell ref="H7:I7"/>
    <mergeCell ref="D8:E8"/>
    <mergeCell ref="H8:I8"/>
    <mergeCell ref="D13:E13"/>
    <mergeCell ref="H13:I13"/>
    <mergeCell ref="D11:E11"/>
    <mergeCell ref="H11:I11"/>
    <mergeCell ref="D10:E10"/>
    <mergeCell ref="H10:I10"/>
    <mergeCell ref="D12:E12"/>
    <mergeCell ref="H12:I12"/>
    <mergeCell ref="D1:E1"/>
    <mergeCell ref="D4:E4"/>
    <mergeCell ref="H4:I4"/>
    <mergeCell ref="D9:E9"/>
    <mergeCell ref="H9:I9"/>
    <mergeCell ref="D5:E5"/>
    <mergeCell ref="H5:I5"/>
    <mergeCell ref="D6:E6"/>
    <mergeCell ref="H6:I6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9D811A-4D50-418A-8424-4FE5945E7E82}">
          <x14:formula1>
            <xm:f>Assemblies!$E:$E</xm:f>
          </x14:formula1>
          <xm:sqref>C5:C13</xm:sqref>
        </x14:dataValidation>
      </x14:dataValidations>
    </ext>
  </extLst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4ADC3-AD98-439C-A66C-34301EAE56E0}">
  <sheetPr codeName="Sheet183">
    <tabColor theme="6" tint="0.59999389629810485"/>
  </sheetPr>
  <dimension ref="A1:Q26"/>
  <sheetViews>
    <sheetView zoomScale="115" zoomScaleNormal="115" workbookViewId="0">
      <selection activeCell="D33" sqref="D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'7.3'!C5</f>
        <v>PG10.7.3.1.0.A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3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'7.3'!D5</f>
        <v>UPPER SIDE SEAL SERVO ASSY</v>
      </c>
      <c r="D3" s="85" t="s">
        <v>50</v>
      </c>
      <c r="E3" s="86" t="str">
        <f ca="1">MID(CELL("filename",A1),FIND("]",CELL("filename",A1))+1,256)</f>
        <v>7.3.1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1153</v>
      </c>
      <c r="D5" s="314" t="str">
        <f>VLOOKUP(C5,Machined!C:X,2,0)</f>
        <v>Side Seal Crank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Nuline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303 TG&amp;P, Round Stock, -0.0005</v>
      </c>
      <c r="J5" s="44">
        <f>IF(VLOOKUP($C5,Machined!C:Z,18,0) = 0, " ", VLOOKUP($C5,Machined!C:Z,18,0))</f>
        <v>45525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45541</v>
      </c>
      <c r="M5" s="44">
        <f>IF(VLOOKUP($C5,Machined!C:Z,21,0) = 0, " ", VLOOKUP($C5,Machined!C:Z,21,0))</f>
        <v>45541</v>
      </c>
      <c r="N5" s="129">
        <f>IF(VLOOKUP($C5,Machined!C:Z,22,0) = 0, " ", VLOOKUP($C5,Machined!C:Z,22,0))</f>
        <v>55700</v>
      </c>
      <c r="O5" s="45">
        <f t="shared" ref="O5:O9" ca="1" si="0">B5*$L$2</f>
        <v>3</v>
      </c>
      <c r="P5" s="49">
        <f>VLOOKUP(C5,Machined!C:F,3,0)</f>
        <v>72.95</v>
      </c>
      <c r="Q5" s="50">
        <f t="shared" ref="Q5:Q9" si="1">B5*P5</f>
        <v>72.95</v>
      </c>
    </row>
    <row r="6" spans="1:17" s="2" customFormat="1" ht="12.75" customHeight="1" x14ac:dyDescent="0.25">
      <c r="A6" s="77">
        <v>2</v>
      </c>
      <c r="B6" s="20">
        <v>1</v>
      </c>
      <c r="C6" s="121" t="s">
        <v>1154</v>
      </c>
      <c r="D6" s="314" t="str">
        <f>VLOOKUP(C6,Machined!C:X,2,0)</f>
        <v>Seal Bar Gearbox Plate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MtnStatesAuto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55569</v>
      </c>
      <c r="O6" s="45">
        <f t="shared" ca="1" si="0"/>
        <v>3</v>
      </c>
      <c r="P6" s="49">
        <f>VLOOKUP(C6,Machined!C:F,3,0)</f>
        <v>70.3</v>
      </c>
      <c r="Q6" s="50">
        <f t="shared" si="1"/>
        <v>70.3</v>
      </c>
    </row>
    <row r="7" spans="1:17" s="2" customFormat="1" ht="12.75" customHeight="1" x14ac:dyDescent="0.25">
      <c r="A7" s="77">
        <v>3</v>
      </c>
      <c r="B7" s="20">
        <v>2</v>
      </c>
      <c r="C7" s="121" t="s">
        <v>1155</v>
      </c>
      <c r="D7" s="314" t="str">
        <f>VLOOKUP(C7,Machined!C:X,2,0)</f>
        <v>Shipp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MtnStatesAuto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55569</v>
      </c>
      <c r="O7" s="45">
        <f t="shared" ca="1" si="0"/>
        <v>6</v>
      </c>
      <c r="P7" s="49">
        <f>VLOOKUP(C7,Machined!C:F,3,0)</f>
        <v>53.4</v>
      </c>
      <c r="Q7" s="50">
        <f t="shared" si="1"/>
        <v>106.8</v>
      </c>
    </row>
    <row r="8" spans="1:17" s="2" customFormat="1" ht="12.75" customHeight="1" x14ac:dyDescent="0.25">
      <c r="A8" s="77">
        <v>4</v>
      </c>
      <c r="B8" s="20">
        <v>1</v>
      </c>
      <c r="C8" s="121" t="s">
        <v>1156</v>
      </c>
      <c r="D8" s="314" t="str">
        <f>VLOOKUP(C8,Machined!C:X,2,0)</f>
        <v>Large Gearbox Offset Block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55569</v>
      </c>
      <c r="O8" s="45">
        <f t="shared" ca="1" si="0"/>
        <v>3</v>
      </c>
      <c r="P8" s="49">
        <f>VLOOKUP(C8,Machined!C:F,3,0)</f>
        <v>123.15</v>
      </c>
      <c r="Q8" s="50">
        <f t="shared" si="1"/>
        <v>123.15</v>
      </c>
    </row>
    <row r="9" spans="1:17" s="2" customFormat="1" ht="12.75" customHeight="1" x14ac:dyDescent="0.25">
      <c r="A9" s="77">
        <v>4</v>
      </c>
      <c r="B9" s="20">
        <v>2</v>
      </c>
      <c r="C9" s="121" t="s">
        <v>1157</v>
      </c>
      <c r="D9" s="314" t="str">
        <f>VLOOKUP(C9,Machined!C:X,2,0)</f>
        <v>Crankshaft Bearing Mount Plate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MtnStatesAuto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45461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55569</v>
      </c>
      <c r="O9" s="45">
        <f t="shared" ca="1" si="0"/>
        <v>6</v>
      </c>
      <c r="P9" s="49">
        <f>VLOOKUP(C9,Machined!C:F,3,0)</f>
        <v>66.3</v>
      </c>
      <c r="Q9" s="50">
        <f t="shared" si="1"/>
        <v>132.6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16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:O16" ca="1" si="2">B11*$L$2</f>
        <v>48</v>
      </c>
      <c r="P11" s="51">
        <f>VLOOKUP(C11,Purchased!A:D,3,FALSE)</f>
        <v>0.56000000000000005</v>
      </c>
      <c r="Q11" s="52">
        <f t="shared" ref="Q11:Q16" si="3">B11*P11</f>
        <v>8.9600000000000009</v>
      </c>
    </row>
    <row r="12" spans="1:17" s="2" customFormat="1" ht="12.75" customHeight="1" x14ac:dyDescent="0.25">
      <c r="A12" s="4">
        <v>302</v>
      </c>
      <c r="B12" s="2">
        <v>2</v>
      </c>
      <c r="C12" s="135" t="s">
        <v>1158</v>
      </c>
      <c r="D12" s="325" t="str">
        <f>VLOOKUP(C12,Purchased!A:B,2,0)</f>
        <v>Mounted Steel Ball Bearing with Cast Iron Housing</v>
      </c>
      <c r="E12" s="326"/>
      <c r="F12" s="108" t="str">
        <f>IF(VLOOKUP($C12,Purchased!A:Z,11,0) = 0, " ", VLOOKUP($C12,Purchased!A:Z,11,0))</f>
        <v>Timken</v>
      </c>
      <c r="G12" s="108" t="str">
        <f>IF(VLOOKUP($C12,Purchased!A:Z,12,0)=0, " ", VLOOKUP($C12,Purchased!A:Z,12,0))</f>
        <v>BDI</v>
      </c>
      <c r="H12" s="327" t="str">
        <f>IF(VLOOKUP($C12,Purchased!A:Z,13,0)=0, " ", VLOOKUP($C12,Purchased!A:Z,13,0))</f>
        <v># 20353591</v>
      </c>
      <c r="I12" s="328"/>
      <c r="J12" s="46">
        <f>IF(VLOOKUP($C12,Purchased!A:Z,14,0)=0, " ", VLOOKUP($C12,Purchased!A:Z,14,0))</f>
        <v>45460</v>
      </c>
      <c r="K12" s="46">
        <f>IF(VLOOKUP(C12,Purchased!A:R,14,0)=0, " ", VLOOKUP(C12,Purchased!A:R,14,0))</f>
        <v>45460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45495</v>
      </c>
      <c r="O12" s="47">
        <f t="shared" ca="1" si="2"/>
        <v>6</v>
      </c>
      <c r="P12" s="51">
        <f>VLOOKUP(C12,Purchased!A:D,3,FALSE)</f>
        <v>62.35</v>
      </c>
      <c r="Q12" s="52">
        <f t="shared" si="3"/>
        <v>124.7</v>
      </c>
    </row>
    <row r="13" spans="1:17" s="2" customFormat="1" ht="12.75" customHeight="1" x14ac:dyDescent="0.25">
      <c r="A13" s="4">
        <v>303</v>
      </c>
      <c r="B13" s="2">
        <v>2</v>
      </c>
      <c r="C13" s="135" t="s">
        <v>1159</v>
      </c>
      <c r="D13" s="325" t="str">
        <f>VLOOKUP(C13,Purchased!A:B,2,0)</f>
        <v>Rounded Machine Key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2"/>
        <v>6</v>
      </c>
      <c r="P13" s="51">
        <f>VLOOKUP(C13,Purchased!A:D,3,FALSE)</f>
        <v>6.04</v>
      </c>
      <c r="Q13" s="52">
        <f t="shared" si="3"/>
        <v>12.08</v>
      </c>
    </row>
    <row r="14" spans="1:17" s="2" customFormat="1" ht="12.75" customHeight="1" x14ac:dyDescent="0.25">
      <c r="A14" s="4">
        <v>304</v>
      </c>
      <c r="B14" s="2">
        <v>1</v>
      </c>
      <c r="C14" s="135" t="s">
        <v>1201</v>
      </c>
      <c r="D14" s="325" t="str">
        <f>VLOOKUP(C14,Purchased!A:B,2,0)</f>
        <v>K302WG0200EZ502U Gearmotor, Upper Side Seal</v>
      </c>
      <c r="E14" s="326"/>
      <c r="F14" s="108" t="str">
        <f>IF(VLOOKUP($C14,Purchased!A:Z,11,0) = 0, " ", VLOOKUP($C14,Purchased!A:Z,11,0))</f>
        <v>Stober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45426</v>
      </c>
      <c r="K14" s="46">
        <f>IF(VLOOKUP(C14,Purchased!A:R,14,0)=0, " ", VLOOKUP(C14,Purchased!A:R,14,0))</f>
        <v>45426</v>
      </c>
      <c r="L14" s="46">
        <f>IF(VLOOKUP(C14,Purchased!A:R,15,0)=0, " ", VLOOKUP(C14,Purchased!A:R,15,0))</f>
        <v>45426</v>
      </c>
      <c r="M14" s="46">
        <f>IF(VLOOKUP(C14,Purchased!A:R,16,0)=0, " ",VLOOKUP(C14,Purchased!A:R,16,0))</f>
        <v>45524</v>
      </c>
      <c r="N14" s="130">
        <f>IF(VLOOKUP(C14,Purchased!A:R,17,0)=0, " ", VLOOKUP(C14,Purchased!A:R,17,0))</f>
        <v>45524</v>
      </c>
      <c r="O14" s="47">
        <f t="shared" ca="1" si="2"/>
        <v>3</v>
      </c>
      <c r="P14" s="51">
        <f>VLOOKUP(C14,Purchased!A:D,3,FALSE)</f>
        <v>3966.3107</v>
      </c>
      <c r="Q14" s="52">
        <f t="shared" si="3"/>
        <v>3966.3107</v>
      </c>
    </row>
    <row r="15" spans="1:17" s="2" customFormat="1" ht="12.75" customHeight="1" x14ac:dyDescent="0.25">
      <c r="A15" s="4">
        <v>305</v>
      </c>
      <c r="B15" s="2">
        <v>1</v>
      </c>
      <c r="C15" s="135" t="s">
        <v>425</v>
      </c>
      <c r="D15" s="325" t="str">
        <f>VLOOKUP(C15,Purchased!A:B,2,0)</f>
        <v>STOBER - Power cable -56876, 10MTR</v>
      </c>
      <c r="E15" s="326"/>
      <c r="F15" s="108" t="str">
        <f>IF(VLOOKUP($C15,Purchased!A:Z,11,0) = 0, " ", VLOOKUP($C15,Purchased!A:Z,11,0))</f>
        <v>STOBER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45464</v>
      </c>
      <c r="M15" s="46">
        <f>IF(VLOOKUP(C15,Purchased!A:R,16,0)=0, " ",VLOOKUP(C15,Purchased!A:R,16,0))</f>
        <v>45532</v>
      </c>
      <c r="N15" s="130">
        <f>IF(VLOOKUP(C15,Purchased!A:R,17,0)=0, " ", VLOOKUP(C15,Purchased!A:R,17,0))</f>
        <v>45532</v>
      </c>
      <c r="O15" s="47">
        <f t="shared" ca="1" si="2"/>
        <v>3</v>
      </c>
      <c r="P15" s="51">
        <f>VLOOKUP(C15,Purchased!A:D,3,FALSE)</f>
        <v>290.44470000000001</v>
      </c>
      <c r="Q15" s="52">
        <f t="shared" si="3"/>
        <v>290.44470000000001</v>
      </c>
    </row>
    <row r="16" spans="1:17" s="2" customFormat="1" ht="12.75" customHeight="1" x14ac:dyDescent="0.25">
      <c r="A16" s="4">
        <v>306</v>
      </c>
      <c r="B16" s="2">
        <v>1</v>
      </c>
      <c r="C16" s="135" t="s">
        <v>426</v>
      </c>
      <c r="D16" s="325" t="str">
        <f>VLOOKUP(C16,Purchased!A:B,2,0)</f>
        <v>STOBER - Encoder cable -57815, 10MTR</v>
      </c>
      <c r="E16" s="326"/>
      <c r="F16" s="108" t="str">
        <f>IF(VLOOKUP($C16,Purchased!A:Z,11,0) = 0, " ", VLOOKUP($C16,Purchased!A:Z,11,0))</f>
        <v>STOBER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45463</v>
      </c>
      <c r="K16" s="46">
        <f>IF(VLOOKUP(C16,Purchased!A:R,14,0)=0, " ", VLOOKUP(C16,Purchased!A:R,14,0))</f>
        <v>45463</v>
      </c>
      <c r="L16" s="46">
        <f>IF(VLOOKUP(C16,Purchased!A:R,15,0)=0, " ", VLOOKUP(C16,Purchased!A:R,15,0))</f>
        <v>45464</v>
      </c>
      <c r="M16" s="46">
        <f>IF(VLOOKUP(C16,Purchased!A:R,16,0)=0, " ",VLOOKUP(C16,Purchased!A:R,16,0))</f>
        <v>45532</v>
      </c>
      <c r="N16" s="130">
        <f>IF(VLOOKUP(C16,Purchased!A:R,17,0)=0, " ", VLOOKUP(C16,Purchased!A:R,17,0))</f>
        <v>45532</v>
      </c>
      <c r="O16" s="47">
        <f t="shared" ca="1" si="2"/>
        <v>3</v>
      </c>
      <c r="P16" s="51">
        <f>VLOOKUP(C16,Purchased!A:D,3,FALSE)</f>
        <v>259.95600000000002</v>
      </c>
      <c r="Q16" s="52">
        <f t="shared" si="3"/>
        <v>259.95600000000002</v>
      </c>
    </row>
    <row r="17" spans="1:17" s="2" customFormat="1" ht="12.75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.75" customHeight="1" x14ac:dyDescent="0.25">
      <c r="A18" s="4">
        <v>501</v>
      </c>
      <c r="B18" s="2">
        <v>8</v>
      </c>
      <c r="C18" s="122" t="s">
        <v>203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24</v>
      </c>
      <c r="P18" s="51">
        <f>VLOOKUP(C18,Bolts!A:B,2,FALSE)</f>
        <v>0</v>
      </c>
      <c r="Q18" s="52">
        <f>B18*P18</f>
        <v>0</v>
      </c>
    </row>
    <row r="19" spans="1:17" s="2" customFormat="1" ht="12" customHeight="1" x14ac:dyDescent="0.25">
      <c r="A19" s="4">
        <v>502</v>
      </c>
      <c r="B19" s="2">
        <v>4</v>
      </c>
      <c r="C19" s="122" t="s">
        <v>269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ref="O19:O24" ca="1" si="4">B19*$L$2</f>
        <v>12</v>
      </c>
      <c r="P19" s="51">
        <f>VLOOKUP(C19,Bolts!A:B,2,FALSE)</f>
        <v>0</v>
      </c>
      <c r="Q19" s="52">
        <f t="shared" ref="Q19:Q24" si="5">B19*P19</f>
        <v>0</v>
      </c>
    </row>
    <row r="20" spans="1:17" s="2" customFormat="1" ht="12" customHeight="1" x14ac:dyDescent="0.25">
      <c r="A20" s="4">
        <v>503</v>
      </c>
      <c r="B20" s="2">
        <v>4</v>
      </c>
      <c r="C20" s="122" t="s">
        <v>1161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4"/>
        <v>12</v>
      </c>
      <c r="P20" s="51">
        <f>VLOOKUP(C20,Bolts!A:B,2,FALSE)</f>
        <v>0</v>
      </c>
      <c r="Q20" s="52">
        <f t="shared" si="5"/>
        <v>0</v>
      </c>
    </row>
    <row r="21" spans="1:17" s="2" customFormat="1" ht="12" customHeight="1" x14ac:dyDescent="0.25">
      <c r="A21" s="4">
        <v>504</v>
      </c>
      <c r="B21" s="2">
        <v>4</v>
      </c>
      <c r="C21" s="122" t="s">
        <v>1162</v>
      </c>
      <c r="D21" s="325"/>
      <c r="E21" s="326"/>
      <c r="F21" s="108" t="str">
        <f>VLOOKUP(C21,Bolts!A:L,5,0)</f>
        <v xml:space="preserve"> </v>
      </c>
      <c r="G21" s="108" t="str">
        <f>VLOOKUP(C21,Bolts!A:L,6,0)</f>
        <v xml:space="preserve"> 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4"/>
        <v>12</v>
      </c>
      <c r="P21" s="51">
        <f>VLOOKUP(C21,Bolts!A:B,2,FALSE)</f>
        <v>0</v>
      </c>
      <c r="Q21" s="52">
        <f t="shared" si="5"/>
        <v>0</v>
      </c>
    </row>
    <row r="22" spans="1:17" s="2" customFormat="1" ht="12" customHeight="1" x14ac:dyDescent="0.25">
      <c r="A22" s="4">
        <v>505</v>
      </c>
      <c r="B22" s="2">
        <v>2</v>
      </c>
      <c r="C22" s="122" t="s">
        <v>188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4"/>
        <v>6</v>
      </c>
      <c r="P22" s="51">
        <f>VLOOKUP(C22,Bolts!A:B,2,FALSE)</f>
        <v>0</v>
      </c>
      <c r="Q22" s="52">
        <f t="shared" si="5"/>
        <v>0</v>
      </c>
    </row>
    <row r="23" spans="1:17" s="2" customFormat="1" ht="12" customHeight="1" x14ac:dyDescent="0.25">
      <c r="A23" s="4">
        <v>506</v>
      </c>
      <c r="B23" s="2">
        <v>4</v>
      </c>
      <c r="C23" s="122" t="s">
        <v>692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4"/>
        <v>12</v>
      </c>
      <c r="P23" s="51">
        <f>VLOOKUP(C23,Bolts!A:B,2,FALSE)</f>
        <v>0</v>
      </c>
      <c r="Q23" s="52">
        <f t="shared" si="5"/>
        <v>0</v>
      </c>
    </row>
    <row r="24" spans="1:17" s="2" customFormat="1" ht="12" customHeight="1" thickBot="1" x14ac:dyDescent="0.3">
      <c r="A24" s="4">
        <v>507</v>
      </c>
      <c r="B24" s="2">
        <v>4</v>
      </c>
      <c r="C24" s="122" t="s">
        <v>1163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4"/>
        <v>12</v>
      </c>
      <c r="P24" s="51">
        <f>VLOOKUP(C24,Bolts!A:B,2,FALSE)</f>
        <v>0</v>
      </c>
      <c r="Q24" s="52">
        <f t="shared" si="5"/>
        <v>0</v>
      </c>
    </row>
    <row r="25" spans="1:17" s="2" customFormat="1" ht="12" customHeight="1" thickBot="1" x14ac:dyDescent="0.3">
      <c r="A25" s="34"/>
      <c r="B25" s="35"/>
      <c r="C25" s="35"/>
      <c r="D25" s="316"/>
      <c r="E25" s="317"/>
      <c r="F25" s="35"/>
      <c r="G25" s="35"/>
      <c r="H25" s="309"/>
      <c r="I25" s="310"/>
      <c r="J25" s="36"/>
      <c r="K25" s="36"/>
      <c r="L25" s="36"/>
      <c r="M25" s="37"/>
      <c r="N25" s="132"/>
      <c r="O25" s="38"/>
      <c r="P25" s="99" t="s">
        <v>43</v>
      </c>
      <c r="Q25" s="104">
        <f>SUM(Q5:Q24)</f>
        <v>5168.2514000000001</v>
      </c>
    </row>
    <row r="26" spans="1:17" s="2" customFormat="1" ht="12" customHeight="1" x14ac:dyDescent="0.2">
      <c r="D26" s="21"/>
      <c r="E26" s="21"/>
      <c r="J26" s="8"/>
      <c r="K26" s="8"/>
      <c r="L26" s="8"/>
      <c r="M26" s="8"/>
      <c r="N26" s="131"/>
      <c r="O26" s="5"/>
      <c r="P26" s="98"/>
      <c r="Q26" s="105"/>
    </row>
  </sheetData>
  <sheetProtection selectLockedCells="1"/>
  <mergeCells count="38">
    <mergeCell ref="D21:E21"/>
    <mergeCell ref="D22:E22"/>
    <mergeCell ref="D23:E23"/>
    <mergeCell ref="D24:E24"/>
    <mergeCell ref="D25:E25"/>
    <mergeCell ref="H25:I25"/>
    <mergeCell ref="D1:E1"/>
    <mergeCell ref="D4:E4"/>
    <mergeCell ref="H4:I4"/>
    <mergeCell ref="D11:E11"/>
    <mergeCell ref="H11:I11"/>
    <mergeCell ref="D12:E12"/>
    <mergeCell ref="H12:I12"/>
    <mergeCell ref="D13:E13"/>
    <mergeCell ref="H13:I13"/>
    <mergeCell ref="D14:E14"/>
    <mergeCell ref="H14:I14"/>
    <mergeCell ref="D17:E17"/>
    <mergeCell ref="H17:I17"/>
    <mergeCell ref="D18:E18"/>
    <mergeCell ref="D5:E5"/>
    <mergeCell ref="H5:I5"/>
    <mergeCell ref="D6:E6"/>
    <mergeCell ref="H6:I6"/>
    <mergeCell ref="D7:E7"/>
    <mergeCell ref="H7:I7"/>
    <mergeCell ref="D19:E19"/>
    <mergeCell ref="D20:E20"/>
    <mergeCell ref="D8:E8"/>
    <mergeCell ref="H8:I8"/>
    <mergeCell ref="D9:E9"/>
    <mergeCell ref="H9:I9"/>
    <mergeCell ref="D10:E10"/>
    <mergeCell ref="H10:I10"/>
    <mergeCell ref="D15:E15"/>
    <mergeCell ref="H15:I15"/>
    <mergeCell ref="D16:E16"/>
    <mergeCell ref="H16:I16"/>
  </mergeCells>
  <conditionalFormatting sqref="M10 M17:M24">
    <cfRule type="cellIs" dxfId="690" priority="13" stopIfTrue="1" operator="lessThanOrEqual">
      <formula>$L10</formula>
    </cfRule>
    <cfRule type="cellIs" dxfId="689" priority="14" operator="greaterThan">
      <formula>L10</formula>
    </cfRule>
  </conditionalFormatting>
  <conditionalFormatting sqref="M11">
    <cfRule type="cellIs" dxfId="688" priority="11" stopIfTrue="1" operator="lessThanOrEqual">
      <formula>$L11</formula>
    </cfRule>
    <cfRule type="cellIs" dxfId="687" priority="12" operator="greaterThan">
      <formula>L11</formula>
    </cfRule>
  </conditionalFormatting>
  <conditionalFormatting sqref="M12">
    <cfRule type="cellIs" dxfId="686" priority="9" stopIfTrue="1" operator="lessThanOrEqual">
      <formula>$L12</formula>
    </cfRule>
    <cfRule type="cellIs" dxfId="685" priority="10" operator="greaterThan">
      <formula>L12</formula>
    </cfRule>
  </conditionalFormatting>
  <conditionalFormatting sqref="M13">
    <cfRule type="cellIs" dxfId="684" priority="7" stopIfTrue="1" operator="lessThanOrEqual">
      <formula>$L13</formula>
    </cfRule>
    <cfRule type="cellIs" dxfId="683" priority="8" operator="greaterThan">
      <formula>L13</formula>
    </cfRule>
  </conditionalFormatting>
  <conditionalFormatting sqref="M14">
    <cfRule type="cellIs" dxfId="682" priority="5" stopIfTrue="1" operator="lessThanOrEqual">
      <formula>$L14</formula>
    </cfRule>
    <cfRule type="cellIs" dxfId="681" priority="6" operator="greaterThan">
      <formula>L14</formula>
    </cfRule>
  </conditionalFormatting>
  <conditionalFormatting sqref="M15">
    <cfRule type="cellIs" dxfId="680" priority="3" stopIfTrue="1" operator="lessThanOrEqual">
      <formula>$L15</formula>
    </cfRule>
    <cfRule type="cellIs" dxfId="679" priority="4" operator="greaterThan">
      <formula>L15</formula>
    </cfRule>
  </conditionalFormatting>
  <conditionalFormatting sqref="M16">
    <cfRule type="cellIs" dxfId="678" priority="1" stopIfTrue="1" operator="lessThanOrEqual">
      <formula>$L16</formula>
    </cfRule>
    <cfRule type="cellIs" dxfId="677" priority="2" operator="greaterThan">
      <formula>L16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C26683E-E394-4628-86C9-08BAD9483CC3}">
          <x14:formula1>
            <xm:f>Bolts!$A:$A</xm:f>
          </x14:formula1>
          <xm:sqref>C18:C24</xm:sqref>
        </x14:dataValidation>
        <x14:dataValidation type="list" allowBlank="1" showInputMessage="1" showErrorMessage="1" xr:uid="{8FCBC770-F607-4AE3-AB0F-33EC2295B523}">
          <x14:formula1>
            <xm:f>Machined!$C:$C</xm:f>
          </x14:formula1>
          <xm:sqref>C5:C9</xm:sqref>
        </x14:dataValidation>
        <x14:dataValidation type="list" allowBlank="1" showInputMessage="1" showErrorMessage="1" xr:uid="{282111CC-D4F7-4BD4-9E4C-6E9C495A96E7}">
          <x14:formula1>
            <xm:f>Purchased!$A:$A</xm:f>
          </x14:formula1>
          <xm:sqref>C11:C16</xm:sqref>
        </x14:dataValidation>
      </x14:dataValidations>
    </ext>
  </extLst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B9F67-4416-4A91-A2E6-D9A35CA32662}">
  <sheetPr codeName="Sheet184">
    <tabColor theme="6" tint="0.59999389629810485"/>
  </sheetPr>
  <dimension ref="A1:Q24"/>
  <sheetViews>
    <sheetView zoomScale="115" zoomScaleNormal="115" workbookViewId="0">
      <selection activeCell="D31" sqref="D3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'7.3'!C6</f>
        <v>PG10.7.3.2.0.A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'7.3'!D6</f>
        <v>UPPER SIDE SEAL HEAD ASSY</v>
      </c>
      <c r="D3" s="85" t="s">
        <v>50</v>
      </c>
      <c r="E3" s="86" t="str">
        <f ca="1">MID(CELL("filename",A1),FIND("]",CELL("filename",A1))+1,256)</f>
        <v>7.3.2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1164</v>
      </c>
      <c r="D5" s="314" t="str">
        <f>VLOOKUP(C5,Machined!C:X,2,0)</f>
        <v>Upper Side Seal Bar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55566</v>
      </c>
      <c r="O5" s="45">
        <f t="shared" ref="O5:O9" ca="1" si="0">B5*$L$2</f>
        <v>2</v>
      </c>
      <c r="P5" s="49">
        <f>VLOOKUP(C5,Machined!C:F,3,0)</f>
        <v>119.63</v>
      </c>
      <c r="Q5" s="50">
        <f t="shared" ref="Q5:Q9" si="1">B5*P5</f>
        <v>119.63</v>
      </c>
    </row>
    <row r="6" spans="1:17" s="2" customFormat="1" ht="12.75" customHeight="1" x14ac:dyDescent="0.25">
      <c r="A6" s="77">
        <v>2</v>
      </c>
      <c r="B6" s="20">
        <v>1</v>
      </c>
      <c r="C6" s="121" t="s">
        <v>1165</v>
      </c>
      <c r="D6" s="314" t="str">
        <f>VLOOKUP(C6,Machined!C:X,2,0)</f>
        <v>Side Seal Mid Bar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55566</v>
      </c>
      <c r="O6" s="45">
        <f t="shared" ca="1" si="0"/>
        <v>2</v>
      </c>
      <c r="P6" s="49">
        <f>VLOOKUP(C6,Machined!C:F,3,0)</f>
        <v>112.42</v>
      </c>
      <c r="Q6" s="50">
        <f t="shared" si="1"/>
        <v>112.42</v>
      </c>
    </row>
    <row r="7" spans="1:17" s="2" customFormat="1" ht="12.75" customHeight="1" x14ac:dyDescent="0.25">
      <c r="A7" s="77">
        <v>3</v>
      </c>
      <c r="B7" s="20">
        <v>1</v>
      </c>
      <c r="C7" s="121" t="s">
        <v>1166</v>
      </c>
      <c r="D7" s="314" t="str">
        <f>VLOOKUP(C7,Machined!C:X,2,0)</f>
        <v>Side Seal Die Cap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45464</v>
      </c>
      <c r="L7" s="44">
        <f>IF(VLOOKUP($C7,Machined!C:Z,20,0) = 0, " ", VLOOKUP($C7,Machined!C:Z,20,0))</f>
        <v>45495</v>
      </c>
      <c r="M7" s="44">
        <f>IF(VLOOKUP($C7,Machined!C:Z,21,0) = 0, " ", VLOOKUP($C7,Machined!C:Z,21,0))</f>
        <v>45495</v>
      </c>
      <c r="N7" s="129">
        <f>IF(VLOOKUP($C7,Machined!C:Z,22,0) = 0, " ", VLOOKUP($C7,Machined!C:Z,22,0))</f>
        <v>55566</v>
      </c>
      <c r="O7" s="45">
        <f t="shared" ca="1" si="0"/>
        <v>2</v>
      </c>
      <c r="P7" s="49">
        <f>VLOOKUP(C7,Machined!C:F,3,0)</f>
        <v>130.75</v>
      </c>
      <c r="Q7" s="50">
        <f t="shared" si="1"/>
        <v>130.75</v>
      </c>
    </row>
    <row r="8" spans="1:17" s="2" customFormat="1" ht="12.75" customHeight="1" x14ac:dyDescent="0.25">
      <c r="A8" s="77">
        <v>4</v>
      </c>
      <c r="B8" s="20">
        <v>1</v>
      </c>
      <c r="C8" s="121" t="s">
        <v>1167</v>
      </c>
      <c r="D8" s="314" t="str">
        <f>VLOOKUP(C8,Machined!C:X,2,0)</f>
        <v>Side Seal Mounting Tube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45462</v>
      </c>
      <c r="L8" s="44">
        <f>IF(VLOOKUP($C8,Machined!C:Z,20,0) = 0, " ", VLOOKUP($C8,Machined!C:Z,20,0))</f>
        <v>45492</v>
      </c>
      <c r="M8" s="44">
        <f>IF(VLOOKUP($C8,Machined!C:Z,21,0) = 0, " ", VLOOKUP($C8,Machined!C:Z,21,0))</f>
        <v>45492</v>
      </c>
      <c r="N8" s="129">
        <f>IF(VLOOKUP($C8,Machined!C:Z,22,0) = 0, " ", VLOOKUP($C8,Machined!C:Z,22,0))</f>
        <v>55559</v>
      </c>
      <c r="O8" s="45">
        <f t="shared" ca="1" si="0"/>
        <v>2</v>
      </c>
      <c r="P8" s="49">
        <f>VLOOKUP(C8,Machined!C:F,3,0)</f>
        <v>173.25</v>
      </c>
      <c r="Q8" s="50">
        <f t="shared" si="1"/>
        <v>173.25</v>
      </c>
    </row>
    <row r="9" spans="1:17" s="2" customFormat="1" ht="12.75" customHeight="1" x14ac:dyDescent="0.25">
      <c r="A9" s="77">
        <v>5</v>
      </c>
      <c r="B9" s="20">
        <v>2</v>
      </c>
      <c r="C9" s="121" t="s">
        <v>1168</v>
      </c>
      <c r="D9" s="314" t="str">
        <f>VLOOKUP(C9,Machined!C:X,2,0)</f>
        <v>MODIFIED MCM 9604T190 Steel Flanged Shaft Collar, 30mm Dia</v>
      </c>
      <c r="E9" s="329"/>
      <c r="F9" s="107" t="str">
        <f>VLOOKUP($C9,Machined!C:Z,13,0)</f>
        <v>PURCHASED PART</v>
      </c>
      <c r="G9" s="44" t="str">
        <f>IF(VLOOKUP($C9,Machined!C:Z,16,0) = 0, " ", VLOOKUP($C9,Machined!C:Z,16,0))</f>
        <v>Nuline</v>
      </c>
      <c r="H9" s="320" t="str">
        <f>IF(VLOOKUP($C9,Machined!C:Z,17,0) = 0, " ", VLOOKUP($C9,Machined!C:Z,17,0))</f>
        <v>Act part # 1LM030AFXK</v>
      </c>
      <c r="I9" s="321" t="str">
        <f>IF(VLOOKUP($C9,Machined!$C:$Y,13,0) = 0, " ", VLOOKUP($C9,Machined!$C:$Y,13,0))</f>
        <v>PURCHASED PART</v>
      </c>
      <c r="J9" s="44">
        <f>IF(VLOOKUP($C9,Machined!C:Z,18,0) = 0, " ", VLOOKUP($C9,Machined!C:Z,18,0))</f>
        <v>45452</v>
      </c>
      <c r="K9" s="44">
        <f>IF(VLOOKUP($C9,Machined!C:Z,19,0) = 0, " ", VLOOKUP($C9,Machined!C:Z,19,0))</f>
        <v>45456</v>
      </c>
      <c r="L9" s="44">
        <f>IF(VLOOKUP($C9,Machined!C:Z,20,0) = 0, " ", VLOOKUP($C9,Machined!C:Z,20,0))</f>
        <v>45468</v>
      </c>
      <c r="M9" s="44">
        <f>IF(VLOOKUP($C9,Machined!C:Z,21,0) = 0, " ", VLOOKUP($C9,Machined!C:Z,21,0))</f>
        <v>45469</v>
      </c>
      <c r="N9" s="129">
        <f>IF(VLOOKUP($C9,Machined!C:Z,22,0) = 0, " ", VLOOKUP($C9,Machined!C:Z,22,0))</f>
        <v>55553</v>
      </c>
      <c r="O9" s="45">
        <f t="shared" ca="1" si="0"/>
        <v>4</v>
      </c>
      <c r="P9" s="49">
        <f>VLOOKUP(C9,Machined!C:F,3,0)</f>
        <v>89.26</v>
      </c>
      <c r="Q9" s="50">
        <f t="shared" si="1"/>
        <v>178.52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14</v>
      </c>
      <c r="C11" s="135" t="s">
        <v>1169</v>
      </c>
      <c r="D11" s="325" t="str">
        <f>VLOOKUP(C11,Purchased!A:B,2,0)</f>
        <v>ALLOY STEEL CUP POINT SET SCREW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ref="O11:O15" ca="1" si="2">B11*$L$2</f>
        <v>28</v>
      </c>
      <c r="P11" s="51">
        <f>VLOOKUP(C11,Purchased!A:D,3,FALSE)</f>
        <v>13.62</v>
      </c>
      <c r="Q11" s="52">
        <f t="shared" ref="Q11:Q15" si="3">B11*P11</f>
        <v>190.67999999999998</v>
      </c>
    </row>
    <row r="12" spans="1:17" s="2" customFormat="1" ht="12.75" customHeight="1" x14ac:dyDescent="0.25">
      <c r="A12" s="4">
        <v>302</v>
      </c>
      <c r="B12" s="2">
        <v>1</v>
      </c>
      <c r="C12" s="135" t="s">
        <v>1170</v>
      </c>
      <c r="D12" s="325" t="str">
        <f>VLOOKUP(C12,Purchased!A:B,2,0)</f>
        <v>Thermocouple 60in Length</v>
      </c>
      <c r="E12" s="326"/>
      <c r="F12" s="108" t="str">
        <f>IF(VLOOKUP($C12,Purchased!A:Z,11,0) = 0, " ", VLOOKUP($C12,Purchased!A:Z,11,0))</f>
        <v>ACROLAB</v>
      </c>
      <c r="G12" s="108" t="str">
        <f>IF(VLOOKUP($C12,Purchased!A:Z,12,0)=0, " ", VLOOKUP($C12,Purchased!A:Z,12,0))</f>
        <v>ACROLAB</v>
      </c>
      <c r="H12" s="327" t="str">
        <f>IF(VLOOKUP($C12,Purchased!A:Z,13,0)=0, " ", VLOOKUP($C12,Purchased!A:Z,13,0))</f>
        <v>Vendor is moving and late 8/01/24 JP</v>
      </c>
      <c r="I12" s="328"/>
      <c r="J12" s="46">
        <f>IF(VLOOKUP($C12,Purchased!A:Z,14,0)=0, " ", VLOOKUP($C12,Purchased!A:Z,14,0))</f>
        <v>45462</v>
      </c>
      <c r="K12" s="46">
        <f>IF(VLOOKUP(C12,Purchased!A:R,14,0)=0, " ", VLOOKUP(C12,Purchased!A:R,14,0))</f>
        <v>45462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45512</v>
      </c>
      <c r="O12" s="47">
        <f t="shared" ca="1" si="2"/>
        <v>2</v>
      </c>
      <c r="P12" s="51">
        <f>VLOOKUP(C12,Purchased!A:D,3,FALSE)</f>
        <v>52.6</v>
      </c>
      <c r="Q12" s="52">
        <f t="shared" si="3"/>
        <v>52.6</v>
      </c>
    </row>
    <row r="13" spans="1:17" s="2" customFormat="1" ht="12.75" customHeight="1" x14ac:dyDescent="0.25">
      <c r="A13" s="4">
        <v>303</v>
      </c>
      <c r="B13" s="2">
        <v>1</v>
      </c>
      <c r="C13" s="135" t="s">
        <v>1171</v>
      </c>
      <c r="D13" s="325" t="str">
        <f>VLOOKUP(C13,Purchased!A:B,2,0)</f>
        <v>26in ISOBAR</v>
      </c>
      <c r="E13" s="326"/>
      <c r="F13" s="108" t="str">
        <f>IF(VLOOKUP($C13,Purchased!A:Z,11,0) = 0, " ", VLOOKUP($C13,Purchased!A:Z,11,0))</f>
        <v>ACROLAB</v>
      </c>
      <c r="G13" s="108" t="str">
        <f>IF(VLOOKUP($C13,Purchased!A:Z,12,0)=0, " ", VLOOKUP($C13,Purchased!A:Z,12,0))</f>
        <v>ACROLAB</v>
      </c>
      <c r="H13" s="327" t="str">
        <f>IF(VLOOKUP($C13,Purchased!A:Z,13,0)=0, " ", VLOOKUP($C13,Purchased!A:Z,13,0))</f>
        <v>Vendor is moving and late 8/01/24 JP</v>
      </c>
      <c r="I13" s="328"/>
      <c r="J13" s="46">
        <f>IF(VLOOKUP($C13,Purchased!A:Z,14,0)=0, " ", VLOOKUP($C13,Purchased!A:Z,14,0))</f>
        <v>45462</v>
      </c>
      <c r="K13" s="46">
        <f>IF(VLOOKUP(C13,Purchased!A:R,14,0)=0, " ", VLOOKUP(C13,Purchased!A:R,14,0))</f>
        <v>45462</v>
      </c>
      <c r="L13" s="46">
        <f>IF(VLOOKUP(C13,Purchased!A:R,15,0)=0, " ", VLOOKUP(C13,Purchased!A:R,15,0))</f>
        <v>45462</v>
      </c>
      <c r="M13" s="46">
        <f>IF(VLOOKUP(C13,Purchased!A:R,16,0)=0, " ",VLOOKUP(C13,Purchased!A:R,16,0))</f>
        <v>45495</v>
      </c>
      <c r="N13" s="130">
        <f>IF(VLOOKUP(C13,Purchased!A:R,17,0)=0, " ", VLOOKUP(C13,Purchased!A:R,17,0))</f>
        <v>45512</v>
      </c>
      <c r="O13" s="47">
        <f t="shared" ca="1" si="2"/>
        <v>2</v>
      </c>
      <c r="P13" s="51">
        <f>VLOOKUP(C13,Purchased!A:D,3,FALSE)</f>
        <v>77</v>
      </c>
      <c r="Q13" s="52">
        <f t="shared" si="3"/>
        <v>77</v>
      </c>
    </row>
    <row r="14" spans="1:17" s="2" customFormat="1" ht="12.75" customHeight="1" x14ac:dyDescent="0.25">
      <c r="A14" s="4">
        <v>304</v>
      </c>
      <c r="B14" s="2">
        <v>1</v>
      </c>
      <c r="C14" s="135" t="s">
        <v>1172</v>
      </c>
      <c r="D14" s="325" t="str">
        <f>VLOOKUP(C14,Purchased!A:B,2,0)</f>
        <v>CARTRIDGE HEATER</v>
      </c>
      <c r="E14" s="326"/>
      <c r="F14" s="108" t="str">
        <f>IF(VLOOKUP($C14,Purchased!A:Z,11,0) = 0, " ", VLOOKUP($C14,Purchased!A:Z,11,0))</f>
        <v>ACROLAB</v>
      </c>
      <c r="G14" s="108" t="str">
        <f>IF(VLOOKUP($C14,Purchased!A:Z,12,0)=0, " ", VLOOKUP($C14,Purchased!A:Z,12,0))</f>
        <v>ACROLAB</v>
      </c>
      <c r="H14" s="327" t="str">
        <f>IF(VLOOKUP($C14,Purchased!A:Z,13,0)=0, " ", VLOOKUP($C14,Purchased!A:Z,13,0))</f>
        <v>Vendor is moving and late 8/01/24 JP</v>
      </c>
      <c r="I14" s="328"/>
      <c r="J14" s="46">
        <f>IF(VLOOKUP($C14,Purchased!A:Z,14,0)=0, " ", VLOOKUP($C14,Purchased!A:Z,14,0))</f>
        <v>45462</v>
      </c>
      <c r="K14" s="46">
        <f>IF(VLOOKUP(C14,Purchased!A:R,14,0)=0, " ", VLOOKUP(C14,Purchased!A:R,14,0))</f>
        <v>45462</v>
      </c>
      <c r="L14" s="46">
        <f>IF(VLOOKUP(C14,Purchased!A:R,15,0)=0, " ", VLOOKUP(C14,Purchased!A:R,15,0))</f>
        <v>45462</v>
      </c>
      <c r="M14" s="46">
        <f>IF(VLOOKUP(C14,Purchased!A:R,16,0)=0, " ",VLOOKUP(C14,Purchased!A:R,16,0))</f>
        <v>45495</v>
      </c>
      <c r="N14" s="130">
        <f>IF(VLOOKUP(C14,Purchased!A:R,17,0)=0, " ", VLOOKUP(C14,Purchased!A:R,17,0))</f>
        <v>45512</v>
      </c>
      <c r="O14" s="47">
        <f t="shared" ca="1" si="2"/>
        <v>2</v>
      </c>
      <c r="P14" s="51">
        <f>VLOOKUP(C14,Purchased!A:D,3,FALSE)</f>
        <v>271.87</v>
      </c>
      <c r="Q14" s="52">
        <f t="shared" si="3"/>
        <v>271.87</v>
      </c>
    </row>
    <row r="15" spans="1:17" s="2" customFormat="1" ht="12.75" customHeight="1" x14ac:dyDescent="0.25">
      <c r="A15" s="4">
        <v>305</v>
      </c>
      <c r="B15" s="2">
        <v>1</v>
      </c>
      <c r="C15" s="135" t="s">
        <v>1173</v>
      </c>
      <c r="D15" s="325" t="str">
        <f>VLOOKUP(C15,Purchased!A:B,2,0)</f>
        <v>1/8in NPT Bayonet Adapter</v>
      </c>
      <c r="E15" s="326"/>
      <c r="F15" s="108" t="str">
        <f>IF(VLOOKUP($C15,Purchased!A:Z,11,0) = 0, " ", VLOOKUP($C15,Purchased!A:Z,11,0))</f>
        <v>ACROLAB</v>
      </c>
      <c r="G15" s="108" t="str">
        <f>IF(VLOOKUP($C15,Purchased!A:Z,12,0)=0, " ", VLOOKUP($C15,Purchased!A:Z,12,0))</f>
        <v>ACROLAB</v>
      </c>
      <c r="H15" s="327" t="str">
        <f>IF(VLOOKUP($C15,Purchased!A:Z,13,0)=0, " ", VLOOKUP($C15,Purchased!A:Z,13,0))</f>
        <v>Vendor is moving and late 8/01/24 JP</v>
      </c>
      <c r="I15" s="328"/>
      <c r="J15" s="46">
        <f>IF(VLOOKUP($C15,Purchased!A:Z,14,0)=0, " ", VLOOKUP($C15,Purchased!A:Z,14,0))</f>
        <v>45462</v>
      </c>
      <c r="K15" s="46">
        <f>IF(VLOOKUP(C15,Purchased!A:R,14,0)=0, " ", VLOOKUP(C15,Purchased!A:R,14,0))</f>
        <v>45462</v>
      </c>
      <c r="L15" s="46">
        <f>IF(VLOOKUP(C15,Purchased!A:R,15,0)=0, " ", VLOOKUP(C15,Purchased!A:R,15,0))</f>
        <v>45462</v>
      </c>
      <c r="M15" s="46">
        <f>IF(VLOOKUP(C15,Purchased!A:R,16,0)=0, " ",VLOOKUP(C15,Purchased!A:R,16,0))</f>
        <v>45495</v>
      </c>
      <c r="N15" s="130">
        <f>IF(VLOOKUP(C15,Purchased!A:R,17,0)=0, " ", VLOOKUP(C15,Purchased!A:R,17,0))</f>
        <v>45512</v>
      </c>
      <c r="O15" s="47">
        <f t="shared" ca="1" si="2"/>
        <v>2</v>
      </c>
      <c r="P15" s="51">
        <f>VLOOKUP(C15,Purchased!A:D,3,FALSE)</f>
        <v>4.88</v>
      </c>
      <c r="Q15" s="52">
        <f t="shared" si="3"/>
        <v>4.88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</v>
      </c>
      <c r="C17" s="122" t="s">
        <v>1174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ref="O17:O22" ca="1" si="4">B17*$L$2</f>
        <v>4</v>
      </c>
      <c r="P17" s="51">
        <f>VLOOKUP(C17,Bolts!A:B,2,FALSE)</f>
        <v>0</v>
      </c>
      <c r="Q17" s="52">
        <f t="shared" ref="Q17:Q22" si="5">B17*P17</f>
        <v>0</v>
      </c>
    </row>
    <row r="18" spans="1:17" s="2" customFormat="1" ht="12.75" customHeight="1" x14ac:dyDescent="0.25">
      <c r="A18" s="4">
        <v>502</v>
      </c>
      <c r="B18" s="2">
        <v>6</v>
      </c>
      <c r="C18" s="122" t="s">
        <v>1175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ca="1" si="4"/>
        <v>12</v>
      </c>
      <c r="P18" s="51">
        <f>VLOOKUP(C18,Bolts!A:B,2,FALSE)</f>
        <v>0</v>
      </c>
      <c r="Q18" s="52">
        <f t="shared" si="5"/>
        <v>0</v>
      </c>
    </row>
    <row r="19" spans="1:17" s="2" customFormat="1" ht="12.75" customHeight="1" x14ac:dyDescent="0.25">
      <c r="A19" s="4">
        <v>503</v>
      </c>
      <c r="B19" s="2">
        <v>12</v>
      </c>
      <c r="C19" s="122" t="s">
        <v>243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4"/>
        <v>24</v>
      </c>
      <c r="P19" s="51">
        <f>VLOOKUP(C19,Bolts!A:B,2,FALSE)</f>
        <v>0</v>
      </c>
      <c r="Q19" s="52">
        <f t="shared" si="5"/>
        <v>0</v>
      </c>
    </row>
    <row r="20" spans="1:17" s="2" customFormat="1" ht="12.75" customHeight="1" x14ac:dyDescent="0.25">
      <c r="A20" s="4">
        <v>504</v>
      </c>
      <c r="B20" s="2">
        <v>8</v>
      </c>
      <c r="C20" s="122" t="s">
        <v>180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4"/>
        <v>16</v>
      </c>
      <c r="P20" s="51">
        <f>VLOOKUP(C20,Bolts!A:B,2,FALSE)</f>
        <v>0</v>
      </c>
      <c r="Q20" s="52">
        <f t="shared" si="5"/>
        <v>0</v>
      </c>
    </row>
    <row r="21" spans="1:17" s="2" customFormat="1" ht="12.75" customHeight="1" x14ac:dyDescent="0.25">
      <c r="A21" s="4">
        <v>505</v>
      </c>
      <c r="B21" s="2">
        <v>8</v>
      </c>
      <c r="C21" s="122" t="s">
        <v>199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4"/>
        <v>16</v>
      </c>
      <c r="P21" s="51">
        <f>VLOOKUP(C21,Bolts!A:B,2,FALSE)</f>
        <v>0</v>
      </c>
      <c r="Q21" s="52">
        <f t="shared" si="5"/>
        <v>0</v>
      </c>
    </row>
    <row r="22" spans="1:17" s="2" customFormat="1" ht="12.75" customHeight="1" thickBot="1" x14ac:dyDescent="0.3">
      <c r="A22" s="4">
        <v>506</v>
      </c>
      <c r="B22" s="2">
        <v>42</v>
      </c>
      <c r="C22" s="122" t="s">
        <v>1176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4"/>
        <v>84</v>
      </c>
      <c r="P22" s="51">
        <f>VLOOKUP(C22,Bolts!A:B,2,FALSE)</f>
        <v>0</v>
      </c>
      <c r="Q22" s="52">
        <f t="shared" si="5"/>
        <v>0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SUM(Q5:Q22)</f>
        <v>1311.6</v>
      </c>
    </row>
    <row r="24" spans="1:17" s="2" customFormat="1" ht="12" customHeight="1" x14ac:dyDescent="0.2">
      <c r="D24" s="21"/>
      <c r="E24" s="21"/>
      <c r="J24" s="8"/>
      <c r="K24" s="8"/>
      <c r="L24" s="8"/>
      <c r="M24" s="8"/>
      <c r="N24" s="131"/>
      <c r="O24" s="5"/>
      <c r="P24" s="98"/>
      <c r="Q24" s="105"/>
    </row>
  </sheetData>
  <sheetProtection selectLockedCells="1"/>
  <mergeCells count="35">
    <mergeCell ref="D18:E18"/>
    <mergeCell ref="D19:E19"/>
    <mergeCell ref="D20:E20"/>
    <mergeCell ref="D21:E21"/>
    <mergeCell ref="D22:E22"/>
    <mergeCell ref="D23:E23"/>
    <mergeCell ref="H23:I23"/>
    <mergeCell ref="D1:E1"/>
    <mergeCell ref="D4:E4"/>
    <mergeCell ref="H4:I4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D5:E5"/>
    <mergeCell ref="H5:I5"/>
    <mergeCell ref="D6:E6"/>
    <mergeCell ref="H6:I6"/>
    <mergeCell ref="D7:E7"/>
    <mergeCell ref="H7:I7"/>
    <mergeCell ref="H16:I16"/>
    <mergeCell ref="D17:E17"/>
    <mergeCell ref="D8:E8"/>
    <mergeCell ref="H8:I8"/>
    <mergeCell ref="D9:E9"/>
    <mergeCell ref="H9:I9"/>
    <mergeCell ref="D10:E10"/>
    <mergeCell ref="H10:I10"/>
  </mergeCells>
  <conditionalFormatting sqref="M10 M16:M22">
    <cfRule type="cellIs" dxfId="676" priority="11" stopIfTrue="1" operator="lessThanOrEqual">
      <formula>$L10</formula>
    </cfRule>
    <cfRule type="cellIs" dxfId="675" priority="12" operator="greaterThan">
      <formula>L10</formula>
    </cfRule>
  </conditionalFormatting>
  <conditionalFormatting sqref="M11">
    <cfRule type="cellIs" dxfId="674" priority="9" stopIfTrue="1" operator="lessThanOrEqual">
      <formula>$L11</formula>
    </cfRule>
    <cfRule type="cellIs" dxfId="673" priority="10" operator="greaterThan">
      <formula>L11</formula>
    </cfRule>
  </conditionalFormatting>
  <conditionalFormatting sqref="M12:M15">
    <cfRule type="cellIs" dxfId="672" priority="1" stopIfTrue="1" operator="lessThanOrEqual">
      <formula>$L12</formula>
    </cfRule>
    <cfRule type="cellIs" dxfId="671" priority="2" operator="greaterThan">
      <formula>L12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B7E7672-882A-4C37-B483-203C362B64B6}">
          <x14:formula1>
            <xm:f>Bolts!$A:$A</xm:f>
          </x14:formula1>
          <xm:sqref>C26 C17:C22</xm:sqref>
        </x14:dataValidation>
        <x14:dataValidation type="list" allowBlank="1" showInputMessage="1" showErrorMessage="1" xr:uid="{A608998B-34EF-4730-B9D6-6A8D82F86F31}">
          <x14:formula1>
            <xm:f>Machined!$C:$C</xm:f>
          </x14:formula1>
          <xm:sqref>C5:C10</xm:sqref>
        </x14:dataValidation>
        <x14:dataValidation type="list" allowBlank="1" showInputMessage="1" showErrorMessage="1" xr:uid="{7F44F25C-83D0-4401-82D0-1FDD99AFDF91}">
          <x14:formula1>
            <xm:f>Purchased!$A:$A</xm:f>
          </x14:formula1>
          <xm:sqref>C23:C24 C11:C15</xm:sqref>
        </x14:dataValidation>
      </x14:dataValidations>
    </ext>
  </extLst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D4457-84EA-418F-AEBA-632098D63A0E}">
  <sheetPr codeName="Sheet185">
    <tabColor theme="9" tint="0.59999389629810485"/>
  </sheetPr>
  <dimension ref="A1:Q16"/>
  <sheetViews>
    <sheetView zoomScale="114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'7'!C8</f>
        <v>PG10.7.4.0.A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'7'!D8</f>
        <v>LOWER A-SIDE SIDE SEAL 
CASSETTE</v>
      </c>
      <c r="D3" s="85" t="s">
        <v>50</v>
      </c>
      <c r="E3" s="86" t="str">
        <f ca="1">MID(CELL("filename",A1),FIND("]",CELL("filename",A1))+1,256)</f>
        <v>7.4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71" t="s">
        <v>17</v>
      </c>
      <c r="G4" s="164" t="s">
        <v>18</v>
      </c>
      <c r="H4" s="318" t="s">
        <v>19</v>
      </c>
      <c r="I4" s="319"/>
      <c r="J4" s="164" t="s">
        <v>51</v>
      </c>
      <c r="K4" s="164" t="s">
        <v>21</v>
      </c>
      <c r="L4" s="164" t="s">
        <v>22</v>
      </c>
      <c r="M4" s="164" t="s">
        <v>52</v>
      </c>
      <c r="N4" s="172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1135</v>
      </c>
      <c r="D5" s="336" t="str">
        <f ca="1">VLOOKUP(C5,Assemblies!E:P,2,0)</f>
        <v>SIDE SEAL FRAME ASSY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:O7" ca="1" si="0">B5*$L$2</f>
        <v>1</v>
      </c>
      <c r="P5" s="117">
        <f>'7.2.1'!Q19</f>
        <v>771.41199999999992</v>
      </c>
      <c r="Q5" s="118">
        <f t="shared" ref="Q5:Q7" si="1">B5*P5</f>
        <v>771.41199999999992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1136</v>
      </c>
      <c r="D6" s="314" t="str">
        <f ca="1">VLOOKUP(C6,Assemblies!E:P,2,0)</f>
        <v>LOWER SIDE SEAL SERVO ASSY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'7.2.2'!Q25</f>
        <v>5168.2514000000001</v>
      </c>
      <c r="Q6" s="103">
        <f t="shared" si="1"/>
        <v>5168.2514000000001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1137</v>
      </c>
      <c r="D7" s="314" t="str">
        <f ca="1">VLOOKUP(C7,Assemblies!E:P,2,0)</f>
        <v>LOWER SIDE SEAL HEAD ASSY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'7.2.3'!Q23</f>
        <v>1311.6</v>
      </c>
      <c r="Q7" s="103">
        <f t="shared" si="1"/>
        <v>1311.6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1138</v>
      </c>
      <c r="D8" s="314" t="str">
        <f ca="1">VLOOKUP(C8,Assemblies!E:P,2,0)</f>
        <v>SIDE SEAL RUNNER BLOCK BRAKE ASSY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ref="O8:O14" ca="1" si="2">B8*$L$2</f>
        <v>2</v>
      </c>
      <c r="P8" s="147">
        <f>'7.2.4'!Q14</f>
        <v>588.61329999999998</v>
      </c>
      <c r="Q8" s="103">
        <f t="shared" ref="Q8:Q14" si="3">B8*P8</f>
        <v>1177.2266</v>
      </c>
    </row>
    <row r="9" spans="1:17" s="1" customFormat="1" ht="12.75" customHeight="1" x14ac:dyDescent="0.2">
      <c r="A9" s="150" t="s">
        <v>62</v>
      </c>
      <c r="B9" s="1">
        <v>2</v>
      </c>
      <c r="C9" s="145" t="s">
        <v>1139</v>
      </c>
      <c r="D9" s="314" t="str">
        <f ca="1">VLOOKUP(C9,Assemblies!E:P,2,0)</f>
        <v>SEAL BAR ROD END ASSY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ref="O9:O10" ca="1" si="4">B9*$L$2</f>
        <v>2</v>
      </c>
      <c r="P9" s="147">
        <f>'7.2.5'!Q19</f>
        <v>360.20000000000005</v>
      </c>
      <c r="Q9" s="103">
        <f t="shared" ref="Q9:Q10" si="5">B9*P9</f>
        <v>720.40000000000009</v>
      </c>
    </row>
    <row r="10" spans="1:17" s="1" customFormat="1" ht="12.75" customHeight="1" x14ac:dyDescent="0.2">
      <c r="A10" s="76" t="s">
        <v>64</v>
      </c>
      <c r="B10" s="1">
        <v>1</v>
      </c>
      <c r="C10" s="145" t="s">
        <v>1140</v>
      </c>
      <c r="D10" s="314" t="str">
        <f ca="1">VLOOKUP(C10,Assemblies!E:P,2,0)</f>
        <v>SIDE SEAL TEFLON ROLL ASSY</v>
      </c>
      <c r="E10" s="314"/>
      <c r="F10" s="31"/>
      <c r="G10" s="32"/>
      <c r="H10" s="303"/>
      <c r="I10" s="303"/>
      <c r="J10" s="28"/>
      <c r="K10" s="28"/>
      <c r="L10" s="28"/>
      <c r="M10" s="28"/>
      <c r="N10" s="33"/>
      <c r="O10" s="146">
        <f t="shared" ca="1" si="4"/>
        <v>1</v>
      </c>
      <c r="P10" s="147">
        <f>'7.2.6'!Q14</f>
        <v>574.78</v>
      </c>
      <c r="Q10" s="103">
        <f t="shared" si="5"/>
        <v>574.78</v>
      </c>
    </row>
    <row r="11" spans="1:17" s="1" customFormat="1" ht="12.75" customHeight="1" x14ac:dyDescent="0.2">
      <c r="A11" s="150" t="s">
        <v>66</v>
      </c>
      <c r="B11" s="1">
        <v>1</v>
      </c>
      <c r="C11" s="145" t="s">
        <v>1141</v>
      </c>
      <c r="D11" s="314" t="str">
        <f ca="1">VLOOKUP(C11,Assemblies!E:P,2,0)</f>
        <v>Igus Lead Nut Assy</v>
      </c>
      <c r="E11" s="314"/>
      <c r="F11" s="31"/>
      <c r="G11" s="32"/>
      <c r="H11" s="303"/>
      <c r="I11" s="303"/>
      <c r="J11" s="28"/>
      <c r="K11" s="28"/>
      <c r="L11" s="28"/>
      <c r="M11" s="28"/>
      <c r="N11" s="33"/>
      <c r="O11" s="146">
        <f t="shared" ca="1" si="2"/>
        <v>1</v>
      </c>
      <c r="P11" s="147">
        <f>'7.2.7'!Q9</f>
        <v>18.940000000000001</v>
      </c>
      <c r="Q11" s="103">
        <f t="shared" si="3"/>
        <v>18.940000000000001</v>
      </c>
    </row>
    <row r="12" spans="1:17" s="1" customFormat="1" ht="12.75" customHeight="1" x14ac:dyDescent="0.2">
      <c r="A12" s="76" t="s">
        <v>68</v>
      </c>
      <c r="B12" s="1">
        <v>2</v>
      </c>
      <c r="C12" s="145" t="s">
        <v>1142</v>
      </c>
      <c r="D12" s="314" t="str">
        <f ca="1">VLOOKUP(C12,Assemblies!E:P,2,0)</f>
        <v>Modified Igus Slider</v>
      </c>
      <c r="E12" s="314"/>
      <c r="F12" s="31"/>
      <c r="G12" s="32"/>
      <c r="H12" s="303"/>
      <c r="I12" s="303"/>
      <c r="J12" s="28"/>
      <c r="K12" s="28"/>
      <c r="L12" s="28"/>
      <c r="M12" s="28"/>
      <c r="N12" s="33"/>
      <c r="O12" s="146">
        <f ca="1">B12*$L$2</f>
        <v>2</v>
      </c>
      <c r="P12" s="147">
        <f>'7.2.8'!Q8</f>
        <v>0</v>
      </c>
      <c r="Q12" s="103">
        <f>B12*P12</f>
        <v>0</v>
      </c>
    </row>
    <row r="13" spans="1:17" s="1" customFormat="1" ht="12.75" customHeight="1" x14ac:dyDescent="0.2">
      <c r="A13" s="76" t="s">
        <v>70</v>
      </c>
      <c r="B13" s="1">
        <v>2</v>
      </c>
      <c r="C13" s="145" t="s">
        <v>1143</v>
      </c>
      <c r="D13" s="314" t="str">
        <f ca="1">VLOOKUP(C13,Assemblies!E:P,2,0)</f>
        <v>SIDE SEAL RUNNER BLOCK ASSY</v>
      </c>
      <c r="E13" s="314"/>
      <c r="F13" s="31"/>
      <c r="G13" s="32"/>
      <c r="H13" s="303"/>
      <c r="I13" s="303"/>
      <c r="J13" s="28"/>
      <c r="K13" s="28"/>
      <c r="L13" s="28"/>
      <c r="M13" s="28"/>
      <c r="N13" s="33"/>
      <c r="O13" s="146">
        <f t="shared" ca="1" si="2"/>
        <v>2</v>
      </c>
      <c r="P13" s="147">
        <f>'7.2.9'!Q11</f>
        <v>162.86330000000001</v>
      </c>
      <c r="Q13" s="103">
        <f t="shared" si="3"/>
        <v>325.72660000000002</v>
      </c>
    </row>
    <row r="14" spans="1:17" s="1" customFormat="1" ht="12.75" customHeight="1" thickBot="1" x14ac:dyDescent="0.25">
      <c r="A14" s="76" t="s">
        <v>72</v>
      </c>
      <c r="B14" s="1">
        <v>1</v>
      </c>
      <c r="C14" s="145" t="s">
        <v>1144</v>
      </c>
      <c r="D14" s="314" t="str">
        <f ca="1">VLOOKUP(C14,Assemblies!E:P,2,0)</f>
        <v>ERGO TRACK GUIDE ASSEM</v>
      </c>
      <c r="E14" s="314"/>
      <c r="F14" s="31"/>
      <c r="G14" s="32"/>
      <c r="H14" s="303"/>
      <c r="I14" s="303"/>
      <c r="J14" s="28"/>
      <c r="K14" s="28"/>
      <c r="L14" s="28"/>
      <c r="M14" s="28"/>
      <c r="N14" s="33"/>
      <c r="O14" s="146">
        <f t="shared" ca="1" si="2"/>
        <v>1</v>
      </c>
      <c r="P14" s="147">
        <f>'7.2.10'!Q11</f>
        <v>181.96</v>
      </c>
      <c r="Q14" s="103">
        <f t="shared" si="3"/>
        <v>181.96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10250.2966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sheetProtection selectLockedCells="1"/>
  <mergeCells count="25">
    <mergeCell ref="D15:E15"/>
    <mergeCell ref="H15:I15"/>
    <mergeCell ref="D5:E5"/>
    <mergeCell ref="H5:I5"/>
    <mergeCell ref="D6:E6"/>
    <mergeCell ref="H6:I6"/>
    <mergeCell ref="D7:E7"/>
    <mergeCell ref="H7:I7"/>
    <mergeCell ref="D9:E9"/>
    <mergeCell ref="H9:I9"/>
    <mergeCell ref="D13:E13"/>
    <mergeCell ref="H13:I13"/>
    <mergeCell ref="D14:E14"/>
    <mergeCell ref="H14:I14"/>
    <mergeCell ref="D12:E12"/>
    <mergeCell ref="H12:I12"/>
    <mergeCell ref="D11:E11"/>
    <mergeCell ref="H11:I11"/>
    <mergeCell ref="D10:E10"/>
    <mergeCell ref="H10:I10"/>
    <mergeCell ref="D1:E1"/>
    <mergeCell ref="D4:E4"/>
    <mergeCell ref="H4:I4"/>
    <mergeCell ref="D8:E8"/>
    <mergeCell ref="H8:I8"/>
  </mergeCells>
  <conditionalFormatting sqref="M14">
    <cfRule type="cellIs" dxfId="670" priority="1" stopIfTrue="1" operator="lessThanOrEqual">
      <formula>$L14</formula>
    </cfRule>
    <cfRule type="cellIs" dxfId="669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51C3D2-38CC-4758-A8BC-50B39D9A5404}">
          <x14:formula1>
            <xm:f>Assemblies!$E:$E</xm:f>
          </x14:formula1>
          <xm:sqref>C5:C14</xm:sqref>
        </x14:dataValidation>
      </x14:dataValidations>
    </ext>
  </extLst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6756-AF17-4271-BEA2-86AEF7BECF93}">
  <sheetPr codeName="Sheet186">
    <tabColor theme="9" tint="0.59999389629810485"/>
  </sheetPr>
  <dimension ref="A1:Q15"/>
  <sheetViews>
    <sheetView zoomScale="115" zoomScaleNormal="115" workbookViewId="0">
      <selection activeCell="I19" sqref="I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'7'!C9</f>
        <v>PG10.7.5.0.A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'7'!D9</f>
        <v>UPPER A-SIDE SIDE SEAL 
CASSETTE</v>
      </c>
      <c r="D3" s="85" t="s">
        <v>50</v>
      </c>
      <c r="E3" s="86" t="str">
        <f ca="1">MID(CELL("filename",A1),FIND("]",CELL("filename",A1))+1,256)</f>
        <v>7.5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71" t="s">
        <v>17</v>
      </c>
      <c r="G4" s="164" t="s">
        <v>18</v>
      </c>
      <c r="H4" s="318" t="s">
        <v>19</v>
      </c>
      <c r="I4" s="319"/>
      <c r="J4" s="164" t="s">
        <v>51</v>
      </c>
      <c r="K4" s="164" t="s">
        <v>21</v>
      </c>
      <c r="L4" s="164" t="s">
        <v>22</v>
      </c>
      <c r="M4" s="164" t="s">
        <v>52</v>
      </c>
      <c r="N4" s="172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1199</v>
      </c>
      <c r="D5" s="336" t="str">
        <f ca="1">VLOOKUP(C5,Assemblies!E:P,2,0)</f>
        <v>UPPER SIDE SEAL SERVO ASSY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:O7" ca="1" si="0">B5*$L$2</f>
        <v>1</v>
      </c>
      <c r="P5" s="117">
        <f>'7.3.1'!Q25</f>
        <v>5168.2514000000001</v>
      </c>
      <c r="Q5" s="118">
        <f t="shared" ref="Q5:Q7" si="1">B5*P5</f>
        <v>5168.2514000000001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1200</v>
      </c>
      <c r="D6" s="314" t="str">
        <f ca="1">VLOOKUP(C6,Assemblies!E:P,2,0)</f>
        <v>UPPER SIDE SEAL HEAD ASSY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'7.3.2'!Q23</f>
        <v>1311.6</v>
      </c>
      <c r="Q6" s="103">
        <f t="shared" si="1"/>
        <v>1311.6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1135</v>
      </c>
      <c r="D7" s="314" t="str">
        <f ca="1">VLOOKUP(C7,Assemblies!E:P,2,0)</f>
        <v>SIDE SEAL FRAME ASSY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'7.2.1'!Q19</f>
        <v>771.41199999999992</v>
      </c>
      <c r="Q7" s="103">
        <f t="shared" si="1"/>
        <v>771.41199999999992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1138</v>
      </c>
      <c r="D8" s="314" t="str">
        <f ca="1">VLOOKUP(C8,Assemblies!E:P,2,0)</f>
        <v>SIDE SEAL RUNNER BLOCK BRAKE ASSY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ref="O8:O13" ca="1" si="2">B8*$L$2</f>
        <v>2</v>
      </c>
      <c r="P8" s="147">
        <f>'7.2.4'!Q14</f>
        <v>588.61329999999998</v>
      </c>
      <c r="Q8" s="103">
        <f t="shared" ref="Q8:Q13" si="3">B8*P8</f>
        <v>1177.2266</v>
      </c>
    </row>
    <row r="9" spans="1:17" s="1" customFormat="1" ht="12.75" customHeight="1" x14ac:dyDescent="0.2">
      <c r="A9" s="150" t="s">
        <v>62</v>
      </c>
      <c r="B9" s="1">
        <v>2</v>
      </c>
      <c r="C9" s="145" t="s">
        <v>1139</v>
      </c>
      <c r="D9" s="314" t="str">
        <f ca="1">VLOOKUP(C9,Assemblies!E:P,2,0)</f>
        <v>SEAL BAR ROD END ASSY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ref="O9:O10" ca="1" si="4">B9*$L$2</f>
        <v>2</v>
      </c>
      <c r="P9" s="147">
        <f>'7.2.5'!Q19</f>
        <v>360.20000000000005</v>
      </c>
      <c r="Q9" s="103">
        <f t="shared" ref="Q9:Q10" si="5">B9*P9</f>
        <v>720.40000000000009</v>
      </c>
    </row>
    <row r="10" spans="1:17" s="1" customFormat="1" ht="12.75" customHeight="1" x14ac:dyDescent="0.2">
      <c r="A10" s="76" t="s">
        <v>64</v>
      </c>
      <c r="B10" s="1">
        <v>1</v>
      </c>
      <c r="C10" s="145" t="s">
        <v>1140</v>
      </c>
      <c r="D10" s="314" t="str">
        <f ca="1">VLOOKUP(C10,Assemblies!E:P,2,0)</f>
        <v>SIDE SEAL TEFLON ROLL ASSY</v>
      </c>
      <c r="E10" s="314"/>
      <c r="F10" s="31"/>
      <c r="G10" s="32"/>
      <c r="H10" s="303"/>
      <c r="I10" s="303"/>
      <c r="J10" s="28"/>
      <c r="K10" s="28"/>
      <c r="L10" s="28"/>
      <c r="M10" s="28"/>
      <c r="N10" s="33"/>
      <c r="O10" s="146">
        <f t="shared" ca="1" si="4"/>
        <v>1</v>
      </c>
      <c r="P10" s="147">
        <f>'7.2.6'!Q14</f>
        <v>574.78</v>
      </c>
      <c r="Q10" s="103">
        <f t="shared" si="5"/>
        <v>574.78</v>
      </c>
    </row>
    <row r="11" spans="1:17" s="1" customFormat="1" ht="13.5" customHeight="1" x14ac:dyDescent="0.2">
      <c r="A11" s="150" t="s">
        <v>66</v>
      </c>
      <c r="B11" s="1">
        <v>1</v>
      </c>
      <c r="C11" s="145" t="s">
        <v>1141</v>
      </c>
      <c r="D11" s="314" t="str">
        <f ca="1">VLOOKUP(C11,Assemblies!E:P,2,0)</f>
        <v>Igus Lead Nut Assy</v>
      </c>
      <c r="E11" s="314"/>
      <c r="F11" s="31"/>
      <c r="G11" s="32"/>
      <c r="H11" s="303"/>
      <c r="I11" s="303"/>
      <c r="J11" s="28"/>
      <c r="K11" s="28"/>
      <c r="L11" s="28"/>
      <c r="M11" s="28"/>
      <c r="N11" s="33"/>
      <c r="O11" s="146">
        <f t="shared" ca="1" si="2"/>
        <v>1</v>
      </c>
      <c r="P11" s="147">
        <f>'7.2.7'!Q9</f>
        <v>18.940000000000001</v>
      </c>
      <c r="Q11" s="103">
        <f t="shared" si="3"/>
        <v>18.940000000000001</v>
      </c>
    </row>
    <row r="12" spans="1:17" s="1" customFormat="1" ht="12.75" customHeight="1" x14ac:dyDescent="0.2">
      <c r="A12" s="76" t="s">
        <v>68</v>
      </c>
      <c r="B12" s="1">
        <v>2</v>
      </c>
      <c r="C12" s="145" t="s">
        <v>1142</v>
      </c>
      <c r="D12" s="314" t="str">
        <f ca="1">VLOOKUP(C12,Assemblies!E:P,2,0)</f>
        <v>Modified Igus Slider</v>
      </c>
      <c r="E12" s="314"/>
      <c r="F12" s="31"/>
      <c r="G12" s="32"/>
      <c r="H12" s="303"/>
      <c r="I12" s="303"/>
      <c r="J12" s="28"/>
      <c r="K12" s="28"/>
      <c r="L12" s="28"/>
      <c r="M12" s="28"/>
      <c r="N12" s="33"/>
      <c r="O12" s="146">
        <f t="shared" ref="O12" ca="1" si="6">B12*$L$2</f>
        <v>2</v>
      </c>
      <c r="P12" s="147">
        <f>'7.2.8'!Q8</f>
        <v>0</v>
      </c>
      <c r="Q12" s="103">
        <f t="shared" ref="Q12" si="7">B12*P12</f>
        <v>0</v>
      </c>
    </row>
    <row r="13" spans="1:17" s="1" customFormat="1" ht="12.75" customHeight="1" thickBot="1" x14ac:dyDescent="0.25">
      <c r="A13" s="76" t="s">
        <v>70</v>
      </c>
      <c r="B13" s="1">
        <v>2</v>
      </c>
      <c r="C13" s="145" t="s">
        <v>1143</v>
      </c>
      <c r="D13" s="314" t="str">
        <f ca="1">VLOOKUP(C13,Assemblies!E:P,2,0)</f>
        <v>SIDE SEAL RUNNER BLOCK ASSY</v>
      </c>
      <c r="E13" s="314"/>
      <c r="F13" s="31"/>
      <c r="G13" s="32"/>
      <c r="H13" s="303"/>
      <c r="I13" s="303"/>
      <c r="J13" s="28"/>
      <c r="K13" s="28"/>
      <c r="L13" s="28"/>
      <c r="M13" s="28"/>
      <c r="N13" s="33"/>
      <c r="O13" s="146">
        <f t="shared" ca="1" si="2"/>
        <v>2</v>
      </c>
      <c r="P13" s="147">
        <f>'7.2.9'!Q11</f>
        <v>162.86330000000001</v>
      </c>
      <c r="Q13" s="103">
        <f t="shared" si="3"/>
        <v>325.72660000000002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10068.336600000001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23">
    <mergeCell ref="D14:E14"/>
    <mergeCell ref="H14:I14"/>
    <mergeCell ref="D5:E5"/>
    <mergeCell ref="H5:I5"/>
    <mergeCell ref="D6:E6"/>
    <mergeCell ref="H6:I6"/>
    <mergeCell ref="D7:E7"/>
    <mergeCell ref="H7:I7"/>
    <mergeCell ref="D9:E9"/>
    <mergeCell ref="H9:I9"/>
    <mergeCell ref="D13:E13"/>
    <mergeCell ref="H13:I13"/>
    <mergeCell ref="D11:E11"/>
    <mergeCell ref="H11:I11"/>
    <mergeCell ref="D10:E10"/>
    <mergeCell ref="H10:I10"/>
    <mergeCell ref="D12:E12"/>
    <mergeCell ref="H12:I12"/>
    <mergeCell ref="D1:E1"/>
    <mergeCell ref="D4:E4"/>
    <mergeCell ref="H4:I4"/>
    <mergeCell ref="D8:E8"/>
    <mergeCell ref="H8:I8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1F99ED-0806-4DBE-9A50-AC0EB603CD03}">
          <x14:formula1>
            <xm:f>Assemblies!$E:$E</xm:f>
          </x14:formula1>
          <xm:sqref>C5:C13</xm:sqref>
        </x14:dataValidation>
      </x14:dataValidations>
    </ext>
  </extLst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F50B9-760C-4D69-808A-2DE48A9597BE}">
  <sheetPr codeName="Sheet187">
    <tabColor theme="9" tint="0.59999389629810485"/>
  </sheetPr>
  <dimension ref="A1:Q15"/>
  <sheetViews>
    <sheetView zoomScale="115" zoomScaleNormal="115" workbookViewId="0">
      <selection activeCell="E23" sqref="E2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'7'!C10</f>
        <v>PG10.7.6.0.A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'7'!D10</f>
        <v>LOWER CENTER SIDE SEAL 
CASSETTE</v>
      </c>
      <c r="D3" s="85" t="s">
        <v>50</v>
      </c>
      <c r="E3" s="86" t="str">
        <f ca="1">MID(CELL("filename",A1),FIND("]",CELL("filename",A1))+1,256)</f>
        <v>7.6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71" t="s">
        <v>17</v>
      </c>
      <c r="G4" s="164" t="s">
        <v>18</v>
      </c>
      <c r="H4" s="318" t="s">
        <v>19</v>
      </c>
      <c r="I4" s="319"/>
      <c r="J4" s="164" t="s">
        <v>51</v>
      </c>
      <c r="K4" s="164" t="s">
        <v>21</v>
      </c>
      <c r="L4" s="164" t="s">
        <v>22</v>
      </c>
      <c r="M4" s="164" t="s">
        <v>52</v>
      </c>
      <c r="N4" s="172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1202</v>
      </c>
      <c r="D5" s="336" t="str">
        <f ca="1">VLOOKUP(C5,Assemblies!E:P,2,0)</f>
        <v>LOWER CENTER SIDE SEAL HEAD 
ASSY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:O13" ca="1" si="0">B5*$L$2</f>
        <v>1</v>
      </c>
      <c r="P5" s="117">
        <f>'7.6.1'!Q24</f>
        <v>1490.1800000000003</v>
      </c>
      <c r="Q5" s="118">
        <f t="shared" ref="Q5:Q13" si="1">B5*P5</f>
        <v>1490.1800000000003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1203</v>
      </c>
      <c r="D6" s="314" t="str">
        <f ca="1">VLOOKUP(C6,Assemblies!E:P,2,0)</f>
        <v>CENTER SIDE SEAL TEFLON ROLL ASSY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'7.6.2'!Q14</f>
        <v>574.78</v>
      </c>
      <c r="Q6" s="103">
        <f t="shared" si="1"/>
        <v>574.78</v>
      </c>
    </row>
    <row r="7" spans="1:17" s="1" customFormat="1" ht="12.75" customHeight="1" x14ac:dyDescent="0.2">
      <c r="A7" s="76" t="s">
        <v>58</v>
      </c>
      <c r="B7" s="1">
        <v>1</v>
      </c>
      <c r="C7" s="145" t="s">
        <v>1135</v>
      </c>
      <c r="D7" s="314" t="str">
        <f ca="1">VLOOKUP(C7,Assemblies!E:P,2,0)</f>
        <v>SIDE SEAL FRAME ASSY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ref="O7" ca="1" si="2">B7*$L$2</f>
        <v>1</v>
      </c>
      <c r="P7" s="147">
        <f>'7.2.1'!Q19</f>
        <v>771.41199999999992</v>
      </c>
      <c r="Q7" s="103">
        <f t="shared" ref="Q7" si="3">B7*P7</f>
        <v>771.41199999999992</v>
      </c>
    </row>
    <row r="8" spans="1:17" s="1" customFormat="1" ht="12.75" customHeight="1" x14ac:dyDescent="0.2">
      <c r="A8" s="76" t="s">
        <v>60</v>
      </c>
      <c r="B8" s="1">
        <v>1</v>
      </c>
      <c r="C8" s="145" t="s">
        <v>1136</v>
      </c>
      <c r="D8" s="314" t="str">
        <f ca="1">VLOOKUP(C8,Assemblies!E:P,2,0)</f>
        <v>LOWER SIDE SEAL SERVO ASSY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'7.2.2'!Q25</f>
        <v>5168.2514000000001</v>
      </c>
      <c r="Q8" s="103">
        <f t="shared" si="1"/>
        <v>5168.2514000000001</v>
      </c>
    </row>
    <row r="9" spans="1:17" s="1" customFormat="1" ht="12.75" customHeight="1" x14ac:dyDescent="0.2">
      <c r="A9" s="150" t="s">
        <v>62</v>
      </c>
      <c r="B9" s="1">
        <v>2</v>
      </c>
      <c r="C9" s="145" t="s">
        <v>1138</v>
      </c>
      <c r="D9" s="314" t="str">
        <f ca="1">VLOOKUP(C9,Assemblies!E:P,2,0)</f>
        <v>SIDE SEAL RUNNER BLOCK BRAKE ASSY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ref="O9:O10" ca="1" si="4">B9*$L$2</f>
        <v>2</v>
      </c>
      <c r="P9" s="147">
        <f>'7.2.4'!Q14</f>
        <v>588.61329999999998</v>
      </c>
      <c r="Q9" s="103">
        <f t="shared" ref="Q9:Q10" si="5">B9*P9</f>
        <v>1177.2266</v>
      </c>
    </row>
    <row r="10" spans="1:17" s="1" customFormat="1" ht="12.75" customHeight="1" x14ac:dyDescent="0.2">
      <c r="A10" s="76" t="s">
        <v>64</v>
      </c>
      <c r="B10" s="1">
        <v>2</v>
      </c>
      <c r="C10" s="145" t="s">
        <v>1139</v>
      </c>
      <c r="D10" s="314" t="str">
        <f ca="1">VLOOKUP(C10,Assemblies!E:P,2,0)</f>
        <v>SEAL BAR ROD END ASSY</v>
      </c>
      <c r="E10" s="314"/>
      <c r="F10" s="31"/>
      <c r="G10" s="32"/>
      <c r="H10" s="303"/>
      <c r="I10" s="303"/>
      <c r="J10" s="28"/>
      <c r="K10" s="28"/>
      <c r="L10" s="28"/>
      <c r="M10" s="28"/>
      <c r="N10" s="33"/>
      <c r="O10" s="146">
        <f t="shared" ca="1" si="4"/>
        <v>2</v>
      </c>
      <c r="P10" s="147">
        <f>'7.2.5'!Q19</f>
        <v>360.20000000000005</v>
      </c>
      <c r="Q10" s="103">
        <f t="shared" si="5"/>
        <v>720.40000000000009</v>
      </c>
    </row>
    <row r="11" spans="1:17" s="1" customFormat="1" ht="12.75" customHeight="1" x14ac:dyDescent="0.2">
      <c r="A11" s="76" t="s">
        <v>66</v>
      </c>
      <c r="B11" s="1">
        <v>1</v>
      </c>
      <c r="C11" s="145" t="s">
        <v>1141</v>
      </c>
      <c r="D11" s="314" t="str">
        <f ca="1">VLOOKUP(C11,Assemblies!E:P,2,0)</f>
        <v>Igus Lead Nut Assy</v>
      </c>
      <c r="E11" s="314"/>
      <c r="F11" s="31"/>
      <c r="G11" s="32"/>
      <c r="H11" s="303"/>
      <c r="I11" s="303"/>
      <c r="J11" s="28"/>
      <c r="K11" s="28"/>
      <c r="L11" s="28"/>
      <c r="M11" s="28"/>
      <c r="N11" s="33"/>
      <c r="O11" s="146">
        <f t="shared" ref="O11:O12" ca="1" si="6">B11*$L$2</f>
        <v>1</v>
      </c>
      <c r="P11" s="147">
        <f>'7.2.7'!Q9</f>
        <v>18.940000000000001</v>
      </c>
      <c r="Q11" s="103">
        <f t="shared" ref="Q11:Q12" si="7">B11*P11</f>
        <v>18.940000000000001</v>
      </c>
    </row>
    <row r="12" spans="1:17" s="1" customFormat="1" ht="12.75" customHeight="1" x14ac:dyDescent="0.2">
      <c r="A12" s="76" t="s">
        <v>68</v>
      </c>
      <c r="B12" s="1">
        <v>2</v>
      </c>
      <c r="C12" s="145" t="s">
        <v>1142</v>
      </c>
      <c r="D12" s="314" t="str">
        <f ca="1">VLOOKUP(C12,Assemblies!E:P,2,0)</f>
        <v>Modified Igus Slider</v>
      </c>
      <c r="E12" s="314"/>
      <c r="F12" s="31"/>
      <c r="G12" s="32"/>
      <c r="H12" s="303"/>
      <c r="I12" s="303"/>
      <c r="J12" s="28"/>
      <c r="K12" s="28"/>
      <c r="L12" s="28"/>
      <c r="M12" s="28"/>
      <c r="N12" s="33"/>
      <c r="O12" s="146">
        <f t="shared" ca="1" si="6"/>
        <v>2</v>
      </c>
      <c r="P12" s="147">
        <f>'7.2.8'!Q8</f>
        <v>0</v>
      </c>
      <c r="Q12" s="103">
        <f t="shared" si="7"/>
        <v>0</v>
      </c>
    </row>
    <row r="13" spans="1:17" s="1" customFormat="1" ht="12.75" customHeight="1" thickBot="1" x14ac:dyDescent="0.25">
      <c r="A13" s="76" t="s">
        <v>70</v>
      </c>
      <c r="B13" s="1">
        <v>2</v>
      </c>
      <c r="C13" s="145" t="s">
        <v>1143</v>
      </c>
      <c r="D13" s="314" t="str">
        <f ca="1">VLOOKUP(C13,Assemblies!E:P,2,0)</f>
        <v>SIDE SEAL RUNNER BLOCK ASSY</v>
      </c>
      <c r="E13" s="314"/>
      <c r="F13" s="31"/>
      <c r="G13" s="32"/>
      <c r="H13" s="303"/>
      <c r="I13" s="303"/>
      <c r="J13" s="28"/>
      <c r="K13" s="28"/>
      <c r="L13" s="28"/>
      <c r="M13" s="28"/>
      <c r="N13" s="33"/>
      <c r="O13" s="146">
        <f t="shared" ca="1" si="0"/>
        <v>2</v>
      </c>
      <c r="P13" s="147">
        <f>'7.2.9'!Q11</f>
        <v>162.86330000000001</v>
      </c>
      <c r="Q13" s="103">
        <f t="shared" si="1"/>
        <v>325.72660000000002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10246.9166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23">
    <mergeCell ref="D11:E11"/>
    <mergeCell ref="H11:I11"/>
    <mergeCell ref="D14:E14"/>
    <mergeCell ref="H14:I14"/>
    <mergeCell ref="D9:E9"/>
    <mergeCell ref="H9:I9"/>
    <mergeCell ref="D10:E10"/>
    <mergeCell ref="H10:I10"/>
    <mergeCell ref="D13:E13"/>
    <mergeCell ref="H13:I13"/>
    <mergeCell ref="D12:E12"/>
    <mergeCell ref="H12:I12"/>
    <mergeCell ref="D6:E6"/>
    <mergeCell ref="H6:I6"/>
    <mergeCell ref="D8:E8"/>
    <mergeCell ref="D1:E1"/>
    <mergeCell ref="D4:E4"/>
    <mergeCell ref="H4:I4"/>
    <mergeCell ref="D5:E5"/>
    <mergeCell ref="H5:I5"/>
    <mergeCell ref="H8:I8"/>
    <mergeCell ref="D7:E7"/>
    <mergeCell ref="H7:I7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535A04-8654-4B4B-98E1-6C8766DD2878}">
          <x14:formula1>
            <xm:f>Assemblies!$E:$E</xm:f>
          </x14:formula1>
          <xm:sqref>C5:C13</xm:sqref>
        </x14:dataValidation>
      </x14:dataValidations>
    </ext>
  </extLst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9D58B-0CB6-4658-8AED-1CDB1DFEDC89}">
  <sheetPr codeName="Sheet188">
    <tabColor theme="6" tint="0.59999389629810485"/>
  </sheetPr>
  <dimension ref="A1:Q25"/>
  <sheetViews>
    <sheetView zoomScale="115" zoomScaleNormal="115" workbookViewId="0">
      <selection activeCell="C33" sqref="C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'7.6'!C5</f>
        <v>PG10.7.6.1.0.A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'7.6'!D5</f>
        <v>LOWER CENTER SIDE SEAL HEAD 
ASSY</v>
      </c>
      <c r="D3" s="85" t="s">
        <v>50</v>
      </c>
      <c r="E3" s="86" t="str">
        <f ca="1">MID(CELL("filename",A1),FIND("]",CELL("filename",A1))+1,256)</f>
        <v>7.6.1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1204</v>
      </c>
      <c r="D5" s="314" t="str">
        <f>VLOOKUP(C5,Machined!C:X,2,0)</f>
        <v>Lower Center Seal Bar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55566</v>
      </c>
      <c r="O5" s="45">
        <f t="shared" ref="O5:O10" ca="1" si="0">B5*$L$2</f>
        <v>1</v>
      </c>
      <c r="P5" s="49">
        <f>VLOOKUP(C5,Machined!C:F,3,0)</f>
        <v>284.5</v>
      </c>
      <c r="Q5" s="50">
        <f t="shared" ref="Q5:Q10" si="1">B5*P5</f>
        <v>284.5</v>
      </c>
    </row>
    <row r="6" spans="1:17" s="2" customFormat="1" ht="12.75" customHeight="1" x14ac:dyDescent="0.25">
      <c r="A6" s="77">
        <v>2</v>
      </c>
      <c r="B6" s="20">
        <v>1</v>
      </c>
      <c r="C6" s="121" t="s">
        <v>1165</v>
      </c>
      <c r="D6" s="314" t="str">
        <f>VLOOKUP(C6,Machined!C:X,2,0)</f>
        <v>Side Seal Mid Bar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55566</v>
      </c>
      <c r="O6" s="45">
        <f t="shared" ca="1" si="0"/>
        <v>1</v>
      </c>
      <c r="P6" s="49">
        <f>VLOOKUP(C6,Machined!C:F,3,0)</f>
        <v>112.42</v>
      </c>
      <c r="Q6" s="50">
        <f t="shared" si="1"/>
        <v>112.42</v>
      </c>
    </row>
    <row r="7" spans="1:17" s="2" customFormat="1" ht="12.75" customHeight="1" x14ac:dyDescent="0.25">
      <c r="A7" s="77">
        <v>3</v>
      </c>
      <c r="B7" s="20">
        <v>1</v>
      </c>
      <c r="C7" s="121" t="s">
        <v>1166</v>
      </c>
      <c r="D7" s="314" t="str">
        <f>VLOOKUP(C7,Machined!C:X,2,0)</f>
        <v>Side Seal Die Cap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45464</v>
      </c>
      <c r="L7" s="44">
        <f>IF(VLOOKUP($C7,Machined!C:Z,20,0) = 0, " ", VLOOKUP($C7,Machined!C:Z,20,0))</f>
        <v>45495</v>
      </c>
      <c r="M7" s="44">
        <f>IF(VLOOKUP($C7,Machined!C:Z,21,0) = 0, " ", VLOOKUP($C7,Machined!C:Z,21,0))</f>
        <v>45495</v>
      </c>
      <c r="N7" s="129">
        <f>IF(VLOOKUP($C7,Machined!C:Z,22,0) = 0, " ", VLOOKUP($C7,Machined!C:Z,22,0))</f>
        <v>55566</v>
      </c>
      <c r="O7" s="45">
        <f t="shared" ca="1" si="0"/>
        <v>1</v>
      </c>
      <c r="P7" s="49">
        <f>VLOOKUP(C7,Machined!C:F,3,0)</f>
        <v>130.75</v>
      </c>
      <c r="Q7" s="50">
        <f t="shared" si="1"/>
        <v>130.75</v>
      </c>
    </row>
    <row r="8" spans="1:17" s="2" customFormat="1" ht="12.75" customHeight="1" x14ac:dyDescent="0.25">
      <c r="A8" s="77">
        <v>4</v>
      </c>
      <c r="B8" s="20">
        <v>1</v>
      </c>
      <c r="C8" s="121" t="s">
        <v>1167</v>
      </c>
      <c r="D8" s="314" t="str">
        <f>VLOOKUP(C8,Machined!C:X,2,0)</f>
        <v>Side Seal Mounting Tube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45462</v>
      </c>
      <c r="L8" s="44">
        <f>IF(VLOOKUP($C8,Machined!C:Z,20,0) = 0, " ", VLOOKUP($C8,Machined!C:Z,20,0))</f>
        <v>45492</v>
      </c>
      <c r="M8" s="44">
        <f>IF(VLOOKUP($C8,Machined!C:Z,21,0) = 0, " ", VLOOKUP($C8,Machined!C:Z,21,0))</f>
        <v>45492</v>
      </c>
      <c r="N8" s="129">
        <f>IF(VLOOKUP($C8,Machined!C:Z,22,0) = 0, " ", VLOOKUP($C8,Machined!C:Z,22,0))</f>
        <v>55559</v>
      </c>
      <c r="O8" s="45">
        <f t="shared" ca="1" si="0"/>
        <v>1</v>
      </c>
      <c r="P8" s="49">
        <f>VLOOKUP(C8,Machined!C:F,3,0)</f>
        <v>173.25</v>
      </c>
      <c r="Q8" s="50">
        <f t="shared" si="1"/>
        <v>173.25</v>
      </c>
    </row>
    <row r="9" spans="1:17" s="2" customFormat="1" ht="12.75" customHeight="1" x14ac:dyDescent="0.25">
      <c r="A9" s="77">
        <v>5</v>
      </c>
      <c r="B9" s="20">
        <v>1</v>
      </c>
      <c r="C9" s="121" t="s">
        <v>1205</v>
      </c>
      <c r="D9" s="314" t="str">
        <f>VLOOKUP(C9,Machined!C:X,2,0)</f>
        <v>Lower Side Seal Silicone</v>
      </c>
      <c r="E9" s="329"/>
      <c r="F9" s="107" t="str">
        <f>VLOOKUP($C9,Machined!C:Z,13,0)</f>
        <v>SILICONE RUBBER</v>
      </c>
      <c r="G9" s="44" t="str">
        <f>IF(VLOOKUP($C9,Machined!C:Z,16,0) = 0, " ", VLOOKUP($C9,Machined!C:Z,16,0))</f>
        <v>Nuline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SILICONE RUBBER</v>
      </c>
      <c r="J9" s="44">
        <f>IF(VLOOKUP($C9,Machined!C:Z,18,0) = 0, " ", VLOOKUP($C9,Machined!C:Z,18,0))</f>
        <v>45490</v>
      </c>
      <c r="K9" s="44">
        <f>IF(VLOOKUP($C9,Machined!C:Z,19,0) = 0, " ", VLOOKUP($C9,Machined!C:Z,19,0))</f>
        <v>45496</v>
      </c>
      <c r="L9" s="44">
        <f>IF(VLOOKUP($C9,Machined!C:Z,20,0) = 0, " ", VLOOKUP($C9,Machined!C:Z,20,0))</f>
        <v>45505</v>
      </c>
      <c r="M9" s="44">
        <f>IF(VLOOKUP($C9,Machined!C:Z,21,0) = 0, " ", VLOOKUP($C9,Machined!C:Z,21,0))</f>
        <v>45505</v>
      </c>
      <c r="N9" s="129">
        <f>IF(VLOOKUP($C9,Machined!C:Z,22,0) = 0, " ", VLOOKUP($C9,Machined!C:Z,22,0))</f>
        <v>55620</v>
      </c>
      <c r="O9" s="45">
        <f t="shared" ca="1" si="0"/>
        <v>1</v>
      </c>
      <c r="P9" s="49">
        <f>VLOOKUP(C9,Machined!C:F,3,0)</f>
        <v>13.71</v>
      </c>
      <c r="Q9" s="50">
        <f t="shared" si="1"/>
        <v>13.71</v>
      </c>
    </row>
    <row r="10" spans="1:17" s="2" customFormat="1" ht="12.75" customHeight="1" x14ac:dyDescent="0.25">
      <c r="A10" s="77">
        <v>6</v>
      </c>
      <c r="B10" s="20">
        <v>2</v>
      </c>
      <c r="C10" s="121" t="s">
        <v>1168</v>
      </c>
      <c r="D10" s="314" t="str">
        <f>VLOOKUP(C10,Machined!C:X,2,0)</f>
        <v>MODIFIED MCM 9604T190 Steel Flanged Shaft Collar, 30mm Dia</v>
      </c>
      <c r="E10" s="329"/>
      <c r="F10" s="107" t="str">
        <f>VLOOKUP($C10,Machined!C:Z,13,0)</f>
        <v>PURCHASED PART</v>
      </c>
      <c r="G10" s="44" t="str">
        <f>IF(VLOOKUP($C10,Machined!C:Z,16,0) = 0, " ", VLOOKUP($C10,Machined!C:Z,16,0))</f>
        <v>Nuline</v>
      </c>
      <c r="H10" s="320" t="str">
        <f>IF(VLOOKUP($C10,Machined!C:Z,17,0) = 0, " ", VLOOKUP($C10,Machined!C:Z,17,0))</f>
        <v>Act part # 1LM030AFXK</v>
      </c>
      <c r="I10" s="321" t="str">
        <f>IF(VLOOKUP($C10,Machined!$C:$Y,13,0) = 0, " ", VLOOKUP($C10,Machined!$C:$Y,13,0))</f>
        <v>PURCHASED PART</v>
      </c>
      <c r="J10" s="44">
        <f>IF(VLOOKUP($C10,Machined!C:Z,18,0) = 0, " ", VLOOKUP($C10,Machined!C:Z,18,0))</f>
        <v>45452</v>
      </c>
      <c r="K10" s="44">
        <f>IF(VLOOKUP($C10,Machined!C:Z,19,0) = 0, " ", VLOOKUP($C10,Machined!C:Z,19,0))</f>
        <v>45456</v>
      </c>
      <c r="L10" s="44">
        <f>IF(VLOOKUP($C10,Machined!C:Z,20,0) = 0, " ", VLOOKUP($C10,Machined!C:Z,20,0))</f>
        <v>45468</v>
      </c>
      <c r="M10" s="44">
        <f>IF(VLOOKUP($C10,Machined!C:Z,21,0) = 0, " ", VLOOKUP($C10,Machined!C:Z,21,0))</f>
        <v>45469</v>
      </c>
      <c r="N10" s="129">
        <f>IF(VLOOKUP($C10,Machined!C:Z,22,0) = 0, " ", VLOOKUP($C10,Machined!C:Z,22,0))</f>
        <v>55553</v>
      </c>
      <c r="O10" s="45">
        <f t="shared" ca="1" si="0"/>
        <v>2</v>
      </c>
      <c r="P10" s="49">
        <f>VLOOKUP(C10,Machined!C:F,3,0)</f>
        <v>89.26</v>
      </c>
      <c r="Q10" s="50">
        <f t="shared" si="1"/>
        <v>178.52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4">
        <v>301</v>
      </c>
      <c r="B12" s="2">
        <v>14</v>
      </c>
      <c r="C12" s="135" t="s">
        <v>1169</v>
      </c>
      <c r="D12" s="325" t="str">
        <f>VLOOKUP(C12,Purchased!A:B,2,0)</f>
        <v>ALLOY STEEL CUP POINT SET SCREW</v>
      </c>
      <c r="E12" s="326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45481</v>
      </c>
      <c r="K12" s="46">
        <f>IF(VLOOKUP(C12,Purchased!A:R,14,0)=0, " ", VLOOKUP(C12,Purchased!A:R,14,0))</f>
        <v>45481</v>
      </c>
      <c r="L12" s="46">
        <f>IF(VLOOKUP(C12,Purchased!A:R,15,0)=0, " ", VLOOKUP(C12,Purchased!A:R,15,0))</f>
        <v>45481</v>
      </c>
      <c r="M12" s="46">
        <f>IF(VLOOKUP(C12,Purchased!A:R,16,0)=0, " ",VLOOKUP(C12,Purchased!A:R,16,0))</f>
        <v>45482</v>
      </c>
      <c r="N12" s="130">
        <f>IF(VLOOKUP(C12,Purchased!A:R,17,0)=0, " ", VLOOKUP(C12,Purchased!A:R,17,0))</f>
        <v>45482</v>
      </c>
      <c r="O12" s="47">
        <f t="shared" ref="O12:O16" ca="1" si="2">B12*$L$2</f>
        <v>14</v>
      </c>
      <c r="P12" s="51">
        <f>VLOOKUP(C12,Purchased!A:D,3,FALSE)</f>
        <v>13.62</v>
      </c>
      <c r="Q12" s="52">
        <f t="shared" ref="Q12:Q16" si="3">B12*P12</f>
        <v>190.67999999999998</v>
      </c>
    </row>
    <row r="13" spans="1:17" s="2" customFormat="1" ht="12.75" customHeight="1" x14ac:dyDescent="0.25">
      <c r="A13" s="4">
        <v>302</v>
      </c>
      <c r="B13" s="2">
        <v>1</v>
      </c>
      <c r="C13" s="135" t="s">
        <v>1170</v>
      </c>
      <c r="D13" s="325" t="str">
        <f>VLOOKUP(C13,Purchased!A:B,2,0)</f>
        <v>Thermocouple 60in Length</v>
      </c>
      <c r="E13" s="326"/>
      <c r="F13" s="108" t="str">
        <f>IF(VLOOKUP($C13,Purchased!A:Z,11,0) = 0, " ", VLOOKUP($C13,Purchased!A:Z,11,0))</f>
        <v>ACROLAB</v>
      </c>
      <c r="G13" s="108" t="str">
        <f>IF(VLOOKUP($C13,Purchased!A:Z,12,0)=0, " ", VLOOKUP($C13,Purchased!A:Z,12,0))</f>
        <v>ACROLAB</v>
      </c>
      <c r="H13" s="327" t="str">
        <f>IF(VLOOKUP($C13,Purchased!A:Z,13,0)=0, " ", VLOOKUP($C13,Purchased!A:Z,13,0))</f>
        <v>Vendor is moving and late 8/01/24 JP</v>
      </c>
      <c r="I13" s="328"/>
      <c r="J13" s="46">
        <f>IF(VLOOKUP($C13,Purchased!A:Z,14,0)=0, " ", VLOOKUP($C13,Purchased!A:Z,14,0))</f>
        <v>45462</v>
      </c>
      <c r="K13" s="46">
        <f>IF(VLOOKUP(C13,Purchased!A:R,14,0)=0, " ", VLOOKUP(C13,Purchased!A:R,14,0))</f>
        <v>45462</v>
      </c>
      <c r="L13" s="46">
        <f>IF(VLOOKUP(C13,Purchased!A:R,15,0)=0, " ", VLOOKUP(C13,Purchased!A:R,15,0))</f>
        <v>45462</v>
      </c>
      <c r="M13" s="46">
        <f>IF(VLOOKUP(C13,Purchased!A:R,16,0)=0, " ",VLOOKUP(C13,Purchased!A:R,16,0))</f>
        <v>45495</v>
      </c>
      <c r="N13" s="130">
        <f>IF(VLOOKUP(C13,Purchased!A:R,17,0)=0, " ", VLOOKUP(C13,Purchased!A:R,17,0))</f>
        <v>45512</v>
      </c>
      <c r="O13" s="47">
        <f t="shared" ca="1" si="2"/>
        <v>1</v>
      </c>
      <c r="P13" s="51">
        <f>VLOOKUP(C13,Purchased!A:D,3,FALSE)</f>
        <v>52.6</v>
      </c>
      <c r="Q13" s="52">
        <f t="shared" si="3"/>
        <v>52.6</v>
      </c>
    </row>
    <row r="14" spans="1:17" s="2" customFormat="1" ht="12.75" customHeight="1" x14ac:dyDescent="0.25">
      <c r="A14" s="4">
        <v>303</v>
      </c>
      <c r="B14" s="2">
        <v>1</v>
      </c>
      <c r="C14" s="135" t="s">
        <v>1171</v>
      </c>
      <c r="D14" s="325" t="str">
        <f>VLOOKUP(C14,Purchased!A:B,2,0)</f>
        <v>26in ISOBAR</v>
      </c>
      <c r="E14" s="326"/>
      <c r="F14" s="108" t="str">
        <f>IF(VLOOKUP($C14,Purchased!A:Z,11,0) = 0, " ", VLOOKUP($C14,Purchased!A:Z,11,0))</f>
        <v>ACROLAB</v>
      </c>
      <c r="G14" s="108" t="str">
        <f>IF(VLOOKUP($C14,Purchased!A:Z,12,0)=0, " ", VLOOKUP($C14,Purchased!A:Z,12,0))</f>
        <v>ACROLAB</v>
      </c>
      <c r="H14" s="327" t="str">
        <f>IF(VLOOKUP($C14,Purchased!A:Z,13,0)=0, " ", VLOOKUP($C14,Purchased!A:Z,13,0))</f>
        <v>Vendor is moving and late 8/01/24 JP</v>
      </c>
      <c r="I14" s="328"/>
      <c r="J14" s="46">
        <f>IF(VLOOKUP($C14,Purchased!A:Z,14,0)=0, " ", VLOOKUP($C14,Purchased!A:Z,14,0))</f>
        <v>45462</v>
      </c>
      <c r="K14" s="46">
        <f>IF(VLOOKUP(C14,Purchased!A:R,14,0)=0, " ", VLOOKUP(C14,Purchased!A:R,14,0))</f>
        <v>45462</v>
      </c>
      <c r="L14" s="46">
        <f>IF(VLOOKUP(C14,Purchased!A:R,15,0)=0, " ", VLOOKUP(C14,Purchased!A:R,15,0))</f>
        <v>45462</v>
      </c>
      <c r="M14" s="46">
        <f>IF(VLOOKUP(C14,Purchased!A:R,16,0)=0, " ",VLOOKUP(C14,Purchased!A:R,16,0))</f>
        <v>45495</v>
      </c>
      <c r="N14" s="130">
        <f>IF(VLOOKUP(C14,Purchased!A:R,17,0)=0, " ", VLOOKUP(C14,Purchased!A:R,17,0))</f>
        <v>45512</v>
      </c>
      <c r="O14" s="47">
        <f t="shared" ca="1" si="2"/>
        <v>1</v>
      </c>
      <c r="P14" s="51">
        <f>VLOOKUP(C14,Purchased!A:D,3,FALSE)</f>
        <v>77</v>
      </c>
      <c r="Q14" s="52">
        <f t="shared" si="3"/>
        <v>77</v>
      </c>
    </row>
    <row r="15" spans="1:17" s="2" customFormat="1" ht="12.75" customHeight="1" x14ac:dyDescent="0.25">
      <c r="A15" s="4">
        <v>304</v>
      </c>
      <c r="B15" s="2">
        <v>1</v>
      </c>
      <c r="C15" s="135" t="s">
        <v>1172</v>
      </c>
      <c r="D15" s="325" t="str">
        <f>VLOOKUP(C15,Purchased!A:B,2,0)</f>
        <v>CARTRIDGE HEATER</v>
      </c>
      <c r="E15" s="326"/>
      <c r="F15" s="108" t="str">
        <f>IF(VLOOKUP($C15,Purchased!A:Z,11,0) = 0, " ", VLOOKUP($C15,Purchased!A:Z,11,0))</f>
        <v>ACROLAB</v>
      </c>
      <c r="G15" s="108" t="str">
        <f>IF(VLOOKUP($C15,Purchased!A:Z,12,0)=0, " ", VLOOKUP($C15,Purchased!A:Z,12,0))</f>
        <v>ACROLAB</v>
      </c>
      <c r="H15" s="327" t="str">
        <f>IF(VLOOKUP($C15,Purchased!A:Z,13,0)=0, " ", VLOOKUP($C15,Purchased!A:Z,13,0))</f>
        <v>Vendor is moving and late 8/01/24 JP</v>
      </c>
      <c r="I15" s="328"/>
      <c r="J15" s="46">
        <f>IF(VLOOKUP($C15,Purchased!A:Z,14,0)=0, " ", VLOOKUP($C15,Purchased!A:Z,14,0))</f>
        <v>45462</v>
      </c>
      <c r="K15" s="46">
        <f>IF(VLOOKUP(C15,Purchased!A:R,14,0)=0, " ", VLOOKUP(C15,Purchased!A:R,14,0))</f>
        <v>45462</v>
      </c>
      <c r="L15" s="46">
        <f>IF(VLOOKUP(C15,Purchased!A:R,15,0)=0, " ", VLOOKUP(C15,Purchased!A:R,15,0))</f>
        <v>45462</v>
      </c>
      <c r="M15" s="46">
        <f>IF(VLOOKUP(C15,Purchased!A:R,16,0)=0, " ",VLOOKUP(C15,Purchased!A:R,16,0))</f>
        <v>45495</v>
      </c>
      <c r="N15" s="130">
        <f>IF(VLOOKUP(C15,Purchased!A:R,17,0)=0, " ", VLOOKUP(C15,Purchased!A:R,17,0))</f>
        <v>45512</v>
      </c>
      <c r="O15" s="47">
        <f t="shared" ca="1" si="2"/>
        <v>1</v>
      </c>
      <c r="P15" s="51">
        <f>VLOOKUP(C15,Purchased!A:D,3,FALSE)</f>
        <v>271.87</v>
      </c>
      <c r="Q15" s="52">
        <f t="shared" si="3"/>
        <v>271.87</v>
      </c>
    </row>
    <row r="16" spans="1:17" s="2" customFormat="1" ht="12.75" customHeight="1" x14ac:dyDescent="0.25">
      <c r="A16" s="4">
        <v>305</v>
      </c>
      <c r="B16" s="2">
        <v>1</v>
      </c>
      <c r="C16" s="135" t="s">
        <v>1173</v>
      </c>
      <c r="D16" s="325" t="str">
        <f>VLOOKUP(C16,Purchased!A:B,2,0)</f>
        <v>1/8in NPT Bayonet Adapter</v>
      </c>
      <c r="E16" s="326"/>
      <c r="F16" s="108" t="str">
        <f>IF(VLOOKUP($C16,Purchased!A:Z,11,0) = 0, " ", VLOOKUP($C16,Purchased!A:Z,11,0))</f>
        <v>ACROLAB</v>
      </c>
      <c r="G16" s="108" t="str">
        <f>IF(VLOOKUP($C16,Purchased!A:Z,12,0)=0, " ", VLOOKUP($C16,Purchased!A:Z,12,0))</f>
        <v>ACROLAB</v>
      </c>
      <c r="H16" s="327" t="str">
        <f>IF(VLOOKUP($C16,Purchased!A:Z,13,0)=0, " ", VLOOKUP($C16,Purchased!A:Z,13,0))</f>
        <v>Vendor is moving and late 8/01/24 JP</v>
      </c>
      <c r="I16" s="328"/>
      <c r="J16" s="46">
        <f>IF(VLOOKUP($C16,Purchased!A:Z,14,0)=0, " ", VLOOKUP($C16,Purchased!A:Z,14,0))</f>
        <v>45462</v>
      </c>
      <c r="K16" s="46">
        <f>IF(VLOOKUP(C16,Purchased!A:R,14,0)=0, " ", VLOOKUP(C16,Purchased!A:R,14,0))</f>
        <v>45462</v>
      </c>
      <c r="L16" s="46">
        <f>IF(VLOOKUP(C16,Purchased!A:R,15,0)=0, " ", VLOOKUP(C16,Purchased!A:R,15,0))</f>
        <v>45462</v>
      </c>
      <c r="M16" s="46">
        <f>IF(VLOOKUP(C16,Purchased!A:R,16,0)=0, " ",VLOOKUP(C16,Purchased!A:R,16,0))</f>
        <v>45495</v>
      </c>
      <c r="N16" s="130">
        <f>IF(VLOOKUP(C16,Purchased!A:R,17,0)=0, " ", VLOOKUP(C16,Purchased!A:R,17,0))</f>
        <v>45512</v>
      </c>
      <c r="O16" s="47">
        <f t="shared" ca="1" si="2"/>
        <v>1</v>
      </c>
      <c r="P16" s="51">
        <f>VLOOKUP(C16,Purchased!A:D,3,FALSE)</f>
        <v>4.88</v>
      </c>
      <c r="Q16" s="52">
        <f t="shared" si="3"/>
        <v>4.88</v>
      </c>
    </row>
    <row r="17" spans="1:17" s="2" customFormat="1" ht="12.75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.75" customHeight="1" x14ac:dyDescent="0.25">
      <c r="A18" s="4">
        <v>501</v>
      </c>
      <c r="B18" s="2">
        <v>2</v>
      </c>
      <c r="C18" s="122" t="s">
        <v>1174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ref="O18:O23" ca="1" si="4">B18*$L$2</f>
        <v>2</v>
      </c>
      <c r="P18" s="51">
        <f>VLOOKUP(C18,Bolts!A:B,2,FALSE)</f>
        <v>0</v>
      </c>
      <c r="Q18" s="52">
        <f t="shared" ref="Q18:Q23" si="5">B18*P18</f>
        <v>0</v>
      </c>
    </row>
    <row r="19" spans="1:17" s="2" customFormat="1" ht="12.75" customHeight="1" x14ac:dyDescent="0.25">
      <c r="A19" s="4">
        <v>502</v>
      </c>
      <c r="B19" s="2">
        <v>6</v>
      </c>
      <c r="C19" s="122" t="s">
        <v>1175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4"/>
        <v>6</v>
      </c>
      <c r="P19" s="51">
        <f>VLOOKUP(C19,Bolts!A:B,2,FALSE)</f>
        <v>0</v>
      </c>
      <c r="Q19" s="52">
        <f t="shared" si="5"/>
        <v>0</v>
      </c>
    </row>
    <row r="20" spans="1:17" s="2" customFormat="1" ht="12.75" customHeight="1" x14ac:dyDescent="0.25">
      <c r="A20" s="4">
        <v>503</v>
      </c>
      <c r="B20" s="2">
        <v>12</v>
      </c>
      <c r="C20" s="122" t="s">
        <v>243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4"/>
        <v>12</v>
      </c>
      <c r="P20" s="51">
        <f>VLOOKUP(C20,Bolts!A:B,2,FALSE)</f>
        <v>0</v>
      </c>
      <c r="Q20" s="52">
        <f t="shared" si="5"/>
        <v>0</v>
      </c>
    </row>
    <row r="21" spans="1:17" s="2" customFormat="1" ht="12.75" customHeight="1" x14ac:dyDescent="0.25">
      <c r="A21" s="4">
        <v>504</v>
      </c>
      <c r="B21" s="2">
        <v>8</v>
      </c>
      <c r="C21" s="122" t="s">
        <v>180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4"/>
        <v>8</v>
      </c>
      <c r="P21" s="51">
        <f>VLOOKUP(C21,Bolts!A:B,2,FALSE)</f>
        <v>0</v>
      </c>
      <c r="Q21" s="52">
        <f t="shared" si="5"/>
        <v>0</v>
      </c>
    </row>
    <row r="22" spans="1:17" s="2" customFormat="1" ht="12.75" customHeight="1" x14ac:dyDescent="0.25">
      <c r="A22" s="4">
        <v>505</v>
      </c>
      <c r="B22" s="2">
        <v>8</v>
      </c>
      <c r="C22" s="122" t="s">
        <v>199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4"/>
        <v>8</v>
      </c>
      <c r="P22" s="51">
        <f>VLOOKUP(C22,Bolts!A:B,2,FALSE)</f>
        <v>0</v>
      </c>
      <c r="Q22" s="52">
        <f t="shared" si="5"/>
        <v>0</v>
      </c>
    </row>
    <row r="23" spans="1:17" s="2" customFormat="1" ht="12.75" customHeight="1" thickBot="1" x14ac:dyDescent="0.3">
      <c r="A23" s="4">
        <v>506</v>
      </c>
      <c r="B23" s="2">
        <v>42</v>
      </c>
      <c r="C23" s="122" t="s">
        <v>1176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4"/>
        <v>42</v>
      </c>
      <c r="P23" s="51">
        <f>VLOOKUP(C23,Bolts!A:B,2,FALSE)</f>
        <v>0</v>
      </c>
      <c r="Q23" s="52">
        <f t="shared" si="5"/>
        <v>0</v>
      </c>
    </row>
    <row r="24" spans="1:17" s="2" customFormat="1" ht="12" customHeight="1" thickBot="1" x14ac:dyDescent="0.3">
      <c r="A24" s="34"/>
      <c r="B24" s="35"/>
      <c r="C24" s="35"/>
      <c r="D24" s="316"/>
      <c r="E24" s="317"/>
      <c r="F24" s="35"/>
      <c r="G24" s="35"/>
      <c r="H24" s="309"/>
      <c r="I24" s="310"/>
      <c r="J24" s="36"/>
      <c r="K24" s="36"/>
      <c r="L24" s="36"/>
      <c r="M24" s="37"/>
      <c r="N24" s="132"/>
      <c r="O24" s="38"/>
      <c r="P24" s="99" t="s">
        <v>43</v>
      </c>
      <c r="Q24" s="104">
        <f>SUM(Q5:Q23)</f>
        <v>1490.1800000000003</v>
      </c>
    </row>
    <row r="25" spans="1:17" s="2" customFormat="1" ht="12" customHeight="1" x14ac:dyDescent="0.2">
      <c r="D25" s="21"/>
      <c r="E25" s="21"/>
      <c r="J25" s="8"/>
      <c r="K25" s="8"/>
      <c r="L25" s="8"/>
      <c r="M25" s="8"/>
      <c r="N25" s="131"/>
      <c r="O25" s="5"/>
      <c r="P25" s="98"/>
      <c r="Q25" s="105"/>
    </row>
  </sheetData>
  <sheetProtection selectLockedCells="1"/>
  <mergeCells count="37">
    <mergeCell ref="D22:E22"/>
    <mergeCell ref="D23:E23"/>
    <mergeCell ref="H17:I17"/>
    <mergeCell ref="D18:E18"/>
    <mergeCell ref="D19:E19"/>
    <mergeCell ref="D20:E20"/>
    <mergeCell ref="D21:E21"/>
    <mergeCell ref="D24:E24"/>
    <mergeCell ref="H24:I24"/>
    <mergeCell ref="D1:E1"/>
    <mergeCell ref="D4:E4"/>
    <mergeCell ref="H4:I4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D5:E5"/>
    <mergeCell ref="H5:I5"/>
    <mergeCell ref="D6:E6"/>
    <mergeCell ref="H6:I6"/>
    <mergeCell ref="D7:E7"/>
    <mergeCell ref="H7:I7"/>
    <mergeCell ref="D11:E11"/>
    <mergeCell ref="H11:I11"/>
    <mergeCell ref="D8:E8"/>
    <mergeCell ref="H8:I8"/>
    <mergeCell ref="D9:E9"/>
    <mergeCell ref="H9:I9"/>
    <mergeCell ref="D10:E10"/>
    <mergeCell ref="H10:I10"/>
  </mergeCells>
  <conditionalFormatting sqref="M11 M17:M23">
    <cfRule type="cellIs" dxfId="668" priority="11" stopIfTrue="1" operator="lessThanOrEqual">
      <formula>$L11</formula>
    </cfRule>
    <cfRule type="cellIs" dxfId="667" priority="12" operator="greaterThan">
      <formula>L11</formula>
    </cfRule>
  </conditionalFormatting>
  <conditionalFormatting sqref="M12">
    <cfRule type="cellIs" dxfId="666" priority="9" stopIfTrue="1" operator="lessThanOrEqual">
      <formula>$L12</formula>
    </cfRule>
    <cfRule type="cellIs" dxfId="665" priority="10" operator="greaterThan">
      <formula>L12</formula>
    </cfRule>
  </conditionalFormatting>
  <conditionalFormatting sqref="M13:M16">
    <cfRule type="cellIs" dxfId="664" priority="1" stopIfTrue="1" operator="lessThanOrEqual">
      <formula>$L13</formula>
    </cfRule>
    <cfRule type="cellIs" dxfId="663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21A53D-4D32-40D0-AB89-65F67EB02994}">
          <x14:formula1>
            <xm:f>Bolts!$A:$A</xm:f>
          </x14:formula1>
          <xm:sqref>C18:C23</xm:sqref>
        </x14:dataValidation>
        <x14:dataValidation type="list" allowBlank="1" showInputMessage="1" showErrorMessage="1" xr:uid="{88D76ABA-BE26-4561-8084-0A526F716CAD}">
          <x14:formula1>
            <xm:f>Machined!$C:$C</xm:f>
          </x14:formula1>
          <xm:sqref>C5:C10</xm:sqref>
        </x14:dataValidation>
        <x14:dataValidation type="list" allowBlank="1" showInputMessage="1" showErrorMessage="1" xr:uid="{A4A553CC-86F4-409D-99CC-0F57467F4C9B}">
          <x14:formula1>
            <xm:f>Purchased!$A:$A</xm:f>
          </x14:formula1>
          <xm:sqref>C12:C16</xm:sqref>
        </x14:dataValidation>
      </x14:dataValidations>
    </ext>
  </extLst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EA380-74C1-4CF4-813A-E89C7F6AC5D4}">
  <sheetPr codeName="Sheet189">
    <tabColor theme="6" tint="0.59999389629810485"/>
  </sheetPr>
  <dimension ref="A1:Q15"/>
  <sheetViews>
    <sheetView zoomScale="115" zoomScaleNormal="115" workbookViewId="0">
      <selection activeCell="F10" sqref="F10:Q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'7.6'!C6</f>
        <v>PG10.7.6.2.0.A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'7.6'!D6</f>
        <v>CENTER SIDE SEAL TEFLON ROLL ASSY</v>
      </c>
      <c r="D3" s="85" t="s">
        <v>50</v>
      </c>
      <c r="E3" s="86" t="str">
        <f ca="1">MID(CELL("filename",A1),FIND("]",CELL("filename",A1))+1,256)</f>
        <v>7.6.2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1188</v>
      </c>
      <c r="D5" s="314" t="str">
        <f>VLOOKUP(C5,Machined!C:X,2,0)</f>
        <v>SIDE SEAL TEFLON ROLL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>Material by Nuline</v>
      </c>
      <c r="I5" s="321" t="str">
        <f>IF(VLOOKUP($C5,Machined!$C:$Y,13,0) = 0, " ", VLOOKUP($C5,Machined!$C:$Y,13,0))</f>
        <v>303 TG&amp;P, Round Stock, -0.0005</v>
      </c>
      <c r="J5" s="44">
        <f>IF(VLOOKUP($C5,Machined!C:Z,18,0) = 0, " ", VLOOKUP($C5,Machined!C:Z,18,0))</f>
        <v>45524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45555</v>
      </c>
      <c r="M5" s="44">
        <f>IF(VLOOKUP($C5,Machined!C:Z,21,0) = 0, " ", VLOOKUP($C5,Machined!C:Z,21,0))</f>
        <v>45527</v>
      </c>
      <c r="N5" s="129">
        <f>IF(VLOOKUP($C5,Machined!C:Z,22,0) = 0, " ", VLOOKUP($C5,Machined!C:Z,22,0))</f>
        <v>55699</v>
      </c>
      <c r="O5" s="45">
        <f t="shared" ref="O5:O8" ca="1" si="0">B5*$L$2</f>
        <v>4</v>
      </c>
      <c r="P5" s="49">
        <f>VLOOKUP(C5,Machined!C:F,3,0)</f>
        <v>65.05</v>
      </c>
      <c r="Q5" s="50">
        <f t="shared" ref="Q5:Q8" si="1">B5*P5</f>
        <v>130.1</v>
      </c>
    </row>
    <row r="6" spans="1:17" s="2" customFormat="1" ht="12.75" customHeight="1" x14ac:dyDescent="0.25">
      <c r="A6" s="77">
        <v>2</v>
      </c>
      <c r="B6" s="20">
        <v>4</v>
      </c>
      <c r="C6" s="121" t="s">
        <v>1189</v>
      </c>
      <c r="D6" s="314" t="str">
        <f>VLOOKUP(C6,Machined!C:X,2,0)</f>
        <v>Teflon Roll Holder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55570</v>
      </c>
      <c r="O6" s="45">
        <f t="shared" ca="1" si="0"/>
        <v>8</v>
      </c>
      <c r="P6" s="49">
        <f>VLOOKUP(C6,Machined!C:F,3,0)</f>
        <v>57.2</v>
      </c>
      <c r="Q6" s="50">
        <f t="shared" si="1"/>
        <v>228.8</v>
      </c>
    </row>
    <row r="7" spans="1:17" s="2" customFormat="1" ht="12.75" customHeight="1" x14ac:dyDescent="0.25">
      <c r="A7" s="77">
        <v>3</v>
      </c>
      <c r="B7" s="20">
        <v>4</v>
      </c>
      <c r="C7" s="121" t="s">
        <v>1190</v>
      </c>
      <c r="D7" s="314" t="str">
        <f>VLOOKUP(C7,Machined!C:X,2,0)</f>
        <v>TEFLON ROLL BRACKET</v>
      </c>
      <c r="E7" s="329"/>
      <c r="F7" s="107" t="str">
        <f>VLOOKUP($C7,Machined!C:Z,13,0)</f>
        <v>1018 COLD ROLLED STEEL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1018 COLD ROLLED STEEL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55570</v>
      </c>
      <c r="O7" s="45">
        <f t="shared" ca="1" si="0"/>
        <v>8</v>
      </c>
      <c r="P7" s="49">
        <f>VLOOKUP(C7,Machined!C:F,3,0)</f>
        <v>27.6</v>
      </c>
      <c r="Q7" s="50">
        <f t="shared" si="1"/>
        <v>110.4</v>
      </c>
    </row>
    <row r="8" spans="1:17" s="2" customFormat="1" ht="12.75" customHeight="1" x14ac:dyDescent="0.25">
      <c r="A8" s="77">
        <v>4</v>
      </c>
      <c r="B8" s="20">
        <v>4</v>
      </c>
      <c r="C8" s="121" t="s">
        <v>1191</v>
      </c>
      <c r="D8" s="314" t="str">
        <f>VLOOKUP(C8,Machined!C:X,2,0)</f>
        <v>Teflon Roll Axle Clamp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Frontier Mach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55570</v>
      </c>
      <c r="O8" s="45">
        <f t="shared" ca="1" si="0"/>
        <v>8</v>
      </c>
      <c r="P8" s="49">
        <f>VLOOKUP(C8,Machined!C:F,3,0)</f>
        <v>21.8</v>
      </c>
      <c r="Q8" s="50">
        <f t="shared" si="1"/>
        <v>87.2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4">
        <v>301</v>
      </c>
      <c r="B10" s="2">
        <v>2</v>
      </c>
      <c r="C10" s="135" t="s">
        <v>1192</v>
      </c>
      <c r="D10" s="325" t="str">
        <f>VLOOKUP(C10,Purchased!A:B,2,0)</f>
        <v>Clamping Two-Piece Shaft Collar</v>
      </c>
      <c r="E10" s="326"/>
      <c r="F10" s="108" t="str">
        <f>IF(VLOOKUP($C10,Purchased!A:Z,11,0) = 0, " ", VLOOKUP($C10,Purchased!A:Z,11,0))</f>
        <v>CLIMAX</v>
      </c>
      <c r="G10" s="108" t="str">
        <f>IF(VLOOKUP($C10,Purchased!A:Z,12,0)=0, " ", VLOOKUP($C10,Purchased!A:Z,12,0))</f>
        <v>BDI</v>
      </c>
      <c r="H10" s="327" t="str">
        <f>IF(VLOOKUP($C10,Purchased!A:Z,13,0)=0, " ", VLOOKUP($C10,Purchased!A:Z,13,0))</f>
        <v># 193455</v>
      </c>
      <c r="I10" s="328"/>
      <c r="J10" s="46">
        <f>IF(VLOOKUP($C10,Purchased!A:Z,14,0)=0, " ", VLOOKUP($C10,Purchased!A:Z,14,0))</f>
        <v>45460</v>
      </c>
      <c r="K10" s="46">
        <f>IF(VLOOKUP(C10,Purchased!A:R,14,0)=0, " ", VLOOKUP(C10,Purchased!A:R,14,0))</f>
        <v>45460</v>
      </c>
      <c r="L10" s="46">
        <f>IF(VLOOKUP(C10,Purchased!A:R,15,0)=0, " ", VLOOKUP(C10,Purchased!A:R,15,0))</f>
        <v>45462</v>
      </c>
      <c r="M10" s="46">
        <f>IF(VLOOKUP(C10,Purchased!A:R,16,0)=0, " ",VLOOKUP(C10,Purchased!A:R,16,0))</f>
        <v>45495</v>
      </c>
      <c r="N10" s="130">
        <f>IF(VLOOKUP(C10,Purchased!A:R,17,0)=0, " ", VLOOKUP(C10,Purchased!A:R,17,0))</f>
        <v>45495</v>
      </c>
      <c r="O10" s="47">
        <f t="shared" ref="O10" ca="1" si="2">B10*$L$2</f>
        <v>4</v>
      </c>
      <c r="P10" s="51">
        <f>VLOOKUP(C10,Purchased!A:D,3,FALSE)</f>
        <v>9.14</v>
      </c>
      <c r="Q10" s="52">
        <f t="shared" ref="Q10" si="3">B10*P10</f>
        <v>18.28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" customHeight="1" x14ac:dyDescent="0.25">
      <c r="A12" s="4">
        <v>501</v>
      </c>
      <c r="B12" s="2">
        <v>8</v>
      </c>
      <c r="C12" s="122" t="s">
        <v>95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t="shared" ref="O12:O13" ca="1" si="4">B12*$L$2</f>
        <v>16</v>
      </c>
      <c r="P12" s="51">
        <f>VLOOKUP(C12,Bolts!A:B,2,FALSE)</f>
        <v>0</v>
      </c>
      <c r="Q12" s="52">
        <f t="shared" ref="Q12:Q13" si="5">B12*P12</f>
        <v>0</v>
      </c>
    </row>
    <row r="13" spans="1:17" s="2" customFormat="1" ht="12" customHeight="1" thickBot="1" x14ac:dyDescent="0.3">
      <c r="A13" s="4">
        <v>502</v>
      </c>
      <c r="B13" s="2">
        <v>16</v>
      </c>
      <c r="C13" s="122" t="s">
        <v>382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ca="1" si="4"/>
        <v>32</v>
      </c>
      <c r="P13" s="51">
        <f>VLOOKUP(C13,Bolts!A:B,2,FALSE)</f>
        <v>0</v>
      </c>
      <c r="Q13" s="52">
        <f t="shared" si="5"/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574.78</v>
      </c>
    </row>
    <row r="15" spans="1:17" s="2" customFormat="1" ht="12" customHeight="1" x14ac:dyDescent="0.2">
      <c r="D15" s="21"/>
      <c r="E15" s="21"/>
      <c r="J15" s="8"/>
      <c r="K15" s="8"/>
      <c r="L15" s="8"/>
      <c r="M15" s="8"/>
      <c r="N15" s="131"/>
      <c r="O15" s="5"/>
      <c r="P15" s="98"/>
      <c r="Q15" s="105"/>
    </row>
  </sheetData>
  <sheetProtection selectLockedCells="1"/>
  <mergeCells count="21">
    <mergeCell ref="D1:E1"/>
    <mergeCell ref="D4:E4"/>
    <mergeCell ref="H4:I4"/>
    <mergeCell ref="D5:E5"/>
    <mergeCell ref="H5:I5"/>
    <mergeCell ref="D6:E6"/>
    <mergeCell ref="H6:I6"/>
    <mergeCell ref="D14:E14"/>
    <mergeCell ref="H14:I14"/>
    <mergeCell ref="D9:E9"/>
    <mergeCell ref="H9:I9"/>
    <mergeCell ref="D10:E10"/>
    <mergeCell ref="H10:I10"/>
    <mergeCell ref="D11:E11"/>
    <mergeCell ref="H11:I11"/>
    <mergeCell ref="D12:E12"/>
    <mergeCell ref="D13:E13"/>
    <mergeCell ref="D7:E7"/>
    <mergeCell ref="H7:I7"/>
    <mergeCell ref="D8:E8"/>
    <mergeCell ref="H8:I8"/>
  </mergeCells>
  <conditionalFormatting sqref="M9 M11:M13">
    <cfRule type="cellIs" dxfId="662" priority="3" stopIfTrue="1" operator="lessThanOrEqual">
      <formula>$L9</formula>
    </cfRule>
    <cfRule type="cellIs" dxfId="661" priority="4" operator="greaterThan">
      <formula>L9</formula>
    </cfRule>
  </conditionalFormatting>
  <conditionalFormatting sqref="M10">
    <cfRule type="cellIs" dxfId="660" priority="1" stopIfTrue="1" operator="lessThanOrEqual">
      <formula>$L10</formula>
    </cfRule>
    <cfRule type="cellIs" dxfId="659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E7EAE6F-8D40-456A-894B-71658DE0EC33}">
          <x14:formula1>
            <xm:f>Bolts!$A:$A</xm:f>
          </x14:formula1>
          <xm:sqref>C12:C13</xm:sqref>
        </x14:dataValidation>
        <x14:dataValidation type="list" allowBlank="1" showInputMessage="1" showErrorMessage="1" xr:uid="{E552FF4F-35C7-4ED9-A374-598E9F68DF0F}">
          <x14:formula1>
            <xm:f>Machined!$C:$C</xm:f>
          </x14:formula1>
          <xm:sqref>C5:C8</xm:sqref>
        </x14:dataValidation>
        <x14:dataValidation type="list" allowBlank="1" showInputMessage="1" showErrorMessage="1" xr:uid="{7496BE62-8CAE-440B-96C0-C4874159E612}">
          <x14:formula1>
            <xm:f>Purchased!$A:$A</xm:f>
          </x14:formula1>
          <xm:sqref>C10</xm:sqref>
        </x14:dataValidation>
      </x14:dataValidations>
    </ext>
  </extLst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D486-BF2A-43EC-8FB6-072A669D3BC1}">
  <sheetPr codeName="Sheet190">
    <tabColor theme="9" tint="0.59999389629810485"/>
  </sheetPr>
  <dimension ref="A1:Q17"/>
  <sheetViews>
    <sheetView zoomScale="115" zoomScaleNormal="115" workbookViewId="0">
      <selection activeCell="F15" sqref="F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'7'!C11</f>
        <v>PG10.7.7.0.A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'7'!D11</f>
        <v>UPPER CENTER SIDE SEAL 
CASSETTE</v>
      </c>
      <c r="D3" s="85" t="s">
        <v>50</v>
      </c>
      <c r="E3" s="86" t="str">
        <f ca="1">MID(CELL("filename",A1),FIND("]",CELL("filename",A1))+1,256)</f>
        <v>7.7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1206</v>
      </c>
      <c r="D5" s="336" t="str">
        <f ca="1">VLOOKUP(C5,Assemblies!E:P,2,0)</f>
        <v>UPPER CENTER SIDE SEAL HEAD 
ASSY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:O7" ca="1" si="0">B5*$L$2</f>
        <v>1</v>
      </c>
      <c r="P5" s="117">
        <f>'7.7.1'!Q23</f>
        <v>1476.4700000000003</v>
      </c>
      <c r="Q5" s="118">
        <f t="shared" ref="Q5:Q7" si="1">B5*P5</f>
        <v>1476.4700000000003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1135</v>
      </c>
      <c r="D6" s="314" t="str">
        <f ca="1">VLOOKUP(C6,Assemblies!E:P,2,0)</f>
        <v>SIDE SEAL FRAME ASSY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'7.2.1'!Q19</f>
        <v>771.41199999999992</v>
      </c>
      <c r="Q6" s="103">
        <f t="shared" si="1"/>
        <v>771.41199999999992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1199</v>
      </c>
      <c r="D7" s="314" t="str">
        <f ca="1">VLOOKUP(C7,Assemblies!E:P,2,0)</f>
        <v>UPPER SIDE SEAL SERVO ASSY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'7.3.1'!Q25</f>
        <v>5168.2514000000001</v>
      </c>
      <c r="Q7" s="103">
        <f t="shared" si="1"/>
        <v>5168.2514000000001</v>
      </c>
    </row>
    <row r="8" spans="1:17" s="1" customFormat="1" ht="12.75" customHeight="1" x14ac:dyDescent="0.2">
      <c r="A8" s="150" t="s">
        <v>60</v>
      </c>
      <c r="B8" s="1">
        <v>2</v>
      </c>
      <c r="C8" s="145" t="s">
        <v>1138</v>
      </c>
      <c r="D8" s="314" t="str">
        <f ca="1">VLOOKUP(C8,Assemblies!E:P,2,0)</f>
        <v>SIDE SEAL RUNNER BLOCK BRAKE ASSY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ref="O8:O13" ca="1" si="2">B8*$L$2</f>
        <v>2</v>
      </c>
      <c r="P8" s="147">
        <f>'7.2.4'!Q14</f>
        <v>588.61329999999998</v>
      </c>
      <c r="Q8" s="103">
        <f t="shared" ref="Q8:Q13" si="3">B8*P8</f>
        <v>1177.2266</v>
      </c>
    </row>
    <row r="9" spans="1:17" s="1" customFormat="1" ht="12.75" customHeight="1" x14ac:dyDescent="0.2">
      <c r="A9" s="150" t="s">
        <v>62</v>
      </c>
      <c r="B9" s="1">
        <v>2</v>
      </c>
      <c r="C9" s="145" t="s">
        <v>1139</v>
      </c>
      <c r="D9" s="314" t="str">
        <f ca="1">VLOOKUP(C9,Assemblies!E:P,2,0)</f>
        <v>SEAL BAR ROD END ASSY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ref="O9" ca="1" si="4">B9*$L$2</f>
        <v>2</v>
      </c>
      <c r="P9" s="147">
        <f>'7.2.5'!Q19</f>
        <v>360.20000000000005</v>
      </c>
      <c r="Q9" s="103">
        <f t="shared" ref="Q9" si="5">B9*P9</f>
        <v>720.40000000000009</v>
      </c>
    </row>
    <row r="10" spans="1:17" s="1" customFormat="1" ht="12.75" customHeight="1" x14ac:dyDescent="0.2">
      <c r="A10" s="150" t="s">
        <v>64</v>
      </c>
      <c r="B10" s="1">
        <v>1</v>
      </c>
      <c r="C10" s="145" t="s">
        <v>1141</v>
      </c>
      <c r="D10" s="314" t="str">
        <f ca="1">VLOOKUP(C10,Assemblies!E:P,2,0)</f>
        <v>Igus Lead Nut Assy</v>
      </c>
      <c r="E10" s="314"/>
      <c r="F10" s="31"/>
      <c r="G10" s="32"/>
      <c r="H10" s="303"/>
      <c r="I10" s="303"/>
      <c r="J10" s="28"/>
      <c r="K10" s="28"/>
      <c r="L10" s="28"/>
      <c r="M10" s="28"/>
      <c r="N10" s="33"/>
      <c r="O10" s="146">
        <f t="shared" ca="1" si="2"/>
        <v>1</v>
      </c>
      <c r="P10" s="147">
        <f>'7.2.7'!Q9</f>
        <v>18.940000000000001</v>
      </c>
      <c r="Q10" s="103">
        <f t="shared" si="3"/>
        <v>18.940000000000001</v>
      </c>
    </row>
    <row r="11" spans="1:17" s="1" customFormat="1" ht="12.75" customHeight="1" x14ac:dyDescent="0.2">
      <c r="A11" s="76" t="s">
        <v>66</v>
      </c>
      <c r="B11" s="1">
        <v>2</v>
      </c>
      <c r="C11" s="145" t="s">
        <v>1142</v>
      </c>
      <c r="D11" s="314" t="str">
        <f ca="1">VLOOKUP(C11,Assemblies!E:P,2,0)</f>
        <v>Modified Igus Slider</v>
      </c>
      <c r="E11" s="314"/>
      <c r="F11" s="31"/>
      <c r="G11" s="32"/>
      <c r="H11" s="303"/>
      <c r="I11" s="303"/>
      <c r="J11" s="28"/>
      <c r="K11" s="28"/>
      <c r="L11" s="28"/>
      <c r="M11" s="28"/>
      <c r="N11" s="33"/>
      <c r="O11" s="146">
        <f t="shared" ref="O11:O12" ca="1" si="6">B11*$L$2</f>
        <v>2</v>
      </c>
      <c r="P11" s="147">
        <f>'7.2.8'!Q9</f>
        <v>9.75</v>
      </c>
      <c r="Q11" s="103">
        <f t="shared" ref="Q11:Q12" si="7">B11*P11</f>
        <v>19.5</v>
      </c>
    </row>
    <row r="12" spans="1:17" s="1" customFormat="1" ht="12.75" customHeight="1" x14ac:dyDescent="0.2">
      <c r="A12" s="76" t="s">
        <v>68</v>
      </c>
      <c r="B12" s="1">
        <v>1</v>
      </c>
      <c r="C12" s="145" t="s">
        <v>1203</v>
      </c>
      <c r="D12" s="314" t="str">
        <f ca="1">VLOOKUP(C12,Assemblies!E:P,2,0)</f>
        <v>CENTER SIDE SEAL TEFLON ROLL ASSY</v>
      </c>
      <c r="E12" s="314"/>
      <c r="F12" s="31"/>
      <c r="G12" s="32"/>
      <c r="H12" s="303"/>
      <c r="I12" s="303"/>
      <c r="J12" s="28"/>
      <c r="K12" s="28"/>
      <c r="L12" s="28"/>
      <c r="M12" s="28"/>
      <c r="N12" s="33"/>
      <c r="O12" s="146">
        <f t="shared" ca="1" si="6"/>
        <v>1</v>
      </c>
      <c r="P12" s="147">
        <f>'7.6.2'!Q14</f>
        <v>574.78</v>
      </c>
      <c r="Q12" s="103">
        <f t="shared" si="7"/>
        <v>574.78</v>
      </c>
    </row>
    <row r="13" spans="1:17" s="1" customFormat="1" ht="12.75" customHeight="1" x14ac:dyDescent="0.2">
      <c r="A13" s="76" t="s">
        <v>70</v>
      </c>
      <c r="B13" s="1">
        <v>2</v>
      </c>
      <c r="C13" s="145" t="s">
        <v>1143</v>
      </c>
      <c r="D13" s="314" t="str">
        <f ca="1">VLOOKUP(C13,Assemblies!E:P,2,0)</f>
        <v>SIDE SEAL RUNNER BLOCK ASSY</v>
      </c>
      <c r="E13" s="314"/>
      <c r="F13" s="31"/>
      <c r="G13" s="32"/>
      <c r="H13" s="303"/>
      <c r="I13" s="303"/>
      <c r="J13" s="28"/>
      <c r="K13" s="28"/>
      <c r="L13" s="28"/>
      <c r="M13" s="28"/>
      <c r="N13" s="33"/>
      <c r="O13" s="146">
        <f t="shared" ca="1" si="2"/>
        <v>2</v>
      </c>
      <c r="P13" s="147">
        <f>'7.2.9'!Q11</f>
        <v>162.86330000000001</v>
      </c>
      <c r="Q13" s="103">
        <f t="shared" si="3"/>
        <v>325.72660000000002</v>
      </c>
    </row>
    <row r="14" spans="1:17" s="2" customFormat="1" ht="12.75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.75" customHeight="1" thickBot="1" x14ac:dyDescent="0.3">
      <c r="A15" s="77">
        <v>1</v>
      </c>
      <c r="B15" s="20">
        <v>1</v>
      </c>
      <c r="C15" s="121" t="s">
        <v>1207</v>
      </c>
      <c r="D15" s="314" t="str">
        <f>VLOOKUP(C15,Machined!C:X,2,0)</f>
        <v>Tube Guide For Side Seal</v>
      </c>
      <c r="E15" s="329"/>
      <c r="F15" s="107" t="str">
        <f>VLOOKUP($C15,Machined!C:Z,13,0)</f>
        <v>304 STAINLESS STEEL</v>
      </c>
      <c r="G15" s="44" t="str">
        <f>IF(VLOOKUP($C15,Machined!C:Z,16,0) = 0, " ", VLOOKUP($C15,Machined!C:Z,16,0))</f>
        <v>Proto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304 STAINLESS STEEL</v>
      </c>
      <c r="J15" s="44">
        <f>IF(VLOOKUP($C15,Machined!C:Z,18,0) = 0, " ", VLOOKUP($C15,Machined!C:Z,18,0))</f>
        <v>45495</v>
      </c>
      <c r="K15" s="44">
        <f>IF(VLOOKUP($C15,Machined!C:Z,19,0) = 0, " ", VLOOKUP($C15,Machined!C:Z,19,0))</f>
        <v>45510</v>
      </c>
      <c r="L15" s="44">
        <f>IF(VLOOKUP($C15,Machined!C:Z,20,0) = 0, " ", VLOOKUP($C15,Machined!C:Z,20,0))</f>
        <v>45540</v>
      </c>
      <c r="M15" s="44">
        <f>IF(VLOOKUP($C15,Machined!C:Z,21,0) = 0, " ", VLOOKUP($C15,Machined!C:Z,21,0))</f>
        <v>45540</v>
      </c>
      <c r="N15" s="129">
        <f>IF(VLOOKUP($C15,Machined!C:Z,22,0) = 0, " ", VLOOKUP($C15,Machined!C:Z,22,0))</f>
        <v>55658</v>
      </c>
      <c r="O15" s="45">
        <f ca="1">B15*$L$2</f>
        <v>1</v>
      </c>
      <c r="P15" s="49">
        <f>VLOOKUP(C15,Machined!C:F,3,0)</f>
        <v>226.9</v>
      </c>
      <c r="Q15" s="50">
        <f>B15*P15</f>
        <v>226.9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10479.606600000001</v>
      </c>
    </row>
    <row r="17" spans="4:5" s="2" customFormat="1" ht="12" customHeight="1" x14ac:dyDescent="0.2">
      <c r="D17" s="21"/>
      <c r="E17" s="21"/>
    </row>
  </sheetData>
  <sheetProtection selectLockedCells="1"/>
  <mergeCells count="27">
    <mergeCell ref="D16:E16"/>
    <mergeCell ref="H16:I16"/>
    <mergeCell ref="D5:E5"/>
    <mergeCell ref="H5:I5"/>
    <mergeCell ref="D6:E6"/>
    <mergeCell ref="H6:I6"/>
    <mergeCell ref="D7:E7"/>
    <mergeCell ref="H7:I7"/>
    <mergeCell ref="D9:E9"/>
    <mergeCell ref="H9:I9"/>
    <mergeCell ref="D13:E13"/>
    <mergeCell ref="H13:I13"/>
    <mergeCell ref="D14:E14"/>
    <mergeCell ref="H14:I14"/>
    <mergeCell ref="D15:E15"/>
    <mergeCell ref="H15:I15"/>
    <mergeCell ref="D11:E11"/>
    <mergeCell ref="H11:I11"/>
    <mergeCell ref="D10:E10"/>
    <mergeCell ref="H10:I10"/>
    <mergeCell ref="D12:E12"/>
    <mergeCell ref="H12:I12"/>
    <mergeCell ref="D1:E1"/>
    <mergeCell ref="D4:E4"/>
    <mergeCell ref="H4:I4"/>
    <mergeCell ref="D8:E8"/>
    <mergeCell ref="H8:I8"/>
  </mergeCells>
  <conditionalFormatting sqref="M14">
    <cfRule type="cellIs" dxfId="658" priority="1" stopIfTrue="1" operator="lessThanOrEqual">
      <formula>$L14</formula>
    </cfRule>
    <cfRule type="cellIs" dxfId="657" priority="2" operator="greaterThan">
      <formula>L14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A323CAF-EE95-4634-86A7-3EC4AED34DBE}">
          <x14:formula1>
            <xm:f>Assemblies!$E:$E</xm:f>
          </x14:formula1>
          <xm:sqref>C5:C13</xm:sqref>
        </x14:dataValidation>
        <x14:dataValidation type="list" allowBlank="1" showInputMessage="1" showErrorMessage="1" xr:uid="{04B2ABDC-ADF4-4C16-957A-E0FBD117CB32}">
          <x14:formula1>
            <xm:f>Machined!$C:$C</xm:f>
          </x14:formula1>
          <xm:sqref>C15</xm:sqref>
        </x14:dataValidation>
      </x14:dataValidations>
    </ext>
  </extLst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03842-07E9-4AFF-8E90-EDE8EAD43ECD}">
  <sheetPr codeName="Sheet191">
    <tabColor theme="6" tint="0.59999389629810485"/>
  </sheetPr>
  <dimension ref="A1:Q24"/>
  <sheetViews>
    <sheetView zoomScale="115" zoomScaleNormal="115" workbookViewId="0">
      <selection activeCell="F15" sqref="F15:Q1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'7.7'!C5</f>
        <v>PG10.7.7.1.0.A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'7.7'!D5</f>
        <v>UPPER CENTER SIDE SEAL HEAD 
ASSY</v>
      </c>
      <c r="D3" s="85" t="s">
        <v>50</v>
      </c>
      <c r="E3" s="86" t="str">
        <f ca="1">MID(CELL("filename",A1),FIND("]",CELL("filename",A1))+1,256)</f>
        <v>7.7.1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1208</v>
      </c>
      <c r="D5" s="314" t="str">
        <f>VLOOKUP(C5,Machined!C:X,2,0)</f>
        <v>UPPER CENTER SIDE SEAL BAR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55566</v>
      </c>
      <c r="O5" s="45">
        <f t="shared" ref="O5:O8" ca="1" si="0">B5*$L$2</f>
        <v>1</v>
      </c>
      <c r="P5" s="49">
        <f>VLOOKUP(C5,Machined!C:F,3,0)</f>
        <v>284.5</v>
      </c>
      <c r="Q5" s="50">
        <f t="shared" ref="Q5:Q8" si="1">B5*P5</f>
        <v>284.5</v>
      </c>
    </row>
    <row r="6" spans="1:17" s="2" customFormat="1" ht="12.75" customHeight="1" x14ac:dyDescent="0.25">
      <c r="A6" s="77">
        <v>2</v>
      </c>
      <c r="B6" s="20">
        <v>1</v>
      </c>
      <c r="C6" s="121" t="s">
        <v>1165</v>
      </c>
      <c r="D6" s="314" t="str">
        <f>VLOOKUP(C6,Machined!C:X,2,0)</f>
        <v>Side Seal Mid Bar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55566</v>
      </c>
      <c r="O6" s="45">
        <f t="shared" ca="1" si="0"/>
        <v>1</v>
      </c>
      <c r="P6" s="49">
        <f>VLOOKUP(C6,Machined!C:F,3,0)</f>
        <v>112.42</v>
      </c>
      <c r="Q6" s="50">
        <f t="shared" si="1"/>
        <v>112.42</v>
      </c>
    </row>
    <row r="7" spans="1:17" s="2" customFormat="1" ht="12.75" customHeight="1" x14ac:dyDescent="0.25">
      <c r="A7" s="77">
        <v>3</v>
      </c>
      <c r="B7" s="20">
        <v>1</v>
      </c>
      <c r="C7" s="121" t="s">
        <v>1166</v>
      </c>
      <c r="D7" s="314" t="str">
        <f>VLOOKUP(C7,Machined!C:X,2,0)</f>
        <v>Side Seal Die Cap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45464</v>
      </c>
      <c r="L7" s="44">
        <f>IF(VLOOKUP($C7,Machined!C:Z,20,0) = 0, " ", VLOOKUP($C7,Machined!C:Z,20,0))</f>
        <v>45495</v>
      </c>
      <c r="M7" s="44">
        <f>IF(VLOOKUP($C7,Machined!C:Z,21,0) = 0, " ", VLOOKUP($C7,Machined!C:Z,21,0))</f>
        <v>45495</v>
      </c>
      <c r="N7" s="129">
        <f>IF(VLOOKUP($C7,Machined!C:Z,22,0) = 0, " ", VLOOKUP($C7,Machined!C:Z,22,0))</f>
        <v>55566</v>
      </c>
      <c r="O7" s="45">
        <f t="shared" ca="1" si="0"/>
        <v>1</v>
      </c>
      <c r="P7" s="49">
        <f>VLOOKUP(C7,Machined!C:F,3,0)</f>
        <v>130.75</v>
      </c>
      <c r="Q7" s="50">
        <f t="shared" si="1"/>
        <v>130.75</v>
      </c>
    </row>
    <row r="8" spans="1:17" s="2" customFormat="1" ht="12.75" customHeight="1" x14ac:dyDescent="0.25">
      <c r="A8" s="77">
        <v>4</v>
      </c>
      <c r="B8" s="20">
        <v>1</v>
      </c>
      <c r="C8" s="121" t="s">
        <v>1167</v>
      </c>
      <c r="D8" s="314" t="str">
        <f>VLOOKUP(C8,Machined!C:X,2,0)</f>
        <v>Side Seal Mounting Tube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45462</v>
      </c>
      <c r="L8" s="44">
        <f>IF(VLOOKUP($C8,Machined!C:Z,20,0) = 0, " ", VLOOKUP($C8,Machined!C:Z,20,0))</f>
        <v>45492</v>
      </c>
      <c r="M8" s="44">
        <f>IF(VLOOKUP($C8,Machined!C:Z,21,0) = 0, " ", VLOOKUP($C8,Machined!C:Z,21,0))</f>
        <v>45492</v>
      </c>
      <c r="N8" s="129">
        <f>IF(VLOOKUP($C8,Machined!C:Z,22,0) = 0, " ", VLOOKUP($C8,Machined!C:Z,22,0))</f>
        <v>55559</v>
      </c>
      <c r="O8" s="45">
        <f t="shared" ca="1" si="0"/>
        <v>1</v>
      </c>
      <c r="P8" s="49">
        <f>VLOOKUP(C8,Machined!C:F,3,0)</f>
        <v>173.25</v>
      </c>
      <c r="Q8" s="50">
        <f t="shared" si="1"/>
        <v>173.25</v>
      </c>
    </row>
    <row r="9" spans="1:17" s="2" customFormat="1" ht="12.75" customHeight="1" x14ac:dyDescent="0.25">
      <c r="A9" s="77">
        <v>5</v>
      </c>
      <c r="B9" s="20">
        <v>2</v>
      </c>
      <c r="C9" s="121" t="s">
        <v>1168</v>
      </c>
      <c r="D9" s="314" t="str">
        <f>VLOOKUP(C9,Machined!C:X,2,0)</f>
        <v>MODIFIED MCM 9604T190 Steel Flanged Shaft Collar, 30mm Dia</v>
      </c>
      <c r="E9" s="329"/>
      <c r="F9" s="107" t="str">
        <f>VLOOKUP($C9,Machined!C:Z,13,0)</f>
        <v>PURCHASED PART</v>
      </c>
      <c r="G9" s="44" t="str">
        <f>IF(VLOOKUP($C9,Machined!C:Z,16,0) = 0, " ", VLOOKUP($C9,Machined!C:Z,16,0))</f>
        <v>Nuline</v>
      </c>
      <c r="H9" s="320" t="str">
        <f>IF(VLOOKUP($C9,Machined!C:Z,17,0) = 0, " ", VLOOKUP($C9,Machined!C:Z,17,0))</f>
        <v>Act part # 1LM030AFXK</v>
      </c>
      <c r="I9" s="321" t="str">
        <f>IF(VLOOKUP($C9,Machined!$C:$Y,13,0) = 0, " ", VLOOKUP($C9,Machined!$C:$Y,13,0))</f>
        <v>PURCHASED PART</v>
      </c>
      <c r="J9" s="44">
        <f>IF(VLOOKUP($C9,Machined!C:Z,18,0) = 0, " ", VLOOKUP($C9,Machined!C:Z,18,0))</f>
        <v>45452</v>
      </c>
      <c r="K9" s="44">
        <f>IF(VLOOKUP($C9,Machined!C:Z,19,0) = 0, " ", VLOOKUP($C9,Machined!C:Z,19,0))</f>
        <v>45456</v>
      </c>
      <c r="L9" s="44">
        <f>IF(VLOOKUP($C9,Machined!C:Z,20,0) = 0, " ", VLOOKUP($C9,Machined!C:Z,20,0))</f>
        <v>45468</v>
      </c>
      <c r="M9" s="44">
        <f>IF(VLOOKUP($C9,Machined!C:Z,21,0) = 0, " ", VLOOKUP($C9,Machined!C:Z,21,0))</f>
        <v>45469</v>
      </c>
      <c r="N9" s="129">
        <f>IF(VLOOKUP($C9,Machined!C:Z,22,0) = 0, " ", VLOOKUP($C9,Machined!C:Z,22,0))</f>
        <v>55553</v>
      </c>
      <c r="O9" s="45">
        <f t="shared" ref="O9" ca="1" si="2">B9*$L$2</f>
        <v>2</v>
      </c>
      <c r="P9" s="49">
        <f>VLOOKUP(C9,Machined!C:F,3,0)</f>
        <v>89.26</v>
      </c>
      <c r="Q9" s="50">
        <f t="shared" ref="Q9" si="3">B9*P9</f>
        <v>178.52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x14ac:dyDescent="0.25">
      <c r="A11" s="4">
        <v>301</v>
      </c>
      <c r="B11" s="2">
        <v>14</v>
      </c>
      <c r="C11" s="135" t="s">
        <v>1169</v>
      </c>
      <c r="D11" s="325" t="str">
        <f>VLOOKUP(C11,Purchased!A:B,2,0)</f>
        <v>ALLOY STEEL CUP POINT SET SCREW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ref="O11:O15" ca="1" si="4">B11*$L$2</f>
        <v>14</v>
      </c>
      <c r="P11" s="51">
        <f>VLOOKUP(C11,Purchased!A:D,3,FALSE)</f>
        <v>13.62</v>
      </c>
      <c r="Q11" s="52">
        <f t="shared" ref="Q11:Q15" si="5">B11*P11</f>
        <v>190.67999999999998</v>
      </c>
    </row>
    <row r="12" spans="1:17" s="2" customFormat="1" ht="12.75" customHeight="1" x14ac:dyDescent="0.25">
      <c r="A12" s="4">
        <v>302</v>
      </c>
      <c r="B12" s="2">
        <v>1</v>
      </c>
      <c r="C12" s="135" t="s">
        <v>1170</v>
      </c>
      <c r="D12" s="325" t="str">
        <f>VLOOKUP(C12,Purchased!A:B,2,0)</f>
        <v>Thermocouple 60in Length</v>
      </c>
      <c r="E12" s="326"/>
      <c r="F12" s="108" t="str">
        <f>IF(VLOOKUP($C12,Purchased!A:Z,11,0) = 0, " ", VLOOKUP($C12,Purchased!A:Z,11,0))</f>
        <v>ACROLAB</v>
      </c>
      <c r="G12" s="108" t="str">
        <f>IF(VLOOKUP($C12,Purchased!A:Z,12,0)=0, " ", VLOOKUP($C12,Purchased!A:Z,12,0))</f>
        <v>ACROLAB</v>
      </c>
      <c r="H12" s="327" t="str">
        <f>IF(VLOOKUP($C12,Purchased!A:Z,13,0)=0, " ", VLOOKUP($C12,Purchased!A:Z,13,0))</f>
        <v>Vendor is moving and late 8/01/24 JP</v>
      </c>
      <c r="I12" s="328"/>
      <c r="J12" s="46">
        <f>IF(VLOOKUP($C12,Purchased!A:Z,14,0)=0, " ", VLOOKUP($C12,Purchased!A:Z,14,0))</f>
        <v>45462</v>
      </c>
      <c r="K12" s="46">
        <f>IF(VLOOKUP(C12,Purchased!A:R,14,0)=0, " ", VLOOKUP(C12,Purchased!A:R,14,0))</f>
        <v>45462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45512</v>
      </c>
      <c r="O12" s="47">
        <f t="shared" ca="1" si="4"/>
        <v>1</v>
      </c>
      <c r="P12" s="51">
        <f>VLOOKUP(C12,Purchased!A:D,3,FALSE)</f>
        <v>52.6</v>
      </c>
      <c r="Q12" s="52">
        <f t="shared" si="5"/>
        <v>52.6</v>
      </c>
    </row>
    <row r="13" spans="1:17" s="2" customFormat="1" ht="12.75" customHeight="1" x14ac:dyDescent="0.25">
      <c r="A13" s="4">
        <v>303</v>
      </c>
      <c r="B13" s="2">
        <v>1</v>
      </c>
      <c r="C13" s="135" t="s">
        <v>1171</v>
      </c>
      <c r="D13" s="325" t="str">
        <f>VLOOKUP(C13,Purchased!A:B,2,0)</f>
        <v>26in ISOBAR</v>
      </c>
      <c r="E13" s="326"/>
      <c r="F13" s="108" t="str">
        <f>IF(VLOOKUP($C13,Purchased!A:Z,11,0) = 0, " ", VLOOKUP($C13,Purchased!A:Z,11,0))</f>
        <v>ACROLAB</v>
      </c>
      <c r="G13" s="108" t="str">
        <f>IF(VLOOKUP($C13,Purchased!A:Z,12,0)=0, " ", VLOOKUP($C13,Purchased!A:Z,12,0))</f>
        <v>ACROLAB</v>
      </c>
      <c r="H13" s="327" t="str">
        <f>IF(VLOOKUP($C13,Purchased!A:Z,13,0)=0, " ", VLOOKUP($C13,Purchased!A:Z,13,0))</f>
        <v>Vendor is moving and late 8/01/24 JP</v>
      </c>
      <c r="I13" s="328"/>
      <c r="J13" s="46">
        <f>IF(VLOOKUP($C13,Purchased!A:Z,14,0)=0, " ", VLOOKUP($C13,Purchased!A:Z,14,0))</f>
        <v>45462</v>
      </c>
      <c r="K13" s="46">
        <f>IF(VLOOKUP(C13,Purchased!A:R,14,0)=0, " ", VLOOKUP(C13,Purchased!A:R,14,0))</f>
        <v>45462</v>
      </c>
      <c r="L13" s="46">
        <f>IF(VLOOKUP(C13,Purchased!A:R,15,0)=0, " ", VLOOKUP(C13,Purchased!A:R,15,0))</f>
        <v>45462</v>
      </c>
      <c r="M13" s="46">
        <f>IF(VLOOKUP(C13,Purchased!A:R,16,0)=0, " ",VLOOKUP(C13,Purchased!A:R,16,0))</f>
        <v>45495</v>
      </c>
      <c r="N13" s="130">
        <f>IF(VLOOKUP(C13,Purchased!A:R,17,0)=0, " ", VLOOKUP(C13,Purchased!A:R,17,0))</f>
        <v>45512</v>
      </c>
      <c r="O13" s="47">
        <f t="shared" ca="1" si="4"/>
        <v>1</v>
      </c>
      <c r="P13" s="51">
        <f>VLOOKUP(C13,Purchased!A:D,3,FALSE)</f>
        <v>77</v>
      </c>
      <c r="Q13" s="52">
        <f t="shared" si="5"/>
        <v>77</v>
      </c>
    </row>
    <row r="14" spans="1:17" s="2" customFormat="1" ht="12.75" customHeight="1" x14ac:dyDescent="0.25">
      <c r="A14" s="4">
        <v>304</v>
      </c>
      <c r="B14" s="2">
        <v>1</v>
      </c>
      <c r="C14" s="135" t="s">
        <v>1172</v>
      </c>
      <c r="D14" s="325" t="str">
        <f>VLOOKUP(C14,Purchased!A:B,2,0)</f>
        <v>CARTRIDGE HEATER</v>
      </c>
      <c r="E14" s="326"/>
      <c r="F14" s="108" t="str">
        <f>IF(VLOOKUP($C14,Purchased!A:Z,11,0) = 0, " ", VLOOKUP($C14,Purchased!A:Z,11,0))</f>
        <v>ACROLAB</v>
      </c>
      <c r="G14" s="108" t="str">
        <f>IF(VLOOKUP($C14,Purchased!A:Z,12,0)=0, " ", VLOOKUP($C14,Purchased!A:Z,12,0))</f>
        <v>ACROLAB</v>
      </c>
      <c r="H14" s="327" t="str">
        <f>IF(VLOOKUP($C14,Purchased!A:Z,13,0)=0, " ", VLOOKUP($C14,Purchased!A:Z,13,0))</f>
        <v>Vendor is moving and late 8/01/24 JP</v>
      </c>
      <c r="I14" s="328"/>
      <c r="J14" s="46">
        <f>IF(VLOOKUP($C14,Purchased!A:Z,14,0)=0, " ", VLOOKUP($C14,Purchased!A:Z,14,0))</f>
        <v>45462</v>
      </c>
      <c r="K14" s="46">
        <f>IF(VLOOKUP(C14,Purchased!A:R,14,0)=0, " ", VLOOKUP(C14,Purchased!A:R,14,0))</f>
        <v>45462</v>
      </c>
      <c r="L14" s="46">
        <f>IF(VLOOKUP(C14,Purchased!A:R,15,0)=0, " ", VLOOKUP(C14,Purchased!A:R,15,0))</f>
        <v>45462</v>
      </c>
      <c r="M14" s="46">
        <f>IF(VLOOKUP(C14,Purchased!A:R,16,0)=0, " ",VLOOKUP(C14,Purchased!A:R,16,0))</f>
        <v>45495</v>
      </c>
      <c r="N14" s="130">
        <f>IF(VLOOKUP(C14,Purchased!A:R,17,0)=0, " ", VLOOKUP(C14,Purchased!A:R,17,0))</f>
        <v>45512</v>
      </c>
      <c r="O14" s="47">
        <f t="shared" ca="1" si="4"/>
        <v>1</v>
      </c>
      <c r="P14" s="51">
        <f>VLOOKUP(C14,Purchased!A:D,3,FALSE)</f>
        <v>271.87</v>
      </c>
      <c r="Q14" s="52">
        <f t="shared" si="5"/>
        <v>271.87</v>
      </c>
    </row>
    <row r="15" spans="1:17" s="2" customFormat="1" ht="12.75" customHeight="1" x14ac:dyDescent="0.25">
      <c r="A15" s="4">
        <v>305</v>
      </c>
      <c r="B15" s="2">
        <v>1</v>
      </c>
      <c r="C15" s="135" t="s">
        <v>1173</v>
      </c>
      <c r="D15" s="325" t="str">
        <f>VLOOKUP(C15,Purchased!A:B,2,0)</f>
        <v>1/8in NPT Bayonet Adapter</v>
      </c>
      <c r="E15" s="326"/>
      <c r="F15" s="108" t="str">
        <f>IF(VLOOKUP($C15,Purchased!A:Z,11,0) = 0, " ", VLOOKUP($C15,Purchased!A:Z,11,0))</f>
        <v>ACROLAB</v>
      </c>
      <c r="G15" s="108" t="str">
        <f>IF(VLOOKUP($C15,Purchased!A:Z,12,0)=0, " ", VLOOKUP($C15,Purchased!A:Z,12,0))</f>
        <v>ACROLAB</v>
      </c>
      <c r="H15" s="327" t="str">
        <f>IF(VLOOKUP($C15,Purchased!A:Z,13,0)=0, " ", VLOOKUP($C15,Purchased!A:Z,13,0))</f>
        <v>Vendor is moving and late 8/01/24 JP</v>
      </c>
      <c r="I15" s="328"/>
      <c r="J15" s="46">
        <f>IF(VLOOKUP($C15,Purchased!A:Z,14,0)=0, " ", VLOOKUP($C15,Purchased!A:Z,14,0))</f>
        <v>45462</v>
      </c>
      <c r="K15" s="46">
        <f>IF(VLOOKUP(C15,Purchased!A:R,14,0)=0, " ", VLOOKUP(C15,Purchased!A:R,14,0))</f>
        <v>45462</v>
      </c>
      <c r="L15" s="46">
        <f>IF(VLOOKUP(C15,Purchased!A:R,15,0)=0, " ", VLOOKUP(C15,Purchased!A:R,15,0))</f>
        <v>45462</v>
      </c>
      <c r="M15" s="46">
        <f>IF(VLOOKUP(C15,Purchased!A:R,16,0)=0, " ",VLOOKUP(C15,Purchased!A:R,16,0))</f>
        <v>45495</v>
      </c>
      <c r="N15" s="130">
        <f>IF(VLOOKUP(C15,Purchased!A:R,17,0)=0, " ", VLOOKUP(C15,Purchased!A:R,17,0))</f>
        <v>45512</v>
      </c>
      <c r="O15" s="47">
        <f t="shared" ca="1" si="4"/>
        <v>1</v>
      </c>
      <c r="P15" s="51">
        <f>VLOOKUP(C15,Purchased!A:D,3,FALSE)</f>
        <v>4.88</v>
      </c>
      <c r="Q15" s="52">
        <f t="shared" si="5"/>
        <v>4.88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501</v>
      </c>
      <c r="B17" s="2">
        <v>2</v>
      </c>
      <c r="C17" s="122" t="s">
        <v>1174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ref="O17:O22" ca="1" si="6">B17*$L$2</f>
        <v>2</v>
      </c>
      <c r="P17" s="51">
        <f>VLOOKUP(C17,Bolts!A:B,2,FALSE)</f>
        <v>0</v>
      </c>
      <c r="Q17" s="52">
        <f t="shared" ref="Q17:Q22" si="7">B17*P17</f>
        <v>0</v>
      </c>
    </row>
    <row r="18" spans="1:17" s="2" customFormat="1" ht="12.75" customHeight="1" x14ac:dyDescent="0.25">
      <c r="A18" s="4">
        <v>502</v>
      </c>
      <c r="B18" s="2">
        <v>6</v>
      </c>
      <c r="C18" s="122" t="s">
        <v>1175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ca="1" si="6"/>
        <v>6</v>
      </c>
      <c r="P18" s="51">
        <f>VLOOKUP(C18,Bolts!A:B,2,FALSE)</f>
        <v>0</v>
      </c>
      <c r="Q18" s="52">
        <f t="shared" si="7"/>
        <v>0</v>
      </c>
    </row>
    <row r="19" spans="1:17" s="2" customFormat="1" ht="12.75" customHeight="1" x14ac:dyDescent="0.25">
      <c r="A19" s="4">
        <v>503</v>
      </c>
      <c r="B19" s="2">
        <v>12</v>
      </c>
      <c r="C19" s="122" t="s">
        <v>243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6"/>
        <v>12</v>
      </c>
      <c r="P19" s="51">
        <f>VLOOKUP(C19,Bolts!A:B,2,FALSE)</f>
        <v>0</v>
      </c>
      <c r="Q19" s="52">
        <f t="shared" si="7"/>
        <v>0</v>
      </c>
    </row>
    <row r="20" spans="1:17" s="2" customFormat="1" ht="12.75" customHeight="1" x14ac:dyDescent="0.25">
      <c r="A20" s="4">
        <v>504</v>
      </c>
      <c r="B20" s="2">
        <v>8</v>
      </c>
      <c r="C20" s="122" t="s">
        <v>180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6"/>
        <v>8</v>
      </c>
      <c r="P20" s="51">
        <f>VLOOKUP(C20,Bolts!A:B,2,FALSE)</f>
        <v>0</v>
      </c>
      <c r="Q20" s="52">
        <f t="shared" si="7"/>
        <v>0</v>
      </c>
    </row>
    <row r="21" spans="1:17" s="2" customFormat="1" ht="12.75" customHeight="1" x14ac:dyDescent="0.25">
      <c r="A21" s="4">
        <v>505</v>
      </c>
      <c r="B21" s="2">
        <v>8</v>
      </c>
      <c r="C21" s="122" t="s">
        <v>199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6"/>
        <v>8</v>
      </c>
      <c r="P21" s="51">
        <f>VLOOKUP(C21,Bolts!A:B,2,FALSE)</f>
        <v>0</v>
      </c>
      <c r="Q21" s="52">
        <f t="shared" si="7"/>
        <v>0</v>
      </c>
    </row>
    <row r="22" spans="1:17" s="2" customFormat="1" ht="12.75" customHeight="1" thickBot="1" x14ac:dyDescent="0.3">
      <c r="A22" s="4">
        <v>506</v>
      </c>
      <c r="B22" s="2">
        <v>42</v>
      </c>
      <c r="C22" s="122" t="s">
        <v>1176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6"/>
        <v>42</v>
      </c>
      <c r="P22" s="51">
        <f>VLOOKUP(C22,Bolts!A:B,2,FALSE)</f>
        <v>0</v>
      </c>
      <c r="Q22" s="52">
        <f t="shared" si="7"/>
        <v>0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SUM(Q5:Q22)</f>
        <v>1476.4700000000003</v>
      </c>
    </row>
    <row r="24" spans="1:17" s="2" customFormat="1" ht="12" customHeight="1" x14ac:dyDescent="0.2">
      <c r="D24" s="21"/>
      <c r="E24" s="21"/>
      <c r="J24" s="8"/>
      <c r="K24" s="8"/>
      <c r="L24" s="8"/>
      <c r="M24" s="8"/>
      <c r="N24" s="131"/>
      <c r="O24" s="5"/>
      <c r="P24" s="98"/>
      <c r="Q24" s="105"/>
    </row>
  </sheetData>
  <sheetProtection selectLockedCells="1"/>
  <mergeCells count="35">
    <mergeCell ref="D18:E18"/>
    <mergeCell ref="D19:E19"/>
    <mergeCell ref="D20:E20"/>
    <mergeCell ref="D21:E21"/>
    <mergeCell ref="D22:E22"/>
    <mergeCell ref="D23:E23"/>
    <mergeCell ref="H23:I23"/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11:E11"/>
    <mergeCell ref="H11:I11"/>
    <mergeCell ref="D12:E12"/>
    <mergeCell ref="D9:E9"/>
    <mergeCell ref="H9:I9"/>
    <mergeCell ref="D10:E10"/>
    <mergeCell ref="H10:I10"/>
    <mergeCell ref="H12:I12"/>
    <mergeCell ref="D16:E16"/>
    <mergeCell ref="H16:I16"/>
    <mergeCell ref="D17:E17"/>
    <mergeCell ref="D13:E13"/>
    <mergeCell ref="H13:I13"/>
    <mergeCell ref="D14:E14"/>
    <mergeCell ref="H14:I14"/>
    <mergeCell ref="D15:E15"/>
    <mergeCell ref="H15:I15"/>
  </mergeCells>
  <conditionalFormatting sqref="M10 M16:M22">
    <cfRule type="cellIs" dxfId="656" priority="11" stopIfTrue="1" operator="lessThanOrEqual">
      <formula>$L10</formula>
    </cfRule>
    <cfRule type="cellIs" dxfId="655" priority="12" operator="greaterThan">
      <formula>L10</formula>
    </cfRule>
  </conditionalFormatting>
  <conditionalFormatting sqref="M11">
    <cfRule type="cellIs" dxfId="654" priority="9" stopIfTrue="1" operator="lessThanOrEqual">
      <formula>$L11</formula>
    </cfRule>
    <cfRule type="cellIs" dxfId="653" priority="10" operator="greaterThan">
      <formula>L11</formula>
    </cfRule>
  </conditionalFormatting>
  <conditionalFormatting sqref="M12">
    <cfRule type="cellIs" dxfId="652" priority="7" stopIfTrue="1" operator="lessThanOrEqual">
      <formula>$L12</formula>
    </cfRule>
    <cfRule type="cellIs" dxfId="651" priority="8" operator="greaterThan">
      <formula>L12</formula>
    </cfRule>
  </conditionalFormatting>
  <conditionalFormatting sqref="M13">
    <cfRule type="cellIs" dxfId="650" priority="5" stopIfTrue="1" operator="lessThanOrEqual">
      <formula>$L13</formula>
    </cfRule>
    <cfRule type="cellIs" dxfId="649" priority="6" operator="greaterThan">
      <formula>L13</formula>
    </cfRule>
  </conditionalFormatting>
  <conditionalFormatting sqref="M14">
    <cfRule type="cellIs" dxfId="648" priority="3" stopIfTrue="1" operator="lessThanOrEqual">
      <formula>$L14</formula>
    </cfRule>
    <cfRule type="cellIs" dxfId="647" priority="4" operator="greaterThan">
      <formula>L14</formula>
    </cfRule>
  </conditionalFormatting>
  <conditionalFormatting sqref="M15">
    <cfRule type="cellIs" dxfId="646" priority="1" stopIfTrue="1" operator="lessThanOrEqual">
      <formula>$L15</formula>
    </cfRule>
    <cfRule type="cellIs" dxfId="645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8559AA8-9BD2-44A8-AFED-2088360081AB}">
          <x14:formula1>
            <xm:f>Bolts!$A:$A</xm:f>
          </x14:formula1>
          <xm:sqref>C17:C22</xm:sqref>
        </x14:dataValidation>
        <x14:dataValidation type="list" allowBlank="1" showInputMessage="1" showErrorMessage="1" xr:uid="{70B69ED6-133B-46E7-A450-F38311FE1910}">
          <x14:formula1>
            <xm:f>Machined!$C:$C</xm:f>
          </x14:formula1>
          <xm:sqref>C5:C9</xm:sqref>
        </x14:dataValidation>
        <x14:dataValidation type="list" allowBlank="1" showInputMessage="1" showErrorMessage="1" xr:uid="{A6B0E849-79EB-4F87-9835-0B3BDB15ED4D}">
          <x14:formula1>
            <xm:f>Purchased!$A:$A</xm:f>
          </x14:formula1>
          <xm:sqref>C11:C15</xm:sqref>
        </x14:dataValidation>
      </x14:dataValidations>
    </ext>
  </extLst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F39C-8ED9-4847-A636-BF5AE7595992}">
  <sheetPr codeName="Sheet192">
    <tabColor theme="5" tint="0.59999389629810485"/>
  </sheetPr>
  <dimension ref="A1:Q11"/>
  <sheetViews>
    <sheetView zoomScale="115" zoomScaleNormal="115" workbookViewId="0">
      <selection activeCell="P5" sqref="P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'0'!C12</f>
        <v>PG10.8.0.A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'0'!D12</f>
        <v>CROSS SEAL ASSY</v>
      </c>
      <c r="D3" s="85" t="s">
        <v>50</v>
      </c>
      <c r="E3" s="86" t="str">
        <f ca="1">MID(CELL("filename",A1),FIND("]",CELL("filename",A1))+1,256)</f>
        <v>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71" t="s">
        <v>17</v>
      </c>
      <c r="G4" s="164" t="s">
        <v>18</v>
      </c>
      <c r="H4" s="318" t="s">
        <v>19</v>
      </c>
      <c r="I4" s="319"/>
      <c r="J4" s="164" t="s">
        <v>51</v>
      </c>
      <c r="K4" s="164" t="s">
        <v>21</v>
      </c>
      <c r="L4" s="164" t="s">
        <v>22</v>
      </c>
      <c r="M4" s="164" t="s">
        <v>52</v>
      </c>
      <c r="N4" s="172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1209</v>
      </c>
      <c r="D5" s="336" t="str">
        <f ca="1">VLOOKUP(C5,Assemblies!E:P,2,0)</f>
        <v>LOWER CROSS SEAL CASSETTE</v>
      </c>
      <c r="E5" s="336"/>
      <c r="F5" s="173"/>
      <c r="G5" s="113"/>
      <c r="H5" s="324"/>
      <c r="I5" s="324"/>
      <c r="J5" s="114"/>
      <c r="K5" s="114"/>
      <c r="L5" s="114"/>
      <c r="M5" s="114"/>
      <c r="N5" s="115"/>
      <c r="O5" s="116">
        <f t="shared" ref="O5:O9" ca="1" si="0">B5*$L$2</f>
        <v>1</v>
      </c>
      <c r="P5" s="117">
        <f>'8.1'!Q13</f>
        <v>9151.1993000000002</v>
      </c>
      <c r="Q5" s="118">
        <f t="shared" ref="Q5:Q9" si="1">B5*P5</f>
        <v>9151.1993000000002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1210</v>
      </c>
      <c r="D6" s="314" t="str">
        <f ca="1">VLOOKUP(C6,Assemblies!E:P,2,0)</f>
        <v>UPPER CROSS SEAL CASSETTE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'8.2'!Q13</f>
        <v>10500.969300000001</v>
      </c>
      <c r="Q6" s="103">
        <f t="shared" si="1"/>
        <v>10500.969300000001</v>
      </c>
    </row>
    <row r="7" spans="1:17" s="1" customFormat="1" ht="12.75" customHeight="1" x14ac:dyDescent="0.2">
      <c r="A7" s="150" t="s">
        <v>58</v>
      </c>
      <c r="B7" s="1">
        <v>1</v>
      </c>
      <c r="C7" s="145" t="s">
        <v>1211</v>
      </c>
      <c r="D7" s="314" t="str">
        <f ca="1">VLOOKUP(C7,Assemblies!E:P,2,0)</f>
        <v>CROSS SEAL FRAME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'8.3'!Q47</f>
        <v>4961.420000000001</v>
      </c>
      <c r="Q7" s="103">
        <f t="shared" si="1"/>
        <v>4961.420000000001</v>
      </c>
    </row>
    <row r="8" spans="1:17" s="1" customFormat="1" ht="12.75" customHeight="1" x14ac:dyDescent="0.2">
      <c r="A8" s="150" t="s">
        <v>60</v>
      </c>
      <c r="B8" s="1">
        <v>1</v>
      </c>
      <c r="C8" s="145" t="s">
        <v>622</v>
      </c>
      <c r="D8" s="314" t="str">
        <f ca="1">VLOOKUP(C8,Assemblies!E:P,2,0)</f>
        <v>TOE ROLLER ASSEMBLY</v>
      </c>
      <c r="E8" s="314"/>
      <c r="F8" s="31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'8.4'!Q23</f>
        <v>624.98</v>
      </c>
      <c r="Q8" s="103">
        <f t="shared" si="1"/>
        <v>624.98</v>
      </c>
    </row>
    <row r="9" spans="1:17" s="1" customFormat="1" ht="12.75" customHeight="1" thickBot="1" x14ac:dyDescent="0.25">
      <c r="A9" s="150" t="s">
        <v>62</v>
      </c>
      <c r="B9" s="1">
        <v>1</v>
      </c>
      <c r="C9" s="145" t="s">
        <v>1212</v>
      </c>
      <c r="D9" s="314" t="str">
        <f ca="1">VLOOKUP(C9,Assemblies!E:P,2,0)</f>
        <v>CROSS SEAL IO ENCLOSURE</v>
      </c>
      <c r="E9" s="314"/>
      <c r="F9" s="31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1</v>
      </c>
      <c r="P9" s="147">
        <f>'0.10'!Q16</f>
        <v>889.18000000000006</v>
      </c>
      <c r="Q9" s="103">
        <f t="shared" si="1"/>
        <v>889.18000000000006</v>
      </c>
    </row>
    <row r="10" spans="1:17" s="2" customFormat="1" ht="12" customHeight="1" thickBot="1" x14ac:dyDescent="0.3">
      <c r="A10" s="34"/>
      <c r="B10" s="35"/>
      <c r="C10" s="35"/>
      <c r="D10" s="316"/>
      <c r="E10" s="317"/>
      <c r="F10" s="35"/>
      <c r="G10" s="35"/>
      <c r="H10" s="309"/>
      <c r="I10" s="310"/>
      <c r="J10" s="36"/>
      <c r="K10" s="36"/>
      <c r="L10" s="36"/>
      <c r="M10" s="37"/>
      <c r="N10" s="132"/>
      <c r="O10" s="38"/>
      <c r="P10" s="99" t="s">
        <v>43</v>
      </c>
      <c r="Q10" s="104">
        <f>SUM(Q5:Q9)</f>
        <v>26127.748600000003</v>
      </c>
    </row>
    <row r="11" spans="1:17" s="2" customFormat="1" ht="12" customHeight="1" x14ac:dyDescent="0.2">
      <c r="D11" s="21"/>
      <c r="E11" s="21"/>
      <c r="J11" s="8"/>
      <c r="K11" s="8"/>
      <c r="L11" s="8"/>
      <c r="M11" s="8"/>
      <c r="N11" s="131"/>
      <c r="O11" s="5"/>
      <c r="P11" s="98"/>
      <c r="Q11" s="105"/>
    </row>
  </sheetData>
  <sheetProtection selectLockedCells="1"/>
  <mergeCells count="15">
    <mergeCell ref="D10:E10"/>
    <mergeCell ref="H10:I10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0D7D2A8-03B2-4AC4-8FB3-D843A30223AC}">
          <x14:formula1>
            <xm:f>Assemblies!$E:$E</xm:f>
          </x14:formula1>
          <xm:sqref>C5:C9</xm:sqref>
        </x14:dataValidation>
      </x14:dataValidations>
    </ext>
  </extLst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1F95E-AC3B-4971-9B2B-3A5F3E33D714}">
  <sheetPr codeName="Sheet193">
    <tabColor theme="9" tint="0.59999389629810485"/>
  </sheetPr>
  <dimension ref="A1:Q14"/>
  <sheetViews>
    <sheetView zoomScale="114" zoomScaleNormal="115" workbookViewId="0">
      <selection activeCell="C17" sqref="C1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'8'!C5</f>
        <v>PG10.8.1.0.A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'8'!D5</f>
        <v>LOWER CROSS SEAL CASSETTE</v>
      </c>
      <c r="D3" s="85" t="s">
        <v>50</v>
      </c>
      <c r="E3" s="86" t="str">
        <f ca="1">MID(CELL("filename",A1),FIND("]",CELL("filename",A1))+1,256)</f>
        <v>8.1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2</v>
      </c>
      <c r="C5" s="112" t="s">
        <v>1139</v>
      </c>
      <c r="D5" s="336" t="str">
        <f ca="1">VLOOKUP(C5,Assemblies!E:P,2,0)</f>
        <v>SEAL BAR ROD END ASSY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9" ca="1" si="0">B5*$L$2</f>
        <v>2</v>
      </c>
      <c r="P5" s="117">
        <f>'7.2.5'!Q19</f>
        <v>360.20000000000005</v>
      </c>
      <c r="Q5" s="118">
        <f t="shared" ref="Q5:Q9" si="1">B5*P5</f>
        <v>720.40000000000009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1213</v>
      </c>
      <c r="D6" s="314" t="str">
        <f ca="1">VLOOKUP(C6,Assemblies!E:P,2,0)</f>
        <v>CROSS SEAL CASSETTE FRAME</v>
      </c>
      <c r="E6" s="314"/>
      <c r="F6" s="154"/>
      <c r="G6" s="32"/>
      <c r="H6" s="303"/>
      <c r="I6" s="303"/>
      <c r="J6" s="28"/>
      <c r="K6" s="28"/>
      <c r="L6" s="28"/>
      <c r="M6" s="28"/>
      <c r="N6" s="33"/>
      <c r="O6" s="146">
        <f t="shared" ref="O6:O7" ca="1" si="2">B6*$L$2</f>
        <v>1</v>
      </c>
      <c r="P6" s="147">
        <f>'8.1.1'!Q20</f>
        <v>1129.2420000000002</v>
      </c>
      <c r="Q6" s="153">
        <f t="shared" ref="Q6:Q7" si="3">B6*P6</f>
        <v>1129.2420000000002</v>
      </c>
    </row>
    <row r="7" spans="1:17" s="1" customFormat="1" ht="12.75" customHeight="1" x14ac:dyDescent="0.2">
      <c r="A7" s="76" t="s">
        <v>58</v>
      </c>
      <c r="B7" s="1">
        <v>1</v>
      </c>
      <c r="C7" s="145" t="s">
        <v>1214</v>
      </c>
      <c r="D7" s="314" t="str">
        <f ca="1">VLOOKUP(C7,Assemblies!E:P,2,0)</f>
        <v>LOWER CROSS SEAL SERVO ASSY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2"/>
        <v>1</v>
      </c>
      <c r="P7" s="147">
        <f>'8.1.2'!Q25</f>
        <v>5312.3373000000001</v>
      </c>
      <c r="Q7" s="103">
        <f t="shared" si="3"/>
        <v>5312.3373000000001</v>
      </c>
    </row>
    <row r="8" spans="1:17" s="1" customFormat="1" ht="12.75" customHeight="1" x14ac:dyDescent="0.2">
      <c r="A8" s="150" t="s">
        <v>60</v>
      </c>
      <c r="B8" s="1">
        <v>1</v>
      </c>
      <c r="C8" s="145" t="s">
        <v>1215</v>
      </c>
      <c r="D8" s="314" t="str">
        <f ca="1">VLOOKUP(C8,Assemblies!E:P,2,0)</f>
        <v>LOWER CROSS SEAL HEAD ASSY</v>
      </c>
      <c r="E8" s="314"/>
      <c r="F8" s="154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'8.1.3'!Q24</f>
        <v>1060.74</v>
      </c>
      <c r="Q8" s="153">
        <f t="shared" si="1"/>
        <v>1060.74</v>
      </c>
    </row>
    <row r="9" spans="1:17" s="1" customFormat="1" ht="12.75" customHeight="1" x14ac:dyDescent="0.2">
      <c r="A9" s="76" t="s">
        <v>62</v>
      </c>
      <c r="B9" s="1">
        <v>2</v>
      </c>
      <c r="C9" s="145" t="s">
        <v>1216</v>
      </c>
      <c r="D9" s="314" t="str">
        <f ca="1">VLOOKUP(C9,Assemblies!E:P,2,0)</f>
        <v>CROSS SEAL 1-PLUG BOX</v>
      </c>
      <c r="E9" s="347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2</v>
      </c>
      <c r="P9" s="147">
        <f>'8.1.4'!Q15</f>
        <v>158.15</v>
      </c>
      <c r="Q9" s="103">
        <f t="shared" si="1"/>
        <v>316.3</v>
      </c>
    </row>
    <row r="10" spans="1:17" s="1" customFormat="1" ht="12.75" customHeight="1" x14ac:dyDescent="0.2">
      <c r="A10" s="76" t="s">
        <v>64</v>
      </c>
      <c r="B10" s="1">
        <v>1</v>
      </c>
      <c r="C10" s="145" t="s">
        <v>1217</v>
      </c>
      <c r="D10" s="314" t="str">
        <f ca="1">VLOOKUP(C10,Assemblies!E:P,2,0)</f>
        <v>CROSS SEAL TEFLON ROLL ASSY</v>
      </c>
      <c r="E10" s="347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ref="O10" ca="1" si="4">B10*$L$2</f>
        <v>1</v>
      </c>
      <c r="P10" s="147">
        <f>'8.1.5'!Q15</f>
        <v>612.18000000000006</v>
      </c>
      <c r="Q10" s="103">
        <f t="shared" ref="Q10" si="5">B10*P10</f>
        <v>612.18000000000006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thickBot="1" x14ac:dyDescent="0.3">
      <c r="A12" s="4">
        <v>501</v>
      </c>
      <c r="B12" s="2">
        <v>16</v>
      </c>
      <c r="C12" s="122" t="s">
        <v>1218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16</v>
      </c>
      <c r="P12" s="51">
        <f>VLOOKUP(C12,Bolts!A:B,2,FALSE)</f>
        <v>0</v>
      </c>
      <c r="Q12" s="52">
        <f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9151.1993000000002</v>
      </c>
    </row>
    <row r="14" spans="1:17" s="2" customFormat="1" ht="12" customHeight="1" x14ac:dyDescent="0.2">
      <c r="D14" s="21"/>
      <c r="E14" s="21"/>
      <c r="J14" s="8"/>
      <c r="K14" s="8"/>
      <c r="L14" s="8"/>
      <c r="M14" s="8"/>
      <c r="N14" s="131"/>
      <c r="O14" s="5"/>
      <c r="P14" s="98"/>
      <c r="Q14" s="105"/>
    </row>
  </sheetData>
  <sheetProtection selectLockedCells="1"/>
  <mergeCells count="20">
    <mergeCell ref="D1:E1"/>
    <mergeCell ref="D4:E4"/>
    <mergeCell ref="H4:I4"/>
    <mergeCell ref="D10:E10"/>
    <mergeCell ref="H10:I10"/>
    <mergeCell ref="D5:E5"/>
    <mergeCell ref="H5:I5"/>
    <mergeCell ref="D8:E8"/>
    <mergeCell ref="H8:I8"/>
    <mergeCell ref="D6:E6"/>
    <mergeCell ref="H6:I6"/>
    <mergeCell ref="D7:E7"/>
    <mergeCell ref="H7:I7"/>
    <mergeCell ref="D9:E9"/>
    <mergeCell ref="H9:I9"/>
    <mergeCell ref="D13:E13"/>
    <mergeCell ref="H13:I13"/>
    <mergeCell ref="D11:E11"/>
    <mergeCell ref="H11:I11"/>
    <mergeCell ref="D12:E12"/>
  </mergeCells>
  <conditionalFormatting sqref="M11:M12">
    <cfRule type="cellIs" dxfId="644" priority="1" stopIfTrue="1" operator="lessThanOrEqual">
      <formula>$L11</formula>
    </cfRule>
    <cfRule type="cellIs" dxfId="643" priority="2" operator="greaterThan">
      <formula>L11</formula>
    </cfRule>
  </conditionalFormatting>
  <pageMargins left="0.7" right="0.7" top="0.75" bottom="0.75" header="0.3" footer="0.3"/>
  <pageSetup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4A735DF-DF4E-462C-80C8-4BE1B4B3075A}">
          <x14:formula1>
            <xm:f>Bolts!$A:$A</xm:f>
          </x14:formula1>
          <xm:sqref>C12</xm:sqref>
        </x14:dataValidation>
        <x14:dataValidation type="list" allowBlank="1" showInputMessage="1" showErrorMessage="1" xr:uid="{7A5038CE-A621-40F2-B522-C05264885494}">
          <x14:formula1>
            <xm:f>Assemblies!$E:$E</xm:f>
          </x14:formula1>
          <xm:sqref>C5:C10</xm:sqref>
        </x14:dataValidation>
      </x14:dataValidations>
    </ext>
  </extLst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6118-CF7E-4DED-A5D2-E2F2A1468AC8}">
  <sheetPr codeName="Sheet194">
    <tabColor theme="6" tint="0.59999389629810485"/>
  </sheetPr>
  <dimension ref="A1:Q21"/>
  <sheetViews>
    <sheetView zoomScaleNormal="100" workbookViewId="0">
      <selection activeCell="F6" sqref="F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'8.1'!C6</f>
        <v>PG10.8.1.1.0.A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'8.1'!D6</f>
        <v>CROSS SEAL CASSETTE FRAME</v>
      </c>
      <c r="D3" s="85" t="s">
        <v>50</v>
      </c>
      <c r="E3" s="86" t="str">
        <f ca="1">MID(CELL("filename",A1),FIND("]",CELL("filename",A1))+1,256)</f>
        <v>8.1.1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4</v>
      </c>
      <c r="C5" s="121" t="s">
        <v>1145</v>
      </c>
      <c r="D5" s="314" t="str">
        <f>VLOOKUP(C5,Machined!C:X,2,0)</f>
        <v>Linear Bearing Block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MtnStatesAuto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45467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55569</v>
      </c>
      <c r="O5" s="45">
        <f ca="1">B5*$L$2</f>
        <v>8</v>
      </c>
      <c r="P5" s="49">
        <f>VLOOKUP(C5,Machined!C:F,3,0)</f>
        <v>72.3</v>
      </c>
      <c r="Q5" s="50">
        <f>B5*P5</f>
        <v>289.2</v>
      </c>
    </row>
    <row r="6" spans="1:17" s="2" customFormat="1" ht="12.75" customHeight="1" x14ac:dyDescent="0.25">
      <c r="A6" s="77">
        <v>2</v>
      </c>
      <c r="B6" s="20">
        <v>1</v>
      </c>
      <c r="C6" s="121" t="s">
        <v>1219</v>
      </c>
      <c r="D6" s="314" t="str">
        <f>VLOOKUP(C6,Machined!C:X,2,0)</f>
        <v>Cross Side Seal Plate L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MtnStatesAuto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55569</v>
      </c>
      <c r="O6" s="45">
        <f ca="1">B6*$L$2</f>
        <v>2</v>
      </c>
      <c r="P6" s="49">
        <f>VLOOKUP(C6,Machined!C:F,3,0)</f>
        <v>225</v>
      </c>
      <c r="Q6" s="50">
        <f>B6*P6</f>
        <v>225</v>
      </c>
    </row>
    <row r="7" spans="1:17" s="2" customFormat="1" ht="12.75" customHeight="1" x14ac:dyDescent="0.25">
      <c r="A7" s="77">
        <v>3</v>
      </c>
      <c r="B7" s="20">
        <v>1</v>
      </c>
      <c r="C7" s="121" t="s">
        <v>1220</v>
      </c>
      <c r="D7" s="314" t="str">
        <f>VLOOKUP(C7,Machined!C:X,2,0)</f>
        <v>Cross Side Seal Plate R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MtnStatesAuto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45461</v>
      </c>
      <c r="L7" s="44">
        <f>IF(VLOOKUP($C7,Machined!C:Z,20,0) = 0, " ", VLOOKUP($C7,Machined!C:Z,20,0))</f>
        <v>45467</v>
      </c>
      <c r="M7" s="44">
        <f>IF(VLOOKUP($C7,Machined!C:Z,21,0) = 0, " ", VLOOKUP($C7,Machined!C:Z,21,0))</f>
        <v>45467</v>
      </c>
      <c r="N7" s="129">
        <f>IF(VLOOKUP($C7,Machined!C:Z,22,0) = 0, " ", VLOOKUP($C7,Machined!C:Z,22,0))</f>
        <v>55569</v>
      </c>
      <c r="O7" s="45">
        <f ca="1">B7*$L$2</f>
        <v>2</v>
      </c>
      <c r="P7" s="49">
        <f>VLOOKUP(C7,Machined!C:F,3,0)</f>
        <v>225</v>
      </c>
      <c r="Q7" s="50">
        <f>B7*P7</f>
        <v>225</v>
      </c>
    </row>
    <row r="8" spans="1:17" s="2" customFormat="1" ht="12.75" customHeight="1" x14ac:dyDescent="0.25">
      <c r="A8" s="77">
        <v>4</v>
      </c>
      <c r="B8" s="20">
        <v>1</v>
      </c>
      <c r="C8" s="121" t="s">
        <v>1221</v>
      </c>
      <c r="D8" s="314" t="str">
        <f>VLOOKUP(C8,Machined!C:X,2,0)</f>
        <v>Cross Seal Cassette Strut</v>
      </c>
      <c r="E8" s="329"/>
      <c r="F8" s="107" t="str">
        <f>VLOOKUP($C8,Machined!C:Z,13,0)</f>
        <v>MIC-6 CAST ALUMINUM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MIC-6 CAST ALUMINUM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45462</v>
      </c>
      <c r="L8" s="44">
        <f>IF(VLOOKUP($C8,Machined!C:Z,20,0) = 0, " ", VLOOKUP($C8,Machined!C:Z,20,0))</f>
        <v>45492</v>
      </c>
      <c r="M8" s="44">
        <f>IF(VLOOKUP($C8,Machined!C:Z,21,0) = 0, " ", VLOOKUP($C8,Machined!C:Z,21,0))</f>
        <v>45492</v>
      </c>
      <c r="N8" s="129">
        <f>IF(VLOOKUP($C8,Machined!C:Z,22,0) = 0, " ", VLOOKUP($C8,Machined!C:Z,22,0))</f>
        <v>55559</v>
      </c>
      <c r="O8" s="45">
        <f ca="1">B8*$L$2</f>
        <v>2</v>
      </c>
      <c r="P8" s="49">
        <f>VLOOKUP(C8,Machined!C:F,3,0)</f>
        <v>197.25</v>
      </c>
      <c r="Q8" s="50">
        <f>B8*P8</f>
        <v>197.25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4">
        <v>301</v>
      </c>
      <c r="B10" s="2">
        <v>4</v>
      </c>
      <c r="C10" s="135" t="s">
        <v>1149</v>
      </c>
      <c r="D10" s="325" t="str">
        <f>VLOOKUP(C10,Purchased!A:B,2,0)</f>
        <v>30mm Shaft Fixed Alignment Ball Bearing</v>
      </c>
      <c r="E10" s="326"/>
      <c r="F10" s="108" t="str">
        <f>IF(VLOOKUP($C10,Purchased!A:Z,11,0) = 0, " ", VLOOKUP($C10,Purchased!A:Z,11,0))</f>
        <v>NIPPON</v>
      </c>
      <c r="G10" s="108" t="str">
        <f>IF(VLOOKUP($C10,Purchased!A:Z,12,0)=0, " ", VLOOKUP($C10,Purchased!A:Z,12,0))</f>
        <v>BDI</v>
      </c>
      <c r="H10" s="327" t="str">
        <f>IF(VLOOKUP($C10,Purchased!A:Z,13,0)=0, " ", VLOOKUP($C10,Purchased!A:Z,13,0))</f>
        <v>Part # KB30GUU</v>
      </c>
      <c r="I10" s="328"/>
      <c r="J10" s="46">
        <f>IF(VLOOKUP($C10,Purchased!A:Z,14,0)=0, " ", VLOOKUP($C10,Purchased!A:Z,14,0))</f>
        <v>45456</v>
      </c>
      <c r="K10" s="46">
        <f>IF(VLOOKUP(C10,Purchased!A:R,14,0)=0, " ", VLOOKUP(C10,Purchased!A:R,14,0))</f>
        <v>45456</v>
      </c>
      <c r="L10" s="46">
        <f>IF(VLOOKUP(C10,Purchased!A:R,15,0)=0, " ", VLOOKUP(C10,Purchased!A:R,15,0))</f>
        <v>45456</v>
      </c>
      <c r="M10" s="46">
        <f>IF(VLOOKUP(C10,Purchased!A:R,16,0)=0, " ",VLOOKUP(C10,Purchased!A:R,16,0))</f>
        <v>45468</v>
      </c>
      <c r="N10" s="130">
        <f>IF(VLOOKUP(C10,Purchased!A:R,17,0)=0, " ", VLOOKUP(C10,Purchased!A:R,17,0))</f>
        <v>45468</v>
      </c>
      <c r="O10" s="47">
        <f t="shared" ref="O10:O11" ca="1" si="0">B10*$L$2</f>
        <v>8</v>
      </c>
      <c r="P10" s="51">
        <f>VLOOKUP(C10,Purchased!A:D,3,FALSE)</f>
        <v>38.86</v>
      </c>
      <c r="Q10" s="52">
        <f t="shared" ref="Q10:Q11" si="1">B10*P10</f>
        <v>155.44</v>
      </c>
    </row>
    <row r="11" spans="1:17" s="2" customFormat="1" ht="12.75" customHeight="1" x14ac:dyDescent="0.25">
      <c r="A11" s="4">
        <v>302</v>
      </c>
      <c r="B11" s="2">
        <v>8</v>
      </c>
      <c r="C11" s="135" t="s">
        <v>1150</v>
      </c>
      <c r="D11" s="325" t="str">
        <f>VLOOKUP(C11,Purchased!A:B,2,0)</f>
        <v>External Retaining Ring for FIxed Alignment Ball Bearing</v>
      </c>
      <c r="E11" s="326"/>
      <c r="F11" s="108" t="str">
        <f>IF(VLOOKUP($C11,Purchased!A:Z,11,0) = 0, " ", VLOOKUP($C11,Purchased!A:Z,11,0))</f>
        <v>Smalley</v>
      </c>
      <c r="G11" s="108" t="str">
        <f>IF(VLOOKUP($C11,Purchased!A:Z,12,0)=0, " ", VLOOKUP($C11,Purchased!A:Z,12,0))</f>
        <v>Smalley</v>
      </c>
      <c r="H11" s="327" t="str">
        <f>IF(VLOOKUP($C11,Purchased!A:Z,13,0)=0, " ", VLOOKUP($C11,Purchased!A:Z,13,0))</f>
        <v>RSSD-047-CSBO-TW -  credit card - 100 PC min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45483</v>
      </c>
      <c r="M11" s="46">
        <f>IF(VLOOKUP(C11,Purchased!A:R,16,0)=0, " ",VLOOKUP(C11,Purchased!A:R,16,0))</f>
        <v>45492</v>
      </c>
      <c r="N11" s="130">
        <f>IF(VLOOKUP(C11,Purchased!A:R,17,0)=0, " ", VLOOKUP(C11,Purchased!A:R,17,0))</f>
        <v>45492</v>
      </c>
      <c r="O11" s="47">
        <f t="shared" ca="1" si="0"/>
        <v>16</v>
      </c>
      <c r="P11" s="51">
        <f>VLOOKUP(C11,Purchased!A:D,3,FALSE)</f>
        <v>0.41899999999999998</v>
      </c>
      <c r="Q11" s="52">
        <f t="shared" si="1"/>
        <v>3.3519999999999999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.75" customHeight="1" x14ac:dyDescent="0.25">
      <c r="A13" s="4">
        <v>501</v>
      </c>
      <c r="B13" s="2">
        <v>8</v>
      </c>
      <c r="C13" s="122" t="s">
        <v>174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16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x14ac:dyDescent="0.25">
      <c r="A14" s="4">
        <v>502</v>
      </c>
      <c r="B14" s="2">
        <v>8</v>
      </c>
      <c r="C14" s="122" t="s">
        <v>1151</v>
      </c>
      <c r="D14" s="158"/>
      <c r="E14" s="159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16</v>
      </c>
      <c r="P14" s="51">
        <f>VLOOKUP(C14,Bolts!A:B,2,FALSE)</f>
        <v>0</v>
      </c>
      <c r="Q14" s="52">
        <f>B14*P14</f>
        <v>0</v>
      </c>
    </row>
    <row r="15" spans="1:17" s="2" customFormat="1" ht="12.75" customHeight="1" x14ac:dyDescent="0.25">
      <c r="A15" s="4">
        <v>503</v>
      </c>
      <c r="B15" s="2">
        <v>16</v>
      </c>
      <c r="C15" s="122" t="s">
        <v>633</v>
      </c>
      <c r="D15" s="158"/>
      <c r="E15" s="159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32</v>
      </c>
      <c r="P15" s="51">
        <f>VLOOKUP(C15,Bolts!A:B,2,FALSE)</f>
        <v>0</v>
      </c>
      <c r="Q15" s="52">
        <f>B15*P15</f>
        <v>0</v>
      </c>
    </row>
    <row r="16" spans="1:17" s="2" customFormat="1" ht="12.75" customHeight="1" x14ac:dyDescent="0.25">
      <c r="A16" s="4">
        <v>504</v>
      </c>
      <c r="B16" s="2">
        <v>8</v>
      </c>
      <c r="C16" s="122" t="s">
        <v>1222</v>
      </c>
      <c r="D16" s="158"/>
      <c r="E16" s="159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16</v>
      </c>
      <c r="P16" s="51">
        <f>VLOOKUP(C16,Bolts!A:B,2,FALSE)</f>
        <v>0</v>
      </c>
      <c r="Q16" s="52">
        <f>B16*P16</f>
        <v>0</v>
      </c>
    </row>
    <row r="17" spans="1:17" s="2" customFormat="1" ht="12.75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.75" customHeight="1" x14ac:dyDescent="0.25">
      <c r="A18" s="4">
        <v>701</v>
      </c>
      <c r="B18" s="2">
        <v>4</v>
      </c>
      <c r="C18" s="123" t="s">
        <v>1223</v>
      </c>
      <c r="D18" s="325" t="str">
        <f>VLOOKUP(C18,Extrusion!B:C,2,0)</f>
        <v>APPROVED EL 8/1</v>
      </c>
      <c r="E18" s="326"/>
      <c r="F18" s="108" t="str">
        <f ca="1">VLOOKUP(C18,Extrusion!B:N,5,0)</f>
        <v/>
      </c>
      <c r="G18" s="108">
        <f>VLOOKUP(C18,Extrusion!B:N,6,0)</f>
        <v>1</v>
      </c>
      <c r="H18" s="108">
        <f>VLOOKUP(C18,Extrusion!B:N,7,0)</f>
        <v>0</v>
      </c>
      <c r="I18" s="109"/>
      <c r="J18" s="46" t="str">
        <f>VLOOKUP(C18,Extrusion!B:N,8,0)</f>
        <v>T-Slots</v>
      </c>
      <c r="K18" s="46">
        <f>VLOOKUP(C18,Extrusion!B:N,9,0)</f>
        <v>0</v>
      </c>
      <c r="L18" s="46">
        <f>VLOOKUP(C18,Extrusion!B:N,10,0)</f>
        <v>0</v>
      </c>
      <c r="M18" s="46">
        <f>VLOOKUP(C18,Extrusion!B:N,11,0)</f>
        <v>0</v>
      </c>
      <c r="N18" s="47">
        <f>VLOOKUP(C18,Extrusion!B:O,12,0)</f>
        <v>0</v>
      </c>
      <c r="O18" s="47">
        <f t="shared" ref="O18" ca="1" si="2">B18*$L$2</f>
        <v>8</v>
      </c>
      <c r="P18" s="51">
        <f>VLOOKUP(C18,Extrusion!B:G,4,0)</f>
        <v>8</v>
      </c>
      <c r="Q18" s="52">
        <f t="shared" ref="Q18" si="3">B18*P18</f>
        <v>32</v>
      </c>
    </row>
    <row r="19" spans="1:17" s="2" customFormat="1" ht="12.75" customHeight="1" thickBot="1" x14ac:dyDescent="0.3">
      <c r="A19" s="4">
        <v>702</v>
      </c>
      <c r="B19" s="2">
        <v>1</v>
      </c>
      <c r="C19" s="123" t="s">
        <v>1224</v>
      </c>
      <c r="D19" s="325" t="str">
        <f>VLOOKUP(C19,Extrusion!B:C,2,0)</f>
        <v>APPROVED EL 8/1</v>
      </c>
      <c r="E19" s="326"/>
      <c r="F19" s="108" t="str">
        <f ca="1">VLOOKUP(C19,Extrusion!B:N,5,0)</f>
        <v/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0</v>
      </c>
      <c r="M19" s="46">
        <f>VLOOKUP(C19,Extrusion!B:N,11,0)</f>
        <v>0</v>
      </c>
      <c r="N19" s="47">
        <f>VLOOKUP(C19,Extrusion!B:O,12,0)</f>
        <v>0</v>
      </c>
      <c r="O19" s="47">
        <f t="shared" ref="O19" ca="1" si="4">B19*$L$2</f>
        <v>2</v>
      </c>
      <c r="P19" s="51">
        <f>VLOOKUP(C19,Extrusion!B:G,4,0)</f>
        <v>2</v>
      </c>
      <c r="Q19" s="52">
        <f t="shared" ref="Q19" si="5">B19*P19</f>
        <v>2</v>
      </c>
    </row>
    <row r="20" spans="1:17" s="2" customFormat="1" ht="12" customHeight="1" thickBot="1" x14ac:dyDescent="0.3">
      <c r="A20" s="34"/>
      <c r="B20" s="35"/>
      <c r="C20" s="35"/>
      <c r="D20" s="316"/>
      <c r="E20" s="317"/>
      <c r="F20" s="35"/>
      <c r="G20" s="35"/>
      <c r="H20" s="309"/>
      <c r="I20" s="310"/>
      <c r="J20" s="36"/>
      <c r="K20" s="36"/>
      <c r="L20" s="36"/>
      <c r="M20" s="37"/>
      <c r="N20" s="132"/>
      <c r="O20" s="38"/>
      <c r="P20" s="99" t="s">
        <v>43</v>
      </c>
      <c r="Q20" s="104">
        <f>SUM(Q5:Q19)</f>
        <v>1129.2420000000002</v>
      </c>
    </row>
    <row r="21" spans="1:17" s="2" customFormat="1" ht="12" customHeight="1" x14ac:dyDescent="0.2">
      <c r="D21" s="21"/>
      <c r="E21" s="21"/>
      <c r="J21" s="8"/>
      <c r="K21" s="8"/>
      <c r="L21" s="8"/>
      <c r="M21" s="8"/>
      <c r="N21" s="131"/>
      <c r="O21" s="5"/>
      <c r="P21" s="98"/>
      <c r="Q21" s="105"/>
    </row>
  </sheetData>
  <sheetProtection selectLockedCells="1"/>
  <mergeCells count="26">
    <mergeCell ref="D18:E18"/>
    <mergeCell ref="D19:E19"/>
    <mergeCell ref="D20:E20"/>
    <mergeCell ref="H20:I20"/>
    <mergeCell ref="D12:E12"/>
    <mergeCell ref="H12:I12"/>
    <mergeCell ref="D13:E13"/>
    <mergeCell ref="D17:E17"/>
    <mergeCell ref="H17:I17"/>
    <mergeCell ref="D9:E9"/>
    <mergeCell ref="H9:I9"/>
    <mergeCell ref="D10:E10"/>
    <mergeCell ref="H10:I10"/>
    <mergeCell ref="D11:E11"/>
    <mergeCell ref="H11:I11"/>
    <mergeCell ref="D1:E1"/>
    <mergeCell ref="D4:E4"/>
    <mergeCell ref="H4:I4"/>
    <mergeCell ref="D8:E8"/>
    <mergeCell ref="H8:I8"/>
    <mergeCell ref="D7:E7"/>
    <mergeCell ref="H7:I7"/>
    <mergeCell ref="D5:E5"/>
    <mergeCell ref="H5:I5"/>
    <mergeCell ref="D6:E6"/>
    <mergeCell ref="H6:I6"/>
  </mergeCells>
  <conditionalFormatting sqref="M9 M12:M19">
    <cfRule type="cellIs" dxfId="642" priority="5" stopIfTrue="1" operator="lessThanOrEqual">
      <formula>$L9</formula>
    </cfRule>
    <cfRule type="cellIs" dxfId="641" priority="6" operator="greaterThan">
      <formula>L9</formula>
    </cfRule>
  </conditionalFormatting>
  <conditionalFormatting sqref="M10:M11">
    <cfRule type="cellIs" dxfId="640" priority="1" stopIfTrue="1" operator="lessThanOrEqual">
      <formula>$L10</formula>
    </cfRule>
    <cfRule type="cellIs" dxfId="639" priority="2" operator="greaterThan">
      <formula>L10</formula>
    </cfRule>
  </conditionalFormatting>
  <pageMargins left="0.7" right="0.7" top="0.75" bottom="0.75" header="0.3" footer="0.3"/>
  <pageSetup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73F170-5D8A-463F-B327-2A6B8C12849F}">
          <x14:formula1>
            <xm:f>Extrusion!$B:$B</xm:f>
          </x14:formula1>
          <xm:sqref>C18:C19</xm:sqref>
        </x14:dataValidation>
        <x14:dataValidation type="list" allowBlank="1" showInputMessage="1" showErrorMessage="1" xr:uid="{CCAD4EE2-EA78-47F9-89CB-55A2B977260F}">
          <x14:formula1>
            <xm:f>Bolts!$A:$A</xm:f>
          </x14:formula1>
          <xm:sqref>C13:C16</xm:sqref>
        </x14:dataValidation>
        <x14:dataValidation type="list" allowBlank="1" showInputMessage="1" showErrorMessage="1" xr:uid="{A8A057FB-C51F-4230-A8FA-5984A776B8E4}">
          <x14:formula1>
            <xm:f>Machined!$C:$C</xm:f>
          </x14:formula1>
          <xm:sqref>C5:C8</xm:sqref>
        </x14:dataValidation>
        <x14:dataValidation type="list" allowBlank="1" showInputMessage="1" showErrorMessage="1" xr:uid="{C2B25A97-FF6E-4602-93BA-250946552C22}">
          <x14:formula1>
            <xm:f>Purchased!$A:$A</xm:f>
          </x14:formula1>
          <xm:sqref>C10:C11</xm:sqref>
        </x14:dataValidation>
      </x14:dataValidations>
    </ext>
  </extLst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113B1-E7E0-464F-850E-92BB0AC162B0}">
  <sheetPr codeName="Sheet195">
    <tabColor theme="6" tint="0.59999389629810485"/>
    <pageSetUpPr fitToPage="1"/>
  </sheetPr>
  <dimension ref="A1:Q25"/>
  <sheetViews>
    <sheetView zoomScale="115" zoomScaleNormal="115" workbookViewId="0">
      <selection activeCell="D28" sqref="D2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'8.1'!C7</f>
        <v>PG10.8.1.2.0.A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'8.1'!D7</f>
        <v>LOWER CROSS SEAL SERVO ASSY</v>
      </c>
      <c r="D3" s="85" t="s">
        <v>50</v>
      </c>
      <c r="E3" s="86" t="str">
        <f ca="1">MID(CELL("filename",A1),FIND("]",CELL("filename",A1))+1,256)</f>
        <v>8.1.2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1225</v>
      </c>
      <c r="D5" s="314" t="str">
        <f>VLOOKUP(C5,Machined!C:X,2,0)</f>
        <v>CROSS SEAL CRANKSHAFT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Nuline</v>
      </c>
      <c r="H5" s="320" t="str">
        <f>IF(VLOOKUP($C5,Machined!C:Z,17,0) = 0, " ", VLOOKUP($C5,Machined!C:Z,17,0))</f>
        <v>Material by Nuline</v>
      </c>
      <c r="I5" s="321" t="str">
        <f>IF(VLOOKUP($C5,Machined!$C:$Y,13,0) = 0, " ", VLOOKUP($C5,Machined!$C:$Y,13,0))</f>
        <v>303 TG&amp;P, Round Stock, -0.0005</v>
      </c>
      <c r="J5" s="44">
        <f>IF(VLOOKUP($C5,Machined!C:Z,18,0) = 0, " ", VLOOKUP($C5,Machined!C:Z,18,0))</f>
        <v>45525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45541</v>
      </c>
      <c r="M5" s="44">
        <f>IF(VLOOKUP($C5,Machined!C:Z,21,0) = 0, " ", VLOOKUP($C5,Machined!C:Z,21,0))</f>
        <v>45527</v>
      </c>
      <c r="N5" s="129">
        <f>IF(VLOOKUP($C5,Machined!C:Z,22,0) = 0, " ", VLOOKUP($C5,Machined!C:Z,22,0))</f>
        <v>55700</v>
      </c>
      <c r="O5" s="45">
        <f ca="1">B5*$L$2</f>
        <v>1</v>
      </c>
      <c r="P5" s="49">
        <f>VLOOKUP(C5,Machined!C:F,3,0)</f>
        <v>101.5</v>
      </c>
      <c r="Q5" s="50">
        <f>B5*P5</f>
        <v>101.5</v>
      </c>
    </row>
    <row r="6" spans="1:17" s="2" customFormat="1" ht="12.75" customHeight="1" x14ac:dyDescent="0.25">
      <c r="A6" s="77">
        <v>2</v>
      </c>
      <c r="B6" s="20">
        <v>1</v>
      </c>
      <c r="C6" s="121" t="s">
        <v>1154</v>
      </c>
      <c r="D6" s="314" t="str">
        <f>VLOOKUP(C6,Machined!C:X,2,0)</f>
        <v>Seal Bar Gearbox Plate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MtnStatesAuto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55569</v>
      </c>
      <c r="O6" s="45">
        <f t="shared" ref="O6:O7" ca="1" si="0">B6*$L$2</f>
        <v>1</v>
      </c>
      <c r="P6" s="49">
        <f>VLOOKUP(C6,Machined!C:F,3,0)</f>
        <v>70.3</v>
      </c>
      <c r="Q6" s="50">
        <f t="shared" ref="Q6:Q7" si="1">B6*P6</f>
        <v>70.3</v>
      </c>
    </row>
    <row r="7" spans="1:17" s="2" customFormat="1" ht="12.75" customHeight="1" x14ac:dyDescent="0.25">
      <c r="A7" s="77">
        <v>3</v>
      </c>
      <c r="B7" s="20">
        <v>2</v>
      </c>
      <c r="C7" s="121" t="s">
        <v>1155</v>
      </c>
      <c r="D7" s="314" t="str">
        <f>VLOOKUP(C7,Machined!C:X,2,0)</f>
        <v>Shipp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MtnStatesAuto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55569</v>
      </c>
      <c r="O7" s="45">
        <f t="shared" ca="1" si="0"/>
        <v>2</v>
      </c>
      <c r="P7" s="49">
        <f>VLOOKUP(C7,Machined!C:F,3,0)</f>
        <v>53.4</v>
      </c>
      <c r="Q7" s="50">
        <f t="shared" si="1"/>
        <v>106.8</v>
      </c>
    </row>
    <row r="8" spans="1:17" s="2" customFormat="1" ht="12.75" customHeight="1" x14ac:dyDescent="0.25">
      <c r="A8" s="77">
        <v>4</v>
      </c>
      <c r="B8" s="20">
        <v>1</v>
      </c>
      <c r="C8" s="121" t="s">
        <v>1156</v>
      </c>
      <c r="D8" s="314" t="str">
        <f>VLOOKUP(C8,Machined!C:X,2,0)</f>
        <v>Large Gearbox Offset Block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55569</v>
      </c>
      <c r="O8" s="45">
        <f ca="1">B8*$L$2</f>
        <v>1</v>
      </c>
      <c r="P8" s="49">
        <f>VLOOKUP(C8,Machined!C:F,3,0)</f>
        <v>123.15</v>
      </c>
      <c r="Q8" s="50">
        <f>B8*P8</f>
        <v>123.15</v>
      </c>
    </row>
    <row r="9" spans="1:17" s="2" customFormat="1" ht="12.75" customHeight="1" x14ac:dyDescent="0.25">
      <c r="A9" s="77">
        <v>5</v>
      </c>
      <c r="B9" s="20">
        <v>2</v>
      </c>
      <c r="C9" s="121" t="s">
        <v>1157</v>
      </c>
      <c r="D9" s="314" t="str">
        <f>VLOOKUP(C9,Machined!C:X,2,0)</f>
        <v>Crankshaft Bearing Mount Plate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MtnStatesAuto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45461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55569</v>
      </c>
      <c r="O9" s="45">
        <f t="shared" ref="O9" ca="1" si="2">B9*$L$2</f>
        <v>2</v>
      </c>
      <c r="P9" s="49">
        <f>VLOOKUP(C9,Machined!C:F,3,0)</f>
        <v>66.3</v>
      </c>
      <c r="Q9" s="50">
        <f t="shared" ref="Q9" si="3">B9*P9</f>
        <v>132.6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16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:O16" ca="1" si="4">B11*$L$2</f>
        <v>16</v>
      </c>
      <c r="P11" s="51">
        <f>VLOOKUP(C11,Purchased!A:D,3,FALSE)</f>
        <v>0.56000000000000005</v>
      </c>
      <c r="Q11" s="52">
        <f t="shared" ref="Q11:Q16" si="5">B11*P11</f>
        <v>8.9600000000000009</v>
      </c>
    </row>
    <row r="12" spans="1:17" s="2" customFormat="1" ht="12" customHeight="1" x14ac:dyDescent="0.25">
      <c r="A12" s="4">
        <v>302</v>
      </c>
      <c r="B12" s="2">
        <v>2</v>
      </c>
      <c r="C12" s="135" t="s">
        <v>1158</v>
      </c>
      <c r="D12" s="325" t="str">
        <f>VLOOKUP(C12,Purchased!A:B,2,0)</f>
        <v>Mounted Steel Ball Bearing with Cast Iron Housing</v>
      </c>
      <c r="E12" s="326"/>
      <c r="F12" s="108" t="str">
        <f>IF(VLOOKUP($C12,Purchased!A:Z,11,0) = 0, " ", VLOOKUP($C12,Purchased!A:Z,11,0))</f>
        <v>Timken</v>
      </c>
      <c r="G12" s="108" t="str">
        <f>IF(VLOOKUP($C12,Purchased!A:Z,12,0)=0, " ", VLOOKUP($C12,Purchased!A:Z,12,0))</f>
        <v>BDI</v>
      </c>
      <c r="H12" s="327" t="str">
        <f>IF(VLOOKUP($C12,Purchased!A:Z,13,0)=0, " ", VLOOKUP($C12,Purchased!A:Z,13,0))</f>
        <v># 20353591</v>
      </c>
      <c r="I12" s="328"/>
      <c r="J12" s="46">
        <f>IF(VLOOKUP($C12,Purchased!A:Z,14,0)=0, " ", VLOOKUP($C12,Purchased!A:Z,14,0))</f>
        <v>45460</v>
      </c>
      <c r="K12" s="46">
        <f>IF(VLOOKUP(C12,Purchased!A:R,14,0)=0, " ", VLOOKUP(C12,Purchased!A:R,14,0))</f>
        <v>45460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45495</v>
      </c>
      <c r="O12" s="47">
        <f t="shared" ca="1" si="4"/>
        <v>2</v>
      </c>
      <c r="P12" s="51">
        <f>VLOOKUP(C12,Purchased!A:D,3,FALSE)</f>
        <v>62.35</v>
      </c>
      <c r="Q12" s="52">
        <f t="shared" si="5"/>
        <v>124.7</v>
      </c>
    </row>
    <row r="13" spans="1:17" s="2" customFormat="1" ht="12" customHeight="1" x14ac:dyDescent="0.25">
      <c r="A13" s="4">
        <v>303</v>
      </c>
      <c r="B13" s="2">
        <v>2</v>
      </c>
      <c r="C13" s="135" t="s">
        <v>1159</v>
      </c>
      <c r="D13" s="325" t="str">
        <f>VLOOKUP(C13,Purchased!A:B,2,0)</f>
        <v>Rounded Machine Key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4"/>
        <v>2</v>
      </c>
      <c r="P13" s="51">
        <f>VLOOKUP(C13,Purchased!A:D,3,FALSE)</f>
        <v>6.04</v>
      </c>
      <c r="Q13" s="52">
        <f t="shared" si="5"/>
        <v>12.08</v>
      </c>
    </row>
    <row r="14" spans="1:17" s="2" customFormat="1" ht="12" customHeight="1" x14ac:dyDescent="0.25">
      <c r="A14" s="4">
        <v>304</v>
      </c>
      <c r="B14" s="2">
        <v>1</v>
      </c>
      <c r="C14" s="135" t="s">
        <v>1226</v>
      </c>
      <c r="D14" s="325" t="str">
        <f>VLOOKUP(C14,Purchased!A:B,2,0)</f>
        <v>K302WG0200EZ502U Gearmotor, Lower Cross Seal</v>
      </c>
      <c r="E14" s="326"/>
      <c r="F14" s="108" t="str">
        <f>IF(VLOOKUP($C14,Purchased!A:Z,11,0) = 0, " ", VLOOKUP($C14,Purchased!A:Z,11,0))</f>
        <v>Stober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45426</v>
      </c>
      <c r="K14" s="46">
        <f>IF(VLOOKUP(C14,Purchased!A:R,14,0)=0, " ", VLOOKUP(C14,Purchased!A:R,14,0))</f>
        <v>45426</v>
      </c>
      <c r="L14" s="46">
        <f>IF(VLOOKUP(C14,Purchased!A:R,15,0)=0, " ", VLOOKUP(C14,Purchased!A:R,15,0))</f>
        <v>45426</v>
      </c>
      <c r="M14" s="46">
        <f>IF(VLOOKUP(C14,Purchased!A:R,16,0)=0, " ",VLOOKUP(C14,Purchased!A:R,16,0))</f>
        <v>45524</v>
      </c>
      <c r="N14" s="130">
        <f>IF(VLOOKUP(C14,Purchased!A:R,17,0)=0, " ", VLOOKUP(C14,Purchased!A:R,17,0))</f>
        <v>45524</v>
      </c>
      <c r="O14" s="47">
        <f t="shared" ca="1" si="4"/>
        <v>1</v>
      </c>
      <c r="P14" s="51">
        <f>VLOOKUP(C14,Purchased!A:D,3,FALSE)</f>
        <v>3966.3107</v>
      </c>
      <c r="Q14" s="52">
        <f t="shared" si="5"/>
        <v>3966.3107</v>
      </c>
    </row>
    <row r="15" spans="1:17" s="2" customFormat="1" ht="12" customHeight="1" x14ac:dyDescent="0.25">
      <c r="A15" s="4">
        <v>305</v>
      </c>
      <c r="B15" s="2">
        <v>1</v>
      </c>
      <c r="C15" s="135" t="s">
        <v>307</v>
      </c>
      <c r="D15" s="325" t="str">
        <f>VLOOKUP(C15,Purchased!A:B,2,0)</f>
        <v>STOBER - Power cable -56876, 15MTR</v>
      </c>
      <c r="E15" s="326"/>
      <c r="F15" s="108" t="str">
        <f>IF(VLOOKUP($C15,Purchased!A:Z,11,0) = 0, " ", VLOOKUP($C15,Purchased!A:Z,11,0))</f>
        <v>STOBER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45464</v>
      </c>
      <c r="M15" s="46">
        <f>IF(VLOOKUP(C15,Purchased!A:R,16,0)=0, " ",VLOOKUP(C15,Purchased!A:R,16,0))</f>
        <v>45532</v>
      </c>
      <c r="N15" s="130">
        <f>IF(VLOOKUP(C15,Purchased!A:R,17,0)=0, " ", VLOOKUP(C15,Purchased!A:R,17,0))</f>
        <v>45532</v>
      </c>
      <c r="O15" s="47">
        <f t="shared" ca="1" si="4"/>
        <v>1</v>
      </c>
      <c r="P15" s="51">
        <f>VLOOKUP(C15,Purchased!A:D,3,FALSE)</f>
        <v>325.7473</v>
      </c>
      <c r="Q15" s="52">
        <f t="shared" si="5"/>
        <v>325.7473</v>
      </c>
    </row>
    <row r="16" spans="1:17" s="2" customFormat="1" ht="12" customHeight="1" x14ac:dyDescent="0.25">
      <c r="A16" s="4">
        <v>306</v>
      </c>
      <c r="B16" s="2">
        <v>1</v>
      </c>
      <c r="C16" s="135" t="s">
        <v>308</v>
      </c>
      <c r="D16" s="325" t="str">
        <f>VLOOKUP(C16,Purchased!A:B,2,0)</f>
        <v>STOBER - Encoder cable -57815, 15MTR</v>
      </c>
      <c r="E16" s="326"/>
      <c r="F16" s="108" t="str">
        <f>IF(VLOOKUP($C16,Purchased!A:Z,11,0) = 0, " ", VLOOKUP($C16,Purchased!A:Z,11,0))</f>
        <v>STOBER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45463</v>
      </c>
      <c r="K16" s="46">
        <f>IF(VLOOKUP(C16,Purchased!A:R,14,0)=0, " ", VLOOKUP(C16,Purchased!A:R,14,0))</f>
        <v>45463</v>
      </c>
      <c r="L16" s="46">
        <f>IF(VLOOKUP(C16,Purchased!A:R,15,0)=0, " ", VLOOKUP(C16,Purchased!A:R,15,0))</f>
        <v>45464</v>
      </c>
      <c r="M16" s="46">
        <f>IF(VLOOKUP(C16,Purchased!A:R,16,0)=0, " ",VLOOKUP(C16,Purchased!A:R,16,0))</f>
        <v>45532</v>
      </c>
      <c r="N16" s="130">
        <f>IF(VLOOKUP(C16,Purchased!A:R,17,0)=0, " ", VLOOKUP(C16,Purchased!A:R,17,0))</f>
        <v>45532</v>
      </c>
      <c r="O16" s="47">
        <f t="shared" ca="1" si="4"/>
        <v>1</v>
      </c>
      <c r="P16" s="51">
        <f>VLOOKUP(C16,Purchased!A:D,3,FALSE)</f>
        <v>340.1893</v>
      </c>
      <c r="Q16" s="52">
        <f t="shared" si="5"/>
        <v>340.1893</v>
      </c>
    </row>
    <row r="17" spans="1:17" s="2" customFormat="1" ht="12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" customHeight="1" x14ac:dyDescent="0.25">
      <c r="A18" s="4">
        <v>501</v>
      </c>
      <c r="B18" s="2">
        <v>8</v>
      </c>
      <c r="C18" s="122" t="s">
        <v>203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ref="O18:O24" ca="1" si="6">B18*$L$2</f>
        <v>8</v>
      </c>
      <c r="P18" s="51">
        <f>VLOOKUP(C18,Bolts!A:B,2,FALSE)</f>
        <v>0</v>
      </c>
      <c r="Q18" s="52">
        <f t="shared" ref="Q18:Q24" si="7">B18*P18</f>
        <v>0</v>
      </c>
    </row>
    <row r="19" spans="1:17" s="2" customFormat="1" ht="12" customHeight="1" x14ac:dyDescent="0.25">
      <c r="A19" s="4">
        <v>502</v>
      </c>
      <c r="B19" s="2">
        <v>4</v>
      </c>
      <c r="C19" s="122" t="s">
        <v>269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6"/>
        <v>4</v>
      </c>
      <c r="P19" s="51">
        <f>VLOOKUP(C19,Bolts!A:B,2,FALSE)</f>
        <v>0</v>
      </c>
      <c r="Q19" s="52">
        <f t="shared" si="7"/>
        <v>0</v>
      </c>
    </row>
    <row r="20" spans="1:17" s="2" customFormat="1" ht="12" customHeight="1" x14ac:dyDescent="0.25">
      <c r="A20" s="4">
        <v>503</v>
      </c>
      <c r="B20" s="2">
        <v>4</v>
      </c>
      <c r="C20" s="122" t="s">
        <v>1161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6"/>
        <v>4</v>
      </c>
      <c r="P20" s="51">
        <f>VLOOKUP(C20,Bolts!A:B,2,FALSE)</f>
        <v>0</v>
      </c>
      <c r="Q20" s="52">
        <f t="shared" si="7"/>
        <v>0</v>
      </c>
    </row>
    <row r="21" spans="1:17" s="2" customFormat="1" ht="12" customHeight="1" x14ac:dyDescent="0.25">
      <c r="A21" s="4">
        <v>504</v>
      </c>
      <c r="B21" s="2">
        <v>4</v>
      </c>
      <c r="C21" s="122" t="s">
        <v>1162</v>
      </c>
      <c r="D21" s="325"/>
      <c r="E21" s="326"/>
      <c r="F21" s="108" t="str">
        <f>VLOOKUP(C21,Bolts!A:L,5,0)</f>
        <v xml:space="preserve"> </v>
      </c>
      <c r="G21" s="108" t="str">
        <f>VLOOKUP(C21,Bolts!A:L,6,0)</f>
        <v xml:space="preserve"> 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6"/>
        <v>4</v>
      </c>
      <c r="P21" s="51">
        <f>VLOOKUP(C21,Bolts!A:B,2,FALSE)</f>
        <v>0</v>
      </c>
      <c r="Q21" s="52">
        <f t="shared" si="7"/>
        <v>0</v>
      </c>
    </row>
    <row r="22" spans="1:17" s="2" customFormat="1" ht="12" customHeight="1" x14ac:dyDescent="0.25">
      <c r="A22" s="4">
        <v>505</v>
      </c>
      <c r="B22" s="2">
        <v>2</v>
      </c>
      <c r="C22" s="122" t="s">
        <v>188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6"/>
        <v>2</v>
      </c>
      <c r="P22" s="51">
        <f>VLOOKUP(C22,Bolts!A:B,2,FALSE)</f>
        <v>0</v>
      </c>
      <c r="Q22" s="52">
        <f t="shared" si="7"/>
        <v>0</v>
      </c>
    </row>
    <row r="23" spans="1:17" s="2" customFormat="1" ht="12" customHeight="1" x14ac:dyDescent="0.25">
      <c r="A23" s="4">
        <v>506</v>
      </c>
      <c r="B23" s="2">
        <v>4</v>
      </c>
      <c r="C23" s="122" t="s">
        <v>692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ca="1">B23*$L$2</f>
        <v>4</v>
      </c>
      <c r="P23" s="51">
        <f>VLOOKUP(C23,Bolts!A:B,2,FALSE)</f>
        <v>0</v>
      </c>
      <c r="Q23" s="52">
        <f>B23*P23</f>
        <v>0</v>
      </c>
    </row>
    <row r="24" spans="1:17" s="2" customFormat="1" ht="12" customHeight="1" thickBot="1" x14ac:dyDescent="0.3">
      <c r="A24" s="4">
        <v>507</v>
      </c>
      <c r="B24" s="2">
        <v>4</v>
      </c>
      <c r="C24" s="122" t="s">
        <v>1163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6"/>
        <v>4</v>
      </c>
      <c r="P24" s="51">
        <f>VLOOKUP(C24,Bolts!A:B,2,FALSE)</f>
        <v>0</v>
      </c>
      <c r="Q24" s="52">
        <f t="shared" si="7"/>
        <v>0</v>
      </c>
    </row>
    <row r="25" spans="1:17" s="2" customFormat="1" ht="12" customHeight="1" thickBot="1" x14ac:dyDescent="0.3">
      <c r="A25" s="34"/>
      <c r="B25" s="35"/>
      <c r="C25" s="35"/>
      <c r="D25" s="316"/>
      <c r="E25" s="317"/>
      <c r="F25" s="35"/>
      <c r="G25" s="35"/>
      <c r="H25" s="309"/>
      <c r="I25" s="310"/>
      <c r="J25" s="36"/>
      <c r="K25" s="36"/>
      <c r="L25" s="36"/>
      <c r="M25" s="37"/>
      <c r="N25" s="132"/>
      <c r="O25" s="38"/>
      <c r="P25" s="99" t="s">
        <v>43</v>
      </c>
      <c r="Q25" s="104">
        <f>SUM(Q5:Q24)</f>
        <v>5312.3373000000001</v>
      </c>
    </row>
  </sheetData>
  <sheetProtection selectLockedCells="1"/>
  <mergeCells count="38">
    <mergeCell ref="D15:E15"/>
    <mergeCell ref="H15:I15"/>
    <mergeCell ref="D16:E16"/>
    <mergeCell ref="H16:I16"/>
    <mergeCell ref="D5:E5"/>
    <mergeCell ref="H5:I5"/>
    <mergeCell ref="D6:E6"/>
    <mergeCell ref="H6:I6"/>
    <mergeCell ref="D11:E11"/>
    <mergeCell ref="H11:I11"/>
    <mergeCell ref="D12:E12"/>
    <mergeCell ref="H12:I12"/>
    <mergeCell ref="D13:E13"/>
    <mergeCell ref="H13:I13"/>
    <mergeCell ref="D14:E14"/>
    <mergeCell ref="H14:I14"/>
    <mergeCell ref="D1:E1"/>
    <mergeCell ref="D4:E4"/>
    <mergeCell ref="H4:I4"/>
    <mergeCell ref="D10:E10"/>
    <mergeCell ref="H10:I10"/>
    <mergeCell ref="D7:E7"/>
    <mergeCell ref="H7:I7"/>
    <mergeCell ref="D8:E8"/>
    <mergeCell ref="H8:I8"/>
    <mergeCell ref="D9:E9"/>
    <mergeCell ref="H9:I9"/>
    <mergeCell ref="D25:E25"/>
    <mergeCell ref="H25:I25"/>
    <mergeCell ref="D22:E22"/>
    <mergeCell ref="D24:E24"/>
    <mergeCell ref="D17:E17"/>
    <mergeCell ref="H17:I17"/>
    <mergeCell ref="D18:E18"/>
    <mergeCell ref="D19:E19"/>
    <mergeCell ref="D20:E20"/>
    <mergeCell ref="D21:E21"/>
    <mergeCell ref="D23:E23"/>
  </mergeCells>
  <conditionalFormatting sqref="M10 M17:M24">
    <cfRule type="cellIs" dxfId="638" priority="11" stopIfTrue="1" operator="lessThanOrEqual">
      <formula>$L10</formula>
    </cfRule>
    <cfRule type="cellIs" dxfId="637" priority="12" operator="greaterThan">
      <formula>L10</formula>
    </cfRule>
  </conditionalFormatting>
  <conditionalFormatting sqref="M11">
    <cfRule type="cellIs" dxfId="636" priority="9" stopIfTrue="1" operator="lessThanOrEqual">
      <formula>$L11</formula>
    </cfRule>
    <cfRule type="cellIs" dxfId="635" priority="10" operator="greaterThan">
      <formula>L11</formula>
    </cfRule>
  </conditionalFormatting>
  <conditionalFormatting sqref="M12">
    <cfRule type="cellIs" dxfId="634" priority="7" stopIfTrue="1" operator="lessThanOrEqual">
      <formula>$L12</formula>
    </cfRule>
    <cfRule type="cellIs" dxfId="633" priority="8" operator="greaterThan">
      <formula>L12</formula>
    </cfRule>
  </conditionalFormatting>
  <conditionalFormatting sqref="M13">
    <cfRule type="cellIs" dxfId="632" priority="5" stopIfTrue="1" operator="lessThanOrEqual">
      <formula>$L13</formula>
    </cfRule>
    <cfRule type="cellIs" dxfId="631" priority="6" operator="greaterThan">
      <formula>L13</formula>
    </cfRule>
  </conditionalFormatting>
  <conditionalFormatting sqref="M14">
    <cfRule type="cellIs" dxfId="630" priority="3" stopIfTrue="1" operator="lessThanOrEqual">
      <formula>$L14</formula>
    </cfRule>
    <cfRule type="cellIs" dxfId="629" priority="4" operator="greaterThan">
      <formula>L14</formula>
    </cfRule>
  </conditionalFormatting>
  <conditionalFormatting sqref="M15:M16">
    <cfRule type="cellIs" dxfId="628" priority="1" stopIfTrue="1" operator="lessThanOrEqual">
      <formula>$L15</formula>
    </cfRule>
    <cfRule type="cellIs" dxfId="627" priority="2" operator="greaterThan">
      <formula>L15</formula>
    </cfRule>
  </conditionalFormatting>
  <pageMargins left="0.7" right="0.7" top="0.75" bottom="0.75" header="0.3" footer="0.3"/>
  <pageSetup scale="62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6939597-B373-4276-863C-446BD44F47EE}">
          <x14:formula1>
            <xm:f>Bolts!$A:$A</xm:f>
          </x14:formula1>
          <xm:sqref>C17:C24</xm:sqref>
        </x14:dataValidation>
        <x14:dataValidation type="list" allowBlank="1" showInputMessage="1" showErrorMessage="1" xr:uid="{9CAB41F4-EBD5-4417-A7DF-C55F5A090ADA}">
          <x14:formula1>
            <xm:f>Machined!$C:$C</xm:f>
          </x14:formula1>
          <xm:sqref>C5:C9</xm:sqref>
        </x14:dataValidation>
        <x14:dataValidation type="list" allowBlank="1" showInputMessage="1" showErrorMessage="1" xr:uid="{63E7C00D-5AE9-4BA1-A040-8F3D67A2FB98}">
          <x14:formula1>
            <xm:f>Purchased!$A:$A</xm:f>
          </x14:formula1>
          <xm:sqref>C10:C16</xm:sqref>
        </x14:dataValidation>
      </x14:dataValidations>
    </ext>
  </extLst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D918B-53E0-4CE4-8982-8F377B55F007}">
  <sheetPr codeName="Sheet196">
    <tabColor theme="6" tint="0.59999389629810485"/>
  </sheetPr>
  <dimension ref="A1:Q25"/>
  <sheetViews>
    <sheetView zoomScale="115" zoomScaleNormal="115" workbookViewId="0">
      <selection activeCell="F16" sqref="F16:Q1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'8.1'!C8</f>
        <v>PG10.8.1.3.0.A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'8.1'!D8</f>
        <v>LOWER CROSS SEAL HEAD ASSY</v>
      </c>
      <c r="D3" s="85" t="s">
        <v>50</v>
      </c>
      <c r="E3" s="86" t="str">
        <f ca="1">MID(CELL("filename",A1),FIND("]",CELL("filename",A1))+1,256)</f>
        <v>8.1.3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1227</v>
      </c>
      <c r="D5" s="314" t="str">
        <f>VLOOKUP(C5,Machined!C:X,2,0)</f>
        <v>LOWER CROSS SEAL BAR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55566</v>
      </c>
      <c r="O5" s="45">
        <f ca="1">B5*$L$2</f>
        <v>1</v>
      </c>
      <c r="P5" s="49">
        <f>VLOOKUP(C5,Machined!C:F,3,0)</f>
        <v>284.5</v>
      </c>
      <c r="Q5" s="50">
        <f>B5*P5</f>
        <v>284.5</v>
      </c>
    </row>
    <row r="6" spans="1:17" s="2" customFormat="1" ht="12.75" customHeight="1" x14ac:dyDescent="0.25">
      <c r="A6" s="77">
        <v>2</v>
      </c>
      <c r="B6" s="20">
        <v>1</v>
      </c>
      <c r="C6" s="121" t="s">
        <v>1228</v>
      </c>
      <c r="D6" s="314" t="str">
        <f>VLOOKUP(C6,Machined!C:X,2,0)</f>
        <v>CROSS SEAL MID BAR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55566</v>
      </c>
      <c r="O6" s="45">
        <f t="shared" ref="O6:O7" ca="1" si="0">B6*$L$2</f>
        <v>1</v>
      </c>
      <c r="P6" s="49">
        <f>VLOOKUP(C6,Machined!C:F,3,0)</f>
        <v>214.75</v>
      </c>
      <c r="Q6" s="50">
        <f t="shared" ref="Q6:Q7" si="1">B6*P6</f>
        <v>214.75</v>
      </c>
    </row>
    <row r="7" spans="1:17" s="2" customFormat="1" ht="12.75" customHeight="1" x14ac:dyDescent="0.25">
      <c r="A7" s="77">
        <v>3</v>
      </c>
      <c r="B7" s="20">
        <v>1</v>
      </c>
      <c r="C7" s="121" t="s">
        <v>1229</v>
      </c>
      <c r="D7" s="314" t="str">
        <f>VLOOKUP(C7,Machined!C:X,2,0)</f>
        <v>CROSS SEAL DIE CAP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45464</v>
      </c>
      <c r="L7" s="44">
        <f>IF(VLOOKUP($C7,Machined!C:Z,20,0) = 0, " ", VLOOKUP($C7,Machined!C:Z,20,0))</f>
        <v>45495</v>
      </c>
      <c r="M7" s="44">
        <f>IF(VLOOKUP($C7,Machined!C:Z,21,0) = 0, " ", VLOOKUP($C7,Machined!C:Z,21,0))</f>
        <v>45495</v>
      </c>
      <c r="N7" s="129">
        <f>IF(VLOOKUP($C7,Machined!C:Z,22,0) = 0, " ", VLOOKUP($C7,Machined!C:Z,22,0))</f>
        <v>55566</v>
      </c>
      <c r="O7" s="45">
        <f t="shared" ca="1" si="0"/>
        <v>1</v>
      </c>
      <c r="P7" s="49">
        <f>VLOOKUP(C7,Machined!C:F,3,0)</f>
        <v>284.75</v>
      </c>
      <c r="Q7" s="50">
        <f t="shared" si="1"/>
        <v>284.75</v>
      </c>
    </row>
    <row r="8" spans="1:17" s="2" customFormat="1" ht="12.75" customHeight="1" x14ac:dyDescent="0.25">
      <c r="A8" s="77">
        <v>4</v>
      </c>
      <c r="B8" s="20">
        <v>1</v>
      </c>
      <c r="C8" s="121" t="s">
        <v>1230</v>
      </c>
      <c r="D8" s="314" t="str">
        <f>VLOOKUP(C8,Machined!C:X,2,0)</f>
        <v>CROSS SEAL MOUNTING TUBE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45462</v>
      </c>
      <c r="L8" s="44">
        <f>IF(VLOOKUP($C8,Machined!C:Z,20,0) = 0, " ", VLOOKUP($C8,Machined!C:Z,20,0))</f>
        <v>45492</v>
      </c>
      <c r="M8" s="44">
        <f>IF(VLOOKUP($C8,Machined!C:Z,21,0) = 0, " ", VLOOKUP($C8,Machined!C:Z,21,0))</f>
        <v>45492</v>
      </c>
      <c r="N8" s="129">
        <f>IF(VLOOKUP($C8,Machined!C:Z,22,0) = 0, " ", VLOOKUP($C8,Machined!C:Z,22,0))</f>
        <v>55559</v>
      </c>
      <c r="O8" s="45">
        <f ca="1">B8*$L$2</f>
        <v>1</v>
      </c>
      <c r="P8" s="49">
        <f>VLOOKUP(C8,Machined!C:F,3,0)</f>
        <v>324.75</v>
      </c>
      <c r="Q8" s="50">
        <f>B8*P8</f>
        <v>324.75</v>
      </c>
    </row>
    <row r="9" spans="1:17" s="2" customFormat="1" ht="12.75" customHeight="1" x14ac:dyDescent="0.25">
      <c r="A9" s="77">
        <v>5</v>
      </c>
      <c r="B9" s="20">
        <v>1</v>
      </c>
      <c r="C9" s="121" t="s">
        <v>1231</v>
      </c>
      <c r="D9" s="314" t="str">
        <f>VLOOKUP(C9,Machined!C:X,2,0)</f>
        <v>Lower Cross Seal Silicone</v>
      </c>
      <c r="E9" s="329"/>
      <c r="F9" s="107" t="str">
        <f>VLOOKUP($C9,Machined!C:Z,13,0)</f>
        <v>SILICONE RUBBER</v>
      </c>
      <c r="G9" s="44" t="str">
        <f>IF(VLOOKUP($C9,Machined!C:Z,16,0) = 0, " ", VLOOKUP($C9,Machined!C:Z,16,0))</f>
        <v>Nuline</v>
      </c>
      <c r="H9" s="320" t="str">
        <f>IF(VLOOKUP($C9,Machined!C:Z,17,0) = 0, " ", VLOOKUP($C9,Machined!C:Z,17,0))</f>
        <v>55620 for material</v>
      </c>
      <c r="I9" s="321" t="str">
        <f>IF(VLOOKUP($C9,Machined!$C:$Y,13,0) = 0, " ", VLOOKUP($C9,Machined!$C:$Y,13,0))</f>
        <v>SILICONE RUBBER</v>
      </c>
      <c r="J9" s="44">
        <f>IF(VLOOKUP($C9,Machined!C:Z,18,0) = 0, " ", VLOOKUP($C9,Machined!C:Z,18,0))</f>
        <v>45490</v>
      </c>
      <c r="K9" s="44">
        <f>IF(VLOOKUP($C9,Machined!C:Z,19,0) = 0, " ", VLOOKUP($C9,Machined!C:Z,19,0))</f>
        <v>45496</v>
      </c>
      <c r="L9" s="44">
        <f>IF(VLOOKUP($C9,Machined!C:Z,20,0) = 0, " ", VLOOKUP($C9,Machined!C:Z,20,0))</f>
        <v>45505</v>
      </c>
      <c r="M9" s="44">
        <f>IF(VLOOKUP($C9,Machined!C:Z,21,0) = 0, " ", VLOOKUP($C9,Machined!C:Z,21,0))</f>
        <v>45505</v>
      </c>
      <c r="N9" s="129">
        <f>IF(VLOOKUP($C9,Machined!C:Z,22,0) = 0, " ", VLOOKUP($C9,Machined!C:Z,22,0))</f>
        <v>55620</v>
      </c>
      <c r="O9" s="45">
        <f t="shared" ref="O9:O10" ca="1" si="2">B9*$L$2</f>
        <v>1</v>
      </c>
      <c r="P9" s="49">
        <f>VLOOKUP(C9,Machined!C:F,3,0)</f>
        <v>20.5</v>
      </c>
      <c r="Q9" s="50">
        <f t="shared" ref="Q9:Q10" si="3">B9*P9</f>
        <v>20.5</v>
      </c>
    </row>
    <row r="10" spans="1:17" s="2" customFormat="1" ht="12.75" customHeight="1" x14ac:dyDescent="0.25">
      <c r="A10" s="77">
        <v>6</v>
      </c>
      <c r="B10" s="20">
        <v>2</v>
      </c>
      <c r="C10" s="121" t="s">
        <v>1168</v>
      </c>
      <c r="D10" s="314" t="str">
        <f>VLOOKUP(C10,Machined!C:X,2,0)</f>
        <v>MODIFIED MCM 9604T190 Steel Flanged Shaft Collar, 30mm Dia</v>
      </c>
      <c r="E10" s="329"/>
      <c r="F10" s="107" t="str">
        <f>VLOOKUP($C10,Machined!C:Z,13,0)</f>
        <v>PURCHASED PART</v>
      </c>
      <c r="G10" s="44" t="str">
        <f>IF(VLOOKUP($C10,Machined!C:Z,16,0) = 0, " ", VLOOKUP($C10,Machined!C:Z,16,0))</f>
        <v>Nuline</v>
      </c>
      <c r="H10" s="320" t="str">
        <f>IF(VLOOKUP($C10,Machined!C:Z,17,0) = 0, " ", VLOOKUP($C10,Machined!C:Z,17,0))</f>
        <v>Act part # 1LM030AFXK</v>
      </c>
      <c r="I10" s="321" t="str">
        <f>IF(VLOOKUP($C10,Machined!$C:$Y,13,0) = 0, " ", VLOOKUP($C10,Machined!$C:$Y,13,0))</f>
        <v>PURCHASED PART</v>
      </c>
      <c r="J10" s="44">
        <f>IF(VLOOKUP($C10,Machined!C:Z,18,0) = 0, " ", VLOOKUP($C10,Machined!C:Z,18,0))</f>
        <v>45452</v>
      </c>
      <c r="K10" s="44">
        <f>IF(VLOOKUP($C10,Machined!C:Z,19,0) = 0, " ", VLOOKUP($C10,Machined!C:Z,19,0))</f>
        <v>45456</v>
      </c>
      <c r="L10" s="44">
        <f>IF(VLOOKUP($C10,Machined!C:Z,20,0) = 0, " ", VLOOKUP($C10,Machined!C:Z,20,0))</f>
        <v>45468</v>
      </c>
      <c r="M10" s="44">
        <f>IF(VLOOKUP($C10,Machined!C:Z,21,0) = 0, " ", VLOOKUP($C10,Machined!C:Z,21,0))</f>
        <v>45469</v>
      </c>
      <c r="N10" s="129">
        <f>IF(VLOOKUP($C10,Machined!C:Z,22,0) = 0, " ", VLOOKUP($C10,Machined!C:Z,22,0))</f>
        <v>55553</v>
      </c>
      <c r="O10" s="45">
        <f t="shared" ca="1" si="2"/>
        <v>2</v>
      </c>
      <c r="P10" s="49">
        <f>VLOOKUP(C10,Machined!C:F,3,0)</f>
        <v>89.26</v>
      </c>
      <c r="Q10" s="50">
        <f t="shared" si="3"/>
        <v>178.52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4">
        <v>301</v>
      </c>
      <c r="B12" s="2">
        <v>2</v>
      </c>
      <c r="C12" s="135" t="s">
        <v>1232</v>
      </c>
      <c r="D12" s="325" t="str">
        <f>VLOOKUP(C12,Purchased!A:B,2,0)</f>
        <v>Cartridge Heater 24.5in Cross Seal</v>
      </c>
      <c r="E12" s="326"/>
      <c r="F12" s="108" t="str">
        <f>IF(VLOOKUP($C12,Purchased!A:Z,11,0) = 0, " ", VLOOKUP($C12,Purchased!A:Z,11,0))</f>
        <v>ACROLAB</v>
      </c>
      <c r="G12" s="108" t="str">
        <f>IF(VLOOKUP($C12,Purchased!A:Z,12,0)=0, " ", VLOOKUP($C12,Purchased!A:Z,12,0))</f>
        <v>ACROLAB</v>
      </c>
      <c r="H12" s="327" t="str">
        <f>IF(VLOOKUP($C12,Purchased!A:Z,13,0)=0, " ", VLOOKUP($C12,Purchased!A:Z,13,0))</f>
        <v>Vendor is moving and late 8/01/24 JP</v>
      </c>
      <c r="I12" s="328"/>
      <c r="J12" s="46">
        <f>IF(VLOOKUP($C12,Purchased!A:Z,14,0)=0, " ", VLOOKUP($C12,Purchased!A:Z,14,0))</f>
        <v>45462</v>
      </c>
      <c r="K12" s="46">
        <f>IF(VLOOKUP(C12,Purchased!A:R,14,0)=0, " ", VLOOKUP(C12,Purchased!A:R,14,0))</f>
        <v>45462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45512</v>
      </c>
      <c r="O12" s="47">
        <f t="shared" ref="O12:O16" ca="1" si="4">B12*$L$2</f>
        <v>2</v>
      </c>
      <c r="P12" s="51">
        <f>VLOOKUP(C12,Purchased!A:D,3,FALSE)</f>
        <v>263.72000000000003</v>
      </c>
      <c r="Q12" s="52">
        <f t="shared" ref="Q12:Q16" si="5">B12*P12</f>
        <v>527.44000000000005</v>
      </c>
    </row>
    <row r="13" spans="1:17" s="2" customFormat="1" ht="12.75" customHeight="1" x14ac:dyDescent="0.25">
      <c r="A13" s="4">
        <v>302</v>
      </c>
      <c r="B13" s="2">
        <v>2</v>
      </c>
      <c r="C13" s="135" t="s">
        <v>1233</v>
      </c>
      <c r="D13" s="325" t="str">
        <f>VLOOKUP(C13,Purchased!A:B,2,0)</f>
        <v>Thermocouple 24in Length</v>
      </c>
      <c r="E13" s="326"/>
      <c r="F13" s="108" t="str">
        <f>IF(VLOOKUP($C13,Purchased!A:Z,11,0) = 0, " ", VLOOKUP($C13,Purchased!A:Z,11,0))</f>
        <v>ACROLAB</v>
      </c>
      <c r="G13" s="108" t="str">
        <f>IF(VLOOKUP($C13,Purchased!A:Z,12,0)=0, " ", VLOOKUP($C13,Purchased!A:Z,12,0))</f>
        <v>ACROLAB</v>
      </c>
      <c r="H13" s="327" t="str">
        <f>IF(VLOOKUP($C13,Purchased!A:Z,13,0)=0, " ", VLOOKUP($C13,Purchased!A:Z,13,0))</f>
        <v>Vendor is moving and late 8/01/24 JP</v>
      </c>
      <c r="I13" s="328"/>
      <c r="J13" s="46">
        <f>IF(VLOOKUP($C13,Purchased!A:Z,14,0)=0, " ", VLOOKUP($C13,Purchased!A:Z,14,0))</f>
        <v>45462</v>
      </c>
      <c r="K13" s="46">
        <f>IF(VLOOKUP(C13,Purchased!A:R,14,0)=0, " ", VLOOKUP(C13,Purchased!A:R,14,0))</f>
        <v>45462</v>
      </c>
      <c r="L13" s="46">
        <f>IF(VLOOKUP(C13,Purchased!A:R,15,0)=0, " ", VLOOKUP(C13,Purchased!A:R,15,0))</f>
        <v>45462</v>
      </c>
      <c r="M13" s="46">
        <f>IF(VLOOKUP(C13,Purchased!A:R,16,0)=0, " ",VLOOKUP(C13,Purchased!A:R,16,0))</f>
        <v>45495</v>
      </c>
      <c r="N13" s="130">
        <f>IF(VLOOKUP(C13,Purchased!A:R,17,0)=0, " ", VLOOKUP(C13,Purchased!A:R,17,0))</f>
        <v>45512</v>
      </c>
      <c r="O13" s="47">
        <f t="shared" ca="1" si="4"/>
        <v>2</v>
      </c>
      <c r="P13" s="51">
        <f>VLOOKUP(C13,Purchased!A:D,3,FALSE)</f>
        <v>52.45</v>
      </c>
      <c r="Q13" s="52">
        <f t="shared" si="5"/>
        <v>104.9</v>
      </c>
    </row>
    <row r="14" spans="1:17" s="2" customFormat="1" ht="12.75" customHeight="1" x14ac:dyDescent="0.25">
      <c r="A14" s="4">
        <v>303</v>
      </c>
      <c r="B14" s="2">
        <v>2</v>
      </c>
      <c r="C14" s="135" t="s">
        <v>1173</v>
      </c>
      <c r="D14" s="325" t="str">
        <f>VLOOKUP(C14,Purchased!A:B,2,0)</f>
        <v>1/8in NPT Bayonet Adapter</v>
      </c>
      <c r="E14" s="326"/>
      <c r="F14" s="108" t="str">
        <f>IF(VLOOKUP($C14,Purchased!A:Z,11,0) = 0, " ", VLOOKUP($C14,Purchased!A:Z,11,0))</f>
        <v>ACROLAB</v>
      </c>
      <c r="G14" s="108" t="str">
        <f>IF(VLOOKUP($C14,Purchased!A:Z,12,0)=0, " ", VLOOKUP($C14,Purchased!A:Z,12,0))</f>
        <v>ACROLAB</v>
      </c>
      <c r="H14" s="327" t="str">
        <f>IF(VLOOKUP($C14,Purchased!A:Z,13,0)=0, " ", VLOOKUP($C14,Purchased!A:Z,13,0))</f>
        <v>Vendor is moving and late 8/01/24 JP</v>
      </c>
      <c r="I14" s="328"/>
      <c r="J14" s="46">
        <f>IF(VLOOKUP($C14,Purchased!A:Z,14,0)=0, " ", VLOOKUP($C14,Purchased!A:Z,14,0))</f>
        <v>45462</v>
      </c>
      <c r="K14" s="46">
        <f>IF(VLOOKUP(C14,Purchased!A:R,14,0)=0, " ", VLOOKUP(C14,Purchased!A:R,14,0))</f>
        <v>45462</v>
      </c>
      <c r="L14" s="46">
        <f>IF(VLOOKUP(C14,Purchased!A:R,15,0)=0, " ", VLOOKUP(C14,Purchased!A:R,15,0))</f>
        <v>45462</v>
      </c>
      <c r="M14" s="46">
        <f>IF(VLOOKUP(C14,Purchased!A:R,16,0)=0, " ",VLOOKUP(C14,Purchased!A:R,16,0))</f>
        <v>45495</v>
      </c>
      <c r="N14" s="130">
        <f>IF(VLOOKUP(C14,Purchased!A:R,17,0)=0, " ", VLOOKUP(C14,Purchased!A:R,17,0))</f>
        <v>45512</v>
      </c>
      <c r="O14" s="47">
        <f t="shared" ca="1" si="4"/>
        <v>2</v>
      </c>
      <c r="P14" s="51">
        <f>VLOOKUP(C14,Purchased!A:D,3,FALSE)</f>
        <v>4.88</v>
      </c>
      <c r="Q14" s="52">
        <f t="shared" si="5"/>
        <v>9.76</v>
      </c>
    </row>
    <row r="15" spans="1:17" s="2" customFormat="1" ht="12.75" customHeight="1" x14ac:dyDescent="0.25">
      <c r="A15" s="4">
        <v>304</v>
      </c>
      <c r="B15" s="2">
        <v>1</v>
      </c>
      <c r="C15" s="135" t="s">
        <v>1234</v>
      </c>
      <c r="D15" s="325" t="str">
        <f>VLOOKUP(C15,Purchased!A:B,2,0)</f>
        <v>Cross Seal Iso Bar</v>
      </c>
      <c r="E15" s="326"/>
      <c r="F15" s="108" t="str">
        <f>IF(VLOOKUP($C15,Purchased!A:Z,11,0) = 0, " ", VLOOKUP($C15,Purchased!A:Z,11,0))</f>
        <v>ACROLAB</v>
      </c>
      <c r="G15" s="108" t="str">
        <f>IF(VLOOKUP($C15,Purchased!A:Z,12,0)=0, " ", VLOOKUP($C15,Purchased!A:Z,12,0))</f>
        <v>ACROLAB</v>
      </c>
      <c r="H15" s="327" t="str">
        <f>IF(VLOOKUP($C15,Purchased!A:Z,13,0)=0, " ", VLOOKUP($C15,Purchased!A:Z,13,0))</f>
        <v>Vendor is moving and late 8/01/24 JP</v>
      </c>
      <c r="I15" s="328"/>
      <c r="J15" s="46">
        <f>IF(VLOOKUP($C15,Purchased!A:Z,14,0)=0, " ", VLOOKUP($C15,Purchased!A:Z,14,0))</f>
        <v>45462</v>
      </c>
      <c r="K15" s="46">
        <f>IF(VLOOKUP(C15,Purchased!A:R,14,0)=0, " ", VLOOKUP(C15,Purchased!A:R,14,0))</f>
        <v>45462</v>
      </c>
      <c r="L15" s="46">
        <f>IF(VLOOKUP(C15,Purchased!A:R,15,0)=0, " ", VLOOKUP(C15,Purchased!A:R,15,0))</f>
        <v>45462</v>
      </c>
      <c r="M15" s="46">
        <f>IF(VLOOKUP(C15,Purchased!A:R,16,0)=0, " ",VLOOKUP(C15,Purchased!A:R,16,0))</f>
        <v>45495</v>
      </c>
      <c r="N15" s="130">
        <f>IF(VLOOKUP(C15,Purchased!A:R,17,0)=0, " ", VLOOKUP(C15,Purchased!A:R,17,0))</f>
        <v>45512</v>
      </c>
      <c r="O15" s="47">
        <f t="shared" ca="1" si="4"/>
        <v>1</v>
      </c>
      <c r="P15" s="51">
        <f>VLOOKUP(C15,Purchased!A:D,3,FALSE)</f>
        <v>119</v>
      </c>
      <c r="Q15" s="52">
        <f t="shared" si="5"/>
        <v>119</v>
      </c>
    </row>
    <row r="16" spans="1:17" s="2" customFormat="1" ht="12.75" customHeight="1" x14ac:dyDescent="0.25">
      <c r="A16" s="4">
        <v>305</v>
      </c>
      <c r="B16" s="2">
        <v>22</v>
      </c>
      <c r="C16" s="135" t="s">
        <v>1169</v>
      </c>
      <c r="D16" s="325" t="str">
        <f>VLOOKUP(C16,Purchased!A:B,2,0)</f>
        <v>ALLOY STEEL CUP POINT SET SCREW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45481</v>
      </c>
      <c r="K16" s="46">
        <f>IF(VLOOKUP(C16,Purchased!A:R,14,0)=0, " ", VLOOKUP(C16,Purchased!A:R,14,0))</f>
        <v>45481</v>
      </c>
      <c r="L16" s="46">
        <f>IF(VLOOKUP(C16,Purchased!A:R,15,0)=0, " ", VLOOKUP(C16,Purchased!A:R,15,0))</f>
        <v>45481</v>
      </c>
      <c r="M16" s="46">
        <f>IF(VLOOKUP(C16,Purchased!A:R,16,0)=0, " ",VLOOKUP(C16,Purchased!A:R,16,0))</f>
        <v>45482</v>
      </c>
      <c r="N16" s="130">
        <f>IF(VLOOKUP(C16,Purchased!A:R,17,0)=0, " ", VLOOKUP(C16,Purchased!A:R,17,0))</f>
        <v>45482</v>
      </c>
      <c r="O16" s="47">
        <f t="shared" ca="1" si="4"/>
        <v>22</v>
      </c>
      <c r="P16" s="51">
        <f>VLOOKUP(C16,Purchased!A:D,3,FALSE)</f>
        <v>13.62</v>
      </c>
      <c r="Q16" s="52">
        <f t="shared" si="5"/>
        <v>299.64</v>
      </c>
    </row>
    <row r="17" spans="1:17" s="2" customFormat="1" ht="12.75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.75" customHeight="1" x14ac:dyDescent="0.25">
      <c r="A18" s="4">
        <v>501</v>
      </c>
      <c r="B18" s="2">
        <v>2</v>
      </c>
      <c r="C18" s="122" t="s">
        <v>1174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2</v>
      </c>
      <c r="P18" s="51">
        <f>VLOOKUP(C18,Bolts!A:B,2,FALSE)</f>
        <v>0</v>
      </c>
      <c r="Q18" s="52">
        <f>B18*P18</f>
        <v>0</v>
      </c>
    </row>
    <row r="19" spans="1:17" s="2" customFormat="1" ht="12.75" customHeight="1" x14ac:dyDescent="0.25">
      <c r="A19" s="4">
        <v>502</v>
      </c>
      <c r="B19" s="2">
        <v>16</v>
      </c>
      <c r="C19" s="122" t="s">
        <v>243</v>
      </c>
      <c r="D19" s="158"/>
      <c r="E19" s="159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ca="1">B19*$L$2</f>
        <v>16</v>
      </c>
      <c r="P19" s="51">
        <f>VLOOKUP(C19,Bolts!A:B,2,FALSE)</f>
        <v>0</v>
      </c>
      <c r="Q19" s="52">
        <f>B19*P19</f>
        <v>0</v>
      </c>
    </row>
    <row r="20" spans="1:17" s="2" customFormat="1" ht="12" customHeight="1" x14ac:dyDescent="0.25">
      <c r="A20" s="4">
        <v>503</v>
      </c>
      <c r="B20" s="2">
        <v>8</v>
      </c>
      <c r="C20" s="122" t="s">
        <v>382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ref="O20:O23" ca="1" si="6">B20*$L$2</f>
        <v>8</v>
      </c>
      <c r="P20" s="51">
        <f>VLOOKUP(C20,Bolts!A:B,2,FALSE)</f>
        <v>0</v>
      </c>
      <c r="Q20" s="52">
        <f t="shared" ref="Q20:Q23" si="7">B20*P20</f>
        <v>0</v>
      </c>
    </row>
    <row r="21" spans="1:17" s="2" customFormat="1" ht="12" customHeight="1" x14ac:dyDescent="0.25">
      <c r="A21" s="4">
        <v>504</v>
      </c>
      <c r="B21" s="2">
        <v>8</v>
      </c>
      <c r="C21" s="122" t="s">
        <v>1175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6"/>
        <v>8</v>
      </c>
      <c r="P21" s="51">
        <f>VLOOKUP(C21,Bolts!A:B,2,FALSE)</f>
        <v>0</v>
      </c>
      <c r="Q21" s="52">
        <f t="shared" si="7"/>
        <v>0</v>
      </c>
    </row>
    <row r="22" spans="1:17" s="2" customFormat="1" ht="12" customHeight="1" x14ac:dyDescent="0.25">
      <c r="A22" s="4">
        <v>505</v>
      </c>
      <c r="B22" s="2">
        <v>16</v>
      </c>
      <c r="C22" s="122" t="s">
        <v>199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6"/>
        <v>16</v>
      </c>
      <c r="P22" s="51">
        <f>VLOOKUP(C22,Bolts!A:B,2,FALSE)</f>
        <v>0</v>
      </c>
      <c r="Q22" s="52">
        <f t="shared" si="7"/>
        <v>0</v>
      </c>
    </row>
    <row r="23" spans="1:17" s="2" customFormat="1" ht="12" customHeight="1" thickBot="1" x14ac:dyDescent="0.3">
      <c r="A23" s="4">
        <v>506</v>
      </c>
      <c r="B23" s="2">
        <v>74</v>
      </c>
      <c r="C23" s="122" t="s">
        <v>1176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6"/>
        <v>74</v>
      </c>
      <c r="P23" s="51">
        <f>VLOOKUP(C23,Bolts!A:B,2,FALSE)</f>
        <v>0</v>
      </c>
      <c r="Q23" s="52">
        <f t="shared" si="7"/>
        <v>0</v>
      </c>
    </row>
    <row r="24" spans="1:17" s="2" customFormat="1" ht="12" customHeight="1" thickBot="1" x14ac:dyDescent="0.3">
      <c r="A24" s="34"/>
      <c r="B24" s="35"/>
      <c r="C24" s="35"/>
      <c r="D24" s="316"/>
      <c r="E24" s="317"/>
      <c r="F24" s="35"/>
      <c r="G24" s="35"/>
      <c r="H24" s="309"/>
      <c r="I24" s="310"/>
      <c r="J24" s="36"/>
      <c r="K24" s="36"/>
      <c r="L24" s="36"/>
      <c r="M24" s="37"/>
      <c r="N24" s="132"/>
      <c r="O24" s="38"/>
      <c r="P24" s="99" t="s">
        <v>43</v>
      </c>
      <c r="Q24" s="104">
        <f>SUM(Q11:Q23)</f>
        <v>1060.74</v>
      </c>
    </row>
    <row r="25" spans="1:17" s="2" customFormat="1" ht="12" customHeight="1" x14ac:dyDescent="0.2">
      <c r="D25" s="21"/>
      <c r="E25" s="21"/>
      <c r="J25" s="8"/>
      <c r="K25" s="8"/>
      <c r="L25" s="8"/>
      <c r="M25" s="8"/>
      <c r="N25" s="131"/>
      <c r="O25" s="5"/>
      <c r="P25" s="98"/>
      <c r="Q25" s="105"/>
    </row>
  </sheetData>
  <sheetProtection selectLockedCells="1"/>
  <mergeCells count="36">
    <mergeCell ref="D9:E9"/>
    <mergeCell ref="H9:I9"/>
    <mergeCell ref="D10:E10"/>
    <mergeCell ref="H10:I10"/>
    <mergeCell ref="D20:E20"/>
    <mergeCell ref="D14:E14"/>
    <mergeCell ref="H14:I14"/>
    <mergeCell ref="D11:E11"/>
    <mergeCell ref="D12:E12"/>
    <mergeCell ref="H12:I12"/>
    <mergeCell ref="D13:E13"/>
    <mergeCell ref="H13:I13"/>
    <mergeCell ref="H11:I11"/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24:E24"/>
    <mergeCell ref="H24:I24"/>
    <mergeCell ref="D18:E18"/>
    <mergeCell ref="D15:E15"/>
    <mergeCell ref="H15:I15"/>
    <mergeCell ref="D16:E16"/>
    <mergeCell ref="H16:I16"/>
    <mergeCell ref="D17:E17"/>
    <mergeCell ref="H17:I17"/>
    <mergeCell ref="D21:E21"/>
    <mergeCell ref="D22:E22"/>
    <mergeCell ref="D23:E23"/>
  </mergeCells>
  <conditionalFormatting sqref="M11 M17:M23">
    <cfRule type="cellIs" dxfId="626" priority="11" stopIfTrue="1" operator="lessThanOrEqual">
      <formula>$L11</formula>
    </cfRule>
    <cfRule type="cellIs" dxfId="625" priority="12" operator="greaterThan">
      <formula>L11</formula>
    </cfRule>
  </conditionalFormatting>
  <conditionalFormatting sqref="M12">
    <cfRule type="cellIs" dxfId="624" priority="9" stopIfTrue="1" operator="lessThanOrEqual">
      <formula>$L12</formula>
    </cfRule>
    <cfRule type="cellIs" dxfId="623" priority="10" operator="greaterThan">
      <formula>L12</formula>
    </cfRule>
  </conditionalFormatting>
  <conditionalFormatting sqref="M13">
    <cfRule type="cellIs" dxfId="622" priority="7" stopIfTrue="1" operator="lessThanOrEqual">
      <formula>$L13</formula>
    </cfRule>
    <cfRule type="cellIs" dxfId="621" priority="8" operator="greaterThan">
      <formula>L13</formula>
    </cfRule>
  </conditionalFormatting>
  <conditionalFormatting sqref="M14">
    <cfRule type="cellIs" dxfId="620" priority="5" stopIfTrue="1" operator="lessThanOrEqual">
      <formula>$L14</formula>
    </cfRule>
    <cfRule type="cellIs" dxfId="619" priority="6" operator="greaterThan">
      <formula>L14</formula>
    </cfRule>
  </conditionalFormatting>
  <conditionalFormatting sqref="M15">
    <cfRule type="cellIs" dxfId="618" priority="3" stopIfTrue="1" operator="lessThanOrEqual">
      <formula>$L15</formula>
    </cfRule>
    <cfRule type="cellIs" dxfId="617" priority="4" operator="greaterThan">
      <formula>L15</formula>
    </cfRule>
  </conditionalFormatting>
  <conditionalFormatting sqref="M16">
    <cfRule type="cellIs" dxfId="616" priority="1" stopIfTrue="1" operator="lessThanOrEqual">
      <formula>$L16</formula>
    </cfRule>
    <cfRule type="cellIs" dxfId="615" priority="2" operator="greaterThan">
      <formula>L16</formula>
    </cfRule>
  </conditionalFormatting>
  <pageMargins left="0.7" right="0.7" top="0.75" bottom="0.75" header="0.3" footer="0.3"/>
  <pageSetup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BFF1412-C457-4C07-A15F-E99700A75563}">
          <x14:formula1>
            <xm:f>Extrusion!$B:$B</xm:f>
          </x14:formula1>
          <xm:sqref>C18</xm:sqref>
        </x14:dataValidation>
        <x14:dataValidation type="list" allowBlank="1" showInputMessage="1" showErrorMessage="1" xr:uid="{14F7ED09-9763-4A2C-881A-68A908225C2F}">
          <x14:formula1>
            <xm:f>Bolts!$A:$A</xm:f>
          </x14:formula1>
          <xm:sqref>C18 C20:C23</xm:sqref>
        </x14:dataValidation>
        <x14:dataValidation type="list" allowBlank="1" showInputMessage="1" showErrorMessage="1" xr:uid="{9C45F3A6-44B1-4D76-8EDD-A7081E233132}">
          <x14:formula1>
            <xm:f>Machined!$C:$C</xm:f>
          </x14:formula1>
          <xm:sqref>C5:C10</xm:sqref>
        </x14:dataValidation>
        <x14:dataValidation type="list" allowBlank="1" showInputMessage="1" showErrorMessage="1" xr:uid="{AB3ACD8F-87EE-49BE-A4C6-E0B9F73E65C4}">
          <x14:formula1>
            <xm:f>Purchased!$A:$A</xm:f>
          </x14:formula1>
          <xm:sqref>C12:C16</xm:sqref>
        </x14:dataValidation>
      </x14:dataValidations>
    </ext>
  </extLst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0846-A388-4C36-99CC-55685614E166}">
  <sheetPr codeName="Sheet197">
    <tabColor theme="6" tint="0.59999389629810485"/>
  </sheetPr>
  <dimension ref="A1:Q16"/>
  <sheetViews>
    <sheetView zoomScale="115" zoomScaleNormal="115" workbookViewId="0">
      <selection activeCell="F5" sqref="F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'8.1'!C9</f>
        <v>PG10.8.1.4.0.A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'8.1'!D9</f>
        <v>CROSS SEAL 1-PLUG BOX</v>
      </c>
      <c r="D3" s="85" t="s">
        <v>50</v>
      </c>
      <c r="E3" s="86" t="str">
        <f ca="1">MID(CELL("filename",A1),FIND("]",CELL("filename",A1))+1,256)</f>
        <v>8.1.4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1235</v>
      </c>
      <c r="D5" s="314" t="str">
        <f>VLOOKUP(C5,Machined!C:X,2,0)</f>
        <v>MODIFIED 1-PLUG HAMMOND 
C3RWT412 4X4X12 WIRING 
TROUGH</v>
      </c>
      <c r="E5" s="329"/>
      <c r="F5" s="107" t="str">
        <f>VLOOKUP($C5,Machined!C:Z,13,0)</f>
        <v>PURCHASED</v>
      </c>
      <c r="G5" s="44" t="str">
        <f>IF(VLOOKUP($C5,Machined!C:Z,16,0) = 0, " ", VLOOKUP($C5,Machined!C:Z,16,0))</f>
        <v xml:space="preserve">Nuline 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PURCHASED</v>
      </c>
      <c r="J5" s="44">
        <f>IF(VLOOKUP($C5,Machined!C:Z,18,0) = 0, " ", VLOOKUP($C5,Machined!C:Z,18,0))</f>
        <v>45496</v>
      </c>
      <c r="K5" s="44">
        <f>IF(VLOOKUP($C5,Machined!C:Z,19,0) = 0, " ", VLOOKUP($C5,Machined!C:Z,19,0))</f>
        <v>45496</v>
      </c>
      <c r="L5" s="44">
        <f>IF(VLOOKUP($C5,Machined!C:Z,20,0) = 0, " ", VLOOKUP($C5,Machined!C:Z,20,0))</f>
        <v>45504</v>
      </c>
      <c r="M5" s="44">
        <f>IF(VLOOKUP($C5,Machined!C:Z,21,0) = 0, " ", VLOOKUP($C5,Machined!C:Z,21,0))</f>
        <v>45504</v>
      </c>
      <c r="N5" s="129">
        <f>IF(VLOOKUP($C5,Machined!C:Z,22,0) = 0, " ", VLOOKUP($C5,Machined!C:Z,22,0))</f>
        <v>55622</v>
      </c>
      <c r="O5" s="45">
        <f ca="1">B5*$L$2</f>
        <v>4</v>
      </c>
      <c r="P5" s="49">
        <f>VLOOKUP(C5,Machined!C:F,3,0)</f>
        <v>65.5</v>
      </c>
      <c r="Q5" s="50">
        <f>B5*P5</f>
        <v>65.5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4</v>
      </c>
      <c r="C7" s="135" t="s">
        <v>172</v>
      </c>
      <c r="D7" s="325" t="str">
        <f>VLOOKUP(C7,Purchased!A:B,2,0)</f>
        <v>BRX GOTO T-NUT 10 M6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10" ca="1" si="0">B7*$L$2</f>
        <v>16</v>
      </c>
      <c r="P7" s="51">
        <f>VLOOKUP(C7,Purchased!A:D,3,FALSE)</f>
        <v>0.56000000000000005</v>
      </c>
      <c r="Q7" s="52">
        <f t="shared" ref="Q7:Q10" si="1">B7*P7</f>
        <v>2.2400000000000002</v>
      </c>
    </row>
    <row r="8" spans="1:17" s="2" customFormat="1" ht="12.75" customHeight="1" x14ac:dyDescent="0.25">
      <c r="A8" s="4">
        <v>302</v>
      </c>
      <c r="B8" s="2">
        <v>1</v>
      </c>
      <c r="C8" s="135" t="s">
        <v>1129</v>
      </c>
      <c r="D8" s="325" t="str">
        <f>VLOOKUP(C8,Purchased!A:B,2,0)</f>
        <v>Three Slot L7-30 277V 30A Female Receptacle</v>
      </c>
      <c r="E8" s="326"/>
      <c r="F8" s="108" t="str">
        <f>IF(VLOOKUP($C8,Purchased!A:Z,11,0) = 0, " ", VLOOKUP($C8,Purchased!A:Z,11,0))</f>
        <v>P&amp;S</v>
      </c>
      <c r="G8" s="108" t="str">
        <f>IF(VLOOKUP($C8,Purchased!A:Z,12,0)=0, " ", VLOOKUP($C8,Purchased!A:Z,12,0))</f>
        <v>WESCO DIST</v>
      </c>
      <c r="H8" s="327" t="str">
        <f>IF(VLOOKUP($C8,Purchased!A:Z,13,0)=0, " ", VLOOKUP($C8,Purchased!A:Z,13,0))</f>
        <v>P&amp;S L730-R R SGL 3W30A277V T/L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45485</v>
      </c>
      <c r="N8" s="130">
        <f>IF(VLOOKUP(C8,Purchased!A:R,17,0)=0, " ", VLOOKUP(C8,Purchased!A:R,17,0))</f>
        <v>45485</v>
      </c>
      <c r="O8" s="47">
        <f t="shared" ca="1" si="0"/>
        <v>4</v>
      </c>
      <c r="P8" s="51">
        <f>VLOOKUP(C8,Purchased!A:D,3,FALSE)</f>
        <v>36.36</v>
      </c>
      <c r="Q8" s="52">
        <f t="shared" si="1"/>
        <v>36.36</v>
      </c>
    </row>
    <row r="9" spans="1:17" s="2" customFormat="1" ht="12.75" customHeight="1" x14ac:dyDescent="0.25">
      <c r="A9" s="4">
        <v>303</v>
      </c>
      <c r="B9" s="2">
        <v>1</v>
      </c>
      <c r="C9" s="135" t="s">
        <v>1130</v>
      </c>
      <c r="D9" s="325" t="str">
        <f>VLOOKUP(C9,Purchased!A:B,2,0)</f>
        <v>L7-30 277V 30 A Male Plug</v>
      </c>
      <c r="E9" s="326"/>
      <c r="F9" s="108" t="str">
        <f>IF(VLOOKUP($C9,Purchased!A:Z,11,0) = 0, " ", VLOOKUP($C9,Purchased!A:Z,11,0))</f>
        <v>P&amp;S</v>
      </c>
      <c r="G9" s="108" t="str">
        <f>IF(VLOOKUP($C9,Purchased!A:Z,12,0)=0, " ", VLOOKUP($C9,Purchased!A:Z,12,0))</f>
        <v>WESCO DIST</v>
      </c>
      <c r="H9" s="327" t="str">
        <f>IF(VLOOKUP($C9,Purchased!A:Z,13,0)=0, " ", VLOOKUP($C9,Purchased!A:Z,13,0))</f>
        <v>P&amp;S L730-P TURNLOK PLUG 3W 30A, 277V</v>
      </c>
      <c r="I9" s="328"/>
      <c r="J9" s="46">
        <f>IF(VLOOKUP($C9,Purchased!A:Z,14,0)=0, " ", VLOOKUP($C9,Purchased!A:Z,14,0))</f>
        <v>45463</v>
      </c>
      <c r="K9" s="46">
        <f>IF(VLOOKUP(C9,Purchased!A:R,14,0)=0, " ", VLOOKUP(C9,Purchased!A:R,14,0))</f>
        <v>45463</v>
      </c>
      <c r="L9" s="46">
        <f>IF(VLOOKUP(C9,Purchased!A:R,15,0)=0, " ", VLOOKUP(C9,Purchased!A:R,15,0))</f>
        <v>45463</v>
      </c>
      <c r="M9" s="46">
        <f>IF(VLOOKUP(C9,Purchased!A:R,16,0)=0, " ",VLOOKUP(C9,Purchased!A:R,16,0))</f>
        <v>45485</v>
      </c>
      <c r="N9" s="130">
        <f>IF(VLOOKUP(C9,Purchased!A:R,17,0)=0, " ", VLOOKUP(C9,Purchased!A:R,17,0))</f>
        <v>45485</v>
      </c>
      <c r="O9" s="47">
        <f t="shared" ca="1" si="0"/>
        <v>4</v>
      </c>
      <c r="P9" s="51">
        <f>VLOOKUP(C9,Purchased!A:D,3,FALSE)</f>
        <v>28.65</v>
      </c>
      <c r="Q9" s="52">
        <f t="shared" si="1"/>
        <v>28.65</v>
      </c>
    </row>
    <row r="10" spans="1:17" s="2" customFormat="1" ht="12.75" customHeight="1" x14ac:dyDescent="0.25">
      <c r="A10" s="4">
        <v>304</v>
      </c>
      <c r="B10" s="2">
        <v>1</v>
      </c>
      <c r="C10" s="135" t="s">
        <v>1128</v>
      </c>
      <c r="D10" s="325" t="str">
        <f>VLOOKUP(C10,Purchased!A:B,2,0)</f>
        <v>Thermocuple plug</v>
      </c>
      <c r="E10" s="326"/>
      <c r="F10" s="108" t="str">
        <f>IF(VLOOKUP($C10,Purchased!A:Z,11,0) = 0, " ", VLOOKUP($C10,Purchased!A:Z,11,0))</f>
        <v>Watlow</v>
      </c>
      <c r="G10" s="108" t="str">
        <f>IF(VLOOKUP($C10,Purchased!A:Z,12,0)=0, " ", VLOOKUP($C10,Purchased!A:Z,12,0))</f>
        <v>Valin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45518</v>
      </c>
      <c r="K10" s="46">
        <f>IF(VLOOKUP(C10,Purchased!A:R,14,0)=0, " ", VLOOKUP(C10,Purchased!A:R,14,0))</f>
        <v>45518</v>
      </c>
      <c r="L10" s="46">
        <f>IF(VLOOKUP(C10,Purchased!A:R,15,0)=0, " ", VLOOKUP(C10,Purchased!A:R,15,0))</f>
        <v>45518</v>
      </c>
      <c r="M10" s="46">
        <f>IF(VLOOKUP(C10,Purchased!A:R,16,0)=0, " ",VLOOKUP(C10,Purchased!A:R,16,0))</f>
        <v>45524</v>
      </c>
      <c r="N10" s="130" t="str">
        <f>IF(VLOOKUP(C10,Purchased!A:R,17,0)=0, " ", VLOOKUP(C10,Purchased!A:R,17,0))</f>
        <v xml:space="preserve"> </v>
      </c>
      <c r="O10" s="47">
        <f t="shared" ca="1" si="0"/>
        <v>4</v>
      </c>
      <c r="P10" s="51">
        <f>VLOOKUP(C10,Purchased!A:D,3,FALSE)</f>
        <v>25.4</v>
      </c>
      <c r="Q10" s="52">
        <f t="shared" si="1"/>
        <v>25.4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4">
        <v>501</v>
      </c>
      <c r="B12" s="2">
        <v>4</v>
      </c>
      <c r="C12" s="122" t="s">
        <v>1236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16</v>
      </c>
      <c r="P12" s="51">
        <f>VLOOKUP(C12,Bolts!A:B,2,FALSE)</f>
        <v>0</v>
      </c>
      <c r="Q12" s="52">
        <f>B12*P12</f>
        <v>0</v>
      </c>
    </row>
    <row r="13" spans="1:17" s="2" customFormat="1" ht="12.75" customHeight="1" x14ac:dyDescent="0.25">
      <c r="A13" s="4">
        <v>502</v>
      </c>
      <c r="B13" s="2">
        <v>2</v>
      </c>
      <c r="C13" s="122" t="s">
        <v>1131</v>
      </c>
      <c r="D13" s="158"/>
      <c r="E13" s="159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8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thickBot="1" x14ac:dyDescent="0.3">
      <c r="A14" s="4">
        <v>503</v>
      </c>
      <c r="B14" s="2">
        <v>2</v>
      </c>
      <c r="C14" s="122" t="s">
        <v>1237</v>
      </c>
      <c r="D14" s="158"/>
      <c r="E14" s="159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8</v>
      </c>
      <c r="P14" s="51">
        <f>VLOOKUP(C14,Bolts!A:B,2,FALSE)</f>
        <v>0</v>
      </c>
      <c r="Q14" s="52">
        <f>B14*P14</f>
        <v>0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158.15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sheetProtection selectLockedCells="1"/>
  <mergeCells count="20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5:E15"/>
    <mergeCell ref="H15:I15"/>
    <mergeCell ref="D12:E12"/>
  </mergeCells>
  <conditionalFormatting sqref="M6 M11:M14">
    <cfRule type="cellIs" dxfId="614" priority="9" stopIfTrue="1" operator="lessThanOrEqual">
      <formula>$L6</formula>
    </cfRule>
    <cfRule type="cellIs" dxfId="613" priority="10" operator="greaterThan">
      <formula>L6</formula>
    </cfRule>
  </conditionalFormatting>
  <conditionalFormatting sqref="M7:M10">
    <cfRule type="cellIs" dxfId="612" priority="1" stopIfTrue="1" operator="lessThanOrEqual">
      <formula>$L7</formula>
    </cfRule>
    <cfRule type="cellIs" dxfId="611" priority="2" operator="greaterThan">
      <formula>L7</formula>
    </cfRule>
  </conditionalFormatting>
  <pageMargins left="0.7" right="0.7" top="0.75" bottom="0.75" header="0.3" footer="0.3"/>
  <pageSetup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0341885-21E0-4184-9446-B1CC1A3DC553}">
          <x14:formula1>
            <xm:f>Bolts!$A:$A</xm:f>
          </x14:formula1>
          <xm:sqref>C12:C14</xm:sqref>
        </x14:dataValidation>
        <x14:dataValidation type="list" allowBlank="1" showInputMessage="1" showErrorMessage="1" xr:uid="{15B05FC4-6D82-417D-A371-6031ACC5ABB7}">
          <x14:formula1>
            <xm:f>Machined!$C:$C</xm:f>
          </x14:formula1>
          <xm:sqref>C5</xm:sqref>
        </x14:dataValidation>
        <x14:dataValidation type="list" allowBlank="1" showInputMessage="1" showErrorMessage="1" xr:uid="{B2E088E0-DF7D-4D16-98BE-72A99BA53CE3}">
          <x14:formula1>
            <xm:f>Purchased!$A:$A</xm:f>
          </x14:formula1>
          <xm:sqref>C7:C10</xm:sqref>
        </x14:dataValidation>
      </x14:dataValidations>
    </ext>
  </extLst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5D085-9E03-427A-BEB5-05E7B64FF8CE}">
  <sheetPr codeName="Sheet198">
    <tabColor theme="6" tint="0.59999389629810485"/>
  </sheetPr>
  <dimension ref="A1:Q16"/>
  <sheetViews>
    <sheetView zoomScale="115" zoomScaleNormal="115" workbookViewId="0">
      <selection activeCell="F10" sqref="F10:Q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'8.1'!C10</f>
        <v>PG10.8.1.5.0.A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'8.1'!D10</f>
        <v>CROSS SEAL TEFLON ROLL ASSY</v>
      </c>
      <c r="D3" s="85" t="s">
        <v>50</v>
      </c>
      <c r="E3" s="86" t="str">
        <f ca="1">MID(CELL("filename",A1),FIND("]",CELL("filename",A1))+1,256)</f>
        <v>8.1.5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1238</v>
      </c>
      <c r="D5" s="314" t="str">
        <f>VLOOKUP(C5,Machined!C:X,2,0)</f>
        <v>CROSS SEAL TEFLON ROLL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>Material by Nuline</v>
      </c>
      <c r="I5" s="321" t="str">
        <f>IF(VLOOKUP($C5,Machined!$C:$Y,13,0) = 0, " ", VLOOKUP($C5,Machined!$C:$Y,13,0))</f>
        <v>303 TG&amp;P, Round Stock, -0.0005</v>
      </c>
      <c r="J5" s="44">
        <f>IF(VLOOKUP($C5,Machined!C:Z,18,0) = 0, " ", VLOOKUP($C5,Machined!C:Z,18,0))</f>
        <v>45524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45555</v>
      </c>
      <c r="M5" s="44">
        <f>IF(VLOOKUP($C5,Machined!C:Z,21,0) = 0, " ", VLOOKUP($C5,Machined!C:Z,21,0))</f>
        <v>45527</v>
      </c>
      <c r="N5" s="129">
        <f>IF(VLOOKUP($C5,Machined!C:Z,22,0) = 0, " ", VLOOKUP($C5,Machined!C:Z,22,0))</f>
        <v>55699</v>
      </c>
      <c r="O5" s="45">
        <f ca="1">B5*$L$2</f>
        <v>4</v>
      </c>
      <c r="P5" s="49">
        <f>VLOOKUP(C5,Machined!C:F,3,0)</f>
        <v>83.75</v>
      </c>
      <c r="Q5" s="50">
        <f>B5*P5</f>
        <v>167.5</v>
      </c>
    </row>
    <row r="6" spans="1:17" s="2" customFormat="1" ht="12.75" customHeight="1" x14ac:dyDescent="0.25">
      <c r="A6" s="77">
        <v>2</v>
      </c>
      <c r="B6" s="20">
        <v>4</v>
      </c>
      <c r="C6" s="121" t="s">
        <v>1189</v>
      </c>
      <c r="D6" s="314" t="str">
        <f>VLOOKUP(C6,Machined!C:X,2,0)</f>
        <v>Teflon Roll Holder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55570</v>
      </c>
      <c r="O6" s="45">
        <f t="shared" ref="O6:O7" ca="1" si="0">B6*$L$2</f>
        <v>8</v>
      </c>
      <c r="P6" s="49">
        <f>VLOOKUP(C6,Machined!C:F,3,0)</f>
        <v>57.2</v>
      </c>
      <c r="Q6" s="50">
        <f t="shared" ref="Q6:Q7" si="1">B6*P6</f>
        <v>228.8</v>
      </c>
    </row>
    <row r="7" spans="1:17" s="2" customFormat="1" ht="12.75" customHeight="1" x14ac:dyDescent="0.25">
      <c r="A7" s="77">
        <v>3</v>
      </c>
      <c r="B7" s="20">
        <v>4</v>
      </c>
      <c r="C7" s="121" t="s">
        <v>1190</v>
      </c>
      <c r="D7" s="314" t="str">
        <f>VLOOKUP(C7,Machined!C:X,2,0)</f>
        <v>TEFLON ROLL BRACKET</v>
      </c>
      <c r="E7" s="329"/>
      <c r="F7" s="107" t="str">
        <f>VLOOKUP($C7,Machined!C:Z,13,0)</f>
        <v>1018 COLD ROLLED STEEL</v>
      </c>
      <c r="G7" s="44" t="str">
        <f>IF(VLOOKUP($C7,Machined!C:Z,16,0) = 0, " ", VLOOKUP($C7,Machined!C:Z,16,0))</f>
        <v>Frontier Mach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1018 COLD ROLLED STEEL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55570</v>
      </c>
      <c r="O7" s="45">
        <f t="shared" ca="1" si="0"/>
        <v>8</v>
      </c>
      <c r="P7" s="49">
        <f>VLOOKUP(C7,Machined!C:F,3,0)</f>
        <v>27.6</v>
      </c>
      <c r="Q7" s="50">
        <f t="shared" si="1"/>
        <v>110.4</v>
      </c>
    </row>
    <row r="8" spans="1:17" s="2" customFormat="1" ht="12.75" customHeight="1" x14ac:dyDescent="0.25">
      <c r="A8" s="77">
        <v>4</v>
      </c>
      <c r="B8" s="20">
        <v>4</v>
      </c>
      <c r="C8" s="121" t="s">
        <v>1191</v>
      </c>
      <c r="D8" s="314" t="str">
        <f>VLOOKUP(C8,Machined!C:X,2,0)</f>
        <v>Teflon Roll Axle Clamp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Frontier Mach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55570</v>
      </c>
      <c r="O8" s="45">
        <f ca="1">B8*$L$2</f>
        <v>8</v>
      </c>
      <c r="P8" s="49">
        <f>VLOOKUP(C8,Machined!C:F,3,0)</f>
        <v>21.8</v>
      </c>
      <c r="Q8" s="50">
        <f>B8*P8</f>
        <v>87.2</v>
      </c>
    </row>
    <row r="9" spans="1:17" s="2" customFormat="1" ht="12.75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4">
        <v>301</v>
      </c>
      <c r="B10" s="2">
        <v>2</v>
      </c>
      <c r="C10" s="135" t="s">
        <v>1192</v>
      </c>
      <c r="D10" s="325" t="str">
        <f>VLOOKUP(C10,Purchased!A:B,2,0)</f>
        <v>Clamping Two-Piece Shaft Collar</v>
      </c>
      <c r="E10" s="326"/>
      <c r="F10" s="108" t="str">
        <f>IF(VLOOKUP($C10,Purchased!A:Z,11,0) = 0, " ", VLOOKUP($C10,Purchased!A:Z,11,0))</f>
        <v>CLIMAX</v>
      </c>
      <c r="G10" s="108" t="str">
        <f>IF(VLOOKUP($C10,Purchased!A:Z,12,0)=0, " ", VLOOKUP($C10,Purchased!A:Z,12,0))</f>
        <v>BDI</v>
      </c>
      <c r="H10" s="327" t="str">
        <f>IF(VLOOKUP($C10,Purchased!A:Z,13,0)=0, " ", VLOOKUP($C10,Purchased!A:Z,13,0))</f>
        <v># 193455</v>
      </c>
      <c r="I10" s="328"/>
      <c r="J10" s="46">
        <f>IF(VLOOKUP($C10,Purchased!A:Z,14,0)=0, " ", VLOOKUP($C10,Purchased!A:Z,14,0))</f>
        <v>45460</v>
      </c>
      <c r="K10" s="46">
        <f>IF(VLOOKUP(C10,Purchased!A:R,14,0)=0, " ", VLOOKUP(C10,Purchased!A:R,14,0))</f>
        <v>45460</v>
      </c>
      <c r="L10" s="46">
        <f>IF(VLOOKUP(C10,Purchased!A:R,15,0)=0, " ", VLOOKUP(C10,Purchased!A:R,15,0))</f>
        <v>45462</v>
      </c>
      <c r="M10" s="46">
        <f>IF(VLOOKUP(C10,Purchased!A:R,16,0)=0, " ",VLOOKUP(C10,Purchased!A:R,16,0))</f>
        <v>45495</v>
      </c>
      <c r="N10" s="130">
        <f>IF(VLOOKUP(C10,Purchased!A:R,17,0)=0, " ", VLOOKUP(C10,Purchased!A:R,17,0))</f>
        <v>45495</v>
      </c>
      <c r="O10" s="47">
        <f t="shared" ref="O10" ca="1" si="2">B10*$L$2</f>
        <v>4</v>
      </c>
      <c r="P10" s="51">
        <f>VLOOKUP(C10,Purchased!A:D,3,FALSE)</f>
        <v>9.14</v>
      </c>
      <c r="Q10" s="52">
        <f t="shared" ref="Q10" si="3">B10*P10</f>
        <v>18.28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4">
        <v>501</v>
      </c>
      <c r="B12" s="2">
        <v>8</v>
      </c>
      <c r="C12" s="122" t="s">
        <v>95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16</v>
      </c>
      <c r="P12" s="51">
        <f>VLOOKUP(C12,Bolts!A:B,2,FALSE)</f>
        <v>0</v>
      </c>
      <c r="Q12" s="52">
        <f>B12*P12</f>
        <v>0</v>
      </c>
    </row>
    <row r="13" spans="1:17" s="2" customFormat="1" ht="12.75" customHeight="1" x14ac:dyDescent="0.25">
      <c r="A13" s="4">
        <v>502</v>
      </c>
      <c r="B13" s="2">
        <v>16</v>
      </c>
      <c r="C13" s="122" t="s">
        <v>382</v>
      </c>
      <c r="D13" s="158"/>
      <c r="E13" s="159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ca="1">B13*$L$2</f>
        <v>32</v>
      </c>
      <c r="P13" s="51">
        <f>VLOOKUP(C13,Bolts!A:B,2,FALSE)</f>
        <v>0</v>
      </c>
      <c r="Q13" s="52">
        <f>B13*P13</f>
        <v>0</v>
      </c>
    </row>
    <row r="14" spans="1:17" s="2" customFormat="1" ht="12.75" customHeight="1" thickBot="1" x14ac:dyDescent="0.3">
      <c r="A14" s="4">
        <v>503</v>
      </c>
      <c r="B14" s="2">
        <v>16</v>
      </c>
      <c r="C14" s="122" t="s">
        <v>199</v>
      </c>
      <c r="D14" s="158"/>
      <c r="E14" s="159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ca="1">B14*$L$2</f>
        <v>32</v>
      </c>
      <c r="P14" s="51">
        <f>VLOOKUP(C14,Bolts!A:B,2,FALSE)</f>
        <v>0</v>
      </c>
      <c r="Q14" s="52">
        <f>B14*P14</f>
        <v>0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612.18000000000006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sheetProtection selectLockedCells="1"/>
  <mergeCells count="20">
    <mergeCell ref="D9:E9"/>
    <mergeCell ref="H9:I9"/>
    <mergeCell ref="D1:E1"/>
    <mergeCell ref="D4:E4"/>
    <mergeCell ref="H4:I4"/>
    <mergeCell ref="D5:E5"/>
    <mergeCell ref="H5:I5"/>
    <mergeCell ref="D6:E6"/>
    <mergeCell ref="H6:I6"/>
    <mergeCell ref="D7:E7"/>
    <mergeCell ref="H7:I7"/>
    <mergeCell ref="D8:E8"/>
    <mergeCell ref="H8:I8"/>
    <mergeCell ref="D10:E10"/>
    <mergeCell ref="H10:I10"/>
    <mergeCell ref="D11:E11"/>
    <mergeCell ref="H11:I11"/>
    <mergeCell ref="D15:E15"/>
    <mergeCell ref="H15:I15"/>
    <mergeCell ref="D12:E12"/>
  </mergeCells>
  <conditionalFormatting sqref="M9 M11:M14">
    <cfRule type="cellIs" dxfId="610" priority="3" stopIfTrue="1" operator="lessThanOrEqual">
      <formula>$L9</formula>
    </cfRule>
    <cfRule type="cellIs" dxfId="609" priority="4" operator="greaterThan">
      <formula>L9</formula>
    </cfRule>
  </conditionalFormatting>
  <conditionalFormatting sqref="M10">
    <cfRule type="cellIs" dxfId="608" priority="1" stopIfTrue="1" operator="lessThanOrEqual">
      <formula>$L10</formula>
    </cfRule>
    <cfRule type="cellIs" dxfId="607" priority="2" operator="greaterThan">
      <formula>L10</formula>
    </cfRule>
  </conditionalFormatting>
  <pageMargins left="0.7" right="0.7" top="0.75" bottom="0.75" header="0.3" footer="0.3"/>
  <pageSetup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005E9-F2C8-4FE8-BC47-6E41D7863F1E}">
          <x14:formula1>
            <xm:f>Bolts!$A:$A</xm:f>
          </x14:formula1>
          <xm:sqref>C12:C14</xm:sqref>
        </x14:dataValidation>
        <x14:dataValidation type="list" allowBlank="1" showInputMessage="1" showErrorMessage="1" xr:uid="{527D714F-9855-4021-946B-4C90B21998DA}">
          <x14:formula1>
            <xm:f>Machined!$C:$C</xm:f>
          </x14:formula1>
          <xm:sqref>C5:C8</xm:sqref>
        </x14:dataValidation>
        <x14:dataValidation type="list" allowBlank="1" showInputMessage="1" showErrorMessage="1" xr:uid="{BA53C3E0-7EED-4DB4-B0D5-B0BF149A91AE}">
          <x14:formula1>
            <xm:f>Purchased!$A:$A</xm:f>
          </x14:formula1>
          <xm:sqref>C10</xm:sqref>
        </x14:dataValidation>
      </x14:dataValidations>
    </ext>
  </extLst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2ADDC-5AF2-4368-9E60-35BC2A9F4DF0}">
  <sheetPr codeName="Sheet199">
    <tabColor theme="9" tint="0.59999389629810485"/>
  </sheetPr>
  <dimension ref="A1:Q14"/>
  <sheetViews>
    <sheetView zoomScale="115" zoomScaleNormal="115" workbookViewId="0">
      <selection activeCell="C19" sqref="C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'8'!C6</f>
        <v>PG10.8.2.0.A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'8'!D6</f>
        <v>UPPER CROSS SEAL CASSETTE</v>
      </c>
      <c r="D3" s="85" t="s">
        <v>50</v>
      </c>
      <c r="E3" s="86" t="str">
        <f ca="1">MID(CELL("filename",A1),FIND("]",CELL("filename",A1))+1,256)</f>
        <v>8.2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1" customFormat="1" ht="12.75" customHeight="1" x14ac:dyDescent="0.2">
      <c r="A5" s="110" t="s">
        <v>54</v>
      </c>
      <c r="B5" s="111">
        <v>2</v>
      </c>
      <c r="C5" s="112" t="s">
        <v>1139</v>
      </c>
      <c r="D5" s="336" t="str">
        <f ca="1">VLOOKUP(C5,Assemblies!E:P,2,0)</f>
        <v>SEAL BAR ROD END ASSY</v>
      </c>
      <c r="E5" s="348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0" ca="1" si="0">B5*$L$2</f>
        <v>2</v>
      </c>
      <c r="P5" s="117">
        <f>'7.2.5'!Q19</f>
        <v>360.20000000000005</v>
      </c>
      <c r="Q5" s="118">
        <f t="shared" ref="Q5:Q10" si="1">B5*P5</f>
        <v>720.40000000000009</v>
      </c>
    </row>
    <row r="6" spans="1:17" s="1" customFormat="1" ht="12.75" customHeight="1" x14ac:dyDescent="0.2">
      <c r="A6" s="150" t="s">
        <v>56</v>
      </c>
      <c r="B6" s="1">
        <v>1</v>
      </c>
      <c r="C6" s="145" t="s">
        <v>1213</v>
      </c>
      <c r="D6" s="314" t="str">
        <f ca="1">VLOOKUP(C6,Assemblies!E:P,2,0)</f>
        <v>CROSS SEAL CASSETTE FRAME</v>
      </c>
      <c r="E6" s="314"/>
      <c r="F6" s="154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'8.1.1'!Q20</f>
        <v>1129.2420000000002</v>
      </c>
      <c r="Q6" s="153">
        <f t="shared" si="1"/>
        <v>1129.2420000000002</v>
      </c>
    </row>
    <row r="7" spans="1:17" s="1" customFormat="1" ht="12.75" customHeight="1" x14ac:dyDescent="0.2">
      <c r="A7" s="76" t="s">
        <v>58</v>
      </c>
      <c r="B7" s="1">
        <v>1</v>
      </c>
      <c r="C7" s="145" t="s">
        <v>1239</v>
      </c>
      <c r="D7" s="314" t="str">
        <f ca="1">VLOOKUP(C7,Assemblies!E:P,2,0)</f>
        <v>UPPER CROSS SEAL SERVO ASSY</v>
      </c>
      <c r="E7" s="347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'8.2.1'!Q25</f>
        <v>5312.3373000000001</v>
      </c>
      <c r="Q7" s="103">
        <f t="shared" si="1"/>
        <v>5312.3373000000001</v>
      </c>
    </row>
    <row r="8" spans="1:17" s="1" customFormat="1" ht="12.75" customHeight="1" x14ac:dyDescent="0.2">
      <c r="A8" s="150" t="s">
        <v>60</v>
      </c>
      <c r="B8" s="1">
        <v>1</v>
      </c>
      <c r="C8" s="145" t="s">
        <v>1240</v>
      </c>
      <c r="D8" s="314" t="str">
        <f ca="1">VLOOKUP(C8,Assemblies!E:P,2,0)</f>
        <v>UPPER CROSS SEAL HEAD ASSY</v>
      </c>
      <c r="E8" s="314"/>
      <c r="F8" s="154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'8.2.2'!Q24</f>
        <v>2410.5099999999998</v>
      </c>
      <c r="Q8" s="153">
        <f t="shared" si="1"/>
        <v>2410.5099999999998</v>
      </c>
    </row>
    <row r="9" spans="1:17" s="1" customFormat="1" ht="12.75" customHeight="1" x14ac:dyDescent="0.2">
      <c r="A9" s="76" t="s">
        <v>62</v>
      </c>
      <c r="B9" s="1">
        <v>2</v>
      </c>
      <c r="C9" s="145" t="s">
        <v>1216</v>
      </c>
      <c r="D9" s="314" t="str">
        <f ca="1">VLOOKUP(C9,Assemblies!E:P,2,0)</f>
        <v>CROSS SEAL 1-PLUG BOX</v>
      </c>
      <c r="E9" s="347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2</v>
      </c>
      <c r="P9" s="147">
        <f>'8.1.4'!Q15</f>
        <v>158.15</v>
      </c>
      <c r="Q9" s="103">
        <f t="shared" si="1"/>
        <v>316.3</v>
      </c>
    </row>
    <row r="10" spans="1:17" s="1" customFormat="1" ht="12.75" customHeight="1" x14ac:dyDescent="0.2">
      <c r="A10" s="76" t="s">
        <v>62</v>
      </c>
      <c r="B10" s="1">
        <v>1</v>
      </c>
      <c r="C10" s="145" t="s">
        <v>1217</v>
      </c>
      <c r="D10" s="314" t="str">
        <f ca="1">VLOOKUP(C10,Assemblies!E:P,2,0)</f>
        <v>CROSS SEAL TEFLON ROLL ASSY</v>
      </c>
      <c r="E10" s="347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ca="1" si="0"/>
        <v>1</v>
      </c>
      <c r="P10" s="147">
        <f>'8.1.5'!Q15</f>
        <v>612.18000000000006</v>
      </c>
      <c r="Q10" s="103">
        <f t="shared" si="1"/>
        <v>612.18000000000006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thickBot="1" x14ac:dyDescent="0.3">
      <c r="A12" s="4">
        <v>501</v>
      </c>
      <c r="B12" s="2">
        <v>16</v>
      </c>
      <c r="C12" s="122" t="s">
        <v>1218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16</v>
      </c>
      <c r="P12" s="51">
        <f>VLOOKUP(C12,Bolts!A:B,2,FALSE)</f>
        <v>0</v>
      </c>
      <c r="Q12" s="52">
        <f>B12*P12</f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10500.969300000001</v>
      </c>
    </row>
    <row r="14" spans="1:17" s="2" customFormat="1" ht="12" customHeight="1" x14ac:dyDescent="0.2">
      <c r="D14" s="21"/>
      <c r="E14" s="21"/>
      <c r="J14" s="8"/>
      <c r="K14" s="8"/>
      <c r="L14" s="8"/>
      <c r="M14" s="8"/>
      <c r="N14" s="131"/>
      <c r="O14" s="5"/>
      <c r="P14" s="98"/>
      <c r="Q14" s="105"/>
    </row>
  </sheetData>
  <mergeCells count="20">
    <mergeCell ref="D13:E13"/>
    <mergeCell ref="H13:I13"/>
    <mergeCell ref="D12:E12"/>
    <mergeCell ref="D11:E11"/>
    <mergeCell ref="H11:I11"/>
    <mergeCell ref="D1:E1"/>
    <mergeCell ref="D4:E4"/>
    <mergeCell ref="H4:I4"/>
    <mergeCell ref="D10:E10"/>
    <mergeCell ref="H10:I10"/>
    <mergeCell ref="D9:E9"/>
    <mergeCell ref="H9:I9"/>
    <mergeCell ref="D5:E5"/>
    <mergeCell ref="H5:I5"/>
    <mergeCell ref="D6:E6"/>
    <mergeCell ref="H6:I6"/>
    <mergeCell ref="D7:E7"/>
    <mergeCell ref="H7:I7"/>
    <mergeCell ref="D8:E8"/>
    <mergeCell ref="H8:I8"/>
  </mergeCells>
  <conditionalFormatting sqref="M11:M12">
    <cfRule type="cellIs" dxfId="606" priority="1" stopIfTrue="1" operator="lessThanOrEqual">
      <formula>$L11</formula>
    </cfRule>
    <cfRule type="cellIs" dxfId="605" priority="2" operator="greaterThan">
      <formula>L11</formula>
    </cfRule>
  </conditionalFormatting>
  <pageMargins left="0.7" right="0.7" top="0.75" bottom="0.75" header="0.3" footer="0.3"/>
  <pageSetup paperSize="6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B1535CD-2D61-4791-A17A-E27BCBFCD58C}">
          <x14:formula1>
            <xm:f>Bolts!$A:$A</xm:f>
          </x14:formula1>
          <xm:sqref>C12</xm:sqref>
        </x14:dataValidation>
        <x14:dataValidation type="list" allowBlank="1" showInputMessage="1" showErrorMessage="1" xr:uid="{728F56C4-8B5D-4DF9-86DC-98B605EB52D6}">
          <x14:formula1>
            <xm:f>Assemblies!$E:$E</xm:f>
          </x14:formula1>
          <xm:sqref>C5:C10</xm:sqref>
        </x14:dataValidation>
      </x14:dataValidations>
    </ext>
  </extLst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E694A-1537-49B0-A9DD-84685838097A}">
  <sheetPr codeName="Sheet200">
    <tabColor theme="6" tint="0.59999389629810485"/>
    <pageSetUpPr fitToPage="1"/>
  </sheetPr>
  <dimension ref="A1:Q26"/>
  <sheetViews>
    <sheetView zoomScale="115" zoomScaleNormal="115" workbookViewId="0">
      <selection activeCell="A15" sqref="A15:Q1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'8.2'!C7</f>
        <v>PG10.8.2.1.0.A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'8.2'!D7</f>
        <v>UPPER CROSS SEAL SERVO ASSY</v>
      </c>
      <c r="D3" s="85" t="s">
        <v>50</v>
      </c>
      <c r="E3" s="86" t="str">
        <f ca="1">MID(CELL("filename",A1),FIND("]",CELL("filename",A1))+1,256)</f>
        <v>8.2.1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1225</v>
      </c>
      <c r="D5" s="314" t="str">
        <f>VLOOKUP(C5,Machined!C:X,2,0)</f>
        <v>CROSS SEAL CRANKSHAFT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Nuline</v>
      </c>
      <c r="H5" s="320" t="str">
        <f>IF(VLOOKUP($C5,Machined!C:Z,17,0) = 0, " ", VLOOKUP($C5,Machined!C:Z,17,0))</f>
        <v>Material by Nuline</v>
      </c>
      <c r="I5" s="321" t="str">
        <f>IF(VLOOKUP($C5,Machined!$C:$Y,13,0) = 0, " ", VLOOKUP($C5,Machined!$C:$Y,13,0))</f>
        <v>303 TG&amp;P, Round Stock, -0.0005</v>
      </c>
      <c r="J5" s="44">
        <f>IF(VLOOKUP($C5,Machined!C:Z,18,0) = 0, " ", VLOOKUP($C5,Machined!C:Z,18,0))</f>
        <v>45525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45541</v>
      </c>
      <c r="M5" s="44">
        <f>IF(VLOOKUP($C5,Machined!C:Z,21,0) = 0, " ", VLOOKUP($C5,Machined!C:Z,21,0))</f>
        <v>45527</v>
      </c>
      <c r="N5" s="129">
        <f>IF(VLOOKUP($C5,Machined!C:Z,22,0) = 0, " ", VLOOKUP($C5,Machined!C:Z,22,0))</f>
        <v>55700</v>
      </c>
      <c r="O5" s="45">
        <f ca="1">B5*$L$2</f>
        <v>1</v>
      </c>
      <c r="P5" s="49">
        <f>VLOOKUP(C5,Machined!C:F,3,0)</f>
        <v>101.5</v>
      </c>
      <c r="Q5" s="50">
        <f>B5*P5</f>
        <v>101.5</v>
      </c>
    </row>
    <row r="6" spans="1:17" s="2" customFormat="1" ht="12.75" customHeight="1" x14ac:dyDescent="0.25">
      <c r="A6" s="77">
        <v>2</v>
      </c>
      <c r="B6" s="20">
        <v>1</v>
      </c>
      <c r="C6" s="121" t="s">
        <v>1154</v>
      </c>
      <c r="D6" s="314" t="str">
        <f>VLOOKUP(C6,Machined!C:X,2,0)</f>
        <v>Seal Bar Gearbox Plate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MtnStatesAuto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45467</v>
      </c>
      <c r="L6" s="44">
        <f>IF(VLOOKUP($C6,Machined!C:Z,20,0) = 0, " ", VLOOKUP($C6,Machined!C:Z,20,0))</f>
        <v>45504</v>
      </c>
      <c r="M6" s="44">
        <f>IF(VLOOKUP($C6,Machined!C:Z,21,0) = 0, " ", VLOOKUP($C6,Machined!C:Z,21,0))</f>
        <v>45504</v>
      </c>
      <c r="N6" s="129">
        <f>IF(VLOOKUP($C6,Machined!C:Z,22,0) = 0, " ", VLOOKUP($C6,Machined!C:Z,22,0))</f>
        <v>55569</v>
      </c>
      <c r="O6" s="45">
        <f t="shared" ref="O6:O7" ca="1" si="0">B6*$L$2</f>
        <v>1</v>
      </c>
      <c r="P6" s="49">
        <f>VLOOKUP(C6,Machined!C:F,3,0)</f>
        <v>70.3</v>
      </c>
      <c r="Q6" s="50">
        <f t="shared" ref="Q6:Q7" si="1">B6*P6</f>
        <v>70.3</v>
      </c>
    </row>
    <row r="7" spans="1:17" s="2" customFormat="1" ht="12.75" customHeight="1" x14ac:dyDescent="0.25">
      <c r="A7" s="77">
        <v>3</v>
      </c>
      <c r="B7" s="20">
        <v>2</v>
      </c>
      <c r="C7" s="121" t="s">
        <v>1155</v>
      </c>
      <c r="D7" s="314" t="str">
        <f>VLOOKUP(C7,Machined!C:X,2,0)</f>
        <v>Shipp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MtnStatesAuto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45467</v>
      </c>
      <c r="L7" s="44">
        <f>IF(VLOOKUP($C7,Machined!C:Z,20,0) = 0, " ", VLOOKUP($C7,Machined!C:Z,20,0))</f>
        <v>45504</v>
      </c>
      <c r="M7" s="44">
        <f>IF(VLOOKUP($C7,Machined!C:Z,21,0) = 0, " ", VLOOKUP($C7,Machined!C:Z,21,0))</f>
        <v>45504</v>
      </c>
      <c r="N7" s="129">
        <f>IF(VLOOKUP($C7,Machined!C:Z,22,0) = 0, " ", VLOOKUP($C7,Machined!C:Z,22,0))</f>
        <v>55569</v>
      </c>
      <c r="O7" s="45">
        <f t="shared" ca="1" si="0"/>
        <v>2</v>
      </c>
      <c r="P7" s="49">
        <f>VLOOKUP(C7,Machined!C:F,3,0)</f>
        <v>53.4</v>
      </c>
      <c r="Q7" s="50">
        <f t="shared" si="1"/>
        <v>106.8</v>
      </c>
    </row>
    <row r="8" spans="1:17" s="2" customFormat="1" ht="12.75" customHeight="1" x14ac:dyDescent="0.25">
      <c r="A8" s="77">
        <v>4</v>
      </c>
      <c r="B8" s="20">
        <v>1</v>
      </c>
      <c r="C8" s="121" t="s">
        <v>1156</v>
      </c>
      <c r="D8" s="314" t="str">
        <f>VLOOKUP(C8,Machined!C:X,2,0)</f>
        <v>Large Gearbox Offset Block</v>
      </c>
      <c r="E8" s="329"/>
      <c r="F8" s="107" t="str">
        <f>VLOOKUP($C8,Machined!C:Z,13,0)</f>
        <v>6061-T6 ALUMINUM</v>
      </c>
      <c r="G8" s="44" t="str">
        <f>IF(VLOOKUP($C8,Machined!C:Z,16,0) = 0, " ", VLOOKUP($C8,Machined!C:Z,16,0))</f>
        <v>MtnStatesAuto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6061-T6 ALUMINUM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45467</v>
      </c>
      <c r="L8" s="44">
        <f>IF(VLOOKUP($C8,Machined!C:Z,20,0) = 0, " ", VLOOKUP($C8,Machined!C:Z,20,0))</f>
        <v>45504</v>
      </c>
      <c r="M8" s="44">
        <f>IF(VLOOKUP($C8,Machined!C:Z,21,0) = 0, " ", VLOOKUP($C8,Machined!C:Z,21,0))</f>
        <v>45504</v>
      </c>
      <c r="N8" s="129">
        <f>IF(VLOOKUP($C8,Machined!C:Z,22,0) = 0, " ", VLOOKUP($C8,Machined!C:Z,22,0))</f>
        <v>55569</v>
      </c>
      <c r="O8" s="45">
        <f ca="1">B8*$L$2</f>
        <v>1</v>
      </c>
      <c r="P8" s="49">
        <f>VLOOKUP(C8,Machined!C:F,3,0)</f>
        <v>123.15</v>
      </c>
      <c r="Q8" s="50">
        <f>B8*P8</f>
        <v>123.15</v>
      </c>
    </row>
    <row r="9" spans="1:17" s="2" customFormat="1" ht="12.75" customHeight="1" x14ac:dyDescent="0.25">
      <c r="A9" s="77">
        <v>5</v>
      </c>
      <c r="B9" s="20">
        <v>2</v>
      </c>
      <c r="C9" s="121" t="s">
        <v>1157</v>
      </c>
      <c r="D9" s="314" t="str">
        <f>VLOOKUP(C9,Machined!C:X,2,0)</f>
        <v>Crankshaft Bearing Mount Plate</v>
      </c>
      <c r="E9" s="329"/>
      <c r="F9" s="107" t="str">
        <f>VLOOKUP($C9,Machined!C:Z,13,0)</f>
        <v>6061-T6 ALUMINUM</v>
      </c>
      <c r="G9" s="44" t="str">
        <f>IF(VLOOKUP($C9,Machined!C:Z,16,0) = 0, " ", VLOOKUP($C9,Machined!C:Z,16,0))</f>
        <v>MtnStatesAuto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6061-T6 ALUMINUM</v>
      </c>
      <c r="J9" s="44">
        <f>IF(VLOOKUP($C9,Machined!C:Z,18,0) = 0, " ", VLOOKUP($C9,Machined!C:Z,18,0))</f>
        <v>45461</v>
      </c>
      <c r="K9" s="44">
        <f>IF(VLOOKUP($C9,Machined!C:Z,19,0) = 0, " ", VLOOKUP($C9,Machined!C:Z,19,0))</f>
        <v>45467</v>
      </c>
      <c r="L9" s="44">
        <f>IF(VLOOKUP($C9,Machined!C:Z,20,0) = 0, " ", VLOOKUP($C9,Machined!C:Z,20,0))</f>
        <v>45504</v>
      </c>
      <c r="M9" s="44">
        <f>IF(VLOOKUP($C9,Machined!C:Z,21,0) = 0, " ", VLOOKUP($C9,Machined!C:Z,21,0))</f>
        <v>45504</v>
      </c>
      <c r="N9" s="129">
        <f>IF(VLOOKUP($C9,Machined!C:Z,22,0) = 0, " ", VLOOKUP($C9,Machined!C:Z,22,0))</f>
        <v>55569</v>
      </c>
      <c r="O9" s="45">
        <f t="shared" ref="O9" ca="1" si="2">B9*$L$2</f>
        <v>2</v>
      </c>
      <c r="P9" s="49">
        <f>VLOOKUP(C9,Machined!C:F,3,0)</f>
        <v>66.3</v>
      </c>
      <c r="Q9" s="50">
        <f t="shared" ref="Q9" si="3">B9*P9</f>
        <v>132.6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301</v>
      </c>
      <c r="B11" s="2">
        <v>16</v>
      </c>
      <c r="C11" s="135" t="s">
        <v>104</v>
      </c>
      <c r="D11" s="325" t="str">
        <f>VLOOKUP(C11,Purchased!A:B,2,0)</f>
        <v>BRX GOTO T-NUT 10 M8</v>
      </c>
      <c r="E11" s="326"/>
      <c r="F11" s="108" t="str">
        <f>IF(VLOOKUP($C11,Purchased!A:Z,11,0) = 0, " ", VLOOKUP($C11,Purchased!A:Z,11,0))</f>
        <v>BRX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>400 additional quantity added to 55710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45463</v>
      </c>
      <c r="M11" s="46">
        <f>IF(VLOOKUP(C11,Purchased!A:R,16,0)=0, " ",VLOOKUP(C11,Purchased!A:R,16,0))</f>
        <v>45481</v>
      </c>
      <c r="N11" s="130">
        <f>IF(VLOOKUP(C11,Purchased!A:R,17,0)=0, " ", VLOOKUP(C11,Purchased!A:R,17,0))</f>
        <v>45481</v>
      </c>
      <c r="O11" s="47">
        <f t="shared" ref="O11:O14" ca="1" si="4">B11*$L$2</f>
        <v>16</v>
      </c>
      <c r="P11" s="51">
        <f>VLOOKUP(C11,Purchased!A:D,3,FALSE)</f>
        <v>0.56000000000000005</v>
      </c>
      <c r="Q11" s="52">
        <f t="shared" ref="Q11:Q14" si="5">B11*P11</f>
        <v>8.9600000000000009</v>
      </c>
    </row>
    <row r="12" spans="1:17" s="2" customFormat="1" ht="12" customHeight="1" x14ac:dyDescent="0.25">
      <c r="A12" s="4">
        <v>302</v>
      </c>
      <c r="B12" s="2">
        <v>2</v>
      </c>
      <c r="C12" s="135" t="s">
        <v>1158</v>
      </c>
      <c r="D12" s="325" t="str">
        <f>VLOOKUP(C12,Purchased!A:B,2,0)</f>
        <v>Mounted Steel Ball Bearing with Cast Iron Housing</v>
      </c>
      <c r="E12" s="326"/>
      <c r="F12" s="108" t="str">
        <f>IF(VLOOKUP($C12,Purchased!A:Z,11,0) = 0, " ", VLOOKUP($C12,Purchased!A:Z,11,0))</f>
        <v>Timken</v>
      </c>
      <c r="G12" s="108" t="str">
        <f>IF(VLOOKUP($C12,Purchased!A:Z,12,0)=0, " ", VLOOKUP($C12,Purchased!A:Z,12,0))</f>
        <v>BDI</v>
      </c>
      <c r="H12" s="327" t="str">
        <f>IF(VLOOKUP($C12,Purchased!A:Z,13,0)=0, " ", VLOOKUP($C12,Purchased!A:Z,13,0))</f>
        <v># 20353591</v>
      </c>
      <c r="I12" s="328"/>
      <c r="J12" s="46">
        <f>IF(VLOOKUP($C12,Purchased!A:Z,14,0)=0, " ", VLOOKUP($C12,Purchased!A:Z,14,0))</f>
        <v>45460</v>
      </c>
      <c r="K12" s="46">
        <f>IF(VLOOKUP(C12,Purchased!A:R,14,0)=0, " ", VLOOKUP(C12,Purchased!A:R,14,0))</f>
        <v>45460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45495</v>
      </c>
      <c r="O12" s="47">
        <f t="shared" ca="1" si="4"/>
        <v>2</v>
      </c>
      <c r="P12" s="51">
        <f>VLOOKUP(C12,Purchased!A:D,3,FALSE)</f>
        <v>62.35</v>
      </c>
      <c r="Q12" s="52">
        <f t="shared" si="5"/>
        <v>124.7</v>
      </c>
    </row>
    <row r="13" spans="1:17" s="2" customFormat="1" ht="12" customHeight="1" x14ac:dyDescent="0.25">
      <c r="A13" s="4">
        <v>303</v>
      </c>
      <c r="B13" s="2">
        <v>2</v>
      </c>
      <c r="C13" s="135" t="s">
        <v>1159</v>
      </c>
      <c r="D13" s="325" t="str">
        <f>VLOOKUP(C13,Purchased!A:B,2,0)</f>
        <v>Rounded Machine Key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4"/>
        <v>2</v>
      </c>
      <c r="P13" s="51">
        <f>VLOOKUP(C13,Purchased!A:D,3,FALSE)</f>
        <v>6.04</v>
      </c>
      <c r="Q13" s="52">
        <f t="shared" si="5"/>
        <v>12.08</v>
      </c>
    </row>
    <row r="14" spans="1:17" s="2" customFormat="1" ht="12" customHeight="1" x14ac:dyDescent="0.25">
      <c r="A14" s="4">
        <v>304</v>
      </c>
      <c r="B14" s="2">
        <v>1</v>
      </c>
      <c r="C14" s="135" t="s">
        <v>1241</v>
      </c>
      <c r="D14" s="325" t="str">
        <f>VLOOKUP(C14,Purchased!A:B,2,0)</f>
        <v>K302WG0200EZ502U Gearmotor, Upper Cross Seal</v>
      </c>
      <c r="E14" s="326"/>
      <c r="F14" s="108" t="str">
        <f>IF(VLOOKUP($C14,Purchased!A:Z,11,0) = 0, " ", VLOOKUP($C14,Purchased!A:Z,11,0))</f>
        <v>Stober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45426</v>
      </c>
      <c r="K14" s="46">
        <f>IF(VLOOKUP(C14,Purchased!A:R,14,0)=0, " ", VLOOKUP(C14,Purchased!A:R,14,0))</f>
        <v>45426</v>
      </c>
      <c r="L14" s="46">
        <f>IF(VLOOKUP(C14,Purchased!A:R,15,0)=0, " ", VLOOKUP(C14,Purchased!A:R,15,0))</f>
        <v>45426</v>
      </c>
      <c r="M14" s="46">
        <f>IF(VLOOKUP(C14,Purchased!A:R,16,0)=0, " ",VLOOKUP(C14,Purchased!A:R,16,0))</f>
        <v>45524</v>
      </c>
      <c r="N14" s="130">
        <f>IF(VLOOKUP(C14,Purchased!A:R,17,0)=0, " ", VLOOKUP(C14,Purchased!A:R,17,0))</f>
        <v>45524</v>
      </c>
      <c r="O14" s="47">
        <f t="shared" ca="1" si="4"/>
        <v>1</v>
      </c>
      <c r="P14" s="51">
        <f>VLOOKUP(C14,Purchased!A:D,3,FALSE)</f>
        <v>3966.3107</v>
      </c>
      <c r="Q14" s="52">
        <f t="shared" si="5"/>
        <v>3966.3107</v>
      </c>
    </row>
    <row r="15" spans="1:17" s="2" customFormat="1" ht="12" customHeight="1" x14ac:dyDescent="0.25">
      <c r="A15" s="4">
        <v>305</v>
      </c>
      <c r="B15" s="2">
        <v>1</v>
      </c>
      <c r="C15" s="135" t="s">
        <v>307</v>
      </c>
      <c r="D15" s="325" t="str">
        <f>VLOOKUP(C15,Purchased!A:B,2,0)</f>
        <v>STOBER - Power cable -56876, 15MTR</v>
      </c>
      <c r="E15" s="326"/>
      <c r="F15" s="108" t="str">
        <f>IF(VLOOKUP($C15,Purchased!A:Z,11,0) = 0, " ", VLOOKUP($C15,Purchased!A:Z,11,0))</f>
        <v>STOBER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45464</v>
      </c>
      <c r="M15" s="46">
        <f>IF(VLOOKUP(C15,Purchased!A:R,16,0)=0, " ",VLOOKUP(C15,Purchased!A:R,16,0))</f>
        <v>45532</v>
      </c>
      <c r="N15" s="130">
        <f>IF(VLOOKUP(C15,Purchased!A:R,17,0)=0, " ", VLOOKUP(C15,Purchased!A:R,17,0))</f>
        <v>45532</v>
      </c>
      <c r="O15" s="47">
        <f t="shared" ref="O15:O16" ca="1" si="6">B15*$L$2</f>
        <v>1</v>
      </c>
      <c r="P15" s="51">
        <f>VLOOKUP(C15,Purchased!A:D,3,FALSE)</f>
        <v>325.7473</v>
      </c>
      <c r="Q15" s="52">
        <f t="shared" ref="Q15:Q16" si="7">B15*P15</f>
        <v>325.7473</v>
      </c>
    </row>
    <row r="16" spans="1:17" s="2" customFormat="1" ht="12" customHeight="1" x14ac:dyDescent="0.25">
      <c r="A16" s="4">
        <v>306</v>
      </c>
      <c r="B16" s="2">
        <v>1</v>
      </c>
      <c r="C16" s="135" t="s">
        <v>308</v>
      </c>
      <c r="D16" s="325" t="str">
        <f>VLOOKUP(C16,Purchased!A:B,2,0)</f>
        <v>STOBER - Encoder cable -57815, 15MTR</v>
      </c>
      <c r="E16" s="326"/>
      <c r="F16" s="108" t="str">
        <f>IF(VLOOKUP($C16,Purchased!A:Z,11,0) = 0, " ", VLOOKUP($C16,Purchased!A:Z,11,0))</f>
        <v>STOBER</v>
      </c>
      <c r="G16" s="108" t="str">
        <f>IF(VLOOKUP($C16,Purchased!A:Z,12,0)=0, " ", VLOOKUP($C16,Purchased!A:Z,12,0))</f>
        <v>AAP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45463</v>
      </c>
      <c r="K16" s="46">
        <f>IF(VLOOKUP(C16,Purchased!A:R,14,0)=0, " ", VLOOKUP(C16,Purchased!A:R,14,0))</f>
        <v>45463</v>
      </c>
      <c r="L16" s="46">
        <f>IF(VLOOKUP(C16,Purchased!A:R,15,0)=0, " ", VLOOKUP(C16,Purchased!A:R,15,0))</f>
        <v>45464</v>
      </c>
      <c r="M16" s="46">
        <f>IF(VLOOKUP(C16,Purchased!A:R,16,0)=0, " ",VLOOKUP(C16,Purchased!A:R,16,0))</f>
        <v>45532</v>
      </c>
      <c r="N16" s="130">
        <f>IF(VLOOKUP(C16,Purchased!A:R,17,0)=0, " ", VLOOKUP(C16,Purchased!A:R,17,0))</f>
        <v>45532</v>
      </c>
      <c r="O16" s="47">
        <f t="shared" ca="1" si="6"/>
        <v>1</v>
      </c>
      <c r="P16" s="51">
        <f>VLOOKUP(C16,Purchased!A:D,3,FALSE)</f>
        <v>340.1893</v>
      </c>
      <c r="Q16" s="52">
        <f t="shared" si="7"/>
        <v>340.1893</v>
      </c>
    </row>
    <row r="17" spans="1:17" s="2" customFormat="1" ht="12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" customHeight="1" x14ac:dyDescent="0.25">
      <c r="A18" s="4">
        <v>501</v>
      </c>
      <c r="B18" s="2">
        <v>8</v>
      </c>
      <c r="C18" s="122" t="s">
        <v>203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ref="O18:O24" ca="1" si="8">B18*$L$2</f>
        <v>8</v>
      </c>
      <c r="P18" s="51">
        <f>VLOOKUP(C18,Bolts!A:B,2,FALSE)</f>
        <v>0</v>
      </c>
      <c r="Q18" s="52">
        <f t="shared" ref="Q18:Q24" si="9">B18*P18</f>
        <v>0</v>
      </c>
    </row>
    <row r="19" spans="1:17" s="2" customFormat="1" ht="12" customHeight="1" x14ac:dyDescent="0.25">
      <c r="A19" s="4">
        <v>502</v>
      </c>
      <c r="B19" s="2">
        <v>4</v>
      </c>
      <c r="C19" s="122" t="s">
        <v>269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8"/>
        <v>4</v>
      </c>
      <c r="P19" s="51">
        <f>VLOOKUP(C19,Bolts!A:B,2,FALSE)</f>
        <v>0</v>
      </c>
      <c r="Q19" s="52">
        <f t="shared" si="9"/>
        <v>0</v>
      </c>
    </row>
    <row r="20" spans="1:17" s="2" customFormat="1" ht="12" customHeight="1" x14ac:dyDescent="0.25">
      <c r="A20" s="4">
        <v>503</v>
      </c>
      <c r="B20" s="2">
        <v>4</v>
      </c>
      <c r="C20" s="122" t="s">
        <v>1161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ca="1" si="8"/>
        <v>4</v>
      </c>
      <c r="P20" s="51">
        <f>VLOOKUP(C20,Bolts!A:B,2,FALSE)</f>
        <v>0</v>
      </c>
      <c r="Q20" s="52">
        <f t="shared" si="9"/>
        <v>0</v>
      </c>
    </row>
    <row r="21" spans="1:17" s="2" customFormat="1" ht="12" customHeight="1" x14ac:dyDescent="0.25">
      <c r="A21" s="4">
        <v>504</v>
      </c>
      <c r="B21" s="2">
        <v>4</v>
      </c>
      <c r="C21" s="122" t="s">
        <v>1162</v>
      </c>
      <c r="D21" s="325"/>
      <c r="E21" s="326"/>
      <c r="F21" s="108" t="str">
        <f>VLOOKUP(C21,Bolts!A:L,5,0)</f>
        <v xml:space="preserve"> </v>
      </c>
      <c r="G21" s="108" t="str">
        <f>VLOOKUP(C21,Bolts!A:L,6,0)</f>
        <v xml:space="preserve"> 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8"/>
        <v>4</v>
      </c>
      <c r="P21" s="51">
        <f>VLOOKUP(C21,Bolts!A:B,2,FALSE)</f>
        <v>0</v>
      </c>
      <c r="Q21" s="52">
        <f t="shared" si="9"/>
        <v>0</v>
      </c>
    </row>
    <row r="22" spans="1:17" s="2" customFormat="1" ht="12" customHeight="1" x14ac:dyDescent="0.25">
      <c r="A22" s="4">
        <v>505</v>
      </c>
      <c r="B22" s="2">
        <v>2</v>
      </c>
      <c r="C22" s="122" t="s">
        <v>188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8"/>
        <v>2</v>
      </c>
      <c r="P22" s="51">
        <f>VLOOKUP(C22,Bolts!A:B,2,FALSE)</f>
        <v>0</v>
      </c>
      <c r="Q22" s="52">
        <f t="shared" si="9"/>
        <v>0</v>
      </c>
    </row>
    <row r="23" spans="1:17" s="2" customFormat="1" ht="12" customHeight="1" x14ac:dyDescent="0.25">
      <c r="A23" s="4">
        <v>506</v>
      </c>
      <c r="B23" s="2">
        <v>4</v>
      </c>
      <c r="C23" s="122" t="s">
        <v>692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ca="1">B23*$L$2</f>
        <v>4</v>
      </c>
      <c r="P23" s="51">
        <f>VLOOKUP(C23,Bolts!A:B,2,FALSE)</f>
        <v>0</v>
      </c>
      <c r="Q23" s="52">
        <f>B23*P23</f>
        <v>0</v>
      </c>
    </row>
    <row r="24" spans="1:17" s="2" customFormat="1" ht="12" customHeight="1" thickBot="1" x14ac:dyDescent="0.3">
      <c r="A24" s="4">
        <v>507</v>
      </c>
      <c r="B24" s="2">
        <v>4</v>
      </c>
      <c r="C24" s="122" t="s">
        <v>1163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8"/>
        <v>4</v>
      </c>
      <c r="P24" s="51">
        <f>VLOOKUP(C24,Bolts!A:B,2,FALSE)</f>
        <v>0</v>
      </c>
      <c r="Q24" s="52">
        <f t="shared" si="9"/>
        <v>0</v>
      </c>
    </row>
    <row r="25" spans="1:17" s="2" customFormat="1" ht="12" customHeight="1" thickBot="1" x14ac:dyDescent="0.3">
      <c r="A25" s="34"/>
      <c r="B25" s="35"/>
      <c r="C25" s="35"/>
      <c r="D25" s="316"/>
      <c r="E25" s="317"/>
      <c r="F25" s="35"/>
      <c r="G25" s="35"/>
      <c r="H25" s="309"/>
      <c r="I25" s="310"/>
      <c r="J25" s="36"/>
      <c r="K25" s="36"/>
      <c r="L25" s="36"/>
      <c r="M25" s="37"/>
      <c r="N25" s="132"/>
      <c r="O25" s="38"/>
      <c r="P25" s="99" t="s">
        <v>43</v>
      </c>
      <c r="Q25" s="104">
        <f>SUM(Q5:Q24)</f>
        <v>5312.3373000000001</v>
      </c>
    </row>
    <row r="26" spans="1:17" s="2" customFormat="1" ht="12" customHeight="1" x14ac:dyDescent="0.2">
      <c r="D26" s="21"/>
      <c r="E26" s="21"/>
      <c r="J26" s="8"/>
      <c r="K26" s="8"/>
      <c r="L26" s="8"/>
      <c r="M26" s="8"/>
      <c r="N26" s="131"/>
      <c r="O26" s="5"/>
      <c r="P26" s="98"/>
      <c r="Q26" s="105"/>
    </row>
  </sheetData>
  <sheetProtection selectLockedCells="1"/>
  <mergeCells count="38">
    <mergeCell ref="D1:E1"/>
    <mergeCell ref="D4:E4"/>
    <mergeCell ref="H4:I4"/>
    <mergeCell ref="D25:E25"/>
    <mergeCell ref="H25:I25"/>
    <mergeCell ref="D5:E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21:E21"/>
    <mergeCell ref="D15:E15"/>
    <mergeCell ref="H15:I15"/>
    <mergeCell ref="D16:E16"/>
    <mergeCell ref="H16:I16"/>
    <mergeCell ref="D22:E22"/>
    <mergeCell ref="D24:E24"/>
    <mergeCell ref="D17:E17"/>
    <mergeCell ref="H17:I17"/>
    <mergeCell ref="D18:E18"/>
    <mergeCell ref="D19:E19"/>
    <mergeCell ref="D20:E20"/>
    <mergeCell ref="D23:E23"/>
  </mergeCells>
  <conditionalFormatting sqref="M10 M17:M24">
    <cfRule type="cellIs" dxfId="604" priority="9" stopIfTrue="1" operator="lessThanOrEqual">
      <formula>$L10</formula>
    </cfRule>
    <cfRule type="cellIs" dxfId="603" priority="10" operator="greaterThan">
      <formula>L10</formula>
    </cfRule>
  </conditionalFormatting>
  <conditionalFormatting sqref="M11">
    <cfRule type="cellIs" dxfId="602" priority="7" stopIfTrue="1" operator="lessThanOrEqual">
      <formula>$L11</formula>
    </cfRule>
    <cfRule type="cellIs" dxfId="601" priority="8" operator="greaterThan">
      <formula>L11</formula>
    </cfRule>
  </conditionalFormatting>
  <conditionalFormatting sqref="M12">
    <cfRule type="cellIs" dxfId="600" priority="5" stopIfTrue="1" operator="lessThanOrEqual">
      <formula>$L12</formula>
    </cfRule>
    <cfRule type="cellIs" dxfId="599" priority="6" operator="greaterThan">
      <formula>L12</formula>
    </cfRule>
  </conditionalFormatting>
  <conditionalFormatting sqref="M13">
    <cfRule type="cellIs" dxfId="598" priority="3" stopIfTrue="1" operator="lessThanOrEqual">
      <formula>$L13</formula>
    </cfRule>
    <cfRule type="cellIs" dxfId="597" priority="4" operator="greaterThan">
      <formula>L13</formula>
    </cfRule>
  </conditionalFormatting>
  <conditionalFormatting sqref="M14:M16">
    <cfRule type="cellIs" dxfId="596" priority="1" stopIfTrue="1" operator="lessThanOrEqual">
      <formula>$L14</formula>
    </cfRule>
    <cfRule type="cellIs" dxfId="595" priority="2" operator="greaterThan">
      <formula>L14</formula>
    </cfRule>
  </conditionalFormatting>
  <pageMargins left="0.7" right="0.7" top="0.75" bottom="0.75" header="0.3" footer="0.3"/>
  <pageSetup scale="62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489560-83F0-4235-BC6E-2FEEC46C2880}">
          <x14:formula1>
            <xm:f>Bolts!$A:$A</xm:f>
          </x14:formula1>
          <xm:sqref>C17:C24</xm:sqref>
        </x14:dataValidation>
        <x14:dataValidation type="list" allowBlank="1" showInputMessage="1" showErrorMessage="1" xr:uid="{094EEBE7-8182-4008-8D43-E9A55579F27D}">
          <x14:formula1>
            <xm:f>Machined!$C:$C</xm:f>
          </x14:formula1>
          <xm:sqref>C5:C9</xm:sqref>
        </x14:dataValidation>
        <x14:dataValidation type="list" allowBlank="1" showInputMessage="1" showErrorMessage="1" xr:uid="{38A26D6C-BEC6-4A0E-B8D2-4411B0549296}">
          <x14:formula1>
            <xm:f>Purchased!$A:$A</xm:f>
          </x14:formula1>
          <xm:sqref>C10:C16</xm:sqref>
        </x14:dataValidation>
      </x14:dataValidations>
    </ext>
  </extLst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AED4-38BB-4CDC-B0E0-40A872D0148D}">
  <sheetPr codeName="Sheet201">
    <tabColor theme="6" tint="0.59999389629810485"/>
    <pageSetUpPr fitToPage="1"/>
  </sheetPr>
  <dimension ref="A1:Q25"/>
  <sheetViews>
    <sheetView zoomScale="115" zoomScaleNormal="115" workbookViewId="0">
      <selection activeCell="D14" sqref="D14:E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'8.2'!C8</f>
        <v>PG10.8.2.2.0.A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'8.2'!D8</f>
        <v>UPPER CROSS SEAL HEAD ASSY</v>
      </c>
      <c r="D3" s="85" t="s">
        <v>50</v>
      </c>
      <c r="E3" s="86" t="str">
        <f ca="1">MID(CELL("filename",A1),FIND("]",CELL("filename",A1))+1,256)</f>
        <v>8.2.2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1242</v>
      </c>
      <c r="D5" s="314" t="str">
        <f>VLOOKUP(C5,Machined!C:X,2,0)</f>
        <v>UPPER CROSS SEAL BAR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45461</v>
      </c>
      <c r="K5" s="44">
        <f>IF(VLOOKUP($C5,Machined!C:Z,19,0) = 0, " ", VLOOKUP($C5,Machined!C:Z,19,0))</f>
        <v>45464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55566</v>
      </c>
      <c r="O5" s="45">
        <f ca="1">B5*$L$2</f>
        <v>1</v>
      </c>
      <c r="P5" s="49">
        <f>VLOOKUP(C5,Machined!C:F,3,0)</f>
        <v>326.5</v>
      </c>
      <c r="Q5" s="50">
        <f>B5*P5</f>
        <v>326.5</v>
      </c>
    </row>
    <row r="6" spans="1:17" s="2" customFormat="1" ht="12.75" customHeight="1" x14ac:dyDescent="0.25">
      <c r="A6" s="77">
        <v>2</v>
      </c>
      <c r="B6" s="20">
        <v>1</v>
      </c>
      <c r="C6" s="121" t="s">
        <v>1228</v>
      </c>
      <c r="D6" s="314" t="str">
        <f>VLOOKUP(C6,Machined!C:X,2,0)</f>
        <v>CROSS SEAL MID BAR</v>
      </c>
      <c r="E6" s="329"/>
      <c r="F6" s="107" t="str">
        <f>VLOOKUP($C6,Machined!C:Z,13,0)</f>
        <v>MIC-6 CAST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MIC-6 CAST ALUMINUM</v>
      </c>
      <c r="J6" s="44">
        <f>IF(VLOOKUP($C6,Machined!C:Z,18,0) = 0, " ", VLOOKUP($C6,Machined!C:Z,18,0))</f>
        <v>45461</v>
      </c>
      <c r="K6" s="44">
        <f>IF(VLOOKUP($C6,Machined!C:Z,19,0) = 0, " ", VLOOKUP($C6,Machined!C:Z,19,0))</f>
        <v>45464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55566</v>
      </c>
      <c r="O6" s="45">
        <f t="shared" ref="O6:O7" ca="1" si="0">B6*$L$2</f>
        <v>1</v>
      </c>
      <c r="P6" s="49">
        <f>VLOOKUP(C6,Machined!C:F,3,0)</f>
        <v>214.75</v>
      </c>
      <c r="Q6" s="50">
        <f t="shared" ref="Q6:Q7" si="1">B6*P6</f>
        <v>214.75</v>
      </c>
    </row>
    <row r="7" spans="1:17" s="2" customFormat="1" ht="12.75" customHeight="1" x14ac:dyDescent="0.25">
      <c r="A7" s="77">
        <v>3</v>
      </c>
      <c r="B7" s="20">
        <v>1</v>
      </c>
      <c r="C7" s="121" t="s">
        <v>1229</v>
      </c>
      <c r="D7" s="314" t="str">
        <f>VLOOKUP(C7,Machined!C:X,2,0)</f>
        <v>CROSS SEAL DIE CAP</v>
      </c>
      <c r="E7" s="329"/>
      <c r="F7" s="107" t="str">
        <f>VLOOKUP($C7,Machined!C:Z,13,0)</f>
        <v>MIC-6 CAST ALUMINUM</v>
      </c>
      <c r="G7" s="44" t="str">
        <f>IF(VLOOKUP($C7,Machined!C:Z,16,0) = 0, " ", VLOOKUP($C7,Machined!C:Z,16,0))</f>
        <v>Bemox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MIC-6 CAST ALUMINUM</v>
      </c>
      <c r="J7" s="44">
        <f>IF(VLOOKUP($C7,Machined!C:Z,18,0) = 0, " ", VLOOKUP($C7,Machined!C:Z,18,0))</f>
        <v>45461</v>
      </c>
      <c r="K7" s="44">
        <f>IF(VLOOKUP($C7,Machined!C:Z,19,0) = 0, " ", VLOOKUP($C7,Machined!C:Z,19,0))</f>
        <v>45464</v>
      </c>
      <c r="L7" s="44">
        <f>IF(VLOOKUP($C7,Machined!C:Z,20,0) = 0, " ", VLOOKUP($C7,Machined!C:Z,20,0))</f>
        <v>45495</v>
      </c>
      <c r="M7" s="44">
        <f>IF(VLOOKUP($C7,Machined!C:Z,21,0) = 0, " ", VLOOKUP($C7,Machined!C:Z,21,0))</f>
        <v>45495</v>
      </c>
      <c r="N7" s="129">
        <f>IF(VLOOKUP($C7,Machined!C:Z,22,0) = 0, " ", VLOOKUP($C7,Machined!C:Z,22,0))</f>
        <v>55566</v>
      </c>
      <c r="O7" s="45">
        <f t="shared" ca="1" si="0"/>
        <v>1</v>
      </c>
      <c r="P7" s="49">
        <f>VLOOKUP(C7,Machined!C:F,3,0)</f>
        <v>284.75</v>
      </c>
      <c r="Q7" s="50">
        <f t="shared" si="1"/>
        <v>284.75</v>
      </c>
    </row>
    <row r="8" spans="1:17" s="2" customFormat="1" ht="12.75" customHeight="1" x14ac:dyDescent="0.25">
      <c r="A8" s="77">
        <v>4</v>
      </c>
      <c r="B8" s="20">
        <v>1</v>
      </c>
      <c r="C8" s="121" t="s">
        <v>1230</v>
      </c>
      <c r="D8" s="314" t="str">
        <f>VLOOKUP(C8,Machined!C:X,2,0)</f>
        <v>CROSS SEAL MOUNTING TUBE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Bemox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45461</v>
      </c>
      <c r="K8" s="44">
        <f>IF(VLOOKUP($C8,Machined!C:Z,19,0) = 0, " ", VLOOKUP($C8,Machined!C:Z,19,0))</f>
        <v>45462</v>
      </c>
      <c r="L8" s="44">
        <f>IF(VLOOKUP($C8,Machined!C:Z,20,0) = 0, " ", VLOOKUP($C8,Machined!C:Z,20,0))</f>
        <v>45492</v>
      </c>
      <c r="M8" s="44">
        <f>IF(VLOOKUP($C8,Machined!C:Z,21,0) = 0, " ", VLOOKUP($C8,Machined!C:Z,21,0))</f>
        <v>45492</v>
      </c>
      <c r="N8" s="129">
        <f>IF(VLOOKUP($C8,Machined!C:Z,22,0) = 0, " ", VLOOKUP($C8,Machined!C:Z,22,0))</f>
        <v>55559</v>
      </c>
      <c r="O8" s="45">
        <f ca="1">B8*$L$2</f>
        <v>1</v>
      </c>
      <c r="P8" s="49">
        <f>VLOOKUP(C8,Machined!C:F,3,0)</f>
        <v>324.75</v>
      </c>
      <c r="Q8" s="50">
        <f>B8*P8</f>
        <v>324.75</v>
      </c>
    </row>
    <row r="9" spans="1:17" s="2" customFormat="1" ht="12.75" customHeight="1" x14ac:dyDescent="0.25">
      <c r="A9" s="77">
        <v>5</v>
      </c>
      <c r="B9" s="20">
        <v>1</v>
      </c>
      <c r="C9" s="121" t="s">
        <v>1231</v>
      </c>
      <c r="D9" s="314" t="str">
        <f>VLOOKUP(C9,Machined!C:X,2,0)</f>
        <v>Lower Cross Seal Silicone</v>
      </c>
      <c r="E9" s="329"/>
      <c r="F9" s="107" t="str">
        <f>VLOOKUP($C9,Machined!C:Z,13,0)</f>
        <v>SILICONE RUBBER</v>
      </c>
      <c r="G9" s="44" t="str">
        <f>IF(VLOOKUP($C9,Machined!C:Z,16,0) = 0, " ", VLOOKUP($C9,Machined!C:Z,16,0))</f>
        <v>Nuline</v>
      </c>
      <c r="H9" s="320" t="str">
        <f>IF(VLOOKUP($C9,Machined!C:Z,17,0) = 0, " ", VLOOKUP($C9,Machined!C:Z,17,0))</f>
        <v>55620 for material</v>
      </c>
      <c r="I9" s="321" t="str">
        <f>IF(VLOOKUP($C9,Machined!$C:$Y,13,0) = 0, " ", VLOOKUP($C9,Machined!$C:$Y,13,0))</f>
        <v>SILICONE RUBBER</v>
      </c>
      <c r="J9" s="44">
        <f>IF(VLOOKUP($C9,Machined!C:Z,18,0) = 0, " ", VLOOKUP($C9,Machined!C:Z,18,0))</f>
        <v>45490</v>
      </c>
      <c r="K9" s="44">
        <f>IF(VLOOKUP($C9,Machined!C:Z,19,0) = 0, " ", VLOOKUP($C9,Machined!C:Z,19,0))</f>
        <v>45496</v>
      </c>
      <c r="L9" s="44">
        <f>IF(VLOOKUP($C9,Machined!C:Z,20,0) = 0, " ", VLOOKUP($C9,Machined!C:Z,20,0))</f>
        <v>45505</v>
      </c>
      <c r="M9" s="44">
        <f>IF(VLOOKUP($C9,Machined!C:Z,21,0) = 0, " ", VLOOKUP($C9,Machined!C:Z,21,0))</f>
        <v>45505</v>
      </c>
      <c r="N9" s="129">
        <f>IF(VLOOKUP($C9,Machined!C:Z,22,0) = 0, " ", VLOOKUP($C9,Machined!C:Z,22,0))</f>
        <v>55620</v>
      </c>
      <c r="O9" s="45">
        <f t="shared" ref="O9:O10" ca="1" si="2">B9*$L$2</f>
        <v>1</v>
      </c>
      <c r="P9" s="49">
        <f>VLOOKUP(C9,Machined!C:F,3,0)</f>
        <v>20.5</v>
      </c>
      <c r="Q9" s="50">
        <f t="shared" ref="Q9:Q10" si="3">B9*P9</f>
        <v>20.5</v>
      </c>
    </row>
    <row r="10" spans="1:17" s="2" customFormat="1" ht="12.75" customHeight="1" x14ac:dyDescent="0.25">
      <c r="A10" s="77">
        <v>6</v>
      </c>
      <c r="B10" s="20">
        <v>2</v>
      </c>
      <c r="C10" s="121" t="s">
        <v>1168</v>
      </c>
      <c r="D10" s="314" t="str">
        <f>VLOOKUP(C10,Machined!C:X,2,0)</f>
        <v>MODIFIED MCM 9604T190 Steel Flanged Shaft Collar, 30mm Dia</v>
      </c>
      <c r="E10" s="329"/>
      <c r="F10" s="107" t="str">
        <f>VLOOKUP($C10,Machined!C:Z,13,0)</f>
        <v>PURCHASED PART</v>
      </c>
      <c r="G10" s="44" t="str">
        <f>IF(VLOOKUP($C10,Machined!C:Z,16,0) = 0, " ", VLOOKUP($C10,Machined!C:Z,16,0))</f>
        <v>Nuline</v>
      </c>
      <c r="H10" s="320" t="str">
        <f>IF(VLOOKUP($C10,Machined!C:Z,17,0) = 0, " ", VLOOKUP($C10,Machined!C:Z,17,0))</f>
        <v>Act part # 1LM030AFXK</v>
      </c>
      <c r="I10" s="321" t="str">
        <f>IF(VLOOKUP($C10,Machined!$C:$Y,13,0) = 0, " ", VLOOKUP($C10,Machined!$C:$Y,13,0))</f>
        <v>PURCHASED PART</v>
      </c>
      <c r="J10" s="44">
        <f>IF(VLOOKUP($C10,Machined!C:Z,18,0) = 0, " ", VLOOKUP($C10,Machined!C:Z,18,0))</f>
        <v>45452</v>
      </c>
      <c r="K10" s="44">
        <f>IF(VLOOKUP($C10,Machined!C:Z,19,0) = 0, " ", VLOOKUP($C10,Machined!C:Z,19,0))</f>
        <v>45456</v>
      </c>
      <c r="L10" s="44">
        <f>IF(VLOOKUP($C10,Machined!C:Z,20,0) = 0, " ", VLOOKUP($C10,Machined!C:Z,20,0))</f>
        <v>45468</v>
      </c>
      <c r="M10" s="44">
        <f>IF(VLOOKUP($C10,Machined!C:Z,21,0) = 0, " ", VLOOKUP($C10,Machined!C:Z,21,0))</f>
        <v>45469</v>
      </c>
      <c r="N10" s="129">
        <f>IF(VLOOKUP($C10,Machined!C:Z,22,0) = 0, " ", VLOOKUP($C10,Machined!C:Z,22,0))</f>
        <v>55553</v>
      </c>
      <c r="O10" s="45">
        <f t="shared" ca="1" si="2"/>
        <v>2</v>
      </c>
      <c r="P10" s="49">
        <f>VLOOKUP(C10,Machined!C:F,3,0)</f>
        <v>89.26</v>
      </c>
      <c r="Q10" s="50">
        <f t="shared" si="3"/>
        <v>178.52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4">
        <v>301</v>
      </c>
      <c r="B12" s="2">
        <v>2</v>
      </c>
      <c r="C12" s="135" t="s">
        <v>1233</v>
      </c>
      <c r="D12" s="325" t="str">
        <f>VLOOKUP(C12,Purchased!A:B,2,0)</f>
        <v>Thermocouple 24in Length</v>
      </c>
      <c r="E12" s="326"/>
      <c r="F12" s="108" t="str">
        <f>IF(VLOOKUP($C12,Purchased!A:Z,11,0) = 0, " ", VLOOKUP($C12,Purchased!A:Z,11,0))</f>
        <v>ACROLAB</v>
      </c>
      <c r="G12" s="108" t="str">
        <f>IF(VLOOKUP($C12,Purchased!A:Z,12,0)=0, " ", VLOOKUP($C12,Purchased!A:Z,12,0))</f>
        <v>ACROLAB</v>
      </c>
      <c r="H12" s="327" t="str">
        <f>IF(VLOOKUP($C12,Purchased!A:Z,13,0)=0, " ", VLOOKUP($C12,Purchased!A:Z,13,0))</f>
        <v>Vendor is moving and late 8/01/24 JP</v>
      </c>
      <c r="I12" s="328"/>
      <c r="J12" s="46">
        <f>IF(VLOOKUP($C12,Purchased!A:Z,14,0)=0, " ", VLOOKUP($C12,Purchased!A:Z,14,0))</f>
        <v>45462</v>
      </c>
      <c r="K12" s="46">
        <f>IF(VLOOKUP(C12,Purchased!A:R,14,0)=0, " ", VLOOKUP(C12,Purchased!A:R,14,0))</f>
        <v>45462</v>
      </c>
      <c r="L12" s="46">
        <f>IF(VLOOKUP(C12,Purchased!A:R,15,0)=0, " ", VLOOKUP(C12,Purchased!A:R,15,0))</f>
        <v>45462</v>
      </c>
      <c r="M12" s="46">
        <f>IF(VLOOKUP(C12,Purchased!A:R,16,0)=0, " ",VLOOKUP(C12,Purchased!A:R,16,0))</f>
        <v>45495</v>
      </c>
      <c r="N12" s="130">
        <f>IF(VLOOKUP(C12,Purchased!A:R,17,0)=0, " ", VLOOKUP(C12,Purchased!A:R,17,0))</f>
        <v>45512</v>
      </c>
      <c r="O12" s="47">
        <f t="shared" ref="O12:O16" ca="1" si="4">B12*$L$2</f>
        <v>2</v>
      </c>
      <c r="P12" s="51">
        <f>VLOOKUP(C12,Purchased!A:D,3,FALSE)</f>
        <v>52.45</v>
      </c>
      <c r="Q12" s="52">
        <f t="shared" ref="Q12:Q16" si="5">B12*P12</f>
        <v>104.9</v>
      </c>
    </row>
    <row r="13" spans="1:17" s="2" customFormat="1" ht="12.75" customHeight="1" x14ac:dyDescent="0.25">
      <c r="A13" s="4">
        <v>302</v>
      </c>
      <c r="B13" s="2">
        <v>2</v>
      </c>
      <c r="C13" s="135" t="s">
        <v>1173</v>
      </c>
      <c r="D13" s="325" t="str">
        <f>VLOOKUP(C13,Purchased!A:B,2,0)</f>
        <v>1/8in NPT Bayonet Adapter</v>
      </c>
      <c r="E13" s="326"/>
      <c r="F13" s="108" t="str">
        <f>IF(VLOOKUP($C13,Purchased!A:Z,11,0) = 0, " ", VLOOKUP($C13,Purchased!A:Z,11,0))</f>
        <v>ACROLAB</v>
      </c>
      <c r="G13" s="108" t="str">
        <f>IF(VLOOKUP($C13,Purchased!A:Z,12,0)=0, " ", VLOOKUP($C13,Purchased!A:Z,12,0))</f>
        <v>ACROLAB</v>
      </c>
      <c r="H13" s="327" t="str">
        <f>IF(VLOOKUP($C13,Purchased!A:Z,13,0)=0, " ", VLOOKUP($C13,Purchased!A:Z,13,0))</f>
        <v>Vendor is moving and late 8/01/24 JP</v>
      </c>
      <c r="I13" s="328"/>
      <c r="J13" s="46">
        <f>IF(VLOOKUP($C13,Purchased!A:Z,14,0)=0, " ", VLOOKUP($C13,Purchased!A:Z,14,0))</f>
        <v>45462</v>
      </c>
      <c r="K13" s="46">
        <f>IF(VLOOKUP(C13,Purchased!A:R,14,0)=0, " ", VLOOKUP(C13,Purchased!A:R,14,0))</f>
        <v>45462</v>
      </c>
      <c r="L13" s="46">
        <f>IF(VLOOKUP(C13,Purchased!A:R,15,0)=0, " ", VLOOKUP(C13,Purchased!A:R,15,0))</f>
        <v>45462</v>
      </c>
      <c r="M13" s="46">
        <f>IF(VLOOKUP(C13,Purchased!A:R,16,0)=0, " ",VLOOKUP(C13,Purchased!A:R,16,0))</f>
        <v>45495</v>
      </c>
      <c r="N13" s="130">
        <f>IF(VLOOKUP(C13,Purchased!A:R,17,0)=0, " ", VLOOKUP(C13,Purchased!A:R,17,0))</f>
        <v>45512</v>
      </c>
      <c r="O13" s="47">
        <f t="shared" ca="1" si="4"/>
        <v>2</v>
      </c>
      <c r="P13" s="51">
        <f>VLOOKUP(C13,Purchased!A:D,3,FALSE)</f>
        <v>4.88</v>
      </c>
      <c r="Q13" s="52">
        <f t="shared" si="5"/>
        <v>9.76</v>
      </c>
    </row>
    <row r="14" spans="1:17" s="2" customFormat="1" ht="12.75" customHeight="1" x14ac:dyDescent="0.25">
      <c r="A14" s="4">
        <v>303</v>
      </c>
      <c r="B14" s="2">
        <v>2</v>
      </c>
      <c r="C14" s="135" t="s">
        <v>1232</v>
      </c>
      <c r="D14" s="325" t="str">
        <f>VLOOKUP(C14,Purchased!A:B,2,0)</f>
        <v>Cartridge Heater 24.5in Cross Seal</v>
      </c>
      <c r="E14" s="326"/>
      <c r="F14" s="108" t="str">
        <f>IF(VLOOKUP($C14,Purchased!A:Z,11,0) = 0, " ", VLOOKUP($C14,Purchased!A:Z,11,0))</f>
        <v>ACROLAB</v>
      </c>
      <c r="G14" s="108" t="str">
        <f>IF(VLOOKUP($C14,Purchased!A:Z,12,0)=0, " ", VLOOKUP($C14,Purchased!A:Z,12,0))</f>
        <v>ACROLAB</v>
      </c>
      <c r="H14" s="327" t="str">
        <f>IF(VLOOKUP($C14,Purchased!A:Z,13,0)=0, " ", VLOOKUP($C14,Purchased!A:Z,13,0))</f>
        <v>Vendor is moving and late 8/01/24 JP</v>
      </c>
      <c r="I14" s="328"/>
      <c r="J14" s="46">
        <f>IF(VLOOKUP($C14,Purchased!A:Z,14,0)=0, " ", VLOOKUP($C14,Purchased!A:Z,14,0))</f>
        <v>45462</v>
      </c>
      <c r="K14" s="46">
        <f>IF(VLOOKUP(C14,Purchased!A:R,14,0)=0, " ", VLOOKUP(C14,Purchased!A:R,14,0))</f>
        <v>45462</v>
      </c>
      <c r="L14" s="46">
        <f>IF(VLOOKUP(C14,Purchased!A:R,15,0)=0, " ", VLOOKUP(C14,Purchased!A:R,15,0))</f>
        <v>45462</v>
      </c>
      <c r="M14" s="46">
        <f>IF(VLOOKUP(C14,Purchased!A:R,16,0)=0, " ",VLOOKUP(C14,Purchased!A:R,16,0))</f>
        <v>45495</v>
      </c>
      <c r="N14" s="130">
        <f>IF(VLOOKUP(C14,Purchased!A:R,17,0)=0, " ", VLOOKUP(C14,Purchased!A:R,17,0))</f>
        <v>45512</v>
      </c>
      <c r="O14" s="47">
        <f t="shared" ca="1" si="4"/>
        <v>2</v>
      </c>
      <c r="P14" s="51">
        <f>VLOOKUP(C14,Purchased!A:D,3,FALSE)</f>
        <v>263.72000000000003</v>
      </c>
      <c r="Q14" s="52">
        <f t="shared" si="5"/>
        <v>527.44000000000005</v>
      </c>
    </row>
    <row r="15" spans="1:17" s="2" customFormat="1" ht="12.75" customHeight="1" x14ac:dyDescent="0.25">
      <c r="A15" s="4">
        <v>304</v>
      </c>
      <c r="B15" s="2">
        <v>1</v>
      </c>
      <c r="C15" s="135" t="s">
        <v>1234</v>
      </c>
      <c r="D15" s="325" t="str">
        <f>VLOOKUP(C15,Purchased!A:B,2,0)</f>
        <v>Cross Seal Iso Bar</v>
      </c>
      <c r="E15" s="326"/>
      <c r="F15" s="108" t="str">
        <f>IF(VLOOKUP($C15,Purchased!A:Z,11,0) = 0, " ", VLOOKUP($C15,Purchased!A:Z,11,0))</f>
        <v>ACROLAB</v>
      </c>
      <c r="G15" s="108" t="str">
        <f>IF(VLOOKUP($C15,Purchased!A:Z,12,0)=0, " ", VLOOKUP($C15,Purchased!A:Z,12,0))</f>
        <v>ACROLAB</v>
      </c>
      <c r="H15" s="327" t="str">
        <f>IF(VLOOKUP($C15,Purchased!A:Z,13,0)=0, " ", VLOOKUP($C15,Purchased!A:Z,13,0))</f>
        <v>Vendor is moving and late 8/01/24 JP</v>
      </c>
      <c r="I15" s="328"/>
      <c r="J15" s="46">
        <f>IF(VLOOKUP($C15,Purchased!A:Z,14,0)=0, " ", VLOOKUP($C15,Purchased!A:Z,14,0))</f>
        <v>45462</v>
      </c>
      <c r="K15" s="46">
        <f>IF(VLOOKUP(C15,Purchased!A:R,14,0)=0, " ", VLOOKUP(C15,Purchased!A:R,14,0))</f>
        <v>45462</v>
      </c>
      <c r="L15" s="46">
        <f>IF(VLOOKUP(C15,Purchased!A:R,15,0)=0, " ", VLOOKUP(C15,Purchased!A:R,15,0))</f>
        <v>45462</v>
      </c>
      <c r="M15" s="46">
        <f>IF(VLOOKUP(C15,Purchased!A:R,16,0)=0, " ",VLOOKUP(C15,Purchased!A:R,16,0))</f>
        <v>45495</v>
      </c>
      <c r="N15" s="130">
        <f>IF(VLOOKUP(C15,Purchased!A:R,17,0)=0, " ", VLOOKUP(C15,Purchased!A:R,17,0))</f>
        <v>45512</v>
      </c>
      <c r="O15" s="47">
        <f t="shared" ca="1" si="4"/>
        <v>1</v>
      </c>
      <c r="P15" s="51">
        <f>VLOOKUP(C15,Purchased!A:D,3,FALSE)</f>
        <v>119</v>
      </c>
      <c r="Q15" s="52">
        <f t="shared" si="5"/>
        <v>119</v>
      </c>
    </row>
    <row r="16" spans="1:17" s="2" customFormat="1" ht="12.75" customHeight="1" x14ac:dyDescent="0.25">
      <c r="A16" s="4">
        <v>305</v>
      </c>
      <c r="B16" s="2">
        <v>22</v>
      </c>
      <c r="C16" s="135" t="s">
        <v>1169</v>
      </c>
      <c r="D16" s="325" t="str">
        <f>VLOOKUP(C16,Purchased!A:B,2,0)</f>
        <v>ALLOY STEEL CUP POINT SET SCREW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45481</v>
      </c>
      <c r="K16" s="46">
        <f>IF(VLOOKUP(C16,Purchased!A:R,14,0)=0, " ", VLOOKUP(C16,Purchased!A:R,14,0))</f>
        <v>45481</v>
      </c>
      <c r="L16" s="46">
        <f>IF(VLOOKUP(C16,Purchased!A:R,15,0)=0, " ", VLOOKUP(C16,Purchased!A:R,15,0))</f>
        <v>45481</v>
      </c>
      <c r="M16" s="46">
        <f>IF(VLOOKUP(C16,Purchased!A:R,16,0)=0, " ",VLOOKUP(C16,Purchased!A:R,16,0))</f>
        <v>45482</v>
      </c>
      <c r="N16" s="130">
        <f>IF(VLOOKUP(C16,Purchased!A:R,17,0)=0, " ", VLOOKUP(C16,Purchased!A:R,17,0))</f>
        <v>45482</v>
      </c>
      <c r="O16" s="47">
        <f t="shared" ca="1" si="4"/>
        <v>22</v>
      </c>
      <c r="P16" s="51">
        <f>VLOOKUP(C16,Purchased!A:D,3,FALSE)</f>
        <v>13.62</v>
      </c>
      <c r="Q16" s="52">
        <f t="shared" si="5"/>
        <v>299.64</v>
      </c>
    </row>
    <row r="17" spans="1:17" s="2" customFormat="1" ht="12.75" customHeight="1" x14ac:dyDescent="0.25">
      <c r="A17" s="25"/>
      <c r="B17" s="26"/>
      <c r="C17" s="26"/>
      <c r="D17" s="332"/>
      <c r="E17" s="333"/>
      <c r="F17" s="26"/>
      <c r="G17" s="26"/>
      <c r="H17" s="322"/>
      <c r="I17" s="323"/>
      <c r="J17" s="27"/>
      <c r="K17" s="27"/>
      <c r="L17" s="27"/>
      <c r="M17" s="28"/>
      <c r="N17" s="29"/>
      <c r="O17" s="29"/>
      <c r="P17" s="148"/>
      <c r="Q17" s="149"/>
    </row>
    <row r="18" spans="1:17" s="2" customFormat="1" ht="12.75" customHeight="1" x14ac:dyDescent="0.25">
      <c r="A18" s="4">
        <v>501</v>
      </c>
      <c r="B18" s="2">
        <v>2</v>
      </c>
      <c r="C18" s="122" t="s">
        <v>1174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2</v>
      </c>
      <c r="P18" s="51">
        <f>VLOOKUP(C18,Bolts!A:B,2,FALSE)</f>
        <v>0</v>
      </c>
      <c r="Q18" s="52">
        <f>B18*P18</f>
        <v>0</v>
      </c>
    </row>
    <row r="19" spans="1:17" s="2" customFormat="1" ht="12.75" customHeight="1" x14ac:dyDescent="0.25">
      <c r="A19" s="4">
        <v>502</v>
      </c>
      <c r="B19" s="2">
        <v>16</v>
      </c>
      <c r="C19" s="122" t="s">
        <v>243</v>
      </c>
      <c r="D19" s="158"/>
      <c r="E19" s="159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ca="1">B19*$L$2</f>
        <v>16</v>
      </c>
      <c r="P19" s="51">
        <f>VLOOKUP(C19,Bolts!A:B,2,FALSE)</f>
        <v>0</v>
      </c>
      <c r="Q19" s="52">
        <f>B19*P19</f>
        <v>0</v>
      </c>
    </row>
    <row r="20" spans="1:17" s="2" customFormat="1" ht="12" customHeight="1" x14ac:dyDescent="0.25">
      <c r="A20" s="4">
        <v>503</v>
      </c>
      <c r="B20" s="2">
        <v>8</v>
      </c>
      <c r="C20" s="122" t="s">
        <v>382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ref="O20:O23" ca="1" si="6">B20*$L$2</f>
        <v>8</v>
      </c>
      <c r="P20" s="51">
        <f>VLOOKUP(C20,Bolts!A:B,2,FALSE)</f>
        <v>0</v>
      </c>
      <c r="Q20" s="52">
        <f t="shared" ref="Q20:Q23" si="7">B20*P20</f>
        <v>0</v>
      </c>
    </row>
    <row r="21" spans="1:17" s="2" customFormat="1" ht="12" customHeight="1" x14ac:dyDescent="0.25">
      <c r="A21" s="4">
        <v>504</v>
      </c>
      <c r="B21" s="2">
        <v>8</v>
      </c>
      <c r="C21" s="122" t="s">
        <v>1175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6"/>
        <v>8</v>
      </c>
      <c r="P21" s="51">
        <f>VLOOKUP(C21,Bolts!A:B,2,FALSE)</f>
        <v>0</v>
      </c>
      <c r="Q21" s="52">
        <f t="shared" si="7"/>
        <v>0</v>
      </c>
    </row>
    <row r="22" spans="1:17" s="2" customFormat="1" ht="12" customHeight="1" x14ac:dyDescent="0.25">
      <c r="A22" s="4">
        <v>505</v>
      </c>
      <c r="B22" s="2">
        <v>16</v>
      </c>
      <c r="C22" s="122" t="s">
        <v>199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6"/>
        <v>16</v>
      </c>
      <c r="P22" s="51">
        <f>VLOOKUP(C22,Bolts!A:B,2,FALSE)</f>
        <v>0</v>
      </c>
      <c r="Q22" s="52">
        <f t="shared" si="7"/>
        <v>0</v>
      </c>
    </row>
    <row r="23" spans="1:17" s="2" customFormat="1" ht="12" customHeight="1" thickBot="1" x14ac:dyDescent="0.3">
      <c r="A23" s="4">
        <v>506</v>
      </c>
      <c r="B23" s="2">
        <v>74</v>
      </c>
      <c r="C23" s="122" t="s">
        <v>1176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6"/>
        <v>74</v>
      </c>
      <c r="P23" s="51">
        <f>VLOOKUP(C23,Bolts!A:B,2,FALSE)</f>
        <v>0</v>
      </c>
      <c r="Q23" s="52">
        <f t="shared" si="7"/>
        <v>0</v>
      </c>
    </row>
    <row r="24" spans="1:17" s="2" customFormat="1" ht="12" customHeight="1" thickBot="1" x14ac:dyDescent="0.3">
      <c r="A24" s="34"/>
      <c r="B24" s="35"/>
      <c r="C24" s="35"/>
      <c r="D24" s="316"/>
      <c r="E24" s="317"/>
      <c r="F24" s="35"/>
      <c r="G24" s="35"/>
      <c r="H24" s="309"/>
      <c r="I24" s="310"/>
      <c r="J24" s="36"/>
      <c r="K24" s="36"/>
      <c r="L24" s="36"/>
      <c r="M24" s="37"/>
      <c r="N24" s="132"/>
      <c r="O24" s="38"/>
      <c r="P24" s="99" t="s">
        <v>43</v>
      </c>
      <c r="Q24" s="104">
        <f>SUM(Q5:Q23)</f>
        <v>2410.5099999999998</v>
      </c>
    </row>
    <row r="25" spans="1:17" s="2" customFormat="1" ht="12" customHeight="1" x14ac:dyDescent="0.2">
      <c r="D25" s="21"/>
      <c r="E25" s="21"/>
      <c r="J25" s="8"/>
      <c r="K25" s="8"/>
      <c r="L25" s="8"/>
      <c r="M25" s="8"/>
      <c r="N25" s="131"/>
      <c r="O25" s="5"/>
      <c r="P25" s="98"/>
      <c r="Q25" s="105"/>
    </row>
  </sheetData>
  <sheetProtection selectLockedCells="1"/>
  <mergeCells count="36">
    <mergeCell ref="D9:E9"/>
    <mergeCell ref="H9:I9"/>
    <mergeCell ref="D5:E5"/>
    <mergeCell ref="H5:I5"/>
    <mergeCell ref="D1:E1"/>
    <mergeCell ref="D4:E4"/>
    <mergeCell ref="H4:I4"/>
    <mergeCell ref="D6:E6"/>
    <mergeCell ref="H6:I6"/>
    <mergeCell ref="D7:E7"/>
    <mergeCell ref="H7:I7"/>
    <mergeCell ref="D8:E8"/>
    <mergeCell ref="H8:I8"/>
    <mergeCell ref="D10:E10"/>
    <mergeCell ref="H10:I10"/>
    <mergeCell ref="D11:E11"/>
    <mergeCell ref="H11:I11"/>
    <mergeCell ref="H16:I16"/>
    <mergeCell ref="D16:E16"/>
    <mergeCell ref="D15:E15"/>
    <mergeCell ref="H15:I15"/>
    <mergeCell ref="D12:E12"/>
    <mergeCell ref="H12:I12"/>
    <mergeCell ref="D13:E13"/>
    <mergeCell ref="H13:I13"/>
    <mergeCell ref="D14:E14"/>
    <mergeCell ref="H14:I14"/>
    <mergeCell ref="D17:E17"/>
    <mergeCell ref="H17:I17"/>
    <mergeCell ref="D18:E18"/>
    <mergeCell ref="D24:E24"/>
    <mergeCell ref="H24:I24"/>
    <mergeCell ref="D20:E20"/>
    <mergeCell ref="D21:E21"/>
    <mergeCell ref="D22:E22"/>
    <mergeCell ref="D23:E23"/>
  </mergeCells>
  <conditionalFormatting sqref="M11 M17:M23">
    <cfRule type="cellIs" dxfId="594" priority="11" stopIfTrue="1" operator="lessThanOrEqual">
      <formula>$L11</formula>
    </cfRule>
    <cfRule type="cellIs" dxfId="593" priority="12" operator="greaterThan">
      <formula>L11</formula>
    </cfRule>
  </conditionalFormatting>
  <conditionalFormatting sqref="M12">
    <cfRule type="cellIs" dxfId="592" priority="9" stopIfTrue="1" operator="lessThanOrEqual">
      <formula>$L12</formula>
    </cfRule>
    <cfRule type="cellIs" dxfId="591" priority="10" operator="greaterThan">
      <formula>L12</formula>
    </cfRule>
  </conditionalFormatting>
  <conditionalFormatting sqref="M13">
    <cfRule type="cellIs" dxfId="590" priority="7" stopIfTrue="1" operator="lessThanOrEqual">
      <formula>$L13</formula>
    </cfRule>
    <cfRule type="cellIs" dxfId="589" priority="8" operator="greaterThan">
      <formula>L13</formula>
    </cfRule>
  </conditionalFormatting>
  <conditionalFormatting sqref="M14">
    <cfRule type="cellIs" dxfId="588" priority="5" stopIfTrue="1" operator="lessThanOrEqual">
      <formula>$L14</formula>
    </cfRule>
    <cfRule type="cellIs" dxfId="587" priority="6" operator="greaterThan">
      <formula>L14</formula>
    </cfRule>
  </conditionalFormatting>
  <conditionalFormatting sqref="M15">
    <cfRule type="cellIs" dxfId="586" priority="3" stopIfTrue="1" operator="lessThanOrEqual">
      <formula>$L15</formula>
    </cfRule>
    <cfRule type="cellIs" dxfId="585" priority="4" operator="greaterThan">
      <formula>L15</formula>
    </cfRule>
  </conditionalFormatting>
  <conditionalFormatting sqref="M16">
    <cfRule type="cellIs" dxfId="584" priority="1" stopIfTrue="1" operator="lessThanOrEqual">
      <formula>$L16</formula>
    </cfRule>
    <cfRule type="cellIs" dxfId="583" priority="2" operator="greaterThan">
      <formula>L16</formula>
    </cfRule>
  </conditionalFormatting>
  <pageMargins left="0.7" right="0.7" top="0.75" bottom="0.75" header="0.3" footer="0.3"/>
  <pageSetup paperSize="4" orientation="portrait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D4EA48-EABF-4F1B-95CA-87F54F43EA63}">
          <x14:formula1>
            <xm:f>Extrusion!$B:$B</xm:f>
          </x14:formula1>
          <xm:sqref>C18</xm:sqref>
        </x14:dataValidation>
        <x14:dataValidation type="list" allowBlank="1" showInputMessage="1" showErrorMessage="1" xr:uid="{0C93B1E7-DA21-45F6-B79B-5A1A29C36262}">
          <x14:formula1>
            <xm:f>Bolts!$A:$A</xm:f>
          </x14:formula1>
          <xm:sqref>C18 C20:C23</xm:sqref>
        </x14:dataValidation>
        <x14:dataValidation type="list" allowBlank="1" showInputMessage="1" showErrorMessage="1" xr:uid="{E31D29C6-C5B8-48E7-A0D9-62E03003562D}">
          <x14:formula1>
            <xm:f>Machined!$C:$C</xm:f>
          </x14:formula1>
          <xm:sqref>C5:C10</xm:sqref>
        </x14:dataValidation>
        <x14:dataValidation type="list" allowBlank="1" showInputMessage="1" showErrorMessage="1" xr:uid="{1C8FBD9C-2E69-4F6D-8BCA-05E974DC8290}">
          <x14:formula1>
            <xm:f>Purchased!$A:$A</xm:f>
          </x14:formula1>
          <xm:sqref>C12:C16</xm:sqref>
        </x14:dataValidation>
      </x14:dataValidations>
    </ext>
  </extLst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E626D-D93E-4C5C-A4BF-1116860D2C10}">
  <sheetPr codeName="Sheet202">
    <tabColor theme="9" tint="0.59999389629810485"/>
  </sheetPr>
  <dimension ref="A1:Q48"/>
  <sheetViews>
    <sheetView topLeftCell="A4" zoomScale="115" zoomScaleNormal="115" workbookViewId="0">
      <selection activeCell="B13" sqref="B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'8'!C7</f>
        <v>PG10.8.3.0.A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'8'!D7</f>
        <v>CROSS SEAL FRAME</v>
      </c>
      <c r="D3" s="85" t="s">
        <v>50</v>
      </c>
      <c r="E3" s="86" t="str">
        <f ca="1">MID(CELL("filename",A1),FIND("]",CELL("filename",A1))+1,256)</f>
        <v>8.3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2</v>
      </c>
      <c r="C5" s="121" t="s">
        <v>1243</v>
      </c>
      <c r="D5" s="314" t="str">
        <f>VLOOKUP(C5,Machined!C:X,2,0)</f>
        <v>CROSS SEAL SIDE PLATE</v>
      </c>
      <c r="E5" s="329"/>
      <c r="F5" s="107" t="str">
        <f>VLOOKUP($C5,Machined!C:Z,13,0)</f>
        <v>MIC-6 CAST ALUMINUM</v>
      </c>
      <c r="G5" s="44" t="str">
        <f>IF(VLOOKUP($C5,Machined!C:Z,16,0) = 0, " ", VLOOKUP($C5,Machined!C:Z,16,0))</f>
        <v>Bemox</v>
      </c>
      <c r="H5" s="320">
        <f>IF(VLOOKUP($C5,Machined!C:Z,17,0) = 0, " ", VLOOKUP($C5,Machined!C:Z,17,0))</f>
        <v>45469</v>
      </c>
      <c r="I5" s="321" t="str">
        <f>IF(VLOOKUP($C5,Machined!$C:$Y,13,0) = 0, " ", VLOOKUP($C5,Machined!$C:$Y,13,0))</f>
        <v>MIC-6 CAST ALUMINUM</v>
      </c>
      <c r="J5" s="44">
        <f>IF(VLOOKUP($C5,Machined!C:Z,18,0) = 0, " ", VLOOKUP($C5,Machined!C:Z,18,0))</f>
        <v>45471</v>
      </c>
      <c r="K5" s="44">
        <f>IF(VLOOKUP($C5,Machined!C:Z,19,0) = 0, " ", VLOOKUP($C5,Machined!C:Z,19,0))</f>
        <v>45481</v>
      </c>
      <c r="L5" s="44">
        <f>IF(VLOOKUP($C5,Machined!C:Z,20,0) = 0, " ", VLOOKUP($C5,Machined!C:Z,20,0))</f>
        <v>45519</v>
      </c>
      <c r="M5" s="44">
        <f>IF(VLOOKUP($C5,Machined!C:Z,21,0) = 0, " ", VLOOKUP($C5,Machined!C:Z,21,0))</f>
        <v>45519</v>
      </c>
      <c r="N5" s="129">
        <f>IF(VLOOKUP($C5,Machined!C:Z,22,0) = 0, " ", VLOOKUP($C5,Machined!C:Z,22,0))</f>
        <v>55585</v>
      </c>
      <c r="O5" s="45">
        <f ca="1">B5*$L$2</f>
        <v>2</v>
      </c>
      <c r="P5" s="49">
        <f>VLOOKUP(C5,Machined!C:F,3,0)</f>
        <v>778.5</v>
      </c>
      <c r="Q5" s="50">
        <f>B5*P5</f>
        <v>1557</v>
      </c>
    </row>
    <row r="6" spans="1:17" s="2" customFormat="1" ht="12.75" customHeight="1" x14ac:dyDescent="0.25">
      <c r="A6" s="77">
        <v>2</v>
      </c>
      <c r="B6" s="20">
        <v>2</v>
      </c>
      <c r="C6" s="121" t="s">
        <v>1244</v>
      </c>
      <c r="D6" s="314" t="str">
        <f>VLOOKUP(C6,Machined!C:X,2,0)</f>
        <v>Thick Brake Spacer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 xml:space="preserve">Nuline </v>
      </c>
      <c r="H6" s="320" t="str">
        <f>IF(VLOOKUP($C6,Machined!C:Z,17,0) = 0, " ", VLOOKUP($C6,Machined!C:Z,17,0))</f>
        <v>Nuline to modify Rev A to B</v>
      </c>
      <c r="I6" s="321" t="str">
        <f>IF(VLOOKUP($C6,Machined!$C:$Y,13,0) = 0, " ", VLOOKUP($C6,Machined!$C:$Y,13,0))</f>
        <v>6061-T6 ALUMINUM</v>
      </c>
      <c r="J6" s="44" t="str">
        <f>IF(VLOOKUP($C6,Machined!C:Z,18,0) = 0, " ", VLOOKUP($C6,Machined!C:Z,18,0))</f>
        <v xml:space="preserve"> </v>
      </c>
      <c r="K6" s="44" t="str">
        <f>IF(VLOOKUP($C6,Machined!C:Z,19,0) = 0, " ", VLOOKUP($C6,Machined!C:Z,19,0))</f>
        <v xml:space="preserve"> </v>
      </c>
      <c r="L6" s="44" t="str">
        <f>IF(VLOOKUP($C6,Machined!C:Z,20,0) = 0, " ", VLOOKUP($C6,Machined!C:Z,20,0))</f>
        <v xml:space="preserve"> </v>
      </c>
      <c r="M6" s="44" t="str">
        <f>IF(VLOOKUP($C6,Machined!C:Z,21,0) = 0, " ", VLOOKUP($C6,Machined!C:Z,21,0))</f>
        <v xml:space="preserve"> </v>
      </c>
      <c r="N6" s="129" t="str">
        <f>IF(VLOOKUP($C6,Machined!C:Z,22,0) = 0, " ", VLOOKUP($C6,Machined!C:Z,22,0))</f>
        <v xml:space="preserve"> </v>
      </c>
      <c r="O6" s="45">
        <f t="shared" ref="O6:O7" ca="1" si="0">B6*$L$2</f>
        <v>2</v>
      </c>
      <c r="P6" s="49">
        <f>VLOOKUP(C6,Machined!C:F,3,0)</f>
        <v>0</v>
      </c>
      <c r="Q6" s="50">
        <f t="shared" ref="Q6:Q7" si="1">B6*P6</f>
        <v>0</v>
      </c>
    </row>
    <row r="7" spans="1:17" s="2" customFormat="1" ht="12.75" customHeight="1" x14ac:dyDescent="0.25">
      <c r="A7" s="77">
        <v>3</v>
      </c>
      <c r="B7" s="20">
        <v>2</v>
      </c>
      <c r="C7" s="121" t="s">
        <v>1245</v>
      </c>
      <c r="D7" s="314" t="str">
        <f>VLOOKUP(C7,Machined!C:X,2,0)</f>
        <v>Tube Protector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Proto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45510</v>
      </c>
      <c r="L7" s="44">
        <f>IF(VLOOKUP($C7,Machined!C:Z,20,0) = 0, " ", VLOOKUP($C7,Machined!C:Z,20,0))</f>
        <v>45540</v>
      </c>
      <c r="M7" s="44">
        <f>IF(VLOOKUP($C7,Machined!C:Z,21,0) = 0, " ", VLOOKUP($C7,Machined!C:Z,21,0))</f>
        <v>45540</v>
      </c>
      <c r="N7" s="129">
        <f>IF(VLOOKUP($C7,Machined!C:Z,22,0) = 0, " ", VLOOKUP($C7,Machined!C:Z,22,0))</f>
        <v>55658</v>
      </c>
      <c r="O7" s="45">
        <f t="shared" ca="1" si="0"/>
        <v>2</v>
      </c>
      <c r="P7" s="49">
        <f>VLOOKUP(C7,Machined!C:F,3,0)</f>
        <v>98.65</v>
      </c>
      <c r="Q7" s="50">
        <f t="shared" si="1"/>
        <v>197.3</v>
      </c>
    </row>
    <row r="8" spans="1:17" s="2" customFormat="1" ht="12.75" customHeight="1" x14ac:dyDescent="0.25">
      <c r="A8" s="77">
        <v>4</v>
      </c>
      <c r="B8" s="20">
        <v>1</v>
      </c>
      <c r="C8" s="121" t="s">
        <v>664</v>
      </c>
      <c r="D8" s="314" t="str">
        <f>VLOOKUP(C8,Machined!C:X,2,0)</f>
        <v>MODIFIED MCM 7758K31 Pushbutton Enclosure</v>
      </c>
      <c r="E8" s="329"/>
      <c r="F8" s="107" t="str">
        <f>VLOOKUP($C8,Machined!C:Z,13,0)</f>
        <v>PURCHASED PART</v>
      </c>
      <c r="G8" s="44" t="str">
        <f>IF(VLOOKUP($C8,Machined!C:Z,16,0) = 0, " ", VLOOKUP($C8,Machined!C:Z,16,0))</f>
        <v xml:space="preserve">Nuline 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PURCHASED PART</v>
      </c>
      <c r="J8" s="44">
        <f>IF(VLOOKUP($C8,Machined!C:Z,18,0) = 0, " ", VLOOKUP($C8,Machined!C:Z,18,0))</f>
        <v>45497</v>
      </c>
      <c r="K8" s="44">
        <f>IF(VLOOKUP($C8,Machined!C:Z,19,0) = 0, " ", VLOOKUP($C8,Machined!C:Z,19,0))</f>
        <v>45497</v>
      </c>
      <c r="L8" s="44">
        <f>IF(VLOOKUP($C8,Machined!C:Z,20,0) = 0, " ", VLOOKUP($C8,Machined!C:Z,20,0))</f>
        <v>45499</v>
      </c>
      <c r="M8" s="44">
        <f>IF(VLOOKUP($C8,Machined!C:Z,21,0) = 0, " ", VLOOKUP($C8,Machined!C:Z,21,0))</f>
        <v>45499</v>
      </c>
      <c r="N8" s="129">
        <f>IF(VLOOKUP($C8,Machined!C:Z,22,0) = 0, " ", VLOOKUP($C8,Machined!C:Z,22,0))</f>
        <v>55640</v>
      </c>
      <c r="O8" s="45">
        <f ca="1">B8*$L$2</f>
        <v>1</v>
      </c>
      <c r="P8" s="49">
        <f>VLOOKUP(C8,Machined!C:F,3,0)</f>
        <v>36.28</v>
      </c>
      <c r="Q8" s="50">
        <f>B8*P8</f>
        <v>36.28</v>
      </c>
    </row>
    <row r="9" spans="1:17" s="2" customFormat="1" ht="12.75" customHeight="1" x14ac:dyDescent="0.25">
      <c r="A9" s="77">
        <v>5</v>
      </c>
      <c r="B9" s="20">
        <v>8</v>
      </c>
      <c r="C9" s="121" t="s">
        <v>708</v>
      </c>
      <c r="D9" s="314" t="str">
        <f>VLOOKUP(C9,Machined!C:X,2,0)</f>
        <v>Bearing Axel</v>
      </c>
      <c r="E9" s="329"/>
      <c r="F9" s="107" t="str">
        <f>VLOOKUP($C9,Machined!C:Z,13,0)</f>
        <v>1018 COLD ROLLED STEEL</v>
      </c>
      <c r="G9" s="44" t="str">
        <f>IF(VLOOKUP($C9,Machined!C:Z,16,0) = 0, " ", VLOOKUP($C9,Machined!C:Z,16,0))</f>
        <v>Dodd Mfg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1018 COLD ROLLED STEEL</v>
      </c>
      <c r="J9" s="44">
        <f>IF(VLOOKUP($C9,Machined!C:Z,18,0) = 0, " ", VLOOKUP($C9,Machined!C:Z,18,0))</f>
        <v>45468</v>
      </c>
      <c r="K9" s="44">
        <f>IF(VLOOKUP($C9,Machined!C:Z,19,0) = 0, " ", VLOOKUP($C9,Machined!C:Z,19,0))</f>
        <v>45483</v>
      </c>
      <c r="L9" s="44">
        <f>IF(VLOOKUP($C9,Machined!C:Z,20,0) = 0, " ", VLOOKUP($C9,Machined!C:Z,20,0))</f>
        <v>45502</v>
      </c>
      <c r="M9" s="44">
        <f>IF(VLOOKUP($C9,Machined!C:Z,21,0) = 0, " ", VLOOKUP($C9,Machined!C:Z,21,0))</f>
        <v>45502</v>
      </c>
      <c r="N9" s="129">
        <f>IF(VLOOKUP($C9,Machined!C:Z,22,0) = 0, " ", VLOOKUP($C9,Machined!C:Z,22,0))</f>
        <v>55595</v>
      </c>
      <c r="O9" s="45">
        <f t="shared" ref="O9:O10" ca="1" si="2">B9*$L$2</f>
        <v>8</v>
      </c>
      <c r="P9" s="49">
        <f>VLOOKUP(C9,Machined!C:F,3,0)</f>
        <v>27.5</v>
      </c>
      <c r="Q9" s="50">
        <f t="shared" ref="Q9:Q10" si="3">B9*P9</f>
        <v>220</v>
      </c>
    </row>
    <row r="10" spans="1:17" s="2" customFormat="1" ht="12.75" customHeight="1" x14ac:dyDescent="0.25">
      <c r="A10" s="77">
        <v>6</v>
      </c>
      <c r="B10" s="20">
        <v>2</v>
      </c>
      <c r="C10" s="121" t="s">
        <v>710</v>
      </c>
      <c r="D10" s="314" t="str">
        <f>VLOOKUP(C10,Machined!C:X,2,0)</f>
        <v>Brake Mounting Plate</v>
      </c>
      <c r="E10" s="329"/>
      <c r="F10" s="107" t="str">
        <f>VLOOKUP($C10,Machined!C:Z,13,0)</f>
        <v>6061-T6 ALUMINUM</v>
      </c>
      <c r="G10" s="44" t="str">
        <f>IF(VLOOKUP($C10,Machined!C:Z,16,0) = 0, " ", VLOOKUP($C10,Machined!C:Z,16,0))</f>
        <v>Dodd Mfg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6061-T6 ALUMINUM</v>
      </c>
      <c r="J10" s="44">
        <f>IF(VLOOKUP($C10,Machined!C:Z,18,0) = 0, " ", VLOOKUP($C10,Machined!C:Z,18,0))</f>
        <v>45468</v>
      </c>
      <c r="K10" s="44">
        <f>IF(VLOOKUP($C10,Machined!C:Z,19,0) = 0, " ", VLOOKUP($C10,Machined!C:Z,19,0))</f>
        <v>45483</v>
      </c>
      <c r="L10" s="44">
        <f>IF(VLOOKUP($C10,Machined!C:Z,20,0) = 0, " ", VLOOKUP($C10,Machined!C:Z,20,0))</f>
        <v>45502</v>
      </c>
      <c r="M10" s="44">
        <f>IF(VLOOKUP($C10,Machined!C:Z,21,0) = 0, " ", VLOOKUP($C10,Machined!C:Z,21,0))</f>
        <v>45502</v>
      </c>
      <c r="N10" s="129">
        <f>IF(VLOOKUP($C10,Machined!C:Z,22,0) = 0, " ", VLOOKUP($C10,Machined!C:Z,22,0))</f>
        <v>55595</v>
      </c>
      <c r="O10" s="45">
        <f t="shared" ca="1" si="2"/>
        <v>2</v>
      </c>
      <c r="P10" s="49">
        <f>VLOOKUP(C10,Machined!C:F,3,0)</f>
        <v>45</v>
      </c>
      <c r="Q10" s="50">
        <f t="shared" si="3"/>
        <v>90</v>
      </c>
    </row>
    <row r="11" spans="1:17" s="2" customFormat="1" ht="12.75" customHeight="1" x14ac:dyDescent="0.25">
      <c r="A11" s="77">
        <v>7</v>
      </c>
      <c r="B11" s="20">
        <v>1</v>
      </c>
      <c r="C11" s="121" t="s">
        <v>712</v>
      </c>
      <c r="D11" s="314" t="str">
        <f>VLOOKUP(C11,Machined!C:X,2,0)</f>
        <v>Adjustment Shaft-Long</v>
      </c>
      <c r="E11" s="329"/>
      <c r="F11" s="107" t="str">
        <f>VLOOKUP($C11,Machined!C:Z,13,0)</f>
        <v>303 TG&amp;P, Round Stock, -0.0005</v>
      </c>
      <c r="G11" s="44" t="str">
        <f>IF(VLOOKUP($C11,Machined!C:Z,16,0) = 0, " ", VLOOKUP($C11,Machined!C:Z,16,0))</f>
        <v>Nuline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303 TG&amp;P, Round Stock, -0.0005</v>
      </c>
      <c r="J11" s="44" t="str">
        <f>IF(VLOOKUP($C11,Machined!C:Z,18,0) = 0, " ", VLOOKUP($C11,Machined!C:Z,18,0))</f>
        <v xml:space="preserve"> </v>
      </c>
      <c r="K11" s="44" t="str">
        <f>IF(VLOOKUP($C11,Machined!C:Z,19,0) = 0, " ", VLOOKUP($C11,Machined!C:Z,19,0))</f>
        <v xml:space="preserve"> </v>
      </c>
      <c r="L11" s="44" t="str">
        <f>IF(VLOOKUP($C11,Machined!C:Z,20,0) = 0, " ", VLOOKUP($C11,Machined!C:Z,20,0))</f>
        <v xml:space="preserve"> </v>
      </c>
      <c r="M11" s="44" t="str">
        <f>IF(VLOOKUP($C11,Machined!C:Z,21,0) = 0, " ", VLOOKUP($C11,Machined!C:Z,21,0))</f>
        <v xml:space="preserve"> </v>
      </c>
      <c r="N11" s="129" t="str">
        <f>IF(VLOOKUP($C11,Machined!C:Z,22,0) = 0, " ", VLOOKUP($C11,Machined!C:Z,22,0))</f>
        <v xml:space="preserve"> </v>
      </c>
      <c r="O11" s="45">
        <f ca="1">B11*$L$2</f>
        <v>1</v>
      </c>
      <c r="P11" s="49">
        <f>VLOOKUP(C11,Machined!C:F,3,0)</f>
        <v>0</v>
      </c>
      <c r="Q11" s="50">
        <f>B11*P11</f>
        <v>0</v>
      </c>
    </row>
    <row r="12" spans="1:17" s="2" customFormat="1" ht="12.75" customHeight="1" x14ac:dyDescent="0.25">
      <c r="A12" s="77">
        <v>8</v>
      </c>
      <c r="B12" s="20">
        <v>1</v>
      </c>
      <c r="C12" s="121" t="s">
        <v>713</v>
      </c>
      <c r="D12" s="314" t="str">
        <f>VLOOKUP(C12,Machined!C:X,2,0)</f>
        <v>Adjustment Shaft-Short</v>
      </c>
      <c r="E12" s="329"/>
      <c r="F12" s="107" t="str">
        <f>VLOOKUP($C12,Machined!C:Z,13,0)</f>
        <v>303 TG&amp;P, Round Stock, -0.0005</v>
      </c>
      <c r="G12" s="44" t="str">
        <f>IF(VLOOKUP($C12,Machined!C:Z,16,0) = 0, " ", VLOOKUP($C12,Machined!C:Z,16,0))</f>
        <v>Frontier Mach</v>
      </c>
      <c r="H12" s="320" t="str">
        <f>IF(VLOOKUP($C12,Machined!C:Z,17,0) = 0, " ", VLOOKUP($C12,Machined!C:Z,17,0))</f>
        <v>Material by Nuline</v>
      </c>
      <c r="I12" s="321" t="str">
        <f>IF(VLOOKUP($C12,Machined!$C:$Y,13,0) = 0, " ", VLOOKUP($C12,Machined!$C:$Y,13,0))</f>
        <v>303 TG&amp;P, Round Stock, -0.0005</v>
      </c>
      <c r="J12" s="44">
        <f>IF(VLOOKUP($C12,Machined!C:Z,18,0) = 0, " ", VLOOKUP($C12,Machined!C:Z,18,0))</f>
        <v>45524</v>
      </c>
      <c r="K12" s="44">
        <f>IF(VLOOKUP($C12,Machined!C:Z,19,0) = 0, " ", VLOOKUP($C12,Machined!C:Z,19,0))</f>
        <v>45527</v>
      </c>
      <c r="L12" s="44">
        <f>IF(VLOOKUP($C12,Machined!C:Z,20,0) = 0, " ", VLOOKUP($C12,Machined!C:Z,20,0))</f>
        <v>45555</v>
      </c>
      <c r="M12" s="44">
        <f>IF(VLOOKUP($C12,Machined!C:Z,21,0) = 0, " ", VLOOKUP($C12,Machined!C:Z,21,0))</f>
        <v>45527</v>
      </c>
      <c r="N12" s="129">
        <f>IF(VLOOKUP($C12,Machined!C:Z,22,0) = 0, " ", VLOOKUP($C12,Machined!C:Z,22,0))</f>
        <v>55699</v>
      </c>
      <c r="O12" s="45">
        <f t="shared" ref="O12:O13" ca="1" si="4">B12*$L$2</f>
        <v>1</v>
      </c>
      <c r="P12" s="49">
        <f>VLOOKUP(C12,Machined!C:F,3,0)</f>
        <v>60.9</v>
      </c>
      <c r="Q12" s="50">
        <f t="shared" ref="Q12:Q13" si="5">B12*P12</f>
        <v>60.9</v>
      </c>
    </row>
    <row r="13" spans="1:17" s="2" customFormat="1" ht="12.75" customHeight="1" x14ac:dyDescent="0.25">
      <c r="A13" s="77">
        <v>9</v>
      </c>
      <c r="B13" s="20">
        <v>1</v>
      </c>
      <c r="C13" s="121" t="s">
        <v>663</v>
      </c>
      <c r="D13" s="314" t="str">
        <f>VLOOKUP(C13,Machined!C:X,2,0)</f>
        <v>Geared Handwheel Plate</v>
      </c>
      <c r="E13" s="329"/>
      <c r="F13" s="107" t="str">
        <f>VLOOKUP($C13,Machined!C:Z,13,0)</f>
        <v>6061-T6 ALUMINUM</v>
      </c>
      <c r="G13" s="44" t="str">
        <f>IF(VLOOKUP($C13,Machined!C:Z,16,0) = 0, " ", VLOOKUP($C13,Machined!C:Z,16,0))</f>
        <v>Frontier Mach, Xometry</v>
      </c>
      <c r="H13" s="320" t="str">
        <f>IF(VLOOKUP($C13,Machined!C:Z,17,0) = 0, " ", VLOOKUP($C13,Machined!C:Z,17,0))</f>
        <v>1 more on PO 55762</v>
      </c>
      <c r="I13" s="321" t="str">
        <f>IF(VLOOKUP($C13,Machined!$C:$Y,13,0) = 0, " ", VLOOKUP($C13,Machined!$C:$Y,13,0))</f>
        <v>6061-T6 ALUMINUM</v>
      </c>
      <c r="J13" s="44">
        <f>IF(VLOOKUP($C13,Machined!C:Z,18,0) = 0, " ", VLOOKUP($C13,Machined!C:Z,18,0))</f>
        <v>45489</v>
      </c>
      <c r="K13" s="44">
        <f>IF(VLOOKUP($C13,Machined!C:Z,19,0) = 0, " ", VLOOKUP($C13,Machined!C:Z,19,0))</f>
        <v>45490</v>
      </c>
      <c r="L13" s="44">
        <f>IF(VLOOKUP($C13,Machined!C:Z,20,0) = 0, " ", VLOOKUP($C13,Machined!C:Z,20,0))</f>
        <v>45512</v>
      </c>
      <c r="M13" s="44">
        <f>IF(VLOOKUP($C13,Machined!C:Z,21,0) = 0, " ", VLOOKUP($C13,Machined!C:Z,21,0))</f>
        <v>45512</v>
      </c>
      <c r="N13" s="129">
        <f>IF(VLOOKUP($C13,Machined!C:Z,22,0) = 0, " ", VLOOKUP($C13,Machined!C:Z,22,0))</f>
        <v>55607</v>
      </c>
      <c r="O13" s="45">
        <f t="shared" ca="1" si="4"/>
        <v>1</v>
      </c>
      <c r="P13" s="49">
        <f>VLOOKUP(C13,Machined!C:F,3,0)</f>
        <v>107.1</v>
      </c>
      <c r="Q13" s="50">
        <f t="shared" si="5"/>
        <v>107.1</v>
      </c>
    </row>
    <row r="14" spans="1:17" s="2" customFormat="1" ht="12.75" customHeight="1" x14ac:dyDescent="0.25">
      <c r="A14" s="77" t="s">
        <v>1246</v>
      </c>
      <c r="B14" s="20">
        <v>1</v>
      </c>
      <c r="C14" s="121" t="s">
        <v>1247</v>
      </c>
      <c r="D14" s="314" t="str">
        <f>VLOOKUP(C14,Machined!C:X,2,0)</f>
        <v>CS Spur Gear Guard A Side</v>
      </c>
      <c r="E14" s="329"/>
      <c r="F14" s="107" t="str">
        <f>VLOOKUP($C14,Machined!C:Z,13,0)</f>
        <v>304 STAINLESS STEEL</v>
      </c>
      <c r="G14" s="44" t="str">
        <f>IF(VLOOKUP($C14,Machined!C:Z,16,0) = 0, " ", VLOOKUP($C14,Machined!C:Z,16,0))</f>
        <v>Proto</v>
      </c>
      <c r="H14" s="320" t="str">
        <f>IF(VLOOKUP($C14,Machined!C:Z,17,0) = 0, " ", VLOOKUP($C14,Machined!C:Z,17,0))</f>
        <v xml:space="preserve"> </v>
      </c>
      <c r="I14" s="321" t="str">
        <f>IF(VLOOKUP($C14,Machined!$C:$Y,13,0) = 0, " ", VLOOKUP($C14,Machined!$C:$Y,13,0))</f>
        <v>304 STAINLESS STEEL</v>
      </c>
      <c r="J14" s="44">
        <f>IF(VLOOKUP($C14,Machined!C:Z,18,0) = 0, " ", VLOOKUP($C14,Machined!C:Z,18,0))</f>
        <v>45526</v>
      </c>
      <c r="K14" s="44">
        <f>IF(VLOOKUP($C14,Machined!C:Z,19,0) = 0, " ", VLOOKUP($C14,Machined!C:Z,19,0))</f>
        <v>45527</v>
      </c>
      <c r="L14" s="44">
        <f>IF(VLOOKUP($C14,Machined!C:Z,20,0) = 0, " ", VLOOKUP($C14,Machined!C:Z,20,0))</f>
        <v>45548</v>
      </c>
      <c r="M14" s="44">
        <f>IF(VLOOKUP($C14,Machined!C:Z,21,0) = 0, " ", VLOOKUP($C14,Machined!C:Z,21,0))</f>
        <v>45548</v>
      </c>
      <c r="N14" s="129">
        <f>IF(VLOOKUP($C14,Machined!C:Z,22,0) = 0, " ", VLOOKUP($C14,Machined!C:Z,22,0))</f>
        <v>55702</v>
      </c>
      <c r="O14" s="45">
        <f ca="1">B14*$L$2</f>
        <v>1</v>
      </c>
      <c r="P14" s="49">
        <f>VLOOKUP(C14,Machined!C:F,3,0)</f>
        <v>0</v>
      </c>
      <c r="Q14" s="50">
        <f>B14*P14</f>
        <v>0</v>
      </c>
    </row>
    <row r="15" spans="1:17" s="2" customFormat="1" ht="12.75" customHeight="1" x14ac:dyDescent="0.25">
      <c r="A15" s="77" t="s">
        <v>1248</v>
      </c>
      <c r="B15" s="20">
        <v>1</v>
      </c>
      <c r="C15" s="121" t="s">
        <v>1249</v>
      </c>
      <c r="D15" s="314" t="str">
        <f>VLOOKUP(C15,Machined!C:X,2,0)</f>
        <v>CS Spur Gear Guard B Side</v>
      </c>
      <c r="E15" s="329"/>
      <c r="F15" s="107" t="str">
        <f>VLOOKUP($C15,Machined!C:Z,13,0)</f>
        <v>304 STAINLESS STEEL</v>
      </c>
      <c r="G15" s="44" t="str">
        <f>IF(VLOOKUP($C15,Machined!C:Z,16,0) = 0, " ", VLOOKUP($C15,Machined!C:Z,16,0))</f>
        <v>Proto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304 STAINLESS STEEL</v>
      </c>
      <c r="J15" s="44">
        <f>IF(VLOOKUP($C15,Machined!C:Z,18,0) = 0, " ", VLOOKUP($C15,Machined!C:Z,18,0))</f>
        <v>45526</v>
      </c>
      <c r="K15" s="44">
        <f>IF(VLOOKUP($C15,Machined!C:Z,19,0) = 0, " ", VLOOKUP($C15,Machined!C:Z,19,0))</f>
        <v>45527</v>
      </c>
      <c r="L15" s="44">
        <f>IF(VLOOKUP($C15,Machined!C:Z,20,0) = 0, " ", VLOOKUP($C15,Machined!C:Z,20,0))</f>
        <v>45548</v>
      </c>
      <c r="M15" s="44">
        <f>IF(VLOOKUP($C15,Machined!C:Z,21,0) = 0, " ", VLOOKUP($C15,Machined!C:Z,21,0))</f>
        <v>45548</v>
      </c>
      <c r="N15" s="129">
        <f>IF(VLOOKUP($C15,Machined!C:Z,22,0) = 0, " ", VLOOKUP($C15,Machined!C:Z,22,0))</f>
        <v>55702</v>
      </c>
      <c r="O15" s="45">
        <f ca="1">B15*$L$2</f>
        <v>1</v>
      </c>
      <c r="P15" s="49">
        <f>VLOOKUP(C15,Machined!C:F,3,0)</f>
        <v>0</v>
      </c>
      <c r="Q15" s="50">
        <f>B15*P15</f>
        <v>0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.75" customHeight="1" x14ac:dyDescent="0.25">
      <c r="A17" s="4">
        <v>301</v>
      </c>
      <c r="B17" s="2">
        <v>6</v>
      </c>
      <c r="C17" s="135" t="s">
        <v>172</v>
      </c>
      <c r="D17" s="325" t="str">
        <f>VLOOKUP(C17,Purchased!A:B,2,0)</f>
        <v>BRX GOTO T-NUT 10 M6</v>
      </c>
      <c r="E17" s="326"/>
      <c r="F17" s="108" t="str">
        <f>IF(VLOOKUP($C17,Purchased!A:Z,11,0) = 0, " ", VLOOKUP($C17,Purchased!A:Z,11,0))</f>
        <v>BRX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45463</v>
      </c>
      <c r="K17" s="46">
        <f>IF(VLOOKUP(C17,Purchased!A:R,14,0)=0, " ", VLOOKUP(C17,Purchased!A:R,14,0))</f>
        <v>45463</v>
      </c>
      <c r="L17" s="46">
        <f>IF(VLOOKUP(C17,Purchased!A:R,15,0)=0, " ", VLOOKUP(C17,Purchased!A:R,15,0))</f>
        <v>45463</v>
      </c>
      <c r="M17" s="46">
        <f>IF(VLOOKUP(C17,Purchased!A:R,16,0)=0, " ",VLOOKUP(C17,Purchased!A:R,16,0))</f>
        <v>45481</v>
      </c>
      <c r="N17" s="130">
        <f>IF(VLOOKUP(C17,Purchased!A:R,17,0)=0, " ", VLOOKUP(C17,Purchased!A:R,17,0))</f>
        <v>45481</v>
      </c>
      <c r="O17" s="47">
        <f t="shared" ref="O17:O34" ca="1" si="6">B17*$L$2</f>
        <v>6</v>
      </c>
      <c r="P17" s="51">
        <f>VLOOKUP(C17,Purchased!A:D,3,FALSE)</f>
        <v>0.56000000000000005</v>
      </c>
      <c r="Q17" s="52">
        <f t="shared" ref="Q17:Q34" si="7">B17*P17</f>
        <v>3.3600000000000003</v>
      </c>
    </row>
    <row r="18" spans="1:17" s="2" customFormat="1" ht="12" customHeight="1" x14ac:dyDescent="0.25">
      <c r="A18" s="4">
        <v>302</v>
      </c>
      <c r="B18" s="2">
        <v>1</v>
      </c>
      <c r="C18" s="135" t="s">
        <v>500</v>
      </c>
      <c r="D18" s="325" t="str">
        <f>VLOOKUP(C18,Purchased!A:B,2,0)</f>
        <v>Aluminum Handwheel GN 322.3-160-B14-R</v>
      </c>
      <c r="E18" s="326"/>
      <c r="F18" s="108" t="str">
        <f>IF(VLOOKUP($C18,Purchased!A:Z,11,0) = 0, " ", VLOOKUP($C18,Purchased!A:Z,11,0))</f>
        <v>ELESA</v>
      </c>
      <c r="G18" s="108" t="str">
        <f>IF(VLOOKUP($C18,Purchased!A:Z,12,0)=0, " ", VLOOKUP($C18,Purchased!A:Z,12,0))</f>
        <v>ELESA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45506</v>
      </c>
      <c r="K18" s="46">
        <f>IF(VLOOKUP(C18,Purchased!A:R,14,0)=0, " ", VLOOKUP(C18,Purchased!A:R,14,0))</f>
        <v>45506</v>
      </c>
      <c r="L18" s="46">
        <f>IF(VLOOKUP(C18,Purchased!A:R,15,0)=0, " ", VLOOKUP(C18,Purchased!A:R,15,0))</f>
        <v>45526</v>
      </c>
      <c r="M18" s="46">
        <f>IF(VLOOKUP(C18,Purchased!A:R,16,0)=0, " ",VLOOKUP(C18,Purchased!A:R,16,0))</f>
        <v>45551</v>
      </c>
      <c r="N18" s="130">
        <f>IF(VLOOKUP(C18,Purchased!A:R,17,0)=0, " ", VLOOKUP(C18,Purchased!A:R,17,0))</f>
        <v>45551</v>
      </c>
      <c r="O18" s="47">
        <f t="shared" ca="1" si="6"/>
        <v>1</v>
      </c>
      <c r="P18" s="51">
        <f>VLOOKUP(C18,Purchased!A:D,3,FALSE)</f>
        <v>87.05</v>
      </c>
      <c r="Q18" s="52">
        <f t="shared" si="7"/>
        <v>87.05</v>
      </c>
    </row>
    <row r="19" spans="1:17" s="2" customFormat="1" ht="12" customHeight="1" x14ac:dyDescent="0.25">
      <c r="A19" s="4">
        <v>303</v>
      </c>
      <c r="B19" s="2">
        <v>1</v>
      </c>
      <c r="C19" s="135" t="s">
        <v>501</v>
      </c>
      <c r="D19" s="325" t="str">
        <f>VLOOKUP(C19,Purchased!A:B,2,0)</f>
        <v>Digital Position Indicator DD51-E-SST-IP65-C2</v>
      </c>
      <c r="E19" s="326"/>
      <c r="F19" s="108" t="str">
        <f>IF(VLOOKUP($C19,Purchased!A:Z,11,0) = 0, " ", VLOOKUP($C19,Purchased!A:Z,11,0))</f>
        <v>ELESA</v>
      </c>
      <c r="G19" s="108" t="str">
        <f>IF(VLOOKUP($C19,Purchased!A:Z,12,0)=0, " ", VLOOKUP($C19,Purchased!A:Z,12,0))</f>
        <v>ELESA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45506</v>
      </c>
      <c r="K19" s="46">
        <f>IF(VLOOKUP(C19,Purchased!A:R,14,0)=0, " ", VLOOKUP(C19,Purchased!A:R,14,0))</f>
        <v>45506</v>
      </c>
      <c r="L19" s="46">
        <f>IF(VLOOKUP(C19,Purchased!A:R,15,0)=0, " ", VLOOKUP(C19,Purchased!A:R,15,0))</f>
        <v>45526</v>
      </c>
      <c r="M19" s="46">
        <f>IF(VLOOKUP(C19,Purchased!A:R,16,0)=0, " ",VLOOKUP(C19,Purchased!A:R,16,0))</f>
        <v>45551</v>
      </c>
      <c r="N19" s="130">
        <f>IF(VLOOKUP(C19,Purchased!A:R,17,0)=0, " ", VLOOKUP(C19,Purchased!A:R,17,0))</f>
        <v>45551</v>
      </c>
      <c r="O19" s="47">
        <f t="shared" ca="1" si="6"/>
        <v>1</v>
      </c>
      <c r="P19" s="51">
        <f>VLOOKUP(C19,Purchased!A:D,3,FALSE)</f>
        <v>258</v>
      </c>
      <c r="Q19" s="52">
        <f t="shared" si="7"/>
        <v>258</v>
      </c>
    </row>
    <row r="20" spans="1:17" s="2" customFormat="1" ht="12" customHeight="1" x14ac:dyDescent="0.25">
      <c r="A20" s="4">
        <v>304</v>
      </c>
      <c r="B20" s="2">
        <v>1</v>
      </c>
      <c r="C20" s="135" t="s">
        <v>504</v>
      </c>
      <c r="D20" s="325" t="str">
        <f>VLOOKUP(C20,Purchased!A:B,2,0)</f>
        <v>20mm ID 32mm OD 7mm Thick Ball Bearing</v>
      </c>
      <c r="E20" s="326"/>
      <c r="F20" s="108" t="str">
        <f>IF(VLOOKUP($C20,Purchased!A:Z,11,0) = 0, " ", VLOOKUP($C20,Purchased!A:Z,11,0))</f>
        <v>MCM</v>
      </c>
      <c r="G20" s="108" t="str">
        <f>IF(VLOOKUP($C20,Purchased!A:Z,12,0)=0, " ", VLOOKUP($C20,Purchased!A:Z,12,0))</f>
        <v>MCM</v>
      </c>
      <c r="H20" s="327" t="str">
        <f>IF(VLOOKUP($C20,Purchased!A:Z,13,0)=0, " ", VLOOKUP($C20,Purchased!A:Z,13,0))</f>
        <v>11 Additional Quantity Added to 55697</v>
      </c>
      <c r="I20" s="328"/>
      <c r="J20" s="46">
        <f>IF(VLOOKUP($C20,Purchased!A:Z,14,0)=0, " ", VLOOKUP($C20,Purchased!A:Z,14,0))</f>
        <v>45481</v>
      </c>
      <c r="K20" s="46">
        <f>IF(VLOOKUP(C20,Purchased!A:R,14,0)=0, " ", VLOOKUP(C20,Purchased!A:R,14,0))</f>
        <v>45481</v>
      </c>
      <c r="L20" s="46">
        <f>IF(VLOOKUP(C20,Purchased!A:R,15,0)=0, " ", VLOOKUP(C20,Purchased!A:R,15,0))</f>
        <v>45481</v>
      </c>
      <c r="M20" s="46">
        <f>IF(VLOOKUP(C20,Purchased!A:R,16,0)=0, " ",VLOOKUP(C20,Purchased!A:R,16,0))</f>
        <v>45482</v>
      </c>
      <c r="N20" s="130">
        <f>IF(VLOOKUP(C20,Purchased!A:R,17,0)=0, " ", VLOOKUP(C20,Purchased!A:R,17,0))</f>
        <v>45482</v>
      </c>
      <c r="O20" s="47">
        <f t="shared" ca="1" si="6"/>
        <v>1</v>
      </c>
      <c r="P20" s="51">
        <f>VLOOKUP(C20,Purchased!A:D,3,FALSE)</f>
        <v>16.88</v>
      </c>
      <c r="Q20" s="52">
        <f t="shared" si="7"/>
        <v>16.88</v>
      </c>
    </row>
    <row r="21" spans="1:17" s="2" customFormat="1" ht="12" customHeight="1" x14ac:dyDescent="0.25">
      <c r="A21" s="4">
        <v>305</v>
      </c>
      <c r="B21" s="2">
        <v>1</v>
      </c>
      <c r="C21" s="135" t="s">
        <v>1250</v>
      </c>
      <c r="D21" s="325" t="str">
        <f>VLOOKUP(C21,Purchased!A:B,2,0)</f>
        <v>Clamping Shaft Coupling</v>
      </c>
      <c r="E21" s="326"/>
      <c r="F21" s="108" t="str">
        <f>IF(VLOOKUP($C21,Purchased!A:Z,11,0) = 0, " ", VLOOKUP($C21,Purchased!A:Z,11,0))</f>
        <v>CLIMAX</v>
      </c>
      <c r="G21" s="108" t="str">
        <f>IF(VLOOKUP($C21,Purchased!A:Z,12,0)=0, " ", VLOOKUP($C21,Purchased!A:Z,12,0))</f>
        <v>BDI</v>
      </c>
      <c r="H21" s="327" t="str">
        <f>IF(VLOOKUP($C21,Purchased!A:Z,13,0)=0, " ", VLOOKUP($C21,Purchased!A:Z,13,0))</f>
        <v># 196818 MISCC-20-20 , 20MM X 20MM BORE</v>
      </c>
      <c r="I21" s="328"/>
      <c r="J21" s="46">
        <f>IF(VLOOKUP($C21,Purchased!A:Z,14,0)=0, " ", VLOOKUP($C21,Purchased!A:Z,14,0))</f>
        <v>45460</v>
      </c>
      <c r="K21" s="46">
        <f>IF(VLOOKUP(C21,Purchased!A:R,14,0)=0, " ", VLOOKUP(C21,Purchased!A:R,14,0))</f>
        <v>45460</v>
      </c>
      <c r="L21" s="46">
        <f>IF(VLOOKUP(C21,Purchased!A:R,15,0)=0, " ", VLOOKUP(C21,Purchased!A:R,15,0))</f>
        <v>45462</v>
      </c>
      <c r="M21" s="46">
        <f>IF(VLOOKUP(C21,Purchased!A:R,16,0)=0, " ",VLOOKUP(C21,Purchased!A:R,16,0))</f>
        <v>45495</v>
      </c>
      <c r="N21" s="130">
        <f>IF(VLOOKUP(C21,Purchased!A:R,17,0)=0, " ", VLOOKUP(C21,Purchased!A:R,17,0))</f>
        <v>45495</v>
      </c>
      <c r="O21" s="47">
        <f t="shared" ca="1" si="6"/>
        <v>1</v>
      </c>
      <c r="P21" s="51">
        <f>VLOOKUP(C21,Purchased!A:D,3,FALSE)</f>
        <v>48.58</v>
      </c>
      <c r="Q21" s="52">
        <f t="shared" si="7"/>
        <v>48.58</v>
      </c>
    </row>
    <row r="22" spans="1:17" s="2" customFormat="1" ht="12" customHeight="1" x14ac:dyDescent="0.25">
      <c r="A22" s="4">
        <v>306</v>
      </c>
      <c r="B22" s="2">
        <v>1</v>
      </c>
      <c r="C22" s="135" t="s">
        <v>667</v>
      </c>
      <c r="D22" s="325" t="str">
        <f>VLOOKUP(C22,Purchased!A:B,2,0)</f>
        <v>Pushbutton, Green</v>
      </c>
      <c r="E22" s="326"/>
      <c r="F22" s="108" t="str">
        <f>IF(VLOOKUP($C22,Purchased!A:Z,11,0) = 0, " ", VLOOKUP($C22,Purchased!A:Z,11,0))</f>
        <v>NITRA</v>
      </c>
      <c r="G22" s="108" t="str">
        <f>IF(VLOOKUP($C22,Purchased!A:Z,12,0)=0, " ", VLOOKUP($C22,Purchased!A:Z,12,0))</f>
        <v>AUTO DIRECT</v>
      </c>
      <c r="H22" s="327" t="str">
        <f>IF(VLOOKUP($C22,Purchased!A:Z,13,0)=0, " ", VLOOKUP($C22,Purchased!A:Z,13,0))</f>
        <v xml:space="preserve"> </v>
      </c>
      <c r="I22" s="328"/>
      <c r="J22" s="46" t="str">
        <f>IF(VLOOKUP($C22,Purchased!A:Z,14,0)=0, " ", VLOOKUP($C22,Purchased!A:Z,14,0))</f>
        <v>N/A</v>
      </c>
      <c r="K22" s="46" t="str">
        <f>IF(VLOOKUP(C22,Purchased!A:R,14,0)=0, " ", VLOOKUP(C22,Purchased!A:R,14,0))</f>
        <v>N/A</v>
      </c>
      <c r="L22" s="46" t="str">
        <f>IF(VLOOKUP(C22,Purchased!A:R,15,0)=0, " ", VLOOKUP(C22,Purchased!A:R,15,0))</f>
        <v xml:space="preserve"> </v>
      </c>
      <c r="M22" s="46" t="str">
        <f>IF(VLOOKUP(C22,Purchased!A:R,16,0)=0, " ",VLOOKUP(C22,Purchased!A:R,16,0))</f>
        <v xml:space="preserve"> </v>
      </c>
      <c r="N22" s="130" t="str">
        <f>IF(VLOOKUP(C22,Purchased!A:R,17,0)=0, " ", VLOOKUP(C22,Purchased!A:R,17,0))</f>
        <v xml:space="preserve"> </v>
      </c>
      <c r="O22" s="47">
        <f t="shared" ca="1" si="6"/>
        <v>1</v>
      </c>
      <c r="P22" s="51">
        <f>VLOOKUP(C22,Purchased!A:D,3,FALSE)</f>
        <v>2.75</v>
      </c>
      <c r="Q22" s="52">
        <f t="shared" si="7"/>
        <v>2.75</v>
      </c>
    </row>
    <row r="23" spans="1:17" s="2" customFormat="1" ht="12" customHeight="1" x14ac:dyDescent="0.25">
      <c r="A23" s="4">
        <v>307</v>
      </c>
      <c r="B23" s="2">
        <v>1</v>
      </c>
      <c r="C23" s="135" t="s">
        <v>668</v>
      </c>
      <c r="D23" s="325" t="str">
        <f>VLOOKUP(C23,Purchased!A:B,2,0)</f>
        <v>Pneumatic Switch for pushbutton</v>
      </c>
      <c r="E23" s="326"/>
      <c r="F23" s="108" t="str">
        <f>IF(VLOOKUP($C23,Purchased!A:Z,11,0) = 0, " ", VLOOKUP($C23,Purchased!A:Z,11,0))</f>
        <v>NITRA</v>
      </c>
      <c r="G23" s="108" t="str">
        <f>IF(VLOOKUP($C23,Purchased!A:Z,12,0)=0, " ", VLOOKUP($C23,Purchased!A:Z,12,0))</f>
        <v>AUTO DIRECT</v>
      </c>
      <c r="H23" s="327" t="str">
        <f>IF(VLOOKUP($C23,Purchased!A:Z,13,0)=0, " ", VLOOKUP($C23,Purchased!A:Z,13,0))</f>
        <v xml:space="preserve"> </v>
      </c>
      <c r="I23" s="328"/>
      <c r="J23" s="46" t="str">
        <f>IF(VLOOKUP($C23,Purchased!A:Z,14,0)=0, " ", VLOOKUP($C23,Purchased!A:Z,14,0))</f>
        <v>N/A</v>
      </c>
      <c r="K23" s="46" t="str">
        <f>IF(VLOOKUP(C23,Purchased!A:R,14,0)=0, " ", VLOOKUP(C23,Purchased!A:R,14,0))</f>
        <v>N/A</v>
      </c>
      <c r="L23" s="46" t="str">
        <f>IF(VLOOKUP(C23,Purchased!A:R,15,0)=0, " ", VLOOKUP(C23,Purchased!A:R,15,0))</f>
        <v xml:space="preserve"> </v>
      </c>
      <c r="M23" s="46" t="str">
        <f>IF(VLOOKUP(C23,Purchased!A:R,16,0)=0, " ",VLOOKUP(C23,Purchased!A:R,16,0))</f>
        <v xml:space="preserve"> </v>
      </c>
      <c r="N23" s="130" t="str">
        <f>IF(VLOOKUP(C23,Purchased!A:R,17,0)=0, " ", VLOOKUP(C23,Purchased!A:R,17,0))</f>
        <v xml:space="preserve"> </v>
      </c>
      <c r="O23" s="47">
        <f t="shared" ca="1" si="6"/>
        <v>1</v>
      </c>
      <c r="P23" s="51">
        <f>VLOOKUP(C23,Purchased!A:D,3,FALSE)</f>
        <v>19</v>
      </c>
      <c r="Q23" s="52">
        <f t="shared" si="7"/>
        <v>19</v>
      </c>
    </row>
    <row r="24" spans="1:17" s="2" customFormat="1" ht="12" customHeight="1" x14ac:dyDescent="0.25">
      <c r="A24" s="4">
        <v>308</v>
      </c>
      <c r="B24" s="2">
        <v>2</v>
      </c>
      <c r="C24" s="135" t="s">
        <v>728</v>
      </c>
      <c r="D24" s="325" t="str">
        <f>VLOOKUP(C24,Purchased!A:B,2,0)</f>
        <v>Long Threaded Rod Spacer</v>
      </c>
      <c r="E24" s="326"/>
      <c r="F24" s="108" t="str">
        <f>IF(VLOOKUP($C24,Purchased!A:Z,11,0) = 0, " ", VLOOKUP($C24,Purchased!A:Z,11,0))</f>
        <v>MISUMI</v>
      </c>
      <c r="G24" s="108" t="str">
        <f>IF(VLOOKUP($C24,Purchased!A:Z,12,0)=0, " ", VLOOKUP($C24,Purchased!A:Z,12,0))</f>
        <v>MISUMI</v>
      </c>
      <c r="H24" s="327" t="str">
        <f>IF(VLOOKUP($C24,Purchased!A:Z,13,0)=0, " ", VLOOKUP($C24,Purchased!A:Z,13,0))</f>
        <v xml:space="preserve"> </v>
      </c>
      <c r="I24" s="328"/>
      <c r="J24" s="46">
        <f>IF(VLOOKUP($C24,Purchased!A:Z,14,0)=0, " ", VLOOKUP($C24,Purchased!A:Z,14,0))</f>
        <v>45483</v>
      </c>
      <c r="K24" s="46">
        <f>IF(VLOOKUP(C24,Purchased!A:R,14,0)=0, " ", VLOOKUP(C24,Purchased!A:R,14,0))</f>
        <v>45483</v>
      </c>
      <c r="L24" s="46">
        <f>IF(VLOOKUP(C24,Purchased!A:R,15,0)=0, " ", VLOOKUP(C24,Purchased!A:R,15,0))</f>
        <v>45483</v>
      </c>
      <c r="M24" s="46">
        <f>IF(VLOOKUP(C24,Purchased!A:R,16,0)=0, " ",VLOOKUP(C24,Purchased!A:R,16,0))</f>
        <v>45512</v>
      </c>
      <c r="N24" s="130">
        <f>IF(VLOOKUP(C24,Purchased!A:R,17,0)=0, " ", VLOOKUP(C24,Purchased!A:R,17,0))</f>
        <v>45512</v>
      </c>
      <c r="O24" s="47">
        <f t="shared" ca="1" si="6"/>
        <v>2</v>
      </c>
      <c r="P24" s="51">
        <f>VLOOKUP(C24,Purchased!A:D,3,FALSE)</f>
        <v>42.73</v>
      </c>
      <c r="Q24" s="52">
        <f t="shared" si="7"/>
        <v>85.46</v>
      </c>
    </row>
    <row r="25" spans="1:17" s="2" customFormat="1" ht="12" customHeight="1" x14ac:dyDescent="0.25">
      <c r="A25" s="4">
        <v>309</v>
      </c>
      <c r="B25" s="2">
        <v>4</v>
      </c>
      <c r="C25" s="135" t="s">
        <v>730</v>
      </c>
      <c r="D25" s="325" t="str">
        <f>VLOOKUP(C25,Purchased!A:B,2,0)</f>
        <v>Eccentric Cam Follower</v>
      </c>
      <c r="E25" s="326"/>
      <c r="F25" s="108" t="str">
        <f>IF(VLOOKUP($C25,Purchased!A:Z,11,0) = 0, " ", VLOOKUP($C25,Purchased!A:Z,11,0))</f>
        <v>MISUMI</v>
      </c>
      <c r="G25" s="108" t="str">
        <f>IF(VLOOKUP($C25,Purchased!A:Z,12,0)=0, " ", VLOOKUP($C25,Purchased!A:Z,12,0))</f>
        <v>MISUMI</v>
      </c>
      <c r="H25" s="327" t="str">
        <f>IF(VLOOKUP($C25,Purchased!A:Z,13,0)=0, " ", VLOOKUP($C25,Purchased!A:Z,13,0))</f>
        <v xml:space="preserve"> </v>
      </c>
      <c r="I25" s="328"/>
      <c r="J25" s="46">
        <f>IF(VLOOKUP($C25,Purchased!A:Z,14,0)=0, " ", VLOOKUP($C25,Purchased!A:Z,14,0))</f>
        <v>45483</v>
      </c>
      <c r="K25" s="46">
        <f>IF(VLOOKUP(C25,Purchased!A:R,14,0)=0, " ", VLOOKUP(C25,Purchased!A:R,14,0))</f>
        <v>45483</v>
      </c>
      <c r="L25" s="46">
        <f>IF(VLOOKUP(C25,Purchased!A:R,15,0)=0, " ", VLOOKUP(C25,Purchased!A:R,15,0))</f>
        <v>45483</v>
      </c>
      <c r="M25" s="46">
        <f>IF(VLOOKUP(C25,Purchased!A:R,16,0)=0, " ",VLOOKUP(C25,Purchased!A:R,16,0))</f>
        <v>45512</v>
      </c>
      <c r="N25" s="130">
        <f>IF(VLOOKUP(C25,Purchased!A:R,17,0)=0, " ", VLOOKUP(C25,Purchased!A:R,17,0))</f>
        <v>45512</v>
      </c>
      <c r="O25" s="47">
        <f t="shared" ca="1" si="6"/>
        <v>4</v>
      </c>
      <c r="P25" s="51">
        <f>VLOOKUP(C25,Purchased!A:D,3,FALSE)</f>
        <v>82.24</v>
      </c>
      <c r="Q25" s="52">
        <f t="shared" si="7"/>
        <v>328.96</v>
      </c>
    </row>
    <row r="26" spans="1:17" s="2" customFormat="1" ht="12" customHeight="1" x14ac:dyDescent="0.25">
      <c r="A26" s="4">
        <v>310</v>
      </c>
      <c r="B26" s="2">
        <v>12</v>
      </c>
      <c r="C26" s="135" t="s">
        <v>729</v>
      </c>
      <c r="D26" s="325" t="str">
        <f>VLOOKUP(C26,Purchased!A:B,2,0)</f>
        <v>Spacer 28OD 20ID 6Thick</v>
      </c>
      <c r="E26" s="326"/>
      <c r="F26" s="108" t="str">
        <f>IF(VLOOKUP($C26,Purchased!A:Z,11,0) = 0, " ", VLOOKUP($C26,Purchased!A:Z,11,0))</f>
        <v>MISUMI</v>
      </c>
      <c r="G26" s="108" t="str">
        <f>IF(VLOOKUP($C26,Purchased!A:Z,12,0)=0, " ", VLOOKUP($C26,Purchased!A:Z,12,0))</f>
        <v>MISUMI</v>
      </c>
      <c r="H26" s="327" t="str">
        <f>IF(VLOOKUP($C26,Purchased!A:Z,13,0)=0, " ", VLOOKUP($C26,Purchased!A:Z,13,0))</f>
        <v xml:space="preserve"> </v>
      </c>
      <c r="I26" s="328"/>
      <c r="J26" s="46">
        <f>IF(VLOOKUP($C26,Purchased!A:Z,14,0)=0, " ", VLOOKUP($C26,Purchased!A:Z,14,0))</f>
        <v>45483</v>
      </c>
      <c r="K26" s="46">
        <f>IF(VLOOKUP(C26,Purchased!A:R,14,0)=0, " ", VLOOKUP(C26,Purchased!A:R,14,0))</f>
        <v>45483</v>
      </c>
      <c r="L26" s="46">
        <f>IF(VLOOKUP(C26,Purchased!A:R,15,0)=0, " ", VLOOKUP(C26,Purchased!A:R,15,0))</f>
        <v>45483</v>
      </c>
      <c r="M26" s="46">
        <f>IF(VLOOKUP(C26,Purchased!A:R,16,0)=0, " ",VLOOKUP(C26,Purchased!A:R,16,0))</f>
        <v>45512</v>
      </c>
      <c r="N26" s="130">
        <f>IF(VLOOKUP(C26,Purchased!A:R,17,0)=0, " ", VLOOKUP(C26,Purchased!A:R,17,0))</f>
        <v>45512</v>
      </c>
      <c r="O26" s="47">
        <f t="shared" ca="1" si="6"/>
        <v>12</v>
      </c>
      <c r="P26" s="51">
        <f>VLOOKUP(C26,Purchased!A:D,3,FALSE)</f>
        <v>12.5</v>
      </c>
      <c r="Q26" s="52">
        <f t="shared" si="7"/>
        <v>150</v>
      </c>
    </row>
    <row r="27" spans="1:17" s="2" customFormat="1" ht="12" customHeight="1" x14ac:dyDescent="0.25">
      <c r="A27" s="4">
        <v>311</v>
      </c>
      <c r="B27" s="2">
        <v>8</v>
      </c>
      <c r="C27" s="135" t="s">
        <v>731</v>
      </c>
      <c r="D27" s="325" t="str">
        <f>VLOOKUP(C27,Purchased!A:B,2,0)</f>
        <v>FLAT CAM FOLLOWER, M18X1.5 THREADED SHANK, 40MM OD</v>
      </c>
      <c r="E27" s="326"/>
      <c r="F27" s="108" t="str">
        <f>IF(VLOOKUP($C27,Purchased!A:Z,11,0) = 0, " ", VLOOKUP($C27,Purchased!A:Z,11,0))</f>
        <v>MISUMI</v>
      </c>
      <c r="G27" s="108" t="str">
        <f>IF(VLOOKUP($C27,Purchased!A:Z,12,0)=0, " ", VLOOKUP($C27,Purchased!A:Z,12,0))</f>
        <v>MISUMI</v>
      </c>
      <c r="H27" s="327" t="str">
        <f>IF(VLOOKUP($C27,Purchased!A:Z,13,0)=0, " ", VLOOKUP($C27,Purchased!A:Z,13,0))</f>
        <v xml:space="preserve"> </v>
      </c>
      <c r="I27" s="328"/>
      <c r="J27" s="46">
        <f>IF(VLOOKUP($C27,Purchased!A:Z,14,0)=0, " ", VLOOKUP($C27,Purchased!A:Z,14,0))</f>
        <v>45483</v>
      </c>
      <c r="K27" s="46">
        <f>IF(VLOOKUP(C27,Purchased!A:R,14,0)=0, " ", VLOOKUP(C27,Purchased!A:R,14,0))</f>
        <v>45483</v>
      </c>
      <c r="L27" s="46">
        <f>IF(VLOOKUP(C27,Purchased!A:R,15,0)=0, " ", VLOOKUP(C27,Purchased!A:R,15,0))</f>
        <v>45483</v>
      </c>
      <c r="M27" s="46">
        <f>IF(VLOOKUP(C27,Purchased!A:R,16,0)=0, " ",VLOOKUP(C27,Purchased!A:R,16,0))</f>
        <v>45512</v>
      </c>
      <c r="N27" s="130">
        <f>IF(VLOOKUP(C27,Purchased!A:R,17,0)=0, " ", VLOOKUP(C27,Purchased!A:R,17,0))</f>
        <v>45512</v>
      </c>
      <c r="O27" s="47">
        <f t="shared" ca="1" si="6"/>
        <v>8</v>
      </c>
      <c r="P27" s="51">
        <f>VLOOKUP(C27,Purchased!A:D,3,FALSE)</f>
        <v>51.45</v>
      </c>
      <c r="Q27" s="52">
        <f t="shared" si="7"/>
        <v>411.6</v>
      </c>
    </row>
    <row r="28" spans="1:17" s="2" customFormat="1" ht="12" customHeight="1" x14ac:dyDescent="0.25">
      <c r="A28" s="4">
        <v>312</v>
      </c>
      <c r="B28" s="2">
        <v>2</v>
      </c>
      <c r="C28" s="135" t="s">
        <v>614</v>
      </c>
      <c r="D28" s="325" t="str">
        <f>VLOOKUP(C28,Purchased!A:B,2,0)</f>
        <v>CAPTURED BEARING, 20MM ID</v>
      </c>
      <c r="E28" s="326"/>
      <c r="F28" s="108" t="str">
        <f>IF(VLOOKUP($C28,Purchased!A:Z,11,0) = 0, " ", VLOOKUP($C28,Purchased!A:Z,11,0))</f>
        <v>MISUMI</v>
      </c>
      <c r="G28" s="108" t="str">
        <f>IF(VLOOKUP($C28,Purchased!A:Z,12,0)=0, " ", VLOOKUP($C28,Purchased!A:Z,12,0))</f>
        <v>MISUMI</v>
      </c>
      <c r="H28" s="327" t="str">
        <f>IF(VLOOKUP($C28,Purchased!A:Z,13,0)=0, " ", VLOOKUP($C28,Purchased!A:Z,13,0))</f>
        <v xml:space="preserve"> </v>
      </c>
      <c r="I28" s="328"/>
      <c r="J28" s="46">
        <f>IF(VLOOKUP($C28,Purchased!A:Z,14,0)=0, " ", VLOOKUP($C28,Purchased!A:Z,14,0))</f>
        <v>45483</v>
      </c>
      <c r="K28" s="46">
        <f>IF(VLOOKUP(C28,Purchased!A:R,14,0)=0, " ", VLOOKUP(C28,Purchased!A:R,14,0))</f>
        <v>45483</v>
      </c>
      <c r="L28" s="46">
        <f>IF(VLOOKUP(C28,Purchased!A:R,15,0)=0, " ", VLOOKUP(C28,Purchased!A:R,15,0))</f>
        <v>45483</v>
      </c>
      <c r="M28" s="46">
        <f>IF(VLOOKUP(C28,Purchased!A:R,16,0)=0, " ",VLOOKUP(C28,Purchased!A:R,16,0))</f>
        <v>45512</v>
      </c>
      <c r="N28" s="130">
        <f>IF(VLOOKUP(C28,Purchased!A:R,17,0)=0, " ", VLOOKUP(C28,Purchased!A:R,17,0))</f>
        <v>45512</v>
      </c>
      <c r="O28" s="47">
        <f t="shared" ca="1" si="6"/>
        <v>2</v>
      </c>
      <c r="P28" s="51">
        <f>VLOOKUP(C28,Purchased!A:D,3,FALSE)</f>
        <v>57.16</v>
      </c>
      <c r="Q28" s="52">
        <f t="shared" si="7"/>
        <v>114.32</v>
      </c>
    </row>
    <row r="29" spans="1:17" s="2" customFormat="1" ht="12" customHeight="1" x14ac:dyDescent="0.25">
      <c r="A29" s="4">
        <v>313</v>
      </c>
      <c r="B29" s="2">
        <v>2</v>
      </c>
      <c r="C29" s="135" t="s">
        <v>648</v>
      </c>
      <c r="D29" s="325" t="str">
        <f>VLOOKUP(C29,Purchased!A:B,2,0)</f>
        <v>SPUR GEAR, ELECTROLESS NICKEL PLATED STEEL</v>
      </c>
      <c r="E29" s="326"/>
      <c r="F29" s="108" t="str">
        <f>IF(VLOOKUP($C29,Purchased!A:Z,11,0) = 0, " ", VLOOKUP($C29,Purchased!A:Z,11,0))</f>
        <v>MISUMI</v>
      </c>
      <c r="G29" s="108" t="str">
        <f>IF(VLOOKUP($C29,Purchased!A:Z,12,0)=0, " ", VLOOKUP($C29,Purchased!A:Z,12,0))</f>
        <v>MISUMI</v>
      </c>
      <c r="H29" s="327" t="str">
        <f>IF(VLOOKUP($C29,Purchased!A:Z,13,0)=0, " ", VLOOKUP($C29,Purchased!A:Z,13,0))</f>
        <v>4 more on PO 55693</v>
      </c>
      <c r="I29" s="328"/>
      <c r="J29" s="46">
        <f>IF(VLOOKUP($C29,Purchased!A:Z,14,0)=0, " ", VLOOKUP($C29,Purchased!A:Z,14,0))</f>
        <v>45483</v>
      </c>
      <c r="K29" s="46">
        <f>IF(VLOOKUP(C29,Purchased!A:R,14,0)=0, " ", VLOOKUP(C29,Purchased!A:R,14,0))</f>
        <v>45483</v>
      </c>
      <c r="L29" s="46">
        <f>IF(VLOOKUP(C29,Purchased!A:R,15,0)=0, " ", VLOOKUP(C29,Purchased!A:R,15,0))</f>
        <v>45483</v>
      </c>
      <c r="M29" s="46">
        <f>IF(VLOOKUP(C29,Purchased!A:R,16,0)=0, " ",VLOOKUP(C29,Purchased!A:R,16,0))</f>
        <v>45512</v>
      </c>
      <c r="N29" s="130">
        <f>IF(VLOOKUP(C29,Purchased!A:R,17,0)=0, " ", VLOOKUP(C29,Purchased!A:R,17,0))</f>
        <v>45512</v>
      </c>
      <c r="O29" s="47">
        <f t="shared" ca="1" si="6"/>
        <v>2</v>
      </c>
      <c r="P29" s="51">
        <f>VLOOKUP(C29,Purchased!A:D,3,FALSE)</f>
        <v>48.07</v>
      </c>
      <c r="Q29" s="52">
        <f t="shared" si="7"/>
        <v>96.14</v>
      </c>
    </row>
    <row r="30" spans="1:17" s="2" customFormat="1" ht="12" customHeight="1" x14ac:dyDescent="0.25">
      <c r="A30" s="4">
        <v>314</v>
      </c>
      <c r="B30" s="2">
        <v>4</v>
      </c>
      <c r="C30" s="135" t="s">
        <v>732</v>
      </c>
      <c r="D30" s="325" t="str">
        <f>VLOOKUP(C30,Purchased!A:B,2,0)</f>
        <v>BALL BEARING, 35MM OD, 17MM ID</v>
      </c>
      <c r="E30" s="326"/>
      <c r="F30" s="108" t="str">
        <f>IF(VLOOKUP($C30,Purchased!A:Z,11,0) = 0, " ", VLOOKUP($C30,Purchased!A:Z,11,0))</f>
        <v>MISUMI</v>
      </c>
      <c r="G30" s="108" t="str">
        <f>IF(VLOOKUP($C30,Purchased!A:Z,12,0)=0, " ", VLOOKUP($C30,Purchased!A:Z,12,0))</f>
        <v>MISUMI</v>
      </c>
      <c r="H30" s="327" t="str">
        <f>IF(VLOOKUP($C30,Purchased!A:Z,13,0)=0, " ", VLOOKUP($C30,Purchased!A:Z,13,0))</f>
        <v xml:space="preserve"> </v>
      </c>
      <c r="I30" s="328"/>
      <c r="J30" s="46">
        <f>IF(VLOOKUP($C30,Purchased!A:Z,14,0)=0, " ", VLOOKUP($C30,Purchased!A:Z,14,0))</f>
        <v>45483</v>
      </c>
      <c r="K30" s="46">
        <f>IF(VLOOKUP(C30,Purchased!A:R,14,0)=0, " ", VLOOKUP(C30,Purchased!A:R,14,0))</f>
        <v>45483</v>
      </c>
      <c r="L30" s="46">
        <f>IF(VLOOKUP(C30,Purchased!A:R,15,0)=0, " ", VLOOKUP(C30,Purchased!A:R,15,0))</f>
        <v>45483</v>
      </c>
      <c r="M30" s="46">
        <f>IF(VLOOKUP(C30,Purchased!A:R,16,0)=0, " ",VLOOKUP(C30,Purchased!A:R,16,0))</f>
        <v>45512</v>
      </c>
      <c r="N30" s="130">
        <f>IF(VLOOKUP(C30,Purchased!A:R,17,0)=0, " ", VLOOKUP(C30,Purchased!A:R,17,0))</f>
        <v>45512</v>
      </c>
      <c r="O30" s="47">
        <f t="shared" ca="1" si="6"/>
        <v>4</v>
      </c>
      <c r="P30" s="51">
        <f>VLOOKUP(C30,Purchased!A:D,3,FALSE)</f>
        <v>7.07</v>
      </c>
      <c r="Q30" s="52">
        <f t="shared" si="7"/>
        <v>28.28</v>
      </c>
    </row>
    <row r="31" spans="1:17" s="2" customFormat="1" ht="12" customHeight="1" x14ac:dyDescent="0.25">
      <c r="A31" s="4">
        <v>315</v>
      </c>
      <c r="B31" s="2">
        <v>2</v>
      </c>
      <c r="C31" s="135" t="s">
        <v>733</v>
      </c>
      <c r="D31" s="325" t="str">
        <f>VLOOKUP(C31,Purchased!A:B,2,0)</f>
        <v>Pneumatic Brake for NuLine Bar Rail</v>
      </c>
      <c r="E31" s="326"/>
      <c r="F31" s="108" t="str">
        <f>IF(VLOOKUP($C31,Purchased!A:Z,11,0) = 0, " ", VLOOKUP($C31,Purchased!A:Z,11,0))</f>
        <v>Zimmer</v>
      </c>
      <c r="G31" s="108" t="str">
        <f>IF(VLOOKUP($C31,Purchased!A:Z,12,0)=0, " ", VLOOKUP($C31,Purchased!A:Z,12,0))</f>
        <v>Zimmer</v>
      </c>
      <c r="H31" s="327" t="str">
        <f>IF(VLOOKUP($C31,Purchased!A:Z,13,0)=0, " ", VLOOKUP($C31,Purchased!A:Z,13,0))</f>
        <v>P.O. for 5, bought 1 for trial -JP</v>
      </c>
      <c r="I31" s="328"/>
      <c r="J31" s="46">
        <f>IF(VLOOKUP($C31,Purchased!A:Z,14,0)=0, " ", VLOOKUP($C31,Purchased!A:Z,14,0))</f>
        <v>45482</v>
      </c>
      <c r="K31" s="46">
        <f>IF(VLOOKUP(C31,Purchased!A:R,14,0)=0, " ", VLOOKUP(C31,Purchased!A:R,14,0))</f>
        <v>45482</v>
      </c>
      <c r="L31" s="46">
        <f>IF(VLOOKUP(C31,Purchased!A:R,15,0)=0, " ", VLOOKUP(C31,Purchased!A:R,15,0))</f>
        <v>45482</v>
      </c>
      <c r="M31" s="46">
        <f>IF(VLOOKUP(C31,Purchased!A:R,16,0)=0, " ",VLOOKUP(C31,Purchased!A:R,16,0))</f>
        <v>45512</v>
      </c>
      <c r="N31" s="130">
        <f>IF(VLOOKUP(C31,Purchased!A:R,17,0)=0, " ", VLOOKUP(C31,Purchased!A:R,17,0))</f>
        <v>45512</v>
      </c>
      <c r="O31" s="47">
        <f t="shared" ca="1" si="6"/>
        <v>2</v>
      </c>
      <c r="P31" s="51">
        <f>VLOOKUP(C31,Purchased!A:D,3,FALSE)</f>
        <v>400.3</v>
      </c>
      <c r="Q31" s="52">
        <f t="shared" si="7"/>
        <v>800.6</v>
      </c>
    </row>
    <row r="32" spans="1:17" s="2" customFormat="1" ht="12" customHeight="1" x14ac:dyDescent="0.25">
      <c r="A32" s="4">
        <v>316</v>
      </c>
      <c r="B32" s="2">
        <v>8</v>
      </c>
      <c r="C32" s="135" t="s">
        <v>737</v>
      </c>
      <c r="D32" s="325" t="str">
        <f>VLOOKUP(C32,Purchased!A:B,2,0)</f>
        <v>Steel Oversized Washer for M6 Screw Size, 6 mm ID, 12 mm OD</v>
      </c>
      <c r="E32" s="326"/>
      <c r="F32" s="108" t="str">
        <f>IF(VLOOKUP($C32,Purchased!A:Z,11,0) = 0, " ", VLOOKUP($C32,Purchased!A:Z,11,0))</f>
        <v>MCM</v>
      </c>
      <c r="G32" s="108" t="str">
        <f>IF(VLOOKUP($C32,Purchased!A:Z,12,0)=0, " ", VLOOKUP($C32,Purchased!A:Z,12,0))</f>
        <v>MCM</v>
      </c>
      <c r="H32" s="327" t="str">
        <f>IF(VLOOKUP($C32,Purchased!A:Z,13,0)=0, " ", VLOOKUP($C32,Purchased!A:Z,13,0))</f>
        <v xml:space="preserve"> </v>
      </c>
      <c r="I32" s="328"/>
      <c r="J32" s="46">
        <f>IF(VLOOKUP($C32,Purchased!A:Z,14,0)=0, " ", VLOOKUP($C32,Purchased!A:Z,14,0))</f>
        <v>45481</v>
      </c>
      <c r="K32" s="46">
        <f>IF(VLOOKUP(C32,Purchased!A:R,14,0)=0, " ", VLOOKUP(C32,Purchased!A:R,14,0))</f>
        <v>45481</v>
      </c>
      <c r="L32" s="46">
        <f>IF(VLOOKUP(C32,Purchased!A:R,15,0)=0, " ", VLOOKUP(C32,Purchased!A:R,15,0))</f>
        <v>45481</v>
      </c>
      <c r="M32" s="46">
        <f>IF(VLOOKUP(C32,Purchased!A:R,16,0)=0, " ",VLOOKUP(C32,Purchased!A:R,16,0))</f>
        <v>45482</v>
      </c>
      <c r="N32" s="130">
        <f>IF(VLOOKUP(C32,Purchased!A:R,17,0)=0, " ", VLOOKUP(C32,Purchased!A:R,17,0))</f>
        <v>45482</v>
      </c>
      <c r="O32" s="47">
        <f t="shared" ca="1" si="6"/>
        <v>8</v>
      </c>
      <c r="P32" s="51">
        <f>VLOOKUP(C32,Purchased!A:D,3,FALSE)</f>
        <v>8</v>
      </c>
      <c r="Q32" s="52">
        <f t="shared" si="7"/>
        <v>64</v>
      </c>
    </row>
    <row r="33" spans="1:17" s="2" customFormat="1" ht="12" customHeight="1" x14ac:dyDescent="0.25">
      <c r="A33" s="4">
        <v>317</v>
      </c>
      <c r="B33" s="2">
        <v>8</v>
      </c>
      <c r="C33" s="135" t="s">
        <v>1251</v>
      </c>
      <c r="D33" s="325" t="str">
        <f>VLOOKUP(C33,Purchased!A:B,2,0)</f>
        <v>Bearing Spacer, Inner Race</v>
      </c>
      <c r="E33" s="326"/>
      <c r="F33" s="108" t="str">
        <f>IF(VLOOKUP($C33,Purchased!A:Z,11,0) = 0, " ", VLOOKUP($C33,Purchased!A:Z,11,0))</f>
        <v>MISUMI</v>
      </c>
      <c r="G33" s="108" t="str">
        <f>IF(VLOOKUP($C33,Purchased!A:Z,12,0)=0, " ", VLOOKUP($C33,Purchased!A:Z,12,0))</f>
        <v>MISUMI</v>
      </c>
      <c r="H33" s="327" t="str">
        <f>IF(VLOOKUP($C33,Purchased!A:Z,13,0)=0, " ", VLOOKUP($C33,Purchased!A:Z,13,0))</f>
        <v xml:space="preserve"> </v>
      </c>
      <c r="I33" s="328"/>
      <c r="J33" s="46">
        <f>IF(VLOOKUP($C33,Purchased!A:Z,14,0)=0, " ", VLOOKUP($C33,Purchased!A:Z,14,0))</f>
        <v>45483</v>
      </c>
      <c r="K33" s="46">
        <f>IF(VLOOKUP(C33,Purchased!A:R,14,0)=0, " ", VLOOKUP(C33,Purchased!A:R,14,0))</f>
        <v>45483</v>
      </c>
      <c r="L33" s="46">
        <f>IF(VLOOKUP(C33,Purchased!A:R,15,0)=0, " ", VLOOKUP(C33,Purchased!A:R,15,0))</f>
        <v>45483</v>
      </c>
      <c r="M33" s="46">
        <f>IF(VLOOKUP(C33,Purchased!A:R,16,0)=0, " ",VLOOKUP(C33,Purchased!A:R,16,0))</f>
        <v>45512</v>
      </c>
      <c r="N33" s="130">
        <f>IF(VLOOKUP(C33,Purchased!A:R,17,0)=0, " ", VLOOKUP(C33,Purchased!A:R,17,0))</f>
        <v>45512</v>
      </c>
      <c r="O33" s="47">
        <f t="shared" ca="1" si="6"/>
        <v>8</v>
      </c>
      <c r="P33" s="51">
        <f>VLOOKUP(C33,Purchased!A:D,3,FALSE)</f>
        <v>13.83</v>
      </c>
      <c r="Q33" s="52">
        <f t="shared" si="7"/>
        <v>110.64</v>
      </c>
    </row>
    <row r="34" spans="1:17" s="2" customFormat="1" ht="12" customHeight="1" x14ac:dyDescent="0.25">
      <c r="A34" s="4">
        <v>318</v>
      </c>
      <c r="B34" s="2">
        <v>2</v>
      </c>
      <c r="C34" s="135" t="s">
        <v>723</v>
      </c>
      <c r="D34" s="325" t="str">
        <f>VLOOKUP(C34,Purchased!A:B,2,0)</f>
        <v>BEARING SPACER, 20MM ID, 23MM OD, 14.5MM L</v>
      </c>
      <c r="E34" s="326"/>
      <c r="F34" s="108" t="str">
        <f>IF(VLOOKUP($C34,Purchased!A:Z,11,0) = 0, " ", VLOOKUP($C34,Purchased!A:Z,11,0))</f>
        <v>MISUMI</v>
      </c>
      <c r="G34" s="108" t="str">
        <f>IF(VLOOKUP($C34,Purchased!A:Z,12,0)=0, " ", VLOOKUP($C34,Purchased!A:Z,12,0))</f>
        <v>MISUMI</v>
      </c>
      <c r="H34" s="327" t="str">
        <f>IF(VLOOKUP($C34,Purchased!A:Z,13,0)=0, " ", VLOOKUP($C34,Purchased!A:Z,13,0))</f>
        <v xml:space="preserve"> </v>
      </c>
      <c r="I34" s="328"/>
      <c r="J34" s="46">
        <f>IF(VLOOKUP($C34,Purchased!A:Z,14,0)=0, " ", VLOOKUP($C34,Purchased!A:Z,14,0))</f>
        <v>45483</v>
      </c>
      <c r="K34" s="46">
        <f>IF(VLOOKUP(C34,Purchased!A:R,14,0)=0, " ", VLOOKUP(C34,Purchased!A:R,14,0))</f>
        <v>45483</v>
      </c>
      <c r="L34" s="46">
        <f>IF(VLOOKUP(C34,Purchased!A:R,15,0)=0, " ", VLOOKUP(C34,Purchased!A:R,15,0))</f>
        <v>45483</v>
      </c>
      <c r="M34" s="46">
        <f>IF(VLOOKUP(C34,Purchased!A:R,16,0)=0, " ",VLOOKUP(C34,Purchased!A:R,16,0))</f>
        <v>45512</v>
      </c>
      <c r="N34" s="130">
        <f>IF(VLOOKUP(C34,Purchased!A:R,17,0)=0, " ", VLOOKUP(C34,Purchased!A:R,17,0))</f>
        <v>45512</v>
      </c>
      <c r="O34" s="47">
        <f t="shared" ca="1" si="6"/>
        <v>2</v>
      </c>
      <c r="P34" s="51">
        <f>VLOOKUP(C34,Purchased!A:D,3,FALSE)</f>
        <v>15.11</v>
      </c>
      <c r="Q34" s="52">
        <f t="shared" si="7"/>
        <v>30.22</v>
      </c>
    </row>
    <row r="35" spans="1:17" s="2" customFormat="1" ht="12" customHeight="1" x14ac:dyDescent="0.25">
      <c r="A35" s="4">
        <v>319</v>
      </c>
      <c r="B35" s="2">
        <v>8</v>
      </c>
      <c r="C35" s="135" t="s">
        <v>745</v>
      </c>
      <c r="D35" s="325" t="str">
        <f>VLOOKUP(C35,Purchased!A:B,2,0)</f>
        <v>General Purpose Zinc-Plated Steel Washer for M5 Screw Size, 5.300 mm ID, 
9.000 mm OD</v>
      </c>
      <c r="E35" s="326"/>
      <c r="F35" s="108" t="str">
        <f>IF(VLOOKUP($C35,Purchased!A:Z,11,0) = 0, " ", VLOOKUP($C35,Purchased!A:Z,11,0))</f>
        <v>MCM</v>
      </c>
      <c r="G35" s="108" t="str">
        <f>IF(VLOOKUP($C35,Purchased!A:Z,12,0)=0, " ", VLOOKUP($C35,Purchased!A:Z,12,0))</f>
        <v>MCM</v>
      </c>
      <c r="H35" s="327" t="str">
        <f>IF(VLOOKUP($C35,Purchased!A:Z,13,0)=0, " ", VLOOKUP($C35,Purchased!A:Z,13,0))</f>
        <v xml:space="preserve"> </v>
      </c>
      <c r="I35" s="328"/>
      <c r="J35" s="46">
        <f>IF(VLOOKUP($C35,Purchased!A:Z,14,0)=0, " ", VLOOKUP($C35,Purchased!A:Z,14,0))</f>
        <v>45482</v>
      </c>
      <c r="K35" s="46">
        <f>IF(VLOOKUP(C35,Purchased!A:R,14,0)=0, " ", VLOOKUP(C35,Purchased!A:R,14,0))</f>
        <v>45482</v>
      </c>
      <c r="L35" s="46">
        <f>IF(VLOOKUP(C35,Purchased!A:R,15,0)=0, " ", VLOOKUP(C35,Purchased!A:R,15,0))</f>
        <v>45482</v>
      </c>
      <c r="M35" s="46">
        <f>IF(VLOOKUP(C35,Purchased!A:R,16,0)=0, " ",VLOOKUP(C35,Purchased!A:R,16,0))</f>
        <v>45483</v>
      </c>
      <c r="N35" s="130">
        <f>IF(VLOOKUP(C35,Purchased!A:R,17,0)=0, " ", VLOOKUP(C35,Purchased!A:R,17,0))</f>
        <v>45483</v>
      </c>
      <c r="O35" s="47">
        <f t="shared" ref="O35" ca="1" si="8">B35*$L$2</f>
        <v>8</v>
      </c>
      <c r="P35" s="51">
        <f>VLOOKUP(C35,Purchased!A:D,3,FALSE)</f>
        <v>4</v>
      </c>
      <c r="Q35" s="52">
        <f t="shared" ref="Q35" si="9">B35*P35</f>
        <v>32</v>
      </c>
    </row>
    <row r="36" spans="1:17" s="2" customFormat="1" ht="12.75" customHeight="1" x14ac:dyDescent="0.25">
      <c r="A36" s="25"/>
      <c r="B36" s="26"/>
      <c r="C36" s="26"/>
      <c r="D36" s="332"/>
      <c r="E36" s="333"/>
      <c r="F36" s="26"/>
      <c r="G36" s="26"/>
      <c r="H36" s="322"/>
      <c r="I36" s="323"/>
      <c r="J36" s="27"/>
      <c r="K36" s="27"/>
      <c r="L36" s="27"/>
      <c r="M36" s="28"/>
      <c r="N36" s="29"/>
      <c r="O36" s="29"/>
      <c r="P36" s="148"/>
      <c r="Q36" s="149"/>
    </row>
    <row r="37" spans="1:17" s="2" customFormat="1" ht="12.75" customHeight="1" x14ac:dyDescent="0.25">
      <c r="A37" s="4">
        <v>501</v>
      </c>
      <c r="B37" s="2">
        <v>8</v>
      </c>
      <c r="C37" s="122" t="s">
        <v>95</v>
      </c>
      <c r="D37" s="325"/>
      <c r="E37" s="326"/>
      <c r="F37" s="108">
        <f>VLOOKUP(C37,Bolts!A:L,5,0)</f>
        <v>0</v>
      </c>
      <c r="G37" s="108">
        <f>VLOOKUP(C37,Bolts!A:L,6,0)</f>
        <v>0</v>
      </c>
      <c r="H37" s="108">
        <f>VLOOKUP(C37,Bolts!A:L,7,0)</f>
        <v>0</v>
      </c>
      <c r="I37" s="109"/>
      <c r="J37" s="46">
        <f>VLOOKUP(C37,Bolts!A:L,8,0)</f>
        <v>0</v>
      </c>
      <c r="K37" s="46">
        <f>VLOOKUP(C37,Bolts!A:L,9,0)</f>
        <v>0</v>
      </c>
      <c r="L37" s="46">
        <f>VLOOKUP(C37,Bolts!A:L,10,0)</f>
        <v>0</v>
      </c>
      <c r="M37" s="46">
        <f>VLOOKUP(C37,Bolts!A:L,11,0)</f>
        <v>0</v>
      </c>
      <c r="N37" s="130">
        <f>VLOOKUP(C37,Bolts!A:L,12,0)</f>
        <v>0</v>
      </c>
      <c r="O37" s="47">
        <f t="shared" ref="O37:O43" ca="1" si="10">B37*$L$2</f>
        <v>8</v>
      </c>
      <c r="P37" s="51">
        <f>VLOOKUP(C37,Bolts!A:B,2,FALSE)</f>
        <v>0</v>
      </c>
      <c r="Q37" s="52">
        <f t="shared" ref="Q37:Q43" si="11">B37*P37</f>
        <v>0</v>
      </c>
    </row>
    <row r="38" spans="1:17" s="2" customFormat="1" ht="12.75" customHeight="1" x14ac:dyDescent="0.25">
      <c r="A38" s="4">
        <v>502</v>
      </c>
      <c r="B38" s="2">
        <v>8</v>
      </c>
      <c r="C38" s="122" t="s">
        <v>830</v>
      </c>
      <c r="D38" s="158"/>
      <c r="E38" s="159"/>
      <c r="F38" s="108">
        <f>VLOOKUP(C38,Bolts!A:L,5,0)</f>
        <v>0</v>
      </c>
      <c r="G38" s="108">
        <f>VLOOKUP(C38,Bolts!A:L,6,0)</f>
        <v>0</v>
      </c>
      <c r="H38" s="108">
        <f>VLOOKUP(C38,Bolts!A:L,7,0)</f>
        <v>0</v>
      </c>
      <c r="I38" s="109"/>
      <c r="J38" s="46">
        <f>VLOOKUP(C38,Bolts!A:L,8,0)</f>
        <v>0</v>
      </c>
      <c r="K38" s="46">
        <f>VLOOKUP(C38,Bolts!A:L,9,0)</f>
        <v>0</v>
      </c>
      <c r="L38" s="46">
        <f>VLOOKUP(C38,Bolts!A:L,10,0)</f>
        <v>0</v>
      </c>
      <c r="M38" s="46">
        <f>VLOOKUP(C38,Bolts!A:L,11,0)</f>
        <v>0</v>
      </c>
      <c r="N38" s="130">
        <f>VLOOKUP(C38,Bolts!A:L,12,0)</f>
        <v>0</v>
      </c>
      <c r="O38" s="47">
        <f t="shared" ca="1" si="10"/>
        <v>8</v>
      </c>
      <c r="P38" s="51">
        <f>VLOOKUP(C38,Bolts!A:B,2,FALSE)</f>
        <v>0</v>
      </c>
      <c r="Q38" s="52">
        <f t="shared" si="11"/>
        <v>0</v>
      </c>
    </row>
    <row r="39" spans="1:17" s="2" customFormat="1" ht="12.75" customHeight="1" x14ac:dyDescent="0.25">
      <c r="A39" s="4">
        <v>503</v>
      </c>
      <c r="B39" s="2">
        <v>6</v>
      </c>
      <c r="C39" s="122" t="s">
        <v>246</v>
      </c>
      <c r="D39" s="325"/>
      <c r="E39" s="326"/>
      <c r="F39" s="108">
        <f>VLOOKUP(C39,Bolts!A:L,5,0)</f>
        <v>0</v>
      </c>
      <c r="G39" s="108">
        <f>VLOOKUP(C39,Bolts!A:L,6,0)</f>
        <v>0</v>
      </c>
      <c r="H39" s="108">
        <f>VLOOKUP(C39,Bolts!A:L,7,0)</f>
        <v>0</v>
      </c>
      <c r="I39" s="109"/>
      <c r="J39" s="46">
        <f>VLOOKUP(C39,Bolts!A:L,8,0)</f>
        <v>0</v>
      </c>
      <c r="K39" s="46">
        <f>VLOOKUP(C39,Bolts!A:L,9,0)</f>
        <v>0</v>
      </c>
      <c r="L39" s="46">
        <f>VLOOKUP(C39,Bolts!A:L,10,0)</f>
        <v>0</v>
      </c>
      <c r="M39" s="46">
        <f>VLOOKUP(C39,Bolts!A:L,11,0)</f>
        <v>0</v>
      </c>
      <c r="N39" s="130">
        <f>VLOOKUP(C39,Bolts!A:L,12,0)</f>
        <v>0</v>
      </c>
      <c r="O39" s="47">
        <f t="shared" ca="1" si="10"/>
        <v>6</v>
      </c>
      <c r="P39" s="51">
        <f>VLOOKUP(C39,Bolts!A:B,2,FALSE)</f>
        <v>0</v>
      </c>
      <c r="Q39" s="52">
        <f t="shared" si="11"/>
        <v>0</v>
      </c>
    </row>
    <row r="40" spans="1:17" s="2" customFormat="1" ht="12.75" customHeight="1" x14ac:dyDescent="0.25">
      <c r="A40" s="4">
        <v>504</v>
      </c>
      <c r="B40" s="2">
        <v>4</v>
      </c>
      <c r="C40" s="122" t="s">
        <v>382</v>
      </c>
      <c r="D40" s="158"/>
      <c r="E40" s="159"/>
      <c r="F40" s="108">
        <f>VLOOKUP(C40,Bolts!A:L,5,0)</f>
        <v>0</v>
      </c>
      <c r="G40" s="108">
        <f>VLOOKUP(C40,Bolts!A:L,6,0)</f>
        <v>0</v>
      </c>
      <c r="H40" s="108">
        <f>VLOOKUP(C40,Bolts!A:L,7,0)</f>
        <v>0</v>
      </c>
      <c r="I40" s="109"/>
      <c r="J40" s="46">
        <f>VLOOKUP(C40,Bolts!A:L,8,0)</f>
        <v>0</v>
      </c>
      <c r="K40" s="46">
        <f>VLOOKUP(C40,Bolts!A:L,9,0)</f>
        <v>0</v>
      </c>
      <c r="L40" s="46">
        <f>VLOOKUP(C40,Bolts!A:L,10,0)</f>
        <v>0</v>
      </c>
      <c r="M40" s="46">
        <f>VLOOKUP(C40,Bolts!A:L,11,0)</f>
        <v>0</v>
      </c>
      <c r="N40" s="130">
        <f>VLOOKUP(C40,Bolts!A:L,12,0)</f>
        <v>0</v>
      </c>
      <c r="O40" s="47">
        <f t="shared" ca="1" si="10"/>
        <v>4</v>
      </c>
      <c r="P40" s="51">
        <f>VLOOKUP(C40,Bolts!A:B,2,FALSE)</f>
        <v>0</v>
      </c>
      <c r="Q40" s="52">
        <f t="shared" si="11"/>
        <v>0</v>
      </c>
    </row>
    <row r="41" spans="1:17" s="2" customFormat="1" ht="12.75" customHeight="1" x14ac:dyDescent="0.25">
      <c r="A41" s="4">
        <v>505</v>
      </c>
      <c r="B41" s="2">
        <v>10</v>
      </c>
      <c r="C41" s="122" t="s">
        <v>660</v>
      </c>
      <c r="D41" s="158"/>
      <c r="E41" s="159"/>
      <c r="F41" s="108">
        <f>VLOOKUP(C41,Bolts!A:L,5,0)</f>
        <v>0</v>
      </c>
      <c r="G41" s="108">
        <f>VLOOKUP(C41,Bolts!A:L,6,0)</f>
        <v>0</v>
      </c>
      <c r="H41" s="108">
        <f>VLOOKUP(C41,Bolts!A:L,7,0)</f>
        <v>0</v>
      </c>
      <c r="I41" s="109"/>
      <c r="J41" s="46">
        <f>VLOOKUP(C41,Bolts!A:L,8,0)</f>
        <v>0</v>
      </c>
      <c r="K41" s="46">
        <f>VLOOKUP(C41,Bolts!A:L,9,0)</f>
        <v>0</v>
      </c>
      <c r="L41" s="46">
        <f>VLOOKUP(C41,Bolts!A:L,10,0)</f>
        <v>0</v>
      </c>
      <c r="M41" s="46">
        <f>VLOOKUP(C41,Bolts!A:L,11,0)</f>
        <v>0</v>
      </c>
      <c r="N41" s="130">
        <f>VLOOKUP(C41,Bolts!A:L,12,0)</f>
        <v>0</v>
      </c>
      <c r="O41" s="47">
        <f t="shared" ca="1" si="10"/>
        <v>10</v>
      </c>
      <c r="P41" s="51">
        <f>VLOOKUP(C41,Bolts!A:B,2,FALSE)</f>
        <v>0</v>
      </c>
      <c r="Q41" s="52">
        <f t="shared" si="11"/>
        <v>0</v>
      </c>
    </row>
    <row r="42" spans="1:17" s="2" customFormat="1" ht="12.75" customHeight="1" x14ac:dyDescent="0.25">
      <c r="A42" s="4">
        <v>506</v>
      </c>
      <c r="B42" s="2">
        <v>2</v>
      </c>
      <c r="C42" s="122" t="s">
        <v>311</v>
      </c>
      <c r="D42" s="325"/>
      <c r="E42" s="326"/>
      <c r="F42" s="108">
        <f>VLOOKUP(C42,Bolts!A:L,5,0)</f>
        <v>0</v>
      </c>
      <c r="G42" s="108">
        <f>VLOOKUP(C42,Bolts!A:L,6,0)</f>
        <v>0</v>
      </c>
      <c r="H42" s="108">
        <f>VLOOKUP(C42,Bolts!A:L,7,0)</f>
        <v>0</v>
      </c>
      <c r="I42" s="109"/>
      <c r="J42" s="46">
        <f>VLOOKUP(C42,Bolts!A:L,8,0)</f>
        <v>0</v>
      </c>
      <c r="K42" s="46">
        <f>VLOOKUP(C42,Bolts!A:L,9,0)</f>
        <v>0</v>
      </c>
      <c r="L42" s="46">
        <f>VLOOKUP(C42,Bolts!A:L,10,0)</f>
        <v>0</v>
      </c>
      <c r="M42" s="46">
        <f>VLOOKUP(C42,Bolts!A:L,11,0)</f>
        <v>0</v>
      </c>
      <c r="N42" s="130">
        <f>VLOOKUP(C42,Bolts!A:L,12,0)</f>
        <v>0</v>
      </c>
      <c r="O42" s="47">
        <f t="shared" ca="1" si="10"/>
        <v>2</v>
      </c>
      <c r="P42" s="51">
        <f>VLOOKUP(C42,Bolts!A:B,2,FALSE)</f>
        <v>0</v>
      </c>
      <c r="Q42" s="52">
        <f t="shared" si="11"/>
        <v>0</v>
      </c>
    </row>
    <row r="43" spans="1:17" s="2" customFormat="1" ht="12.75" customHeight="1" x14ac:dyDescent="0.25">
      <c r="A43" s="4">
        <v>507</v>
      </c>
      <c r="B43" s="2">
        <v>8</v>
      </c>
      <c r="C43" s="122" t="s">
        <v>698</v>
      </c>
      <c r="D43" s="158"/>
      <c r="E43" s="159"/>
      <c r="F43" s="108">
        <f>VLOOKUP(C43,Bolts!A:L,5,0)</f>
        <v>0</v>
      </c>
      <c r="G43" s="108">
        <f>VLOOKUP(C43,Bolts!A:L,6,0)</f>
        <v>0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t="shared" ca="1" si="10"/>
        <v>8</v>
      </c>
      <c r="P43" s="51">
        <f>VLOOKUP(C43,Bolts!A:B,2,FALSE)</f>
        <v>0</v>
      </c>
      <c r="Q43" s="52">
        <f t="shared" si="11"/>
        <v>0</v>
      </c>
    </row>
    <row r="44" spans="1:17" s="2" customFormat="1" ht="12.75" customHeight="1" x14ac:dyDescent="0.25">
      <c r="A44" s="25"/>
      <c r="B44" s="26"/>
      <c r="C44" s="26"/>
      <c r="D44" s="332"/>
      <c r="E44" s="333"/>
      <c r="F44" s="26"/>
      <c r="G44" s="26"/>
      <c r="H44" s="322"/>
      <c r="I44" s="323"/>
      <c r="J44" s="27"/>
      <c r="K44" s="27"/>
      <c r="L44" s="27"/>
      <c r="M44" s="28"/>
      <c r="N44" s="29"/>
      <c r="O44" s="29"/>
      <c r="P44" s="148"/>
      <c r="Q44" s="149"/>
    </row>
    <row r="45" spans="1:17" s="2" customFormat="1" ht="12.75" customHeight="1" x14ac:dyDescent="0.25">
      <c r="A45" s="4">
        <v>701</v>
      </c>
      <c r="B45" s="2">
        <v>2</v>
      </c>
      <c r="C45" s="123" t="s">
        <v>1252</v>
      </c>
      <c r="D45" s="325" t="str">
        <f>VLOOKUP(C45,Extrusion!B:C,2,0)</f>
        <v>APPROVED EL 8/1</v>
      </c>
      <c r="E45" s="326"/>
      <c r="F45" s="108" t="str">
        <f ca="1">VLOOKUP(C45,Extrusion!B:N,5,0)</f>
        <v/>
      </c>
      <c r="G45" s="108">
        <f>VLOOKUP(C45,Extrusion!B:N,6,0)</f>
        <v>1</v>
      </c>
      <c r="H45" s="108">
        <f>VLOOKUP(C45,Extrusion!B:N,7,0)</f>
        <v>0</v>
      </c>
      <c r="I45" s="109"/>
      <c r="J45" s="46" t="str">
        <f>VLOOKUP(C45,Extrusion!B:N,8,0)</f>
        <v>T-Slots</v>
      </c>
      <c r="K45" s="46">
        <f>VLOOKUP(C45,Extrusion!B:N,9,0)</f>
        <v>0</v>
      </c>
      <c r="L45" s="46">
        <f>VLOOKUP(C45,Extrusion!B:N,10,0)</f>
        <v>0</v>
      </c>
      <c r="M45" s="46">
        <f>VLOOKUP(C45,Extrusion!B:N,11,0)</f>
        <v>0</v>
      </c>
      <c r="N45" s="47">
        <f>VLOOKUP(C45,Extrusion!B:O,12,0)</f>
        <v>0</v>
      </c>
      <c r="O45" s="47">
        <f ca="1">B45*$L$2</f>
        <v>2</v>
      </c>
      <c r="P45" s="51">
        <f>VLOOKUP(C45,Extrusion!B:G,4,0)</f>
        <v>2</v>
      </c>
      <c r="Q45" s="52">
        <f>B45*P45</f>
        <v>4</v>
      </c>
    </row>
    <row r="46" spans="1:17" s="2" customFormat="1" ht="12.75" customHeight="1" thickBot="1" x14ac:dyDescent="0.3">
      <c r="A46" s="4">
        <v>702</v>
      </c>
      <c r="B46" s="2">
        <v>1</v>
      </c>
      <c r="C46" s="123" t="s">
        <v>1253</v>
      </c>
      <c r="D46" s="325" t="str">
        <f>VLOOKUP(C46,Extrusion!B:C,2,0)</f>
        <v>APPROVED EL 8/1</v>
      </c>
      <c r="E46" s="326"/>
      <c r="F46" s="108" t="str">
        <f ca="1">VLOOKUP(C46,Extrusion!B:N,5,0)</f>
        <v/>
      </c>
      <c r="G46" s="108">
        <f>VLOOKUP(C46,Extrusion!B:N,6,0)</f>
        <v>1</v>
      </c>
      <c r="H46" s="108">
        <f>VLOOKUP(C46,Extrusion!B:N,7,0)</f>
        <v>0</v>
      </c>
      <c r="I46" s="109"/>
      <c r="J46" s="46" t="str">
        <f>VLOOKUP(C46,Extrusion!B:N,8,0)</f>
        <v>T-Slots</v>
      </c>
      <c r="K46" s="46">
        <f>VLOOKUP(C46,Extrusion!B:N,9,0)</f>
        <v>0</v>
      </c>
      <c r="L46" s="46">
        <f>VLOOKUP(C46,Extrusion!B:N,10,0)</f>
        <v>0</v>
      </c>
      <c r="M46" s="46">
        <f>VLOOKUP(C46,Extrusion!B:N,11,0)</f>
        <v>0</v>
      </c>
      <c r="N46" s="47">
        <f>VLOOKUP(C46,Extrusion!B:O,12,0)</f>
        <v>0</v>
      </c>
      <c r="O46" s="47">
        <f ca="1">B46*$L$2</f>
        <v>1</v>
      </c>
      <c r="P46" s="51">
        <f>VLOOKUP(C46,Extrusion!B:G,4,0)</f>
        <v>1</v>
      </c>
      <c r="Q46" s="52">
        <f>B46*P46</f>
        <v>1</v>
      </c>
    </row>
    <row r="47" spans="1:17" s="2" customFormat="1" ht="12" customHeight="1" thickBot="1" x14ac:dyDescent="0.3">
      <c r="A47" s="34"/>
      <c r="B47" s="35"/>
      <c r="C47" s="35"/>
      <c r="D47" s="316"/>
      <c r="E47" s="317"/>
      <c r="F47" s="35"/>
      <c r="G47" s="35"/>
      <c r="H47" s="309"/>
      <c r="I47" s="310"/>
      <c r="J47" s="36"/>
      <c r="K47" s="36"/>
      <c r="L47" s="36"/>
      <c r="M47" s="37"/>
      <c r="N47" s="132"/>
      <c r="O47" s="38"/>
      <c r="P47" s="99" t="s">
        <v>43</v>
      </c>
      <c r="Q47" s="104">
        <f>SUM(Q5:Q46)</f>
        <v>4961.420000000001</v>
      </c>
    </row>
    <row r="48" spans="1:17" s="2" customFormat="1" ht="12" customHeight="1" x14ac:dyDescent="0.2">
      <c r="D48" s="21"/>
      <c r="E48" s="21"/>
      <c r="J48" s="8"/>
      <c r="K48" s="8"/>
      <c r="L48" s="8"/>
      <c r="M48" s="8"/>
      <c r="N48" s="131"/>
      <c r="O48" s="5"/>
      <c r="P48" s="98"/>
      <c r="Q48" s="105"/>
    </row>
  </sheetData>
  <mergeCells count="76">
    <mergeCell ref="D35:E35"/>
    <mergeCell ref="H35:I35"/>
    <mergeCell ref="D14:E14"/>
    <mergeCell ref="H14:I14"/>
    <mergeCell ref="D15:E15"/>
    <mergeCell ref="H15:I15"/>
    <mergeCell ref="D32:E32"/>
    <mergeCell ref="H32:I32"/>
    <mergeCell ref="D33:E33"/>
    <mergeCell ref="H33:I33"/>
    <mergeCell ref="D34:E34"/>
    <mergeCell ref="H34:I34"/>
    <mergeCell ref="D17:E17"/>
    <mergeCell ref="H17:I17"/>
    <mergeCell ref="D16:E16"/>
    <mergeCell ref="H16:I16"/>
    <mergeCell ref="D47:E47"/>
    <mergeCell ref="H47:I47"/>
    <mergeCell ref="H36:I36"/>
    <mergeCell ref="D44:E44"/>
    <mergeCell ref="H44:I44"/>
    <mergeCell ref="D45:E45"/>
    <mergeCell ref="D46:E46"/>
    <mergeCell ref="D42:E42"/>
    <mergeCell ref="D37:E37"/>
    <mergeCell ref="D39:E39"/>
    <mergeCell ref="D36:E36"/>
    <mergeCell ref="D18:E18"/>
    <mergeCell ref="H18:I18"/>
    <mergeCell ref="D19:E19"/>
    <mergeCell ref="H19:I19"/>
    <mergeCell ref="D20:E20"/>
    <mergeCell ref="H20:I20"/>
    <mergeCell ref="D21:E21"/>
    <mergeCell ref="H21:I21"/>
    <mergeCell ref="D22:E22"/>
    <mergeCell ref="H22:I22"/>
    <mergeCell ref="D1:E1"/>
    <mergeCell ref="D4:E4"/>
    <mergeCell ref="H4:I4"/>
    <mergeCell ref="H5:I5"/>
    <mergeCell ref="D6:E6"/>
    <mergeCell ref="H6:I6"/>
    <mergeCell ref="D12:E12"/>
    <mergeCell ref="H12:I12"/>
    <mergeCell ref="D13:E13"/>
    <mergeCell ref="H13:I13"/>
    <mergeCell ref="D5:E5"/>
    <mergeCell ref="D7:E7"/>
    <mergeCell ref="D8:E8"/>
    <mergeCell ref="H8:I8"/>
    <mergeCell ref="D11:E11"/>
    <mergeCell ref="H11:I11"/>
    <mergeCell ref="H7:I7"/>
    <mergeCell ref="D9:E9"/>
    <mergeCell ref="H9:I9"/>
    <mergeCell ref="D10:E10"/>
    <mergeCell ref="H10:I10"/>
    <mergeCell ref="D23:E23"/>
    <mergeCell ref="H23:I23"/>
    <mergeCell ref="D24:E24"/>
    <mergeCell ref="H24:I24"/>
    <mergeCell ref="D25:E25"/>
    <mergeCell ref="H25:I25"/>
    <mergeCell ref="D26:E26"/>
    <mergeCell ref="H26:I26"/>
    <mergeCell ref="D27:E27"/>
    <mergeCell ref="H27:I27"/>
    <mergeCell ref="D28:E28"/>
    <mergeCell ref="H28:I28"/>
    <mergeCell ref="D29:E29"/>
    <mergeCell ref="H29:I29"/>
    <mergeCell ref="D31:E31"/>
    <mergeCell ref="H31:I31"/>
    <mergeCell ref="D30:E30"/>
    <mergeCell ref="H30:I30"/>
  </mergeCells>
  <conditionalFormatting sqref="M16 M36:M46">
    <cfRule type="cellIs" dxfId="582" priority="37" stopIfTrue="1" operator="lessThanOrEqual">
      <formula>$L16</formula>
    </cfRule>
    <cfRule type="cellIs" dxfId="581" priority="38" operator="greaterThan">
      <formula>L16</formula>
    </cfRule>
  </conditionalFormatting>
  <conditionalFormatting sqref="M17:M19 M34:M35">
    <cfRule type="cellIs" dxfId="580" priority="31" stopIfTrue="1" operator="lessThanOrEqual">
      <formula>$L17</formula>
    </cfRule>
    <cfRule type="cellIs" dxfId="579" priority="32" operator="greaterThan">
      <formula>L17</formula>
    </cfRule>
  </conditionalFormatting>
  <conditionalFormatting sqref="M20">
    <cfRule type="cellIs" dxfId="578" priority="29" stopIfTrue="1" operator="lessThanOrEqual">
      <formula>$L20</formula>
    </cfRule>
    <cfRule type="cellIs" dxfId="577" priority="30" operator="greaterThan">
      <formula>L20</formula>
    </cfRule>
  </conditionalFormatting>
  <conditionalFormatting sqref="M21:M22">
    <cfRule type="cellIs" dxfId="576" priority="25" stopIfTrue="1" operator="lessThanOrEqual">
      <formula>$L21</formula>
    </cfRule>
    <cfRule type="cellIs" dxfId="575" priority="26" operator="greaterThan">
      <formula>L21</formula>
    </cfRule>
  </conditionalFormatting>
  <conditionalFormatting sqref="M23">
    <cfRule type="cellIs" dxfId="574" priority="23" stopIfTrue="1" operator="lessThanOrEqual">
      <formula>$L23</formula>
    </cfRule>
    <cfRule type="cellIs" dxfId="573" priority="24" operator="greaterThan">
      <formula>L23</formula>
    </cfRule>
  </conditionalFormatting>
  <conditionalFormatting sqref="M24">
    <cfRule type="cellIs" dxfId="572" priority="21" stopIfTrue="1" operator="lessThanOrEqual">
      <formula>$L24</formula>
    </cfRule>
    <cfRule type="cellIs" dxfId="571" priority="22" operator="greaterThan">
      <formula>L24</formula>
    </cfRule>
  </conditionalFormatting>
  <conditionalFormatting sqref="M25">
    <cfRule type="cellIs" dxfId="570" priority="19" stopIfTrue="1" operator="lessThanOrEqual">
      <formula>$L25</formula>
    </cfRule>
    <cfRule type="cellIs" dxfId="569" priority="20" operator="greaterThan">
      <formula>L25</formula>
    </cfRule>
  </conditionalFormatting>
  <conditionalFormatting sqref="M26">
    <cfRule type="cellIs" dxfId="568" priority="17" stopIfTrue="1" operator="lessThanOrEqual">
      <formula>$L26</formula>
    </cfRule>
    <cfRule type="cellIs" dxfId="567" priority="18" operator="greaterThan">
      <formula>L26</formula>
    </cfRule>
  </conditionalFormatting>
  <conditionalFormatting sqref="M27:M28">
    <cfRule type="cellIs" dxfId="566" priority="13" stopIfTrue="1" operator="lessThanOrEqual">
      <formula>$L27</formula>
    </cfRule>
    <cfRule type="cellIs" dxfId="565" priority="14" operator="greaterThan">
      <formula>L27</formula>
    </cfRule>
  </conditionalFormatting>
  <conditionalFormatting sqref="M29:M30">
    <cfRule type="cellIs" dxfId="564" priority="9" stopIfTrue="1" operator="lessThanOrEqual">
      <formula>$L29</formula>
    </cfRule>
    <cfRule type="cellIs" dxfId="563" priority="10" operator="greaterThan">
      <formula>L29</formula>
    </cfRule>
  </conditionalFormatting>
  <conditionalFormatting sqref="M31">
    <cfRule type="cellIs" dxfId="562" priority="7" stopIfTrue="1" operator="lessThanOrEqual">
      <formula>$L31</formula>
    </cfRule>
    <cfRule type="cellIs" dxfId="561" priority="8" operator="greaterThan">
      <formula>L31</formula>
    </cfRule>
  </conditionalFormatting>
  <conditionalFormatting sqref="M32">
    <cfRule type="cellIs" dxfId="560" priority="5" stopIfTrue="1" operator="lessThanOrEqual">
      <formula>$L32</formula>
    </cfRule>
    <cfRule type="cellIs" dxfId="559" priority="6" operator="greaterThan">
      <formula>L32</formula>
    </cfRule>
  </conditionalFormatting>
  <conditionalFormatting sqref="M33">
    <cfRule type="cellIs" dxfId="558" priority="3" stopIfTrue="1" operator="lessThanOrEqual">
      <formula>$L33</formula>
    </cfRule>
    <cfRule type="cellIs" dxfId="557" priority="4" operator="greaterThan">
      <formula>L33</formula>
    </cfRule>
  </conditionalFormatting>
  <pageMargins left="0.7" right="0.7" top="0.75" bottom="0.75" header="0.3" footer="0.3"/>
  <pageSetup orientation="portrait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65A932C-E0A4-4797-8BAA-A403363F179F}">
          <x14:formula1>
            <xm:f>Extrusion!$B:$B</xm:f>
          </x14:formula1>
          <xm:sqref>C45:C46</xm:sqref>
        </x14:dataValidation>
        <x14:dataValidation type="list" allowBlank="1" showInputMessage="1" showErrorMessage="1" xr:uid="{F73A1141-BCFA-418D-B99A-39CDFF9BE9A0}">
          <x14:formula1>
            <xm:f>Bolts!$A:$A</xm:f>
          </x14:formula1>
          <xm:sqref>C37:C43</xm:sqref>
        </x14:dataValidation>
        <x14:dataValidation type="list" allowBlank="1" showInputMessage="1" showErrorMessage="1" xr:uid="{F1FCABF6-F226-491F-9EED-D134BD32CFE6}">
          <x14:formula1>
            <xm:f>Machined!$C:$C</xm:f>
          </x14:formula1>
          <xm:sqref>C5:C15</xm:sqref>
        </x14:dataValidation>
        <x14:dataValidation type="list" allowBlank="1" showInputMessage="1" showErrorMessage="1" xr:uid="{4FA4257F-41ED-4254-8468-407AC0DB8A5E}">
          <x14:formula1>
            <xm:f>Purchased!$A:$A</xm:f>
          </x14:formula1>
          <xm:sqref>C17:C35</xm:sqref>
        </x14:dataValidation>
      </x14:dataValidations>
    </ext>
  </extLst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0BDED-2CA8-4E03-80DD-ADB90ED8384D}">
  <sheetPr codeName="Sheet203">
    <tabColor theme="9" tint="0.59999389629810485"/>
  </sheetPr>
  <dimension ref="A1:Q24"/>
  <sheetViews>
    <sheetView zoomScale="115" zoomScaleNormal="115" workbookViewId="0">
      <selection activeCell="D29" sqref="D2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'8'!C8</f>
        <v>PG10.8.4.0.A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'8'!D8</f>
        <v>TOE ROLLER ASSEMBLY</v>
      </c>
      <c r="D3" s="85" t="s">
        <v>50</v>
      </c>
      <c r="E3" s="86" t="str">
        <f ca="1">MID(CELL("filename",A1),FIND("]",CELL("filename",A1))+1,256)</f>
        <v>8.4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1254</v>
      </c>
      <c r="D5" s="314" t="str">
        <f>VLOOKUP(C5,Machined!C:X,2,0)</f>
        <v>TOE ROLLER POST RH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45457</v>
      </c>
      <c r="K5" s="44">
        <f>IF(VLOOKUP($C5,Machined!C:Z,19,0) = 0, " ", VLOOKUP($C5,Machined!C:Z,19,0))</f>
        <v>45468</v>
      </c>
      <c r="L5" s="44">
        <f>IF(VLOOKUP($C5,Machined!C:Z,20,0) = 0, " ", VLOOKUP($C5,Machined!C:Z,20,0))</f>
        <v>45491</v>
      </c>
      <c r="M5" s="44">
        <f>IF(VLOOKUP($C5,Machined!C:Z,21,0) = 0, " ", VLOOKUP($C5,Machined!C:Z,21,0))</f>
        <v>45491</v>
      </c>
      <c r="N5" s="129">
        <f>IF(VLOOKUP($C5,Machined!C:Z,22,0) = 0, " ", VLOOKUP($C5,Machined!C:Z,22,0))</f>
        <v>55573</v>
      </c>
      <c r="O5" s="45">
        <f ca="1">B5*$L$2</f>
        <v>4</v>
      </c>
      <c r="P5" s="49">
        <f>VLOOKUP(C5,Machined!C:F,3,0)</f>
        <v>95.25</v>
      </c>
      <c r="Q5" s="50">
        <f>B5*P5</f>
        <v>95.25</v>
      </c>
    </row>
    <row r="6" spans="1:17" s="2" customFormat="1" ht="12.75" customHeight="1" x14ac:dyDescent="0.25">
      <c r="A6" s="77">
        <v>2</v>
      </c>
      <c r="B6" s="20">
        <v>1</v>
      </c>
      <c r="C6" s="121" t="s">
        <v>1255</v>
      </c>
      <c r="D6" s="314" t="str">
        <f>VLOOKUP(C6,Machined!C:X,2,0)</f>
        <v>TOE ROLLER POST LH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45457</v>
      </c>
      <c r="K6" s="44">
        <f>IF(VLOOKUP($C6,Machined!C:Z,19,0) = 0, " ", VLOOKUP($C6,Machined!C:Z,19,0))</f>
        <v>45468</v>
      </c>
      <c r="L6" s="44">
        <f>IF(VLOOKUP($C6,Machined!C:Z,20,0) = 0, " ", VLOOKUP($C6,Machined!C:Z,20,0))</f>
        <v>45491</v>
      </c>
      <c r="M6" s="44">
        <f>IF(VLOOKUP($C6,Machined!C:Z,21,0) = 0, " ", VLOOKUP($C6,Machined!C:Z,21,0))</f>
        <v>45491</v>
      </c>
      <c r="N6" s="129">
        <f>IF(VLOOKUP($C6,Machined!C:Z,22,0) = 0, " ", VLOOKUP($C6,Machined!C:Z,22,0))</f>
        <v>55573</v>
      </c>
      <c r="O6" s="45">
        <f t="shared" ref="O6:O7" ca="1" si="0">B6*$L$2</f>
        <v>4</v>
      </c>
      <c r="P6" s="49">
        <f>VLOOKUP(C6,Machined!C:F,3,0)</f>
        <v>95.25</v>
      </c>
      <c r="Q6" s="50">
        <f t="shared" ref="Q6:Q7" si="1">B6*P6</f>
        <v>95.25</v>
      </c>
    </row>
    <row r="7" spans="1:17" s="2" customFormat="1" ht="12.75" customHeight="1" x14ac:dyDescent="0.25">
      <c r="A7" s="77">
        <v>3</v>
      </c>
      <c r="B7" s="20">
        <v>2</v>
      </c>
      <c r="C7" s="121" t="s">
        <v>1256</v>
      </c>
      <c r="D7" s="314" t="str">
        <f>VLOOKUP(C7,Machined!C:X,2,0)</f>
        <v>TOE ROLLER POST MOUNT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Craig Miller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45457</v>
      </c>
      <c r="K7" s="44">
        <f>IF(VLOOKUP($C7,Machined!C:Z,19,0) = 0, " ", VLOOKUP($C7,Machined!C:Z,19,0))</f>
        <v>45468</v>
      </c>
      <c r="L7" s="44">
        <f>IF(VLOOKUP($C7,Machined!C:Z,20,0) = 0, " ", VLOOKUP($C7,Machined!C:Z,20,0))</f>
        <v>45491</v>
      </c>
      <c r="M7" s="44">
        <f>IF(VLOOKUP($C7,Machined!C:Z,21,0) = 0, " ", VLOOKUP($C7,Machined!C:Z,21,0))</f>
        <v>45491</v>
      </c>
      <c r="N7" s="129">
        <f>IF(VLOOKUP($C7,Machined!C:Z,22,0) = 0, " ", VLOOKUP($C7,Machined!C:Z,22,0))</f>
        <v>55573</v>
      </c>
      <c r="O7" s="45">
        <f t="shared" ca="1" si="0"/>
        <v>8</v>
      </c>
      <c r="P7" s="49">
        <f>VLOOKUP(C7,Machined!C:F,3,0)</f>
        <v>19.75</v>
      </c>
      <c r="Q7" s="50">
        <f t="shared" si="1"/>
        <v>39.5</v>
      </c>
    </row>
    <row r="8" spans="1:17" s="2" customFormat="1" ht="12.75" customHeight="1" x14ac:dyDescent="0.25">
      <c r="A8" s="77">
        <v>4</v>
      </c>
      <c r="B8" s="20">
        <v>2</v>
      </c>
      <c r="C8" s="121" t="s">
        <v>1257</v>
      </c>
      <c r="D8" s="314" t="str">
        <f>VLOOKUP(C8,Machined!C:X,2,0)</f>
        <v>TOE ROLLER WEIGHT</v>
      </c>
      <c r="E8" s="329"/>
      <c r="F8" s="107" t="str">
        <f>VLOOKUP($C8,Machined!C:Z,13,0)</f>
        <v>1018 COLD ROLLED STEEL</v>
      </c>
      <c r="G8" s="44" t="str">
        <f>IF(VLOOKUP($C8,Machined!C:Z,16,0) = 0, " ", VLOOKUP($C8,Machined!C:Z,16,0))</f>
        <v>Craig Miller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1018 COLD ROLLED STEEL</v>
      </c>
      <c r="J8" s="44">
        <f>IF(VLOOKUP($C8,Machined!C:Z,18,0) = 0, " ", VLOOKUP($C8,Machined!C:Z,18,0))</f>
        <v>45457</v>
      </c>
      <c r="K8" s="44">
        <f>IF(VLOOKUP($C8,Machined!C:Z,19,0) = 0, " ", VLOOKUP($C8,Machined!C:Z,19,0))</f>
        <v>45468</v>
      </c>
      <c r="L8" s="44">
        <f>IF(VLOOKUP($C8,Machined!C:Z,20,0) = 0, " ", VLOOKUP($C8,Machined!C:Z,20,0))</f>
        <v>45491</v>
      </c>
      <c r="M8" s="44">
        <f>IF(VLOOKUP($C8,Machined!C:Z,21,0) = 0, " ", VLOOKUP($C8,Machined!C:Z,21,0))</f>
        <v>45491</v>
      </c>
      <c r="N8" s="129">
        <f>IF(VLOOKUP($C8,Machined!C:Z,22,0) = 0, " ", VLOOKUP($C8,Machined!C:Z,22,0))</f>
        <v>55573</v>
      </c>
      <c r="O8" s="45">
        <f ca="1">B8*$L$2</f>
        <v>8</v>
      </c>
      <c r="P8" s="49">
        <f>VLOOKUP(C8,Machined!C:F,3,0)</f>
        <v>35.840000000000003</v>
      </c>
      <c r="Q8" s="50">
        <f>B8*P8</f>
        <v>71.680000000000007</v>
      </c>
    </row>
    <row r="9" spans="1:17" s="2" customFormat="1" ht="12.75" customHeight="1" x14ac:dyDescent="0.25">
      <c r="A9" s="77">
        <v>5</v>
      </c>
      <c r="B9" s="20">
        <v>2</v>
      </c>
      <c r="C9" s="121" t="s">
        <v>1258</v>
      </c>
      <c r="D9" s="314" t="str">
        <f>VLOOKUP(C9,Machined!C:X,2,0)</f>
        <v>PIVOT SHAFT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Craig Miller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45457</v>
      </c>
      <c r="K9" s="44">
        <f>IF(VLOOKUP($C9,Machined!C:Z,19,0) = 0, " ", VLOOKUP($C9,Machined!C:Z,19,0))</f>
        <v>45468</v>
      </c>
      <c r="L9" s="44">
        <f>IF(VLOOKUP($C9,Machined!C:Z,20,0) = 0, " ", VLOOKUP($C9,Machined!C:Z,20,0))</f>
        <v>45491</v>
      </c>
      <c r="M9" s="44">
        <f>IF(VLOOKUP($C9,Machined!C:Z,21,0) = 0, " ", VLOOKUP($C9,Machined!C:Z,21,0))</f>
        <v>45491</v>
      </c>
      <c r="N9" s="129">
        <f>IF(VLOOKUP($C9,Machined!C:Z,22,0) = 0, " ", VLOOKUP($C9,Machined!C:Z,22,0))</f>
        <v>55573</v>
      </c>
      <c r="O9" s="45">
        <f t="shared" ref="O9:O10" ca="1" si="2">B9*$L$2</f>
        <v>8</v>
      </c>
      <c r="P9" s="49">
        <f>VLOOKUP(C9,Machined!C:F,3,0)</f>
        <v>28.75</v>
      </c>
      <c r="Q9" s="50">
        <f t="shared" ref="Q9:Q10" si="3">B9*P9</f>
        <v>57.5</v>
      </c>
    </row>
    <row r="10" spans="1:17" s="2" customFormat="1" ht="12.75" customHeight="1" x14ac:dyDescent="0.25">
      <c r="A10" s="77">
        <v>6</v>
      </c>
      <c r="B10" s="20">
        <v>2</v>
      </c>
      <c r="C10" s="121" t="s">
        <v>1259</v>
      </c>
      <c r="D10" s="314" t="str">
        <f>VLOOKUP(C10,Machined!C:X,2,0)</f>
        <v>STATIONARY SHAFT</v>
      </c>
      <c r="E10" s="329"/>
      <c r="F10" s="107" t="str">
        <f>VLOOKUP($C10,Machined!C:Z,13,0)</f>
        <v>303 TG&amp;P, Round Stock, -0.0005</v>
      </c>
      <c r="G10" s="44" t="str">
        <f>IF(VLOOKUP($C10,Machined!C:Z,16,0) = 0, " ", VLOOKUP($C10,Machined!C:Z,16,0))</f>
        <v>Craig Miller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303 TG&amp;P, Round Stock, -0.0005</v>
      </c>
      <c r="J10" s="44">
        <f>IF(VLOOKUP($C10,Machined!C:Z,18,0) = 0, " ", VLOOKUP($C10,Machined!C:Z,18,0))</f>
        <v>45457</v>
      </c>
      <c r="K10" s="44">
        <f>IF(VLOOKUP($C10,Machined!C:Z,19,0) = 0, " ", VLOOKUP($C10,Machined!C:Z,19,0))</f>
        <v>45468</v>
      </c>
      <c r="L10" s="44">
        <f>IF(VLOOKUP($C10,Machined!C:Z,20,0) = 0, " ", VLOOKUP($C10,Machined!C:Z,20,0))</f>
        <v>45491</v>
      </c>
      <c r="M10" s="44">
        <f>IF(VLOOKUP($C10,Machined!C:Z,21,0) = 0, " ", VLOOKUP($C10,Machined!C:Z,21,0))</f>
        <v>45491</v>
      </c>
      <c r="N10" s="129">
        <f>IF(VLOOKUP($C10,Machined!C:Z,22,0) = 0, " ", VLOOKUP($C10,Machined!C:Z,22,0))</f>
        <v>55573</v>
      </c>
      <c r="O10" s="45">
        <f t="shared" ca="1" si="2"/>
        <v>8</v>
      </c>
      <c r="P10" s="49">
        <f>VLOOKUP(C10,Machined!C:F,3,0)</f>
        <v>30</v>
      </c>
      <c r="Q10" s="50">
        <f t="shared" si="3"/>
        <v>60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" customHeight="1" x14ac:dyDescent="0.25">
      <c r="A12" s="4">
        <v>301</v>
      </c>
      <c r="B12" s="2">
        <v>4</v>
      </c>
      <c r="C12" s="135">
        <v>3842528735</v>
      </c>
      <c r="D12" s="325" t="str">
        <f>VLOOKUP(C12,Purchased!A:B,2,0)</f>
        <v>T-SLOT STONE 10 M8</v>
      </c>
      <c r="E12" s="326"/>
      <c r="F12" s="108" t="str">
        <f>IF(VLOOKUP($C12,Purchased!A:Z,11,0) = 0, " ", VLOOKUP($C12,Purchased!A:Z,11,0))</f>
        <v>BRX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 t="str">
        <f>IF(VLOOKUP($C12,Purchased!A:Z,14,0)=0, " ", VLOOKUP($C12,Purchased!A:Z,14,0))</f>
        <v>N/A</v>
      </c>
      <c r="K12" s="46" t="str">
        <f>IF(VLOOKUP(C12,Purchased!A:R,14,0)=0, " ", VLOOKUP(C12,Purchased!A:R,14,0))</f>
        <v>N/A</v>
      </c>
      <c r="L12" s="46">
        <f>IF(VLOOKUP(C12,Purchased!A:R,15,0)=0, " ", VLOOKUP(C12,Purchased!A:R,15,0))</f>
        <v>45532</v>
      </c>
      <c r="M12" s="46">
        <f>IF(VLOOKUP(C12,Purchased!A:R,16,0)=0, " ",VLOOKUP(C12,Purchased!A:R,16,0))</f>
        <v>45561</v>
      </c>
      <c r="N12" s="130" t="str">
        <f>IF(VLOOKUP(C12,Purchased!A:R,17,0)=0, " ", VLOOKUP(C12,Purchased!A:R,17,0))</f>
        <v xml:space="preserve"> </v>
      </c>
      <c r="O12" s="47">
        <f t="shared" ref="O12:O18" ca="1" si="4">B12*$L$2</f>
        <v>16</v>
      </c>
      <c r="P12" s="51">
        <f>VLOOKUP(C12,Purchased!A:D,3,FALSE)</f>
        <v>0.86</v>
      </c>
      <c r="Q12" s="52">
        <f t="shared" ref="Q12:Q18" si="5">B12*P12</f>
        <v>3.44</v>
      </c>
    </row>
    <row r="13" spans="1:17" s="2" customFormat="1" ht="12.75" customHeight="1" x14ac:dyDescent="0.25">
      <c r="A13" s="4">
        <v>302</v>
      </c>
      <c r="B13" s="2">
        <v>4</v>
      </c>
      <c r="C13" s="135" t="s">
        <v>427</v>
      </c>
      <c r="D13" s="325" t="str">
        <f>VLOOKUP(C13,Purchased!A:B,2,0)</f>
        <v>GN 300.1-63-M8-25-SW Adjustable handles with threaded screw</v>
      </c>
      <c r="E13" s="326"/>
      <c r="F13" s="108" t="str">
        <f>IF(VLOOKUP($C13,Purchased!A:Z,11,0) = 0, " ", VLOOKUP($C13,Purchased!A:Z,11,0))</f>
        <v>ELESA</v>
      </c>
      <c r="G13" s="108" t="str">
        <f>IF(VLOOKUP($C13,Purchased!A:Z,12,0)=0, " ", VLOOKUP($C13,Purchased!A:Z,12,0))</f>
        <v>ELESA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45506</v>
      </c>
      <c r="K13" s="46">
        <f>IF(VLOOKUP(C13,Purchased!A:R,14,0)=0, " ", VLOOKUP(C13,Purchased!A:R,14,0))</f>
        <v>45506</v>
      </c>
      <c r="L13" s="46">
        <f>IF(VLOOKUP(C13,Purchased!A:R,15,0)=0, " ", VLOOKUP(C13,Purchased!A:R,15,0))</f>
        <v>45526</v>
      </c>
      <c r="M13" s="46">
        <f>IF(VLOOKUP(C13,Purchased!A:R,16,0)=0, " ",VLOOKUP(C13,Purchased!A:R,16,0))</f>
        <v>45551</v>
      </c>
      <c r="N13" s="130">
        <f>IF(VLOOKUP(C13,Purchased!A:R,17,0)=0, " ", VLOOKUP(C13,Purchased!A:R,17,0))</f>
        <v>45551</v>
      </c>
      <c r="O13" s="47">
        <f t="shared" ca="1" si="4"/>
        <v>16</v>
      </c>
      <c r="P13" s="51">
        <f>VLOOKUP(C13,Purchased!A:D,3,FALSE)</f>
        <v>11.6</v>
      </c>
      <c r="Q13" s="52">
        <f t="shared" si="5"/>
        <v>46.4</v>
      </c>
    </row>
    <row r="14" spans="1:17" s="2" customFormat="1" ht="12.75" customHeight="1" x14ac:dyDescent="0.25">
      <c r="A14" s="4">
        <v>303</v>
      </c>
      <c r="B14" s="2">
        <v>2</v>
      </c>
      <c r="C14" s="135" t="s">
        <v>1260</v>
      </c>
      <c r="D14" s="325" t="str">
        <f>VLOOKUP(C14,Purchased!A:B,2,0)</f>
        <v>Low-Profile Shoulder Screw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>6 Additional Quantity Added to 55697</v>
      </c>
      <c r="I14" s="328"/>
      <c r="J14" s="46">
        <f>IF(VLOOKUP($C14,Purchased!A:Z,14,0)=0, " ", VLOOKUP($C14,Purchased!A:Z,14,0))</f>
        <v>45481</v>
      </c>
      <c r="K14" s="46">
        <f>IF(VLOOKUP(C14,Purchased!A:R,14,0)=0, " ", VLOOKUP(C14,Purchased!A:R,14,0))</f>
        <v>45481</v>
      </c>
      <c r="L14" s="46">
        <f>IF(VLOOKUP(C14,Purchased!A:R,15,0)=0, " ", VLOOKUP(C14,Purchased!A:R,15,0))</f>
        <v>45481</v>
      </c>
      <c r="M14" s="46">
        <f>IF(VLOOKUP(C14,Purchased!A:R,16,0)=0, " ",VLOOKUP(C14,Purchased!A:R,16,0))</f>
        <v>45482</v>
      </c>
      <c r="N14" s="130">
        <f>IF(VLOOKUP(C14,Purchased!A:R,17,0)=0, " ", VLOOKUP(C14,Purchased!A:R,17,0))</f>
        <v>45482</v>
      </c>
      <c r="O14" s="47">
        <f t="shared" ca="1" si="4"/>
        <v>8</v>
      </c>
      <c r="P14" s="51">
        <f>VLOOKUP(C14,Purchased!A:D,3,FALSE)</f>
        <v>9.1</v>
      </c>
      <c r="Q14" s="52">
        <f t="shared" si="5"/>
        <v>18.2</v>
      </c>
    </row>
    <row r="15" spans="1:17" s="2" customFormat="1" ht="12.75" customHeight="1" x14ac:dyDescent="0.25">
      <c r="A15" s="4">
        <v>304</v>
      </c>
      <c r="B15" s="2">
        <v>2</v>
      </c>
      <c r="C15" s="135" t="s">
        <v>1261</v>
      </c>
      <c r="D15" s="325" t="str">
        <f>VLOOKUP(C15,Purchased!A:B,2,0)</f>
        <v>316 SS 12mm ID 1mm Thick Ring Shim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45481</v>
      </c>
      <c r="K15" s="46">
        <f>IF(VLOOKUP(C15,Purchased!A:R,14,0)=0, " ", VLOOKUP(C15,Purchased!A:R,14,0))</f>
        <v>45481</v>
      </c>
      <c r="L15" s="46">
        <f>IF(VLOOKUP(C15,Purchased!A:R,15,0)=0, " ", VLOOKUP(C15,Purchased!A:R,15,0))</f>
        <v>45481</v>
      </c>
      <c r="M15" s="46">
        <f>IF(VLOOKUP(C15,Purchased!A:R,16,0)=0, " ",VLOOKUP(C15,Purchased!A:R,16,0))</f>
        <v>45482</v>
      </c>
      <c r="N15" s="130">
        <f>IF(VLOOKUP(C15,Purchased!A:R,17,0)=0, " ", VLOOKUP(C15,Purchased!A:R,17,0))</f>
        <v>45482</v>
      </c>
      <c r="O15" s="47">
        <f t="shared" ca="1" si="4"/>
        <v>8</v>
      </c>
      <c r="P15" s="51">
        <f>VLOOKUP(C15,Purchased!A:D,3,FALSE)</f>
        <v>13.06</v>
      </c>
      <c r="Q15" s="52">
        <f t="shared" si="5"/>
        <v>26.12</v>
      </c>
    </row>
    <row r="16" spans="1:17" s="2" customFormat="1" ht="12.75" customHeight="1" x14ac:dyDescent="0.25">
      <c r="A16" s="4">
        <v>305</v>
      </c>
      <c r="B16" s="2">
        <v>2</v>
      </c>
      <c r="C16" s="135" t="s">
        <v>1262</v>
      </c>
      <c r="D16" s="325" t="str">
        <f>VLOOKUP(C16,Purchased!A:B,2,0)</f>
        <v>M10, 12mm Dia, 90mm Length SS Shoulder Bolt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>6 Additional Quantity Added to 55697</v>
      </c>
      <c r="I16" s="328"/>
      <c r="J16" s="46">
        <f>IF(VLOOKUP($C16,Purchased!A:Z,14,0)=0, " ", VLOOKUP($C16,Purchased!A:Z,14,0))</f>
        <v>45481</v>
      </c>
      <c r="K16" s="46">
        <f>IF(VLOOKUP(C16,Purchased!A:R,14,0)=0, " ", VLOOKUP(C16,Purchased!A:R,14,0))</f>
        <v>45481</v>
      </c>
      <c r="L16" s="46">
        <f>IF(VLOOKUP(C16,Purchased!A:R,15,0)=0, " ", VLOOKUP(C16,Purchased!A:R,15,0))</f>
        <v>45481</v>
      </c>
      <c r="M16" s="46">
        <f>IF(VLOOKUP(C16,Purchased!A:R,16,0)=0, " ",VLOOKUP(C16,Purchased!A:R,16,0))</f>
        <v>45482</v>
      </c>
      <c r="N16" s="130">
        <f>IF(VLOOKUP(C16,Purchased!A:R,17,0)=0, " ", VLOOKUP(C16,Purchased!A:R,17,0))</f>
        <v>45482</v>
      </c>
      <c r="O16" s="47">
        <f t="shared" ca="1" si="4"/>
        <v>8</v>
      </c>
      <c r="P16" s="51">
        <f>VLOOKUP(C16,Purchased!A:D,3,FALSE)</f>
        <v>22.41</v>
      </c>
      <c r="Q16" s="52">
        <f t="shared" si="5"/>
        <v>44.82</v>
      </c>
    </row>
    <row r="17" spans="1:17" s="2" customFormat="1" ht="12.75" customHeight="1" x14ac:dyDescent="0.25">
      <c r="A17" s="4">
        <v>306</v>
      </c>
      <c r="B17" s="2">
        <v>4</v>
      </c>
      <c r="C17" s="135" t="s">
        <v>1263</v>
      </c>
      <c r="D17" s="325" t="str">
        <f>VLOOKUP(C17,Purchased!A:B,2,0)</f>
        <v>External Retaining Ring</v>
      </c>
      <c r="E17" s="326"/>
      <c r="F17" s="108" t="str">
        <f>IF(VLOOKUP($C17,Purchased!A:Z,11,0) = 0, " ", VLOOKUP($C17,Purchased!A:Z,11,0))</f>
        <v>MCM</v>
      </c>
      <c r="G17" s="108" t="str">
        <f>IF(VLOOKUP($C17,Purchased!A:Z,12,0)=0, " ", VLOOKUP($C17,Purchased!A:Z,12,0))</f>
        <v>MCM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45481</v>
      </c>
      <c r="K17" s="46">
        <f>IF(VLOOKUP(C17,Purchased!A:R,14,0)=0, " ", VLOOKUP(C17,Purchased!A:R,14,0))</f>
        <v>45481</v>
      </c>
      <c r="L17" s="46">
        <f>IF(VLOOKUP(C17,Purchased!A:R,15,0)=0, " ", VLOOKUP(C17,Purchased!A:R,15,0))</f>
        <v>45481</v>
      </c>
      <c r="M17" s="46">
        <f>IF(VLOOKUP(C17,Purchased!A:R,16,0)=0, " ",VLOOKUP(C17,Purchased!A:R,16,0))</f>
        <v>45482</v>
      </c>
      <c r="N17" s="130">
        <f>IF(VLOOKUP(C17,Purchased!A:R,17,0)=0, " ", VLOOKUP(C17,Purchased!A:R,17,0))</f>
        <v>45482</v>
      </c>
      <c r="O17" s="47">
        <f t="shared" ca="1" si="4"/>
        <v>16</v>
      </c>
      <c r="P17" s="51">
        <f>VLOOKUP(C17,Purchased!A:D,3,FALSE)</f>
        <v>12.7</v>
      </c>
      <c r="Q17" s="52">
        <f t="shared" si="5"/>
        <v>50.8</v>
      </c>
    </row>
    <row r="18" spans="1:17" s="2" customFormat="1" ht="12.75" customHeight="1" x14ac:dyDescent="0.25">
      <c r="A18" s="4">
        <v>307</v>
      </c>
      <c r="B18" s="2">
        <v>4</v>
      </c>
      <c r="C18" s="135" t="s">
        <v>1264</v>
      </c>
      <c r="D18" s="325" t="str">
        <f>VLOOKUP(C18,Purchased!A:B,2,0)</f>
        <v>Rollers - Baked-on Rubber Lining, with Bearings</v>
      </c>
      <c r="E18" s="326"/>
      <c r="F18" s="108" t="str">
        <f>IF(VLOOKUP($C18,Purchased!A:Z,11,0) = 0, " ", VLOOKUP($C18,Purchased!A:Z,11,0))</f>
        <v>MISUMI</v>
      </c>
      <c r="G18" s="108" t="str">
        <f>IF(VLOOKUP($C18,Purchased!A:Z,12,0)=0, " ", VLOOKUP($C18,Purchased!A:Z,12,0))</f>
        <v>MISUMI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45483</v>
      </c>
      <c r="K18" s="46">
        <f>IF(VLOOKUP(C18,Purchased!A:R,14,0)=0, " ", VLOOKUP(C18,Purchased!A:R,14,0))</f>
        <v>45483</v>
      </c>
      <c r="L18" s="46">
        <f>IF(VLOOKUP(C18,Purchased!A:R,15,0)=0, " ", VLOOKUP(C18,Purchased!A:R,15,0))</f>
        <v>45483</v>
      </c>
      <c r="M18" s="46">
        <f>IF(VLOOKUP(C18,Purchased!A:R,16,0)=0, " ",VLOOKUP(C18,Purchased!A:R,16,0))</f>
        <v>45512</v>
      </c>
      <c r="N18" s="130">
        <f>IF(VLOOKUP(C18,Purchased!A:R,17,0)=0, " ", VLOOKUP(C18,Purchased!A:R,17,0))</f>
        <v>45512</v>
      </c>
      <c r="O18" s="47">
        <f t="shared" ca="1" si="4"/>
        <v>16</v>
      </c>
      <c r="P18" s="51">
        <f>VLOOKUP(C18,Purchased!A:D,3,FALSE)</f>
        <v>108.8</v>
      </c>
      <c r="Q18" s="52">
        <f t="shared" si="5"/>
        <v>435.2</v>
      </c>
    </row>
    <row r="19" spans="1:17" s="2" customFormat="1" ht="12.75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501</v>
      </c>
      <c r="B20" s="2">
        <v>4</v>
      </c>
      <c r="C20" s="122" t="s">
        <v>362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>
        <f>VLOOKUP(C20,Bolts!A:L,12,0)</f>
        <v>0</v>
      </c>
      <c r="O20" s="47">
        <f t="shared" ref="O20:O22" ca="1" si="6">B20*$L$2</f>
        <v>16</v>
      </c>
      <c r="P20" s="51">
        <f>VLOOKUP(C20,Bolts!A:B,2,FALSE)</f>
        <v>0</v>
      </c>
      <c r="Q20" s="52">
        <f t="shared" ref="Q20:Q22" si="7">B20*P20</f>
        <v>0</v>
      </c>
    </row>
    <row r="21" spans="1:17" s="2" customFormat="1" ht="12" customHeight="1" x14ac:dyDescent="0.25">
      <c r="A21" s="4">
        <v>502</v>
      </c>
      <c r="B21" s="2">
        <v>4</v>
      </c>
      <c r="C21" s="122" t="s">
        <v>1265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>
        <f>VLOOKUP(C21,Bolts!A:L,12,0)</f>
        <v>0</v>
      </c>
      <c r="O21" s="47">
        <f t="shared" ca="1" si="6"/>
        <v>16</v>
      </c>
      <c r="P21" s="51">
        <f>VLOOKUP(C21,Bolts!A:B,2,FALSE)</f>
        <v>0</v>
      </c>
      <c r="Q21" s="52">
        <f t="shared" si="7"/>
        <v>0</v>
      </c>
    </row>
    <row r="22" spans="1:17" s="2" customFormat="1" ht="12" customHeight="1" thickBot="1" x14ac:dyDescent="0.3">
      <c r="A22" s="4">
        <v>503</v>
      </c>
      <c r="B22" s="2">
        <v>4</v>
      </c>
      <c r="C22" s="122" t="s">
        <v>441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ca="1" si="6"/>
        <v>16</v>
      </c>
      <c r="P22" s="51">
        <f>VLOOKUP(C22,Bolts!A:B,2,FALSE)</f>
        <v>0</v>
      </c>
      <c r="Q22" s="52">
        <f t="shared" si="7"/>
        <v>0</v>
      </c>
    </row>
    <row r="23" spans="1:17" s="2" customFormat="1" ht="12" customHeight="1" thickBot="1" x14ac:dyDescent="0.3">
      <c r="A23" s="34"/>
      <c r="B23" s="35"/>
      <c r="C23" s="35"/>
      <c r="D23" s="316"/>
      <c r="E23" s="317"/>
      <c r="F23" s="35"/>
      <c r="G23" s="35"/>
      <c r="H23" s="309"/>
      <c r="I23" s="310"/>
      <c r="J23" s="36"/>
      <c r="K23" s="36"/>
      <c r="L23" s="36"/>
      <c r="M23" s="37"/>
      <c r="N23" s="132"/>
      <c r="O23" s="38"/>
      <c r="P23" s="99" t="s">
        <v>43</v>
      </c>
      <c r="Q23" s="104">
        <f>SUM(Q11:Q22)</f>
        <v>624.98</v>
      </c>
    </row>
    <row r="24" spans="1:17" s="2" customFormat="1" ht="12" customHeight="1" x14ac:dyDescent="0.2">
      <c r="D24" s="21"/>
      <c r="E24" s="21"/>
      <c r="J24" s="8"/>
      <c r="K24" s="8"/>
      <c r="L24" s="8"/>
      <c r="M24" s="8"/>
      <c r="N24" s="131"/>
      <c r="O24" s="5"/>
      <c r="P24" s="98"/>
      <c r="Q24" s="105"/>
    </row>
  </sheetData>
  <mergeCells count="38">
    <mergeCell ref="D23:E23"/>
    <mergeCell ref="H23:I23"/>
    <mergeCell ref="D20:E20"/>
    <mergeCell ref="D21:E21"/>
    <mergeCell ref="D22:E22"/>
    <mergeCell ref="D18:E18"/>
    <mergeCell ref="H18:I18"/>
    <mergeCell ref="D19:E19"/>
    <mergeCell ref="H19:I19"/>
    <mergeCell ref="D16:E16"/>
    <mergeCell ref="H16:I16"/>
    <mergeCell ref="D17:E17"/>
    <mergeCell ref="H17:I17"/>
    <mergeCell ref="D13:E13"/>
    <mergeCell ref="H13:I13"/>
    <mergeCell ref="D14:E14"/>
    <mergeCell ref="H14:I14"/>
    <mergeCell ref="D15:E15"/>
    <mergeCell ref="H15:I15"/>
    <mergeCell ref="D7:E7"/>
    <mergeCell ref="D8:E8"/>
    <mergeCell ref="D9:E9"/>
    <mergeCell ref="H9:I9"/>
    <mergeCell ref="D12:E12"/>
    <mergeCell ref="H12:I12"/>
    <mergeCell ref="D11:E11"/>
    <mergeCell ref="H11:I11"/>
    <mergeCell ref="H7:I7"/>
    <mergeCell ref="H8:I8"/>
    <mergeCell ref="D10:E10"/>
    <mergeCell ref="H10:I10"/>
    <mergeCell ref="D6:E6"/>
    <mergeCell ref="D1:E1"/>
    <mergeCell ref="D4:E4"/>
    <mergeCell ref="H4:I4"/>
    <mergeCell ref="D5:E5"/>
    <mergeCell ref="H5:I5"/>
    <mergeCell ref="H6:I6"/>
  </mergeCells>
  <phoneticPr fontId="8" type="noConversion"/>
  <conditionalFormatting sqref="M11 M19:M22">
    <cfRule type="cellIs" dxfId="556" priority="15" stopIfTrue="1" operator="lessThanOrEqual">
      <formula>$L11</formula>
    </cfRule>
    <cfRule type="cellIs" dxfId="555" priority="16" operator="greaterThan">
      <formula>L11</formula>
    </cfRule>
  </conditionalFormatting>
  <conditionalFormatting sqref="M12">
    <cfRule type="cellIs" dxfId="554" priority="13" stopIfTrue="1" operator="lessThanOrEqual">
      <formula>$L12</formula>
    </cfRule>
    <cfRule type="cellIs" dxfId="553" priority="14" operator="greaterThan">
      <formula>L12</formula>
    </cfRule>
  </conditionalFormatting>
  <conditionalFormatting sqref="M13:M14">
    <cfRule type="cellIs" dxfId="552" priority="9" stopIfTrue="1" operator="lessThanOrEqual">
      <formula>$L13</formula>
    </cfRule>
    <cfRule type="cellIs" dxfId="551" priority="10" operator="greaterThan">
      <formula>L13</formula>
    </cfRule>
  </conditionalFormatting>
  <conditionalFormatting sqref="M15">
    <cfRule type="cellIs" dxfId="550" priority="7" stopIfTrue="1" operator="lessThanOrEqual">
      <formula>$L15</formula>
    </cfRule>
    <cfRule type="cellIs" dxfId="549" priority="8" operator="greaterThan">
      <formula>L15</formula>
    </cfRule>
  </conditionalFormatting>
  <conditionalFormatting sqref="M16">
    <cfRule type="cellIs" dxfId="548" priority="5" stopIfTrue="1" operator="lessThanOrEqual">
      <formula>$L16</formula>
    </cfRule>
    <cfRule type="cellIs" dxfId="547" priority="6" operator="greaterThan">
      <formula>L16</formula>
    </cfRule>
  </conditionalFormatting>
  <conditionalFormatting sqref="M17">
    <cfRule type="cellIs" dxfId="546" priority="3" stopIfTrue="1" operator="lessThanOrEqual">
      <formula>$L17</formula>
    </cfRule>
    <cfRule type="cellIs" dxfId="545" priority="4" operator="greaterThan">
      <formula>L17</formula>
    </cfRule>
  </conditionalFormatting>
  <conditionalFormatting sqref="M18">
    <cfRule type="cellIs" dxfId="544" priority="1" stopIfTrue="1" operator="lessThanOrEqual">
      <formula>$L18</formula>
    </cfRule>
    <cfRule type="cellIs" dxfId="543" priority="2" operator="greaterThan">
      <formula>L18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2DC61B31-B0EA-4A3A-AFB0-3F113F0E9664}">
          <x14:formula1>
            <xm:f>Extrusion!$B:$B</xm:f>
          </x14:formula1>
          <xm:sqref>C38</xm:sqref>
        </x14:dataValidation>
        <x14:dataValidation type="list" allowBlank="1" showInputMessage="1" showErrorMessage="1" xr:uid="{058FAC9A-125D-4428-A6A4-8CC9F6B0CE91}">
          <x14:formula1>
            <xm:f>Bolts!$A:$A</xm:f>
          </x14:formula1>
          <xm:sqref>C36:C38 C20:C23</xm:sqref>
        </x14:dataValidation>
        <x14:dataValidation type="list" allowBlank="1" showInputMessage="1" showErrorMessage="1" xr:uid="{911B1C20-C43A-492C-B6B4-F4497FBCF2A0}">
          <x14:formula1>
            <xm:f>Machined!$C:$C</xm:f>
          </x14:formula1>
          <xm:sqref>C5:C11 C13:C14</xm:sqref>
        </x14:dataValidation>
        <x14:dataValidation type="list" allowBlank="1" showInputMessage="1" showErrorMessage="1" xr:uid="{A883F879-2C33-44E6-A2C7-6A02361BE269}">
          <x14:formula1>
            <xm:f>Purchased!$A:$A</xm:f>
          </x14:formula1>
          <xm:sqref>C24:C25 C16:C19 C12</xm:sqref>
        </x14:dataValidation>
      </x14:dataValidations>
    </ext>
  </extLst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E2E37-EC8A-4606-9622-9E440A9C652B}">
  <sheetPr codeName="Sheet204">
    <tabColor theme="5" tint="0.59999389629810485"/>
  </sheetPr>
  <dimension ref="A1:Q10"/>
  <sheetViews>
    <sheetView zoomScale="115" zoomScaleNormal="115" workbookViewId="0">
      <selection activeCell="C14" sqref="C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'0'!C13</f>
        <v>PG10.9.0.A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'0'!D13</f>
        <v>FLYING KNIFE ASSY</v>
      </c>
      <c r="D3" s="85" t="s">
        <v>50</v>
      </c>
      <c r="E3" s="86" t="str">
        <f ca="1">MID(CELL("filename",A1),FIND("]",CELL("filename",A1))+1,256)</f>
        <v>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1266</v>
      </c>
      <c r="D5" s="336" t="str">
        <f ca="1">VLOOKUP(C5,Assemblies!E:P,2,0)</f>
        <v>KNIFE FRAME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9" ca="1" si="0">B5*$L$2</f>
        <v>1</v>
      </c>
      <c r="P5" s="117">
        <f>'9.1'!Q34</f>
        <v>3035.5099999999998</v>
      </c>
      <c r="Q5" s="118">
        <f t="shared" ref="Q5:Q9" si="1">B5*P5</f>
        <v>3035.5099999999998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1267</v>
      </c>
      <c r="D6" s="314" t="str">
        <f ca="1">VLOOKUP(C6,Assemblies!E:P,2,0)</f>
        <v>ACTUATOR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'9.2'!Q15</f>
        <v>8603.8930999999993</v>
      </c>
      <c r="Q6" s="103">
        <f t="shared" si="1"/>
        <v>8603.8930999999993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1268</v>
      </c>
      <c r="D7" s="314" t="str">
        <f ca="1">VLOOKUP(C7,Assemblies!E:P,2,0)</f>
        <v>DIENES KNIFE ASSY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'9.3'!Q18</f>
        <v>639.34</v>
      </c>
      <c r="Q7" s="103">
        <f t="shared" si="1"/>
        <v>639.34</v>
      </c>
    </row>
    <row r="8" spans="1:17" s="2" customFormat="1" ht="12.75" customHeight="1" x14ac:dyDescent="0.2">
      <c r="A8" s="150" t="s">
        <v>60</v>
      </c>
      <c r="B8" s="1">
        <v>4</v>
      </c>
      <c r="C8" s="145" t="s">
        <v>1269</v>
      </c>
      <c r="D8" s="314" t="str">
        <f ca="1">VLOOKUP(C8,Assemblies!E:P,2,0)</f>
        <v>KNIFE WEB CLAMP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4</v>
      </c>
      <c r="P8" s="147">
        <f>'9.4'!Q20</f>
        <v>291.13</v>
      </c>
      <c r="Q8" s="103">
        <f t="shared" si="1"/>
        <v>1164.52</v>
      </c>
    </row>
    <row r="9" spans="1:17" s="2" customFormat="1" ht="12.75" customHeight="1" thickBot="1" x14ac:dyDescent="0.25">
      <c r="A9" s="150" t="s">
        <v>62</v>
      </c>
      <c r="B9" s="1">
        <v>4</v>
      </c>
      <c r="C9" s="145" t="s">
        <v>1270</v>
      </c>
      <c r="D9" s="314" t="str">
        <f ca="1">VLOOKUP(C9,Assemblies!E:P,2,0)</f>
        <v>WEB ROLLER ASSEMBLY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4</v>
      </c>
      <c r="P9" s="147">
        <f>'9.5'!Q16</f>
        <v>254.26000000000002</v>
      </c>
      <c r="Q9" s="103">
        <f t="shared" si="1"/>
        <v>1017.0400000000001</v>
      </c>
    </row>
    <row r="10" spans="1:17" s="2" customFormat="1" ht="12" customHeight="1" thickBot="1" x14ac:dyDescent="0.3">
      <c r="A10" s="34"/>
      <c r="B10" s="35"/>
      <c r="C10" s="35"/>
      <c r="D10" s="316"/>
      <c r="E10" s="317"/>
      <c r="F10" s="35"/>
      <c r="G10" s="35"/>
      <c r="H10" s="309"/>
      <c r="I10" s="310"/>
      <c r="J10" s="36"/>
      <c r="K10" s="36"/>
      <c r="L10" s="36"/>
      <c r="M10" s="37"/>
      <c r="N10" s="132"/>
      <c r="O10" s="38"/>
      <c r="P10" s="182" t="s">
        <v>43</v>
      </c>
      <c r="Q10" s="104">
        <f>SUM(Q5:Q9)</f>
        <v>14460.303100000001</v>
      </c>
    </row>
  </sheetData>
  <sheetProtection selectLockedCells="1"/>
  <mergeCells count="15">
    <mergeCell ref="D6:E6"/>
    <mergeCell ref="H6:I6"/>
    <mergeCell ref="D1:E1"/>
    <mergeCell ref="D4:E4"/>
    <mergeCell ref="H4:I4"/>
    <mergeCell ref="D5:E5"/>
    <mergeCell ref="H5:I5"/>
    <mergeCell ref="D10:E10"/>
    <mergeCell ref="H10:I10"/>
    <mergeCell ref="D7:E7"/>
    <mergeCell ref="H7:I7"/>
    <mergeCell ref="D8:E8"/>
    <mergeCell ref="H8:I8"/>
    <mergeCell ref="D9:E9"/>
    <mergeCell ref="H9:I9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9590A1-604D-40CC-8E6E-36E18C163F46}">
          <x14:formula1>
            <xm:f>Assemblies!$E:$E</xm:f>
          </x14:formula1>
          <xm:sqref>C5:C9</xm:sqref>
        </x14:dataValidation>
      </x14:dataValidations>
    </ext>
  </extLst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591DC-D309-47C6-B9BD-17796B27BF60}">
  <sheetPr codeName="Sheet205">
    <tabColor theme="9" tint="0.59999389629810485"/>
    <pageSetUpPr fitToPage="1"/>
  </sheetPr>
  <dimension ref="A1:Q35"/>
  <sheetViews>
    <sheetView zoomScale="115" zoomScaleNormal="115" workbookViewId="0">
      <selection activeCell="P38" sqref="P3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'9'!C5</f>
        <v>PG10.9.1.0.A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'9'!D5</f>
        <v>KNIFE FRAME ASSY</v>
      </c>
      <c r="D3" s="85" t="s">
        <v>50</v>
      </c>
      <c r="E3" s="86" t="str">
        <f ca="1">MID(CELL("filename",A1),FIND("]",CELL("filename",A1))+1,256)</f>
        <v>9.1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1271</v>
      </c>
      <c r="D5" s="314" t="str">
        <f>VLOOKUP(C5,Machined!C:X,2,0)</f>
        <v>Flying Knife Side A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45470</v>
      </c>
      <c r="K5" s="44">
        <f>IF(VLOOKUP($C5,Machined!C:Z,19,0) = 0, " ", VLOOKUP($C5,Machined!C:Z,19,0))</f>
        <v>45474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55580</v>
      </c>
      <c r="O5" s="45">
        <f ca="1">B5*$L$2</f>
        <v>1</v>
      </c>
      <c r="P5" s="49">
        <f>VLOOKUP(C5,Machined!C:F,3,0)</f>
        <v>151</v>
      </c>
      <c r="Q5" s="50">
        <f>B5*P5</f>
        <v>151</v>
      </c>
    </row>
    <row r="6" spans="1:17" s="2" customFormat="1" ht="12.75" customHeight="1" x14ac:dyDescent="0.25">
      <c r="A6" s="77">
        <v>2</v>
      </c>
      <c r="B6" s="20">
        <v>1</v>
      </c>
      <c r="C6" s="121" t="s">
        <v>1272</v>
      </c>
      <c r="D6" s="314" t="str">
        <f>VLOOKUP(C6,Machined!C:X,2,0)</f>
        <v>Flying Knife Side B Plate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45470</v>
      </c>
      <c r="K6" s="44">
        <f>IF(VLOOKUP($C6,Machined!C:Z,19,0) = 0, " ", VLOOKUP($C6,Machined!C:Z,19,0))</f>
        <v>45474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55580</v>
      </c>
      <c r="O6" s="45">
        <f t="shared" ref="O6:O7" ca="1" si="0">B6*$L$2</f>
        <v>1</v>
      </c>
      <c r="P6" s="49">
        <f>VLOOKUP(C6,Machined!C:F,3,0)</f>
        <v>151</v>
      </c>
      <c r="Q6" s="50">
        <f t="shared" ref="Q6:Q7" si="1">B6*P6</f>
        <v>151</v>
      </c>
    </row>
    <row r="7" spans="1:17" s="2" customFormat="1" ht="12.75" customHeight="1" x14ac:dyDescent="0.25">
      <c r="A7" s="77">
        <v>3</v>
      </c>
      <c r="B7" s="20">
        <v>1</v>
      </c>
      <c r="C7" s="121" t="s">
        <v>1273</v>
      </c>
      <c r="D7" s="314" t="str">
        <f>VLOOKUP(C7,Machined!C:X,2,0)</f>
        <v>KNIFE ANVIL HOLDER</v>
      </c>
      <c r="E7" s="329"/>
      <c r="F7" s="107" t="str">
        <f>VLOOKUP($C7,Machined!C:Z,13,0)</f>
        <v>6061-T6 ALUMINUM</v>
      </c>
      <c r="G7" s="44" t="str">
        <f>IF(VLOOKUP($C7,Machined!C:Z,16,0) = 0, " ", VLOOKUP($C7,Machined!C:Z,16,0))</f>
        <v>Bemox</v>
      </c>
      <c r="H7" s="320">
        <f>IF(VLOOKUP($C7,Machined!C:Z,17,0) = 0, " ", VLOOKUP($C7,Machined!C:Z,17,0))</f>
        <v>45469</v>
      </c>
      <c r="I7" s="321" t="str">
        <f>IF(VLOOKUP($C7,Machined!$C:$Y,13,0) = 0, " ", VLOOKUP($C7,Machined!$C:$Y,13,0))</f>
        <v>6061-T6 ALUMINUM</v>
      </c>
      <c r="J7" s="44">
        <f>IF(VLOOKUP($C7,Machined!C:Z,18,0) = 0, " ", VLOOKUP($C7,Machined!C:Z,18,0))</f>
        <v>45471</v>
      </c>
      <c r="K7" s="44">
        <f>IF(VLOOKUP($C7,Machined!C:Z,19,0) = 0, " ", VLOOKUP($C7,Machined!C:Z,19,0))</f>
        <v>45481</v>
      </c>
      <c r="L7" s="44">
        <f>IF(VLOOKUP($C7,Machined!C:Z,20,0) = 0, " ", VLOOKUP($C7,Machined!C:Z,20,0))</f>
        <v>45519</v>
      </c>
      <c r="M7" s="44">
        <f>IF(VLOOKUP($C7,Machined!C:Z,21,0) = 0, " ", VLOOKUP($C7,Machined!C:Z,21,0))</f>
        <v>45519</v>
      </c>
      <c r="N7" s="129">
        <f>IF(VLOOKUP($C7,Machined!C:Z,22,0) = 0, " ", VLOOKUP($C7,Machined!C:Z,22,0))</f>
        <v>55585</v>
      </c>
      <c r="O7" s="45">
        <f t="shared" ca="1" si="0"/>
        <v>1</v>
      </c>
      <c r="P7" s="49">
        <f>VLOOKUP(C7,Machined!C:F,3,0)</f>
        <v>702</v>
      </c>
      <c r="Q7" s="50">
        <f t="shared" si="1"/>
        <v>702</v>
      </c>
    </row>
    <row r="8" spans="1:17" s="2" customFormat="1" ht="12.75" customHeight="1" x14ac:dyDescent="0.25">
      <c r="A8" s="77">
        <v>4</v>
      </c>
      <c r="B8" s="20">
        <v>1</v>
      </c>
      <c r="C8" s="121" t="s">
        <v>1274</v>
      </c>
      <c r="D8" s="314" t="str">
        <f>VLOOKUP(C8,Machined!C:X,2,0)</f>
        <v>KNIFE ANVIL</v>
      </c>
      <c r="E8" s="329"/>
      <c r="F8" s="107" t="str">
        <f>VLOOKUP($C8,Machined!C:Z,13,0)</f>
        <v>AISI Type A2 Tool Steel</v>
      </c>
      <c r="G8" s="44" t="str">
        <f>IF(VLOOKUP($C8,Machined!C:Z,16,0) = 0, " ", VLOOKUP($C8,Machined!C:Z,16,0))</f>
        <v>Detailed Mach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AISI Type A2 Tool Steel</v>
      </c>
      <c r="J8" s="44">
        <f>IF(VLOOKUP($C8,Machined!C:Z,18,0) = 0, " ", VLOOKUP($C8,Machined!C:Z,18,0))</f>
        <v>45470</v>
      </c>
      <c r="K8" s="44">
        <f>IF(VLOOKUP($C8,Machined!C:Z,19,0) = 0, " ", VLOOKUP($C8,Machined!C:Z,19,0))</f>
        <v>45475</v>
      </c>
      <c r="L8" s="44">
        <f>IF(VLOOKUP($C8,Machined!C:Z,20,0) = 0, " ", VLOOKUP($C8,Machined!C:Z,20,0))</f>
        <v>45505</v>
      </c>
      <c r="M8" s="44">
        <f>IF(VLOOKUP($C8,Machined!C:Z,21,0) = 0, " ", VLOOKUP($C8,Machined!C:Z,21,0))</f>
        <v>45505</v>
      </c>
      <c r="N8" s="129">
        <f>IF(VLOOKUP($C8,Machined!C:Z,22,0) = 0, " ", VLOOKUP($C8,Machined!C:Z,22,0))</f>
        <v>55583</v>
      </c>
      <c r="O8" s="45">
        <f ca="1">B8*$L$2</f>
        <v>1</v>
      </c>
      <c r="P8" s="49">
        <f>VLOOKUP(C8,Machined!C:F,3,0)</f>
        <v>1126.25</v>
      </c>
      <c r="Q8" s="50">
        <f>B8*P8</f>
        <v>1126.25</v>
      </c>
    </row>
    <row r="9" spans="1:17" s="2" customFormat="1" ht="12.75" customHeight="1" x14ac:dyDescent="0.25">
      <c r="A9" s="77">
        <v>5</v>
      </c>
      <c r="B9" s="20">
        <v>1</v>
      </c>
      <c r="C9" s="121" t="s">
        <v>1275</v>
      </c>
      <c r="D9" s="314" t="str">
        <f>VLOOKUP(C9,Machined!C:X,2,0)</f>
        <v>E-CHAIN TRAY</v>
      </c>
      <c r="E9" s="329"/>
      <c r="F9" s="107" t="str">
        <f>VLOOKUP($C9,Machined!C:Z,13,0)</f>
        <v>304 STAINLESS STEEL</v>
      </c>
      <c r="G9" s="44" t="str">
        <f>IF(VLOOKUP($C9,Machined!C:Z,16,0) = 0, " ", VLOOKUP($C9,Machined!C:Z,16,0))</f>
        <v>Proto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304 STAINLESS STEEL</v>
      </c>
      <c r="J9" s="44">
        <f>IF(VLOOKUP($C9,Machined!C:Z,18,0) = 0, " ", VLOOKUP($C9,Machined!C:Z,18,0))</f>
        <v>45495</v>
      </c>
      <c r="K9" s="44">
        <f>IF(VLOOKUP($C9,Machined!C:Z,19,0) = 0, " ", VLOOKUP($C9,Machined!C:Z,19,0))</f>
        <v>45510</v>
      </c>
      <c r="L9" s="44">
        <f>IF(VLOOKUP($C9,Machined!C:Z,20,0) = 0, " ", VLOOKUP($C9,Machined!C:Z,20,0))</f>
        <v>45540</v>
      </c>
      <c r="M9" s="44">
        <f>IF(VLOOKUP($C9,Machined!C:Z,21,0) = 0, " ", VLOOKUP($C9,Machined!C:Z,21,0))</f>
        <v>45540</v>
      </c>
      <c r="N9" s="129">
        <f>IF(VLOOKUP($C9,Machined!C:Z,22,0) = 0, " ", VLOOKUP($C9,Machined!C:Z,22,0))</f>
        <v>55658</v>
      </c>
      <c r="O9" s="45">
        <f t="shared" ref="O9:O11" ca="1" si="2">B9*$L$2</f>
        <v>1</v>
      </c>
      <c r="P9" s="49">
        <f>VLOOKUP(C9,Machined!C:F,3,0)</f>
        <v>202.08</v>
      </c>
      <c r="Q9" s="50">
        <f t="shared" ref="Q9:Q11" si="3">B9*P9</f>
        <v>202.08</v>
      </c>
    </row>
    <row r="10" spans="1:17" s="2" customFormat="1" ht="12.75" customHeight="1" x14ac:dyDescent="0.25">
      <c r="A10" s="77">
        <v>6</v>
      </c>
      <c r="B10" s="20">
        <v>2</v>
      </c>
      <c r="C10" s="121" t="s">
        <v>1276</v>
      </c>
      <c r="D10" s="314" t="str">
        <f>VLOOKUP(C10,Machined!C:X,2,0)</f>
        <v>Flying Knife Web Support</v>
      </c>
      <c r="E10" s="329"/>
      <c r="F10" s="107" t="str">
        <f>VLOOKUP($C10,Machined!C:Z,13,0)</f>
        <v>304 STAINLESS STEEL</v>
      </c>
      <c r="G10" s="44" t="str">
        <f>IF(VLOOKUP($C10,Machined!C:Z,16,0) = 0, " ", VLOOKUP($C10,Machined!C:Z,16,0))</f>
        <v>Proto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304 STAINLESS STEEL</v>
      </c>
      <c r="J10" s="44">
        <f>IF(VLOOKUP($C10,Machined!C:Z,18,0) = 0, " ", VLOOKUP($C10,Machined!C:Z,18,0))</f>
        <v>45495</v>
      </c>
      <c r="K10" s="44">
        <f>IF(VLOOKUP($C10,Machined!C:Z,19,0) = 0, " ", VLOOKUP($C10,Machined!C:Z,19,0))</f>
        <v>45510</v>
      </c>
      <c r="L10" s="44">
        <f>IF(VLOOKUP($C10,Machined!C:Z,20,0) = 0, " ", VLOOKUP($C10,Machined!C:Z,20,0))</f>
        <v>45540</v>
      </c>
      <c r="M10" s="44">
        <f>IF(VLOOKUP($C10,Machined!C:Z,21,0) = 0, " ", VLOOKUP($C10,Machined!C:Z,21,0))</f>
        <v>45540</v>
      </c>
      <c r="N10" s="129">
        <f>IF(VLOOKUP($C10,Machined!C:Z,22,0) = 0, " ", VLOOKUP($C10,Machined!C:Z,22,0))</f>
        <v>55658</v>
      </c>
      <c r="O10" s="45">
        <f ca="1">B10*$L$2</f>
        <v>2</v>
      </c>
      <c r="P10" s="49">
        <f>VLOOKUP(C10,Machined!C:F,3,0)</f>
        <v>101.34</v>
      </c>
      <c r="Q10" s="50">
        <f>B10*P10</f>
        <v>202.68</v>
      </c>
    </row>
    <row r="11" spans="1:17" s="2" customFormat="1" ht="12.75" customHeight="1" x14ac:dyDescent="0.25">
      <c r="A11" s="77" t="s">
        <v>1821</v>
      </c>
      <c r="B11" s="20">
        <v>4</v>
      </c>
      <c r="C11" s="121" t="s">
        <v>1284</v>
      </c>
      <c r="D11" s="314" t="str">
        <f>VLOOKUP(C11,Machined!C:X,2,0)</f>
        <v>ACTUATOR MOUNT PLATE</v>
      </c>
      <c r="E11" s="329"/>
      <c r="F11" s="107" t="str">
        <f>VLOOKUP($C11,Machined!C:Z,13,0)</f>
        <v>6061-T6 ALUMINUM</v>
      </c>
      <c r="G11" s="44" t="str">
        <f>IF(VLOOKUP($C11,Machined!C:Z,16,0) = 0, " ", VLOOKUP($C11,Machined!C:Z,16,0))</f>
        <v>Craig Miller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6061-T6 ALUMINUM</v>
      </c>
      <c r="J11" s="44">
        <f>IF(VLOOKUP($C11,Machined!C:Z,18,0) = 0, " ", VLOOKUP($C11,Machined!C:Z,18,0))</f>
        <v>45470</v>
      </c>
      <c r="K11" s="44">
        <f>IF(VLOOKUP($C11,Machined!C:Z,19,0) = 0, " ", VLOOKUP($C11,Machined!C:Z,19,0))</f>
        <v>45474</v>
      </c>
      <c r="L11" s="44">
        <f>IF(VLOOKUP($C11,Machined!C:Z,20,0) = 0, " ", VLOOKUP($C11,Machined!C:Z,20,0))</f>
        <v>45495</v>
      </c>
      <c r="M11" s="44">
        <f>IF(VLOOKUP($C11,Machined!C:Z,21,0) = 0, " ", VLOOKUP($C11,Machined!C:Z,21,0))</f>
        <v>45495</v>
      </c>
      <c r="N11" s="129">
        <f>IF(VLOOKUP($C11,Machined!C:Z,22,0) = 0, " ", VLOOKUP($C11,Machined!C:Z,22,0))</f>
        <v>55580</v>
      </c>
      <c r="O11" s="45">
        <f t="shared" ca="1" si="2"/>
        <v>4</v>
      </c>
      <c r="P11" s="49">
        <f>VLOOKUP(C11,Machined!C:F,3,0)</f>
        <v>44.5</v>
      </c>
      <c r="Q11" s="50">
        <f t="shared" si="3"/>
        <v>178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301</v>
      </c>
      <c r="B13" s="2">
        <v>45</v>
      </c>
      <c r="C13" s="135" t="s">
        <v>172</v>
      </c>
      <c r="D13" s="325" t="str">
        <f>VLOOKUP(C13,Purchased!A:B,2,0)</f>
        <v>BRX GOTO T-NUT 10 M6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45463</v>
      </c>
      <c r="K13" s="46">
        <f>IF(VLOOKUP(C13,Purchased!A:R,14,0)=0, " ", VLOOKUP(C13,Purchased!A:R,14,0))</f>
        <v>45463</v>
      </c>
      <c r="L13" s="46">
        <f>IF(VLOOKUP(C13,Purchased!A:R,15,0)=0, " ", VLOOKUP(C13,Purchased!A:R,15,0))</f>
        <v>45463</v>
      </c>
      <c r="M13" s="46">
        <f>IF(VLOOKUP(C13,Purchased!A:R,16,0)=0, " ",VLOOKUP(C13,Purchased!A:R,16,0))</f>
        <v>45481</v>
      </c>
      <c r="N13" s="130">
        <f>IF(VLOOKUP(C13,Purchased!A:R,17,0)=0, " ", VLOOKUP(C13,Purchased!A:R,17,0))</f>
        <v>45481</v>
      </c>
      <c r="O13" s="47">
        <f t="shared" ref="O13:O20" ca="1" si="4">B13*$L$2</f>
        <v>45</v>
      </c>
      <c r="P13" s="51">
        <f>VLOOKUP(C13,Purchased!A:D,3,FALSE)</f>
        <v>0.56000000000000005</v>
      </c>
      <c r="Q13" s="52">
        <f t="shared" ref="Q13:Q20" si="5">B13*P13</f>
        <v>25.200000000000003</v>
      </c>
    </row>
    <row r="14" spans="1:17" s="2" customFormat="1" ht="12.75" customHeight="1" x14ac:dyDescent="0.25">
      <c r="A14" s="4">
        <v>302</v>
      </c>
      <c r="B14" s="2">
        <v>6</v>
      </c>
      <c r="C14" s="135">
        <v>3842528735</v>
      </c>
      <c r="D14" s="325" t="str">
        <f>VLOOKUP(C14,Purchased!A:B,2,0)</f>
        <v>T-SLOT STONE 10 M8</v>
      </c>
      <c r="E14" s="326"/>
      <c r="F14" s="108" t="str">
        <f>IF(VLOOKUP($C14,Purchased!A:Z,11,0) = 0, " ", VLOOKUP($C14,Purchased!A:Z,11,0))</f>
        <v>BRX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45561</v>
      </c>
      <c r="N14" s="130" t="str">
        <f>IF(VLOOKUP(C14,Purchased!A:R,17,0)=0, " ", VLOOKUP(C14,Purchased!A:R,17,0))</f>
        <v xml:space="preserve"> </v>
      </c>
      <c r="O14" s="47">
        <f t="shared" ca="1" si="4"/>
        <v>6</v>
      </c>
      <c r="P14" s="51">
        <f>VLOOKUP(C14,Purchased!A:D,3,FALSE)</f>
        <v>0.86</v>
      </c>
      <c r="Q14" s="52">
        <f t="shared" si="5"/>
        <v>5.16</v>
      </c>
    </row>
    <row r="15" spans="1:17" s="2" customFormat="1" ht="12.75" customHeight="1" x14ac:dyDescent="0.25">
      <c r="A15" s="4">
        <v>303</v>
      </c>
      <c r="B15" s="2">
        <v>2</v>
      </c>
      <c r="C15" s="135">
        <v>3842530281</v>
      </c>
      <c r="D15" s="325" t="str">
        <f>VLOOKUP(C15,Purchased!A:B,2,0)</f>
        <v>BRX GOTO T-NUT 10 M4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100 additional quantity added to 55710</v>
      </c>
      <c r="I15" s="328"/>
      <c r="J15" s="46">
        <f>IF(VLOOKUP($C15,Purchased!A:Z,14,0)=0, " ", VLOOKUP($C15,Purchased!A:Z,14,0))</f>
        <v>45463</v>
      </c>
      <c r="K15" s="46">
        <f>IF(VLOOKUP(C15,Purchased!A:R,14,0)=0, " ", VLOOKUP(C15,Purchased!A:R,14,0))</f>
        <v>45463</v>
      </c>
      <c r="L15" s="46">
        <f>IF(VLOOKUP(C15,Purchased!A:R,15,0)=0, " ", VLOOKUP(C15,Purchased!A:R,15,0))</f>
        <v>45463</v>
      </c>
      <c r="M15" s="46">
        <f>IF(VLOOKUP(C15,Purchased!A:R,16,0)=0, " ",VLOOKUP(C15,Purchased!A:R,16,0))</f>
        <v>45481</v>
      </c>
      <c r="N15" s="130">
        <f>IF(VLOOKUP(C15,Purchased!A:R,17,0)=0, " ", VLOOKUP(C15,Purchased!A:R,17,0))</f>
        <v>45481</v>
      </c>
      <c r="O15" s="47">
        <f t="shared" ca="1" si="4"/>
        <v>2</v>
      </c>
      <c r="P15" s="51">
        <f>VLOOKUP(C15,Purchased!A:D,3,FALSE)</f>
        <v>0.56000000000000005</v>
      </c>
      <c r="Q15" s="52">
        <f t="shared" si="5"/>
        <v>1.1200000000000001</v>
      </c>
    </row>
    <row r="16" spans="1:17" s="2" customFormat="1" ht="12.75" customHeight="1" x14ac:dyDescent="0.25">
      <c r="A16" s="4">
        <v>304</v>
      </c>
      <c r="B16" s="2">
        <v>2</v>
      </c>
      <c r="C16" s="135" t="s">
        <v>1277</v>
      </c>
      <c r="D16" s="325" t="str">
        <f>VLOOKUP(C16,Purchased!A:B,2,0)</f>
        <v>Dual-Section Right-Angle Flow Manifold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45481</v>
      </c>
      <c r="K16" s="46">
        <f>IF(VLOOKUP(C16,Purchased!A:R,14,0)=0, " ", VLOOKUP(C16,Purchased!A:R,14,0))</f>
        <v>45481</v>
      </c>
      <c r="L16" s="46">
        <f>IF(VLOOKUP(C16,Purchased!A:R,15,0)=0, " ", VLOOKUP(C16,Purchased!A:R,15,0))</f>
        <v>45481</v>
      </c>
      <c r="M16" s="46">
        <f>IF(VLOOKUP(C16,Purchased!A:R,16,0)=0, " ",VLOOKUP(C16,Purchased!A:R,16,0))</f>
        <v>45482</v>
      </c>
      <c r="N16" s="130">
        <f>IF(VLOOKUP(C16,Purchased!A:R,17,0)=0, " ", VLOOKUP(C16,Purchased!A:R,17,0))</f>
        <v>45482</v>
      </c>
      <c r="O16" s="47">
        <f t="shared" ca="1" si="4"/>
        <v>2</v>
      </c>
      <c r="P16" s="51">
        <f>VLOOKUP(C16,Purchased!A:D,3,FALSE)</f>
        <v>58.5</v>
      </c>
      <c r="Q16" s="52">
        <f t="shared" si="5"/>
        <v>117</v>
      </c>
    </row>
    <row r="17" spans="1:17" s="2" customFormat="1" ht="12.75" customHeight="1" x14ac:dyDescent="0.25">
      <c r="A17" s="4">
        <v>305</v>
      </c>
      <c r="B17" s="2">
        <v>4</v>
      </c>
      <c r="C17" s="135" t="s">
        <v>178</v>
      </c>
      <c r="D17" s="325" t="str">
        <f>VLOOKUP(C17,Purchased!A:B,2,0)</f>
        <v>10mm Dia 20mm L Steel Dowel Pin</v>
      </c>
      <c r="E17" s="326"/>
      <c r="F17" s="108" t="str">
        <f>IF(VLOOKUP($C17,Purchased!A:Z,11,0) = 0, " ", VLOOKUP($C17,Purchased!A:Z,11,0))</f>
        <v>MCM</v>
      </c>
      <c r="G17" s="108" t="str">
        <f>IF(VLOOKUP($C17,Purchased!A:Z,12,0)=0, " ", VLOOKUP($C17,Purchased!A:Z,12,0))</f>
        <v>MCM</v>
      </c>
      <c r="H17" s="327" t="str">
        <f>IF(VLOOKUP($C17,Purchased!A:Z,13,0)=0, " ", VLOOKUP($C17,Purchased!A:Z,13,0))</f>
        <v>3 Additional Quantity Added to 55697</v>
      </c>
      <c r="I17" s="328"/>
      <c r="J17" s="46">
        <f>IF(VLOOKUP($C17,Purchased!A:Z,14,0)=0, " ", VLOOKUP($C17,Purchased!A:Z,14,0))</f>
        <v>45481</v>
      </c>
      <c r="K17" s="46">
        <f>IF(VLOOKUP(C17,Purchased!A:R,14,0)=0, " ", VLOOKUP(C17,Purchased!A:R,14,0))</f>
        <v>45481</v>
      </c>
      <c r="L17" s="46">
        <f>IF(VLOOKUP(C17,Purchased!A:R,15,0)=0, " ", VLOOKUP(C17,Purchased!A:R,15,0))</f>
        <v>45481</v>
      </c>
      <c r="M17" s="46">
        <f>IF(VLOOKUP(C17,Purchased!A:R,16,0)=0, " ",VLOOKUP(C17,Purchased!A:R,16,0))</f>
        <v>45482</v>
      </c>
      <c r="N17" s="130">
        <f>IF(VLOOKUP(C17,Purchased!A:R,17,0)=0, " ", VLOOKUP(C17,Purchased!A:R,17,0))</f>
        <v>45482</v>
      </c>
      <c r="O17" s="47">
        <f t="shared" ca="1" si="4"/>
        <v>4</v>
      </c>
      <c r="P17" s="51">
        <f>VLOOKUP(C17,Purchased!A:D,3,FALSE)</f>
        <v>10.57</v>
      </c>
      <c r="Q17" s="52">
        <f t="shared" si="5"/>
        <v>42.28</v>
      </c>
    </row>
    <row r="18" spans="1:17" s="2" customFormat="1" ht="12.75" customHeight="1" x14ac:dyDescent="0.25">
      <c r="A18" s="4">
        <v>306</v>
      </c>
      <c r="B18" s="2">
        <v>2</v>
      </c>
      <c r="C18" s="135" t="s">
        <v>1278</v>
      </c>
      <c r="D18" s="325" t="str">
        <f>VLOOKUP(C18,Purchased!A:B,2,0)</f>
        <v>ENERGY CHAIN</v>
      </c>
      <c r="E18" s="326"/>
      <c r="F18" s="108" t="str">
        <f>IF(VLOOKUP($C18,Purchased!A:Z,11,0) = 0, " ", VLOOKUP($C18,Purchased!A:Z,11,0))</f>
        <v>IGUS</v>
      </c>
      <c r="G18" s="108" t="str">
        <f>IF(VLOOKUP($C18,Purchased!A:Z,12,0)=0, " ", VLOOKUP($C18,Purchased!A:Z,12,0))</f>
        <v>IGUS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45489</v>
      </c>
      <c r="K18" s="46">
        <f>IF(VLOOKUP(C18,Purchased!A:R,14,0)=0, " ", VLOOKUP(C18,Purchased!A:R,14,0))</f>
        <v>45489</v>
      </c>
      <c r="L18" s="46">
        <f>IF(VLOOKUP(C18,Purchased!A:R,15,0)=0, " ", VLOOKUP(C18,Purchased!A:R,15,0))</f>
        <v>45489</v>
      </c>
      <c r="M18" s="46">
        <f>IF(VLOOKUP(C18,Purchased!A:R,16,0)=0, " ",VLOOKUP(C18,Purchased!A:R,16,0))</f>
        <v>45534</v>
      </c>
      <c r="N18" s="130">
        <f>IF(VLOOKUP(C18,Purchased!A:R,17,0)=0, " ", VLOOKUP(C18,Purchased!A:R,17,0))</f>
        <v>45534</v>
      </c>
      <c r="O18" s="47">
        <f t="shared" ca="1" si="4"/>
        <v>2</v>
      </c>
      <c r="P18" s="51">
        <f>VLOOKUP(C18,Purchased!A:D,3,FALSE)</f>
        <v>53.95</v>
      </c>
      <c r="Q18" s="52">
        <f t="shared" si="5"/>
        <v>107.9</v>
      </c>
    </row>
    <row r="19" spans="1:17" s="2" customFormat="1" ht="12.75" customHeight="1" x14ac:dyDescent="0.25">
      <c r="A19" s="4">
        <v>307</v>
      </c>
      <c r="B19" s="2">
        <v>4</v>
      </c>
      <c r="C19" s="135" t="s">
        <v>1279</v>
      </c>
      <c r="D19" s="325" t="str">
        <f>VLOOKUP(C19,Purchased!A:B,2,0)</f>
        <v>1/4 UNI to 6mm Tube Fitting</v>
      </c>
      <c r="E19" s="326"/>
      <c r="F19" s="108" t="str">
        <f>IF(VLOOKUP($C19,Purchased!A:Z,11,0) = 0, " ", VLOOKUP($C19,Purchased!A:Z,11,0))</f>
        <v>SMC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45489</v>
      </c>
      <c r="K19" s="46">
        <f>IF(VLOOKUP(C19,Purchased!A:R,14,0)=0, " ", VLOOKUP(C19,Purchased!A:R,14,0))</f>
        <v>45489</v>
      </c>
      <c r="L19" s="46">
        <f>IF(VLOOKUP(C19,Purchased!A:R,15,0)=0, " ", VLOOKUP(C19,Purchased!A:R,15,0))</f>
        <v>45491</v>
      </c>
      <c r="M19" s="46">
        <f>IF(VLOOKUP(C19,Purchased!A:R,16,0)=0, " ",VLOOKUP(C19,Purchased!A:R,16,0))</f>
        <v>45520</v>
      </c>
      <c r="N19" s="130">
        <f>IF(VLOOKUP(C19,Purchased!A:R,17,0)=0, " ", VLOOKUP(C19,Purchased!A:R,17,0))</f>
        <v>45511</v>
      </c>
      <c r="O19" s="47">
        <f t="shared" ca="1" si="4"/>
        <v>4</v>
      </c>
      <c r="P19" s="51">
        <f>VLOOKUP(C19,Purchased!A:D,3,FALSE)</f>
        <v>1.71</v>
      </c>
      <c r="Q19" s="52">
        <f t="shared" si="5"/>
        <v>6.84</v>
      </c>
    </row>
    <row r="20" spans="1:17" s="2" customFormat="1" ht="12.75" customHeight="1" x14ac:dyDescent="0.25">
      <c r="A20" s="4">
        <v>308</v>
      </c>
      <c r="B20" s="2">
        <v>8</v>
      </c>
      <c r="C20" s="135" t="s">
        <v>1280</v>
      </c>
      <c r="D20" s="325" t="str">
        <f>VLOOKUP(C20,Purchased!A:B,2,0)</f>
        <v>1/8 UNI to 4mm Tube Fitting</v>
      </c>
      <c r="E20" s="326"/>
      <c r="F20" s="108" t="str">
        <f>IF(VLOOKUP($C20,Purchased!A:Z,11,0) = 0, " ", VLOOKUP($C20,Purchased!A:Z,11,0))</f>
        <v>SMC</v>
      </c>
      <c r="G20" s="108" t="str">
        <f>IF(VLOOKUP($C20,Purchased!A:Z,12,0)=0, " ", VLOOKUP($C20,Purchased!A:Z,12,0))</f>
        <v>AAP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45489</v>
      </c>
      <c r="K20" s="46">
        <f>IF(VLOOKUP(C20,Purchased!A:R,14,0)=0, " ", VLOOKUP(C20,Purchased!A:R,14,0))</f>
        <v>45489</v>
      </c>
      <c r="L20" s="46">
        <f>IF(VLOOKUP(C20,Purchased!A:R,15,0)=0, " ", VLOOKUP(C20,Purchased!A:R,15,0))</f>
        <v>45491</v>
      </c>
      <c r="M20" s="46">
        <f>IF(VLOOKUP(C20,Purchased!A:R,16,0)=0, " ",VLOOKUP(C20,Purchased!A:R,16,0))</f>
        <v>45520</v>
      </c>
      <c r="N20" s="130">
        <f>IF(VLOOKUP(C20,Purchased!A:R,17,0)=0, " ", VLOOKUP(C20,Purchased!A:R,17,0))</f>
        <v>45511</v>
      </c>
      <c r="O20" s="47">
        <f t="shared" ca="1" si="4"/>
        <v>8</v>
      </c>
      <c r="P20" s="51">
        <f>VLOOKUP(C20,Purchased!A:D,3,FALSE)</f>
        <v>1</v>
      </c>
      <c r="Q20" s="52">
        <f t="shared" si="5"/>
        <v>8</v>
      </c>
    </row>
    <row r="21" spans="1:17" s="2" customFormat="1" ht="12.75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" customHeight="1" x14ac:dyDescent="0.25">
      <c r="A22" s="4">
        <v>501</v>
      </c>
      <c r="B22" s="2">
        <v>7</v>
      </c>
      <c r="C22" s="122" t="s">
        <v>179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ref="O22:O24" ca="1" si="6">B22*$L$2</f>
        <v>7</v>
      </c>
      <c r="P22" s="51">
        <f>VLOOKUP(C22,Bolts!A:B,2,FALSE)</f>
        <v>0</v>
      </c>
      <c r="Q22" s="52">
        <f t="shared" ref="Q22:Q24" si="7">B22*P22</f>
        <v>0</v>
      </c>
    </row>
    <row r="23" spans="1:17" s="2" customFormat="1" ht="12" customHeight="1" x14ac:dyDescent="0.25">
      <c r="A23" s="4">
        <v>502</v>
      </c>
      <c r="B23" s="2">
        <v>18</v>
      </c>
      <c r="C23" s="122" t="s">
        <v>1281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6"/>
        <v>18</v>
      </c>
      <c r="P23" s="51">
        <f>VLOOKUP(C23,Bolts!A:B,2,FALSE)</f>
        <v>0</v>
      </c>
      <c r="Q23" s="52">
        <f t="shared" si="7"/>
        <v>0</v>
      </c>
    </row>
    <row r="24" spans="1:17" s="2" customFormat="1" ht="12" customHeight="1" x14ac:dyDescent="0.25">
      <c r="A24" s="4">
        <v>503</v>
      </c>
      <c r="B24" s="2">
        <v>2</v>
      </c>
      <c r="C24" s="122" t="s">
        <v>1282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ca="1" si="6"/>
        <v>2</v>
      </c>
      <c r="P24" s="51">
        <f>VLOOKUP(C24,Bolts!A:B,2,FALSE)</f>
        <v>0</v>
      </c>
      <c r="Q24" s="52">
        <f t="shared" si="7"/>
        <v>0</v>
      </c>
    </row>
    <row r="25" spans="1:17" s="2" customFormat="1" ht="12" customHeight="1" x14ac:dyDescent="0.25">
      <c r="A25" s="4">
        <v>504</v>
      </c>
      <c r="B25" s="2">
        <v>18</v>
      </c>
      <c r="C25" s="122" t="s">
        <v>390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ref="O25:O29" ca="1" si="8">B25*$L$2</f>
        <v>18</v>
      </c>
      <c r="P25" s="51">
        <f>VLOOKUP(C25,Bolts!A:B,2,FALSE)</f>
        <v>0</v>
      </c>
      <c r="Q25" s="52">
        <f t="shared" ref="Q25:Q29" si="9">B25*P25</f>
        <v>0</v>
      </c>
    </row>
    <row r="26" spans="1:17" s="2" customFormat="1" ht="12" customHeight="1" x14ac:dyDescent="0.25">
      <c r="A26" s="4">
        <v>505</v>
      </c>
      <c r="B26" s="2">
        <v>12</v>
      </c>
      <c r="C26" s="122" t="s">
        <v>633</v>
      </c>
      <c r="D26" s="158"/>
      <c r="E26" s="159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ca="1" si="8"/>
        <v>12</v>
      </c>
      <c r="P26" s="51">
        <f>VLOOKUP(C26,Bolts!A:B,2,FALSE)</f>
        <v>0</v>
      </c>
      <c r="Q26" s="52">
        <f t="shared" si="9"/>
        <v>0</v>
      </c>
    </row>
    <row r="27" spans="1:17" s="2" customFormat="1" ht="12" customHeight="1" x14ac:dyDescent="0.25">
      <c r="A27" s="4">
        <v>506</v>
      </c>
      <c r="B27" s="2">
        <v>4</v>
      </c>
      <c r="C27" s="122" t="s">
        <v>829</v>
      </c>
      <c r="D27" s="158"/>
      <c r="E27" s="159"/>
      <c r="F27" s="108">
        <f>VLOOKUP(C27,Bolts!A:L,5,0)</f>
        <v>0</v>
      </c>
      <c r="G27" s="108">
        <f>VLOOKUP(C27,Bolts!A:L,6,0)</f>
        <v>0</v>
      </c>
      <c r="H27" s="108">
        <f>VLOOKUP(C27,Bolts!A:L,7,0)</f>
        <v>0</v>
      </c>
      <c r="I27" s="109"/>
      <c r="J27" s="46">
        <f>VLOOKUP(C27,Bolts!A:L,8,0)</f>
        <v>0</v>
      </c>
      <c r="K27" s="46">
        <f>VLOOKUP(C27,Bolts!A:L,9,0)</f>
        <v>0</v>
      </c>
      <c r="L27" s="46">
        <f>VLOOKUP(C27,Bolts!A:L,10,0)</f>
        <v>0</v>
      </c>
      <c r="M27" s="46">
        <f>VLOOKUP(C27,Bolts!A:L,11,0)</f>
        <v>0</v>
      </c>
      <c r="N27" s="130">
        <f>VLOOKUP(C27,Bolts!A:L,12,0)</f>
        <v>0</v>
      </c>
      <c r="O27" s="47">
        <f t="shared" ref="O27" ca="1" si="10">B27*$L$2</f>
        <v>4</v>
      </c>
      <c r="P27" s="51">
        <f>VLOOKUP(C27,Bolts!A:B,2,FALSE)</f>
        <v>0</v>
      </c>
      <c r="Q27" s="52">
        <f t="shared" ref="Q27" si="11">B27*P27</f>
        <v>0</v>
      </c>
    </row>
    <row r="28" spans="1:17" s="2" customFormat="1" ht="12" customHeight="1" x14ac:dyDescent="0.25">
      <c r="A28" s="4">
        <v>507</v>
      </c>
      <c r="B28" s="2">
        <v>12</v>
      </c>
      <c r="C28" s="122" t="s">
        <v>174</v>
      </c>
      <c r="D28" s="158"/>
      <c r="E28" s="159"/>
      <c r="F28" s="108">
        <f>VLOOKUP(C28,Bolts!A:L,5,0)</f>
        <v>0</v>
      </c>
      <c r="G28" s="108">
        <f>VLOOKUP(C28,Bolts!A:L,6,0)</f>
        <v>0</v>
      </c>
      <c r="H28" s="108">
        <f>VLOOKUP(C28,Bolts!A:L,7,0)</f>
        <v>0</v>
      </c>
      <c r="I28" s="109"/>
      <c r="J28" s="46">
        <f>VLOOKUP(C28,Bolts!A:L,8,0)</f>
        <v>0</v>
      </c>
      <c r="K28" s="46">
        <f>VLOOKUP(C28,Bolts!A:L,9,0)</f>
        <v>0</v>
      </c>
      <c r="L28" s="46">
        <f>VLOOKUP(C28,Bolts!A:L,10,0)</f>
        <v>0</v>
      </c>
      <c r="M28" s="46">
        <f>VLOOKUP(C28,Bolts!A:L,11,0)</f>
        <v>0</v>
      </c>
      <c r="N28" s="130">
        <f>VLOOKUP(C28,Bolts!A:L,12,0)</f>
        <v>0</v>
      </c>
      <c r="O28" s="47">
        <f t="shared" ca="1" si="8"/>
        <v>12</v>
      </c>
      <c r="P28" s="51">
        <f>VLOOKUP(C28,Bolts!A:B,2,FALSE)</f>
        <v>0</v>
      </c>
      <c r="Q28" s="52">
        <f t="shared" si="9"/>
        <v>0</v>
      </c>
    </row>
    <row r="29" spans="1:17" s="2" customFormat="1" ht="12" customHeight="1" x14ac:dyDescent="0.25">
      <c r="A29" s="4">
        <v>508</v>
      </c>
      <c r="B29" s="2">
        <v>6</v>
      </c>
      <c r="C29" s="122" t="s">
        <v>109</v>
      </c>
      <c r="D29" s="158"/>
      <c r="E29" s="159"/>
      <c r="F29" s="108">
        <f>VLOOKUP(C29,Bolts!A:L,5,0)</f>
        <v>0</v>
      </c>
      <c r="G29" s="108">
        <f>VLOOKUP(C29,Bolts!A:L,6,0)</f>
        <v>0</v>
      </c>
      <c r="H29" s="108">
        <f>VLOOKUP(C29,Bolts!A:L,7,0)</f>
        <v>0</v>
      </c>
      <c r="I29" s="109"/>
      <c r="J29" s="46">
        <f>VLOOKUP(C29,Bolts!A:L,8,0)</f>
        <v>0</v>
      </c>
      <c r="K29" s="46">
        <f>VLOOKUP(C29,Bolts!A:L,9,0)</f>
        <v>0</v>
      </c>
      <c r="L29" s="46">
        <f>VLOOKUP(C29,Bolts!A:L,10,0)</f>
        <v>0</v>
      </c>
      <c r="M29" s="46">
        <f>VLOOKUP(C29,Bolts!A:L,11,0)</f>
        <v>0</v>
      </c>
      <c r="N29" s="130">
        <f>VLOOKUP(C29,Bolts!A:L,12,0)</f>
        <v>0</v>
      </c>
      <c r="O29" s="47">
        <f t="shared" ca="1" si="8"/>
        <v>6</v>
      </c>
      <c r="P29" s="51">
        <f>VLOOKUP(C29,Bolts!A:B,2,FALSE)</f>
        <v>0</v>
      </c>
      <c r="Q29" s="52">
        <f t="shared" si="9"/>
        <v>0</v>
      </c>
    </row>
    <row r="30" spans="1:17" s="2" customFormat="1" ht="12" customHeight="1" x14ac:dyDescent="0.25">
      <c r="A30" s="4">
        <v>509</v>
      </c>
      <c r="B30" s="2">
        <v>12</v>
      </c>
      <c r="C30" s="122" t="s">
        <v>241</v>
      </c>
      <c r="D30" s="158"/>
      <c r="E30" s="159"/>
      <c r="F30" s="108">
        <f>VLOOKUP(C30,Bolts!A:L,5,0)</f>
        <v>0</v>
      </c>
      <c r="G30" s="108">
        <f>VLOOKUP(C30,Bolts!A:L,6,0)</f>
        <v>0</v>
      </c>
      <c r="H30" s="108">
        <f>VLOOKUP(C30,Bolts!A:L,7,0)</f>
        <v>0</v>
      </c>
      <c r="I30" s="109"/>
      <c r="J30" s="46">
        <f>VLOOKUP(C30,Bolts!A:L,8,0)</f>
        <v>0</v>
      </c>
      <c r="K30" s="46">
        <f>VLOOKUP(C30,Bolts!A:L,9,0)</f>
        <v>0</v>
      </c>
      <c r="L30" s="46">
        <f>VLOOKUP(C30,Bolts!A:L,10,0)</f>
        <v>0</v>
      </c>
      <c r="M30" s="46">
        <f>VLOOKUP(C30,Bolts!A:L,11,0)</f>
        <v>0</v>
      </c>
      <c r="N30" s="130">
        <f>VLOOKUP(C30,Bolts!A:L,12,0)</f>
        <v>0</v>
      </c>
      <c r="O30" s="47">
        <f ca="1">B30*$L$2</f>
        <v>12</v>
      </c>
      <c r="P30" s="51">
        <f>VLOOKUP(C30,Bolts!A:B,2,FALSE)</f>
        <v>0</v>
      </c>
      <c r="Q30" s="52">
        <f>B30*P30</f>
        <v>0</v>
      </c>
    </row>
    <row r="31" spans="1:17" s="2" customFormat="1" ht="12" customHeight="1" x14ac:dyDescent="0.25">
      <c r="A31" s="4">
        <v>510</v>
      </c>
      <c r="B31" s="2">
        <v>8</v>
      </c>
      <c r="C31" s="122" t="s">
        <v>1289</v>
      </c>
      <c r="D31" s="158"/>
      <c r="E31" s="159"/>
      <c r="F31" s="108">
        <f>VLOOKUP(C31,Bolts!A:L,5,0)</f>
        <v>0</v>
      </c>
      <c r="G31" s="108">
        <f>VLOOKUP(C31,Bolts!A:L,6,0)</f>
        <v>0</v>
      </c>
      <c r="H31" s="108">
        <f>VLOOKUP(C31,Bolts!A:L,7,0)</f>
        <v>0</v>
      </c>
      <c r="I31" s="109"/>
      <c r="J31" s="46">
        <f>VLOOKUP(C31,Bolts!A:L,8,0)</f>
        <v>0</v>
      </c>
      <c r="K31" s="46">
        <f>VLOOKUP(C31,Bolts!A:L,9,0)</f>
        <v>0</v>
      </c>
      <c r="L31" s="46">
        <f>VLOOKUP(C31,Bolts!A:L,10,0)</f>
        <v>0</v>
      </c>
      <c r="M31" s="46">
        <f>VLOOKUP(C31,Bolts!A:L,11,0)</f>
        <v>0</v>
      </c>
      <c r="N31" s="130">
        <f>VLOOKUP(C31,Bolts!A:L,12,0)</f>
        <v>0</v>
      </c>
      <c r="O31" s="47">
        <f t="shared" ref="O31" ca="1" si="12">B31*$L$2</f>
        <v>8</v>
      </c>
      <c r="P31" s="51">
        <f>VLOOKUP(C31,Bolts!A:B,2,FALSE)</f>
        <v>0</v>
      </c>
      <c r="Q31" s="52">
        <f t="shared" ref="Q31" si="13">B31*P31</f>
        <v>0</v>
      </c>
    </row>
    <row r="32" spans="1:17" s="2" customFormat="1" ht="12" customHeight="1" x14ac:dyDescent="0.25">
      <c r="A32" s="25"/>
      <c r="B32" s="26"/>
      <c r="C32" s="26"/>
      <c r="D32" s="332"/>
      <c r="E32" s="333"/>
      <c r="F32" s="26"/>
      <c r="G32" s="26"/>
      <c r="H32" s="322"/>
      <c r="I32" s="323"/>
      <c r="J32" s="27"/>
      <c r="K32" s="27"/>
      <c r="L32" s="27"/>
      <c r="M32" s="28"/>
      <c r="N32" s="29"/>
      <c r="O32" s="29"/>
      <c r="P32" s="148"/>
      <c r="Q32" s="149"/>
    </row>
    <row r="33" spans="1:17" s="2" customFormat="1" ht="12" customHeight="1" thickBot="1" x14ac:dyDescent="0.3">
      <c r="A33" s="4">
        <v>701</v>
      </c>
      <c r="B33" s="2">
        <v>3</v>
      </c>
      <c r="C33" s="123" t="s">
        <v>1283</v>
      </c>
      <c r="D33" s="325" t="str">
        <f>VLOOKUP(C33,Extrusion!B:C,2,0)</f>
        <v>APPROVED EL 8/1</v>
      </c>
      <c r="E33" s="326"/>
      <c r="F33" s="108" t="str">
        <f ca="1">VLOOKUP(C33,Extrusion!B:N,5,0)</f>
        <v/>
      </c>
      <c r="G33" s="108">
        <f>VLOOKUP(C33,Extrusion!B:N,6,0)</f>
        <v>1</v>
      </c>
      <c r="H33" s="108">
        <f>VLOOKUP(C33,Extrusion!B:N,7,0)</f>
        <v>0</v>
      </c>
      <c r="I33" s="109"/>
      <c r="J33" s="46" t="str">
        <f>VLOOKUP(C33,Extrusion!B:N,8,0)</f>
        <v>T-Slots</v>
      </c>
      <c r="K33" s="46">
        <f>VLOOKUP(C33,Extrusion!B:N,9,0)</f>
        <v>0</v>
      </c>
      <c r="L33" s="46">
        <f>VLOOKUP(C33,Extrusion!B:N,10,0)</f>
        <v>0</v>
      </c>
      <c r="M33" s="46">
        <f>VLOOKUP(C33,Extrusion!B:N,11,0)</f>
        <v>0</v>
      </c>
      <c r="N33" s="47">
        <f>VLOOKUP(C33,Extrusion!B:O,12,0)</f>
        <v>0</v>
      </c>
      <c r="O33" s="47">
        <f t="shared" ref="O33" ca="1" si="14">B33*$L$2</f>
        <v>3</v>
      </c>
      <c r="P33" s="51">
        <f>VLOOKUP(C33,Extrusion!B:G,4,0)</f>
        <v>3</v>
      </c>
      <c r="Q33" s="52">
        <f t="shared" ref="Q33" si="15">B33*P33</f>
        <v>9</v>
      </c>
    </row>
    <row r="34" spans="1:17" s="2" customFormat="1" ht="12" customHeight="1" thickBot="1" x14ac:dyDescent="0.3">
      <c r="A34" s="34"/>
      <c r="B34" s="35"/>
      <c r="C34" s="35"/>
      <c r="D34" s="316"/>
      <c r="E34" s="317"/>
      <c r="F34" s="35"/>
      <c r="G34" s="35"/>
      <c r="H34" s="309"/>
      <c r="I34" s="310"/>
      <c r="J34" s="36"/>
      <c r="K34" s="36"/>
      <c r="L34" s="36"/>
      <c r="M34" s="37"/>
      <c r="N34" s="132"/>
      <c r="O34" s="38"/>
      <c r="P34" s="99" t="s">
        <v>43</v>
      </c>
      <c r="Q34" s="104">
        <f>SUM(Q5:Q33)</f>
        <v>3035.5099999999998</v>
      </c>
    </row>
    <row r="35" spans="1:17" s="2" customFormat="1" ht="12" customHeight="1" x14ac:dyDescent="0.2">
      <c r="D35" s="21"/>
      <c r="E35" s="21"/>
      <c r="J35" s="8"/>
      <c r="K35" s="8"/>
      <c r="L35" s="8"/>
      <c r="M35" s="8"/>
      <c r="N35" s="131"/>
      <c r="O35" s="5"/>
      <c r="P35" s="98"/>
      <c r="Q35" s="105"/>
    </row>
  </sheetData>
  <mergeCells count="46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H15:I15"/>
    <mergeCell ref="D16:E16"/>
    <mergeCell ref="H16:I16"/>
    <mergeCell ref="D11:E11"/>
    <mergeCell ref="H11:I11"/>
    <mergeCell ref="D12:E12"/>
    <mergeCell ref="H12:I12"/>
    <mergeCell ref="D13:E13"/>
    <mergeCell ref="H13:I13"/>
    <mergeCell ref="D34:E34"/>
    <mergeCell ref="H34:I34"/>
    <mergeCell ref="D22:E22"/>
    <mergeCell ref="D23:E23"/>
    <mergeCell ref="D24:E24"/>
    <mergeCell ref="D32:E32"/>
    <mergeCell ref="H32:I32"/>
    <mergeCell ref="D33:E33"/>
    <mergeCell ref="D10:E10"/>
    <mergeCell ref="H10:I10"/>
    <mergeCell ref="D21:E21"/>
    <mergeCell ref="H21:I21"/>
    <mergeCell ref="D25:E25"/>
    <mergeCell ref="D17:E17"/>
    <mergeCell ref="H17:I17"/>
    <mergeCell ref="D18:E18"/>
    <mergeCell ref="H18:I18"/>
    <mergeCell ref="D20:E20"/>
    <mergeCell ref="H20:I20"/>
    <mergeCell ref="D19:E19"/>
    <mergeCell ref="H19:I19"/>
    <mergeCell ref="D14:E14"/>
    <mergeCell ref="H14:I14"/>
    <mergeCell ref="D15:E15"/>
  </mergeCells>
  <conditionalFormatting sqref="M12 M21:M33">
    <cfRule type="cellIs" dxfId="542" priority="17" stopIfTrue="1" operator="lessThanOrEqual">
      <formula>$L12</formula>
    </cfRule>
    <cfRule type="cellIs" dxfId="541" priority="18" operator="greaterThan">
      <formula>L12</formula>
    </cfRule>
  </conditionalFormatting>
  <conditionalFormatting sqref="M13">
    <cfRule type="cellIs" dxfId="540" priority="15" stopIfTrue="1" operator="lessThanOrEqual">
      <formula>$L13</formula>
    </cfRule>
    <cfRule type="cellIs" dxfId="539" priority="16" operator="greaterThan">
      <formula>L13</formula>
    </cfRule>
  </conditionalFormatting>
  <conditionalFormatting sqref="M14">
    <cfRule type="cellIs" dxfId="538" priority="13" stopIfTrue="1" operator="lessThanOrEqual">
      <formula>$L14</formula>
    </cfRule>
    <cfRule type="cellIs" dxfId="537" priority="14" operator="greaterThan">
      <formula>L14</formula>
    </cfRule>
  </conditionalFormatting>
  <conditionalFormatting sqref="M15">
    <cfRule type="cellIs" dxfId="536" priority="11" stopIfTrue="1" operator="lessThanOrEqual">
      <formula>$L15</formula>
    </cfRule>
    <cfRule type="cellIs" dxfId="535" priority="12" operator="greaterThan">
      <formula>L15</formula>
    </cfRule>
  </conditionalFormatting>
  <conditionalFormatting sqref="M16">
    <cfRule type="cellIs" dxfId="534" priority="9" stopIfTrue="1" operator="lessThanOrEqual">
      <formula>$L16</formula>
    </cfRule>
    <cfRule type="cellIs" dxfId="533" priority="10" operator="greaterThan">
      <formula>L16</formula>
    </cfRule>
  </conditionalFormatting>
  <conditionalFormatting sqref="M17:M20">
    <cfRule type="cellIs" dxfId="532" priority="1" stopIfTrue="1" operator="lessThanOrEqual">
      <formula>$L17</formula>
    </cfRule>
    <cfRule type="cellIs" dxfId="531" priority="2" operator="greaterThan">
      <formula>L17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E3299022-846C-4F8A-A72A-774477861010}">
          <x14:formula1>
            <xm:f>Extrusion!$B:$B</xm:f>
          </x14:formula1>
          <xm:sqref>C46 C33</xm:sqref>
        </x14:dataValidation>
        <x14:dataValidation type="list" allowBlank="1" showInputMessage="1" showErrorMessage="1" xr:uid="{403A7546-DDAB-475E-815A-E83DE874E97F}">
          <x14:formula1>
            <xm:f>Bolts!$A:$A</xm:f>
          </x14:formula1>
          <xm:sqref>C44:C46 C22:C31</xm:sqref>
        </x14:dataValidation>
        <x14:dataValidation type="list" allowBlank="1" showInputMessage="1" showErrorMessage="1" xr:uid="{A8B54325-8995-4183-AD14-41C3F8022349}">
          <x14:formula1>
            <xm:f>Machined!$C:$C</xm:f>
          </x14:formula1>
          <xm:sqref>C5:C12</xm:sqref>
        </x14:dataValidation>
        <x14:dataValidation type="list" allowBlank="1" showInputMessage="1" showErrorMessage="1" xr:uid="{EBFD609B-5FBA-415D-839F-15257EFD520D}">
          <x14:formula1>
            <xm:f>Purchased!$A:$A</xm:f>
          </x14:formula1>
          <xm:sqref>C13:C21 C29:C31</xm:sqref>
        </x14:dataValidation>
      </x14:dataValidations>
    </ext>
  </extLst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0FAB1-B6F4-44ED-B92D-367B0757DE6D}">
  <sheetPr codeName="Sheet206">
    <tabColor theme="9" tint="0.59999389629810485"/>
    <pageSetUpPr fitToPage="1"/>
  </sheetPr>
  <dimension ref="A1:Q16"/>
  <sheetViews>
    <sheetView zoomScale="115" zoomScaleNormal="115" workbookViewId="0">
      <selection activeCell="E19" sqref="E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'9'!C6</f>
        <v>PG10.9.2.0.A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'9'!D6</f>
        <v>ACTUATOR ASSY</v>
      </c>
      <c r="D3" s="85" t="s">
        <v>50</v>
      </c>
      <c r="E3" s="86" t="str">
        <f ca="1">MID(CELL("filename",A1),FIND("]",CELL("filename",A1))+1,256)</f>
        <v>9.2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25"/>
      <c r="B5" s="26"/>
      <c r="C5" s="26"/>
      <c r="D5" s="332"/>
      <c r="E5" s="333"/>
      <c r="F5" s="26"/>
      <c r="G5" s="26"/>
      <c r="H5" s="322"/>
      <c r="I5" s="323"/>
      <c r="J5" s="27"/>
      <c r="K5" s="27"/>
      <c r="L5" s="27"/>
      <c r="M5" s="28"/>
      <c r="N5" s="29"/>
      <c r="O5" s="29"/>
      <c r="P5" s="148"/>
      <c r="Q5" s="149"/>
    </row>
    <row r="6" spans="1:17" s="2" customFormat="1" ht="12" customHeight="1" x14ac:dyDescent="0.25">
      <c r="A6" s="4">
        <v>301</v>
      </c>
      <c r="B6" s="2">
        <v>8</v>
      </c>
      <c r="C6" s="135" t="s">
        <v>172</v>
      </c>
      <c r="D6" s="325" t="str">
        <f>VLOOKUP(C6,Purchased!A:B,2,0)</f>
        <v>BRX GOTO T-NUT 10 M6</v>
      </c>
      <c r="E6" s="326"/>
      <c r="F6" s="108" t="str">
        <f>IF(VLOOKUP($C6,Purchased!A:Z,11,0) = 0, " ", VLOOKUP($C6,Purchased!A:Z,11,0))</f>
        <v>BRX</v>
      </c>
      <c r="G6" s="108" t="str">
        <f>IF(VLOOKUP($C6,Purchased!A:Z,12,0)=0, " ", VLOOKUP($C6,Purchased!A:Z,12,0))</f>
        <v>AAP</v>
      </c>
      <c r="H6" s="327" t="str">
        <f>IF(VLOOKUP($C6,Purchased!A:Z,13,0)=0, " ", VLOOKUP($C6,Purchased!A:Z,13,0))</f>
        <v xml:space="preserve"> </v>
      </c>
      <c r="I6" s="328"/>
      <c r="J6" s="46">
        <f>IF(VLOOKUP($C6,Purchased!A:Z,14,0)=0, " ", VLOOKUP($C6,Purchased!A:Z,14,0))</f>
        <v>45463</v>
      </c>
      <c r="K6" s="46">
        <f>IF(VLOOKUP(C6,Purchased!A:R,14,0)=0, " ", VLOOKUP(C6,Purchased!A:R,14,0))</f>
        <v>45463</v>
      </c>
      <c r="L6" s="46">
        <f>IF(VLOOKUP(C6,Purchased!A:R,15,0)=0, " ", VLOOKUP(C6,Purchased!A:R,15,0))</f>
        <v>45463</v>
      </c>
      <c r="M6" s="46">
        <f>IF(VLOOKUP(C6,Purchased!A:R,16,0)=0, " ",VLOOKUP(C6,Purchased!A:R,16,0))</f>
        <v>45481</v>
      </c>
      <c r="N6" s="130">
        <f>IF(VLOOKUP(C6,Purchased!A:R,17,0)=0, " ", VLOOKUP(C6,Purchased!A:R,17,0))</f>
        <v>45481</v>
      </c>
      <c r="O6" s="47">
        <f t="shared" ref="O6" ca="1" si="0">B6*$L$2</f>
        <v>8</v>
      </c>
      <c r="P6" s="51">
        <f>VLOOKUP(C6,Purchased!A:D,3,FALSE)</f>
        <v>0.56000000000000005</v>
      </c>
      <c r="Q6" s="52">
        <f t="shared" ref="Q6" si="1">B6*P6</f>
        <v>4.4800000000000004</v>
      </c>
    </row>
    <row r="7" spans="1:17" s="2" customFormat="1" ht="12.75" customHeight="1" x14ac:dyDescent="0.25">
      <c r="A7" s="4">
        <v>302</v>
      </c>
      <c r="B7" s="2">
        <v>8</v>
      </c>
      <c r="C7" s="135" t="s">
        <v>1285</v>
      </c>
      <c r="D7" s="325" t="str">
        <f>VLOOKUP(C7,Purchased!A:B,2,0)</f>
        <v>Actuator 2-Hole Clamp</v>
      </c>
      <c r="E7" s="326"/>
      <c r="F7" s="108" t="str">
        <f>IF(VLOOKUP($C7,Purchased!A:Z,11,0) = 0, " ", VLOOKUP($C7,Purchased!A:Z,11,0))</f>
        <v>BRL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45502</v>
      </c>
      <c r="K7" s="46">
        <f>IF(VLOOKUP(C7,Purchased!A:R,14,0)=0, " ", VLOOKUP(C7,Purchased!A:R,14,0))</f>
        <v>45502</v>
      </c>
      <c r="L7" s="46">
        <f>IF(VLOOKUP(C7,Purchased!A:R,15,0)=0, " ", VLOOKUP(C7,Purchased!A:R,15,0))</f>
        <v>45506</v>
      </c>
      <c r="M7" s="46">
        <f>IF(VLOOKUP(C7,Purchased!A:R,16,0)=0, " ",VLOOKUP(C7,Purchased!A:R,16,0))</f>
        <v>45547</v>
      </c>
      <c r="N7" s="130">
        <f>IF(VLOOKUP(C7,Purchased!A:R,17,0)=0, " ", VLOOKUP(C7,Purchased!A:R,17,0))</f>
        <v>45552</v>
      </c>
      <c r="O7" s="47">
        <f t="shared" ref="O7:O10" ca="1" si="2">B7*$L$2</f>
        <v>8</v>
      </c>
      <c r="P7" s="51">
        <f>VLOOKUP(C7,Purchased!A:D,3,FALSE)</f>
        <v>10.45</v>
      </c>
      <c r="Q7" s="52">
        <f t="shared" ref="Q7:Q10" si="3">B7*P7</f>
        <v>83.6</v>
      </c>
    </row>
    <row r="8" spans="1:17" s="2" customFormat="1" ht="12.75" customHeight="1" x14ac:dyDescent="0.25">
      <c r="A8" s="4">
        <v>303</v>
      </c>
      <c r="B8" s="2">
        <v>1</v>
      </c>
      <c r="C8" s="135" t="s">
        <v>1286</v>
      </c>
      <c r="D8" s="325" t="str">
        <f>VLOOKUP(C8,Purchased!A:B,2,0)</f>
        <v>Gearmotor, Flying Knife P231SPSS0050EZ203U</v>
      </c>
      <c r="E8" s="326"/>
      <c r="F8" s="108" t="str">
        <f>IF(VLOOKUP($C8,Purchased!A:Z,11,0) = 0, " ", VLOOKUP($C8,Purchased!A:Z,11,0))</f>
        <v>STOBER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45426</v>
      </c>
      <c r="K8" s="46">
        <f>IF(VLOOKUP(C8,Purchased!A:R,14,0)=0, " ", VLOOKUP(C8,Purchased!A:R,14,0))</f>
        <v>45426</v>
      </c>
      <c r="L8" s="46">
        <f>IF(VLOOKUP(C8,Purchased!A:R,15,0)=0, " ", VLOOKUP(C8,Purchased!A:R,15,0))</f>
        <v>45426</v>
      </c>
      <c r="M8" s="46">
        <f>IF(VLOOKUP(C8,Purchased!A:R,16,0)=0, " ",VLOOKUP(C8,Purchased!A:R,16,0))</f>
        <v>45524</v>
      </c>
      <c r="N8" s="130">
        <f>IF(VLOOKUP(C8,Purchased!A:R,17,0)=0, " ", VLOOKUP(C8,Purchased!A:R,17,0))</f>
        <v>45524</v>
      </c>
      <c r="O8" s="47">
        <f t="shared" ca="1" si="2"/>
        <v>1</v>
      </c>
      <c r="P8" s="51">
        <f>VLOOKUP(C8,Purchased!A:D,3,FALSE)</f>
        <v>2002.1095</v>
      </c>
      <c r="Q8" s="52">
        <f t="shared" si="3"/>
        <v>2002.1095</v>
      </c>
    </row>
    <row r="9" spans="1:17" s="2" customFormat="1" ht="12.75" customHeight="1" x14ac:dyDescent="0.25">
      <c r="A9" s="4">
        <v>304</v>
      </c>
      <c r="B9" s="2">
        <v>1</v>
      </c>
      <c r="C9" s="135" t="s">
        <v>1287</v>
      </c>
      <c r="D9" s="325" t="str">
        <f>VLOOKUP(C9,Purchased!A:B,2,0)</f>
        <v>R+W Coupling Housing Inline Kit</v>
      </c>
      <c r="E9" s="326"/>
      <c r="F9" s="108" t="str">
        <f>IF(VLOOKUP($C9,Purchased!A:Z,11,0) = 0, " ", VLOOKUP($C9,Purchased!A:Z,11,0))</f>
        <v>BRL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 t="str">
        <f>IF(VLOOKUP($C9,Purchased!A:Z,14,0)=0, " ", VLOOKUP($C9,Purchased!A:Z,14,0))</f>
        <v>N/A</v>
      </c>
      <c r="K9" s="46" t="str">
        <f>IF(VLOOKUP(C9,Purchased!A:R,14,0)=0, " ", VLOOKUP(C9,Purchased!A:R,14,0))</f>
        <v>N/A</v>
      </c>
      <c r="L9" s="46">
        <f>IF(VLOOKUP(C9,Purchased!A:R,15,0)=0, " ", VLOOKUP(C9,Purchased!A:R,15,0))</f>
        <v>45460</v>
      </c>
      <c r="M9" s="46">
        <f>IF(VLOOKUP(C9,Purchased!A:R,16,0)=0, " ",VLOOKUP(C9,Purchased!A:R,16,0))</f>
        <v>45527</v>
      </c>
      <c r="N9" s="130">
        <f>IF(VLOOKUP(C9,Purchased!A:R,17,0)=0, " ", VLOOKUP(C9,Purchased!A:R,17,0))</f>
        <v>45527</v>
      </c>
      <c r="O9" s="47">
        <f t="shared" ca="1" si="2"/>
        <v>1</v>
      </c>
      <c r="P9" s="51">
        <f>VLOOKUP(C9,Purchased!A:D,3,FALSE)</f>
        <v>593.10619999999994</v>
      </c>
      <c r="Q9" s="52">
        <f t="shared" si="3"/>
        <v>593.10619999999994</v>
      </c>
    </row>
    <row r="10" spans="1:17" s="2" customFormat="1" ht="12.75" customHeight="1" x14ac:dyDescent="0.25">
      <c r="A10" s="4">
        <v>305</v>
      </c>
      <c r="B10" s="2">
        <v>1</v>
      </c>
      <c r="C10" s="135" t="s">
        <v>1288</v>
      </c>
      <c r="D10" s="325" t="str">
        <f>VLOOKUP(C10,Purchased!A:B,2,0)</f>
        <v>BRL - CKR090/1496/MA06/01/08/02/15L Dimension - 1496mm MA06 clamp hub on left / stub shaft on right, 001 Main body without centering holes, 008 With clamping hub and flange, 002 Long Carriage, Without Motor</v>
      </c>
      <c r="E10" s="326"/>
      <c r="F10" s="108" t="str">
        <f>IF(VLOOKUP($C10,Purchased!A:Z,11,0) = 0, " ", VLOOKUP($C10,Purchased!A:Z,11,0))</f>
        <v>BRL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 t="str">
        <f>IF(VLOOKUP($C10,Purchased!A:Z,14,0)=0, " ", VLOOKUP($C10,Purchased!A:Z,14,0))</f>
        <v>N/A</v>
      </c>
      <c r="K10" s="46" t="str">
        <f>IF(VLOOKUP(C10,Purchased!A:R,14,0)=0, " ", VLOOKUP(C10,Purchased!A:R,14,0))</f>
        <v>N/A</v>
      </c>
      <c r="L10" s="46">
        <f>IF(VLOOKUP(C10,Purchased!A:R,15,0)=0, " ", VLOOKUP(C10,Purchased!A:R,15,0))</f>
        <v>45460</v>
      </c>
      <c r="M10" s="46">
        <f>IF(VLOOKUP(C10,Purchased!A:R,16,0)=0, " ",VLOOKUP(C10,Purchased!A:R,16,0))</f>
        <v>45527</v>
      </c>
      <c r="N10" s="130">
        <f>IF(VLOOKUP(C10,Purchased!A:R,17,0)=0, " ", VLOOKUP(C10,Purchased!A:R,17,0))</f>
        <v>45527</v>
      </c>
      <c r="O10" s="47">
        <f t="shared" ca="1" si="2"/>
        <v>1</v>
      </c>
      <c r="P10" s="51">
        <f>VLOOKUP(C10,Purchased!A:D,3,FALSE)</f>
        <v>5254.6607999999997</v>
      </c>
      <c r="Q10" s="52">
        <f t="shared" si="3"/>
        <v>5254.6607999999997</v>
      </c>
    </row>
    <row r="11" spans="1:17" s="2" customFormat="1" ht="12.75" customHeight="1" x14ac:dyDescent="0.25">
      <c r="A11" s="4">
        <v>306</v>
      </c>
      <c r="B11" s="2">
        <v>1</v>
      </c>
      <c r="C11" s="135" t="s">
        <v>307</v>
      </c>
      <c r="D11" s="325" t="str">
        <f>VLOOKUP(C11,Purchased!A:B,2,0)</f>
        <v>STOBER - Power cable -56876, 15MTR</v>
      </c>
      <c r="E11" s="326"/>
      <c r="F11" s="108" t="str">
        <f>IF(VLOOKUP($C11,Purchased!A:Z,11,0) = 0, " ", VLOOKUP($C11,Purchased!A:Z,11,0))</f>
        <v>STOBER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45464</v>
      </c>
      <c r="M11" s="46">
        <f>IF(VLOOKUP(C11,Purchased!A:R,16,0)=0, " ",VLOOKUP(C11,Purchased!A:R,16,0))</f>
        <v>45532</v>
      </c>
      <c r="N11" s="130">
        <f>IF(VLOOKUP(C11,Purchased!A:R,17,0)=0, " ", VLOOKUP(C11,Purchased!A:R,17,0))</f>
        <v>45532</v>
      </c>
      <c r="O11" s="47">
        <f ca="1">B11*$L$2</f>
        <v>1</v>
      </c>
      <c r="P11" s="51">
        <f>VLOOKUP(C11,Purchased!A:D,3,FALSE)</f>
        <v>325.7473</v>
      </c>
      <c r="Q11" s="52">
        <f>B11*P11</f>
        <v>325.7473</v>
      </c>
    </row>
    <row r="12" spans="1:17" s="2" customFormat="1" ht="12.75" customHeight="1" x14ac:dyDescent="0.25">
      <c r="A12" s="4">
        <v>307</v>
      </c>
      <c r="B12" s="2">
        <v>1</v>
      </c>
      <c r="C12" s="135" t="s">
        <v>308</v>
      </c>
      <c r="D12" s="325" t="str">
        <f>VLOOKUP(C12,Purchased!A:B,2,0)</f>
        <v>STOBER - Encoder cable -57815, 15MTR</v>
      </c>
      <c r="E12" s="326"/>
      <c r="F12" s="108" t="str">
        <f>IF(VLOOKUP($C12,Purchased!A:Z,11,0) = 0, " ", VLOOKUP($C12,Purchased!A:Z,11,0))</f>
        <v>STOBER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45463</v>
      </c>
      <c r="K12" s="46">
        <f>IF(VLOOKUP(C12,Purchased!A:R,14,0)=0, " ", VLOOKUP(C12,Purchased!A:R,14,0))</f>
        <v>45463</v>
      </c>
      <c r="L12" s="46">
        <f>IF(VLOOKUP(C12,Purchased!A:R,15,0)=0, " ", VLOOKUP(C12,Purchased!A:R,15,0))</f>
        <v>45464</v>
      </c>
      <c r="M12" s="46">
        <f>IF(VLOOKUP(C12,Purchased!A:R,16,0)=0, " ",VLOOKUP(C12,Purchased!A:R,16,0))</f>
        <v>45532</v>
      </c>
      <c r="N12" s="130">
        <f>IF(VLOOKUP(C12,Purchased!A:R,17,0)=0, " ", VLOOKUP(C12,Purchased!A:R,17,0))</f>
        <v>45532</v>
      </c>
      <c r="O12" s="47">
        <f ca="1">B12*$L$2</f>
        <v>1</v>
      </c>
      <c r="P12" s="51">
        <f>VLOOKUP(C12,Purchased!A:D,3,FALSE)</f>
        <v>340.1893</v>
      </c>
      <c r="Q12" s="52">
        <f>B12*P12</f>
        <v>340.1893</v>
      </c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" customHeight="1" thickBot="1" x14ac:dyDescent="0.3">
      <c r="A14" s="4">
        <v>501</v>
      </c>
      <c r="B14" s="2">
        <v>16</v>
      </c>
      <c r="C14" s="122" t="s">
        <v>174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t="shared" ref="O14" ca="1" si="4">B14*$L$2</f>
        <v>16</v>
      </c>
      <c r="P14" s="51">
        <f>VLOOKUP(C14,Bolts!A:B,2,FALSE)</f>
        <v>0</v>
      </c>
      <c r="Q14" s="52">
        <f t="shared" ref="Q14" si="5">B14*P14</f>
        <v>0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8603.8930999999993</v>
      </c>
    </row>
    <row r="16" spans="1:17" s="2" customFormat="1" ht="12" customHeight="1" x14ac:dyDescent="0.2">
      <c r="D16" s="21"/>
      <c r="E16" s="21"/>
      <c r="J16" s="8"/>
      <c r="K16" s="8"/>
      <c r="L16" s="8"/>
      <c r="M16" s="8"/>
      <c r="N16" s="131"/>
      <c r="O16" s="5"/>
      <c r="P16" s="98"/>
      <c r="Q16" s="105"/>
    </row>
  </sheetData>
  <mergeCells count="24">
    <mergeCell ref="D5:E5"/>
    <mergeCell ref="H5:I5"/>
    <mergeCell ref="D6:E6"/>
    <mergeCell ref="H6:I6"/>
    <mergeCell ref="D1:E1"/>
    <mergeCell ref="D4:E4"/>
    <mergeCell ref="H4:I4"/>
    <mergeCell ref="D7:E7"/>
    <mergeCell ref="H7:I7"/>
    <mergeCell ref="D8:E8"/>
    <mergeCell ref="H8:I8"/>
    <mergeCell ref="D9:E9"/>
    <mergeCell ref="H9:I9"/>
    <mergeCell ref="D15:E15"/>
    <mergeCell ref="H15:I15"/>
    <mergeCell ref="D10:E10"/>
    <mergeCell ref="H10:I10"/>
    <mergeCell ref="D13:E13"/>
    <mergeCell ref="H13:I13"/>
    <mergeCell ref="D14:E14"/>
    <mergeCell ref="D11:E11"/>
    <mergeCell ref="H11:I11"/>
    <mergeCell ref="D12:E12"/>
    <mergeCell ref="H12:I12"/>
  </mergeCells>
  <conditionalFormatting sqref="M5 M13:M14">
    <cfRule type="cellIs" dxfId="530" priority="15" stopIfTrue="1" operator="lessThanOrEqual">
      <formula>$L5</formula>
    </cfRule>
    <cfRule type="cellIs" dxfId="529" priority="16" operator="greaterThan">
      <formula>L5</formula>
    </cfRule>
  </conditionalFormatting>
  <conditionalFormatting sqref="M7">
    <cfRule type="cellIs" dxfId="528" priority="13" stopIfTrue="1" operator="lessThanOrEqual">
      <formula>$L7</formula>
    </cfRule>
    <cfRule type="cellIs" dxfId="527" priority="14" operator="greaterThan">
      <formula>L7</formula>
    </cfRule>
  </conditionalFormatting>
  <conditionalFormatting sqref="M6">
    <cfRule type="cellIs" dxfId="526" priority="11" stopIfTrue="1" operator="lessThanOrEqual">
      <formula>$L6</formula>
    </cfRule>
    <cfRule type="cellIs" dxfId="525" priority="12" operator="greaterThan">
      <formula>L6</formula>
    </cfRule>
  </conditionalFormatting>
  <conditionalFormatting sqref="M8:M9">
    <cfRule type="cellIs" dxfId="524" priority="7" stopIfTrue="1" operator="lessThanOrEqual">
      <formula>$L8</formula>
    </cfRule>
    <cfRule type="cellIs" dxfId="523" priority="8" operator="greaterThan">
      <formula>L8</formula>
    </cfRule>
  </conditionalFormatting>
  <conditionalFormatting sqref="M10">
    <cfRule type="cellIs" dxfId="522" priority="5" stopIfTrue="1" operator="lessThanOrEqual">
      <formula>$L10</formula>
    </cfRule>
    <cfRule type="cellIs" dxfId="521" priority="6" operator="greaterThan">
      <formula>L10</formula>
    </cfRule>
  </conditionalFormatting>
  <conditionalFormatting sqref="M11">
    <cfRule type="cellIs" dxfId="520" priority="3" stopIfTrue="1" operator="lessThanOrEqual">
      <formula>$L11</formula>
    </cfRule>
    <cfRule type="cellIs" dxfId="519" priority="4" operator="greaterThan">
      <formula>L11</formula>
    </cfRule>
  </conditionalFormatting>
  <conditionalFormatting sqref="M12">
    <cfRule type="cellIs" dxfId="518" priority="1" stopIfTrue="1" operator="lessThanOrEqual">
      <formula>$L12</formula>
    </cfRule>
    <cfRule type="cellIs" dxfId="517" priority="2" operator="greaterThan">
      <formula>L12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ignoredErrors>
    <ignoredError sqref="C6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02FE62-468E-4F4D-8077-051FAB679935}">
          <x14:formula1>
            <xm:f>Extrusion!$B:$B</xm:f>
          </x14:formula1>
          <xm:sqref>C30</xm:sqref>
        </x14:dataValidation>
        <x14:dataValidation type="list" allowBlank="1" showInputMessage="1" showErrorMessage="1" xr:uid="{D022B61D-7AF3-474A-9BA6-45445754F9DA}">
          <x14:formula1>
            <xm:f>Bolts!$A:$A</xm:f>
          </x14:formula1>
          <xm:sqref>C28:C30 C14:C15</xm:sqref>
        </x14:dataValidation>
        <x14:dataValidation type="list" allowBlank="1" showInputMessage="1" showErrorMessage="1" xr:uid="{14110ADA-E6F9-4168-8050-2EF8E95F666E}">
          <x14:formula1>
            <xm:f>Machined!$C:$C</xm:f>
          </x14:formula1>
          <xm:sqref>C5</xm:sqref>
        </x14:dataValidation>
        <x14:dataValidation type="list" allowBlank="1" showInputMessage="1" showErrorMessage="1" xr:uid="{5B33807D-FF21-4F6B-AE4F-07F3D72FB6F3}">
          <x14:formula1>
            <xm:f>Purchased!$A:$A</xm:f>
          </x14:formula1>
          <xm:sqref>C16:C17 C6:C13</xm:sqref>
        </x14:dataValidation>
      </x14:dataValidations>
    </ext>
  </extLst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2B5A-55B6-403E-8CEC-79574E850319}">
  <sheetPr codeName="Sheet207">
    <tabColor theme="9" tint="0.59999389629810485"/>
    <pageSetUpPr fitToPage="1"/>
  </sheetPr>
  <dimension ref="A1:Q19"/>
  <sheetViews>
    <sheetView zoomScale="115" zoomScaleNormal="115" workbookViewId="0">
      <selection sqref="A1:O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'9'!C7</f>
        <v>PG10.9.3.0.A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'9'!D7</f>
        <v>DIENES KNIFE ASSY</v>
      </c>
      <c r="D3" s="85" t="s">
        <v>50</v>
      </c>
      <c r="E3" s="86" t="str">
        <f ca="1">MID(CELL("filename",A1),FIND("]",CELL("filename",A1))+1,256)</f>
        <v>9.3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1290</v>
      </c>
      <c r="D5" s="314" t="str">
        <f>VLOOKUP(C5,Machined!C:X,2,0)</f>
        <v>KNIFE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45470</v>
      </c>
      <c r="K5" s="44">
        <f>IF(VLOOKUP($C5,Machined!C:Z,19,0) = 0, " ", VLOOKUP($C5,Machined!C:Z,19,0))</f>
        <v>45474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55580</v>
      </c>
      <c r="O5" s="45">
        <f ca="1">B5*$L$2</f>
        <v>1</v>
      </c>
      <c r="P5" s="49">
        <f>VLOOKUP(C5,Machined!C:F,3,0)</f>
        <v>117</v>
      </c>
      <c r="Q5" s="50">
        <f>B5*P5</f>
        <v>117</v>
      </c>
    </row>
    <row r="6" spans="1:17" s="2" customFormat="1" ht="12.75" customHeight="1" x14ac:dyDescent="0.25">
      <c r="A6" s="77">
        <v>2</v>
      </c>
      <c r="B6" s="20">
        <v>1</v>
      </c>
      <c r="C6" s="121" t="s">
        <v>1291</v>
      </c>
      <c r="D6" s="314" t="str">
        <f>VLOOKUP(C6,Machined!C:X,2,0)</f>
        <v>KNIFE MOUNT WEDGE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45470</v>
      </c>
      <c r="K6" s="44">
        <f>IF(VLOOKUP($C6,Machined!C:Z,19,0) = 0, " ", VLOOKUP($C6,Machined!C:Z,19,0))</f>
        <v>45474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55580</v>
      </c>
      <c r="O6" s="45">
        <f t="shared" ref="O6:O7" ca="1" si="0">B6*$L$2</f>
        <v>1</v>
      </c>
      <c r="P6" s="49">
        <f>VLOOKUP(C6,Machined!C:F,3,0)</f>
        <v>62.5</v>
      </c>
      <c r="Q6" s="50">
        <f t="shared" ref="Q6:Q7" si="1">B6*P6</f>
        <v>62.5</v>
      </c>
    </row>
    <row r="7" spans="1:17" s="2" customFormat="1" ht="12.75" customHeight="1" x14ac:dyDescent="0.25">
      <c r="A7" s="77">
        <v>3</v>
      </c>
      <c r="B7" s="20">
        <v>2</v>
      </c>
      <c r="C7" s="121" t="s">
        <v>1292</v>
      </c>
      <c r="D7" s="314" t="str">
        <f>VLOOKUP(C7,Machined!C:X,2,0)</f>
        <v>E-CHAIN SUPPORT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Proto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45495</v>
      </c>
      <c r="K7" s="44">
        <f>IF(VLOOKUP($C7,Machined!C:Z,19,0) = 0, " ", VLOOKUP($C7,Machined!C:Z,19,0))</f>
        <v>45510</v>
      </c>
      <c r="L7" s="44">
        <f>IF(VLOOKUP($C7,Machined!C:Z,20,0) = 0, " ", VLOOKUP($C7,Machined!C:Z,20,0))</f>
        <v>45540</v>
      </c>
      <c r="M7" s="44">
        <f>IF(VLOOKUP($C7,Machined!C:Z,21,0) = 0, " ", VLOOKUP($C7,Machined!C:Z,21,0))</f>
        <v>45540</v>
      </c>
      <c r="N7" s="129">
        <f>IF(VLOOKUP($C7,Machined!C:Z,22,0) = 0, " ", VLOOKUP($C7,Machined!C:Z,22,0))</f>
        <v>55658</v>
      </c>
      <c r="O7" s="45">
        <f t="shared" ca="1" si="0"/>
        <v>2</v>
      </c>
      <c r="P7" s="49">
        <f>VLOOKUP(C7,Machined!C:F,3,0)</f>
        <v>119.89</v>
      </c>
      <c r="Q7" s="50">
        <f t="shared" si="1"/>
        <v>239.78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1293</v>
      </c>
      <c r="D9" s="325" t="str">
        <f>VLOOKUP(C9,Purchased!A:B,2,0)</f>
        <v>Knife Holder</v>
      </c>
      <c r="E9" s="326"/>
      <c r="F9" s="108" t="str">
        <f>IF(VLOOKUP($C9,Purchased!A:Z,11,0) = 0, " ", VLOOKUP($C9,Purchased!A:Z,11,0))</f>
        <v>DIENES</v>
      </c>
      <c r="G9" s="108" t="str">
        <f>IF(VLOOKUP($C9,Purchased!A:Z,12,0)=0, " ", VLOOKUP($C9,Purchased!A:Z,12,0))</f>
        <v>DIENES</v>
      </c>
      <c r="H9" s="327" t="str">
        <f>IF(VLOOKUP($C9,Purchased!A:Z,13,0)=0, " ", VLOOKUP($C9,Purchased!A:Z,13,0))</f>
        <v>add 02254 Crush / Score Cut Blades - JP 7/25/24</v>
      </c>
      <c r="I9" s="328"/>
      <c r="J9" s="46">
        <f>IF(VLOOKUP($C9,Purchased!A:Z,14,0)=0, " ", VLOOKUP($C9,Purchased!A:Z,14,0))</f>
        <v>45497</v>
      </c>
      <c r="K9" s="46">
        <f>IF(VLOOKUP(C9,Purchased!A:R,14,0)=0, " ", VLOOKUP(C9,Purchased!A:R,14,0))</f>
        <v>45497</v>
      </c>
      <c r="L9" s="46">
        <f>IF(VLOOKUP(C9,Purchased!A:R,15,0)=0, " ", VLOOKUP(C9,Purchased!A:R,15,0))</f>
        <v>45497</v>
      </c>
      <c r="M9" s="46">
        <f>IF(VLOOKUP(C9,Purchased!A:R,16,0)=0, " ",VLOOKUP(C9,Purchased!A:R,16,0))</f>
        <v>45505</v>
      </c>
      <c r="N9" s="130">
        <f>IF(VLOOKUP(C9,Purchased!A:R,17,0)=0, " ", VLOOKUP(C9,Purchased!A:R,17,0))</f>
        <v>45505</v>
      </c>
      <c r="O9" s="47">
        <f t="shared" ref="O9:O11" ca="1" si="2">B9*$L$2</f>
        <v>1</v>
      </c>
      <c r="P9" s="51">
        <f>VLOOKUP(C9,Purchased!A:D,3,FALSE)</f>
        <v>199</v>
      </c>
      <c r="Q9" s="52">
        <f t="shared" ref="Q9:Q11" si="3">B9*P9</f>
        <v>199</v>
      </c>
    </row>
    <row r="10" spans="1:17" s="2" customFormat="1" ht="12.75" customHeight="1" x14ac:dyDescent="0.25">
      <c r="A10" s="4">
        <v>302</v>
      </c>
      <c r="B10" s="2">
        <v>1</v>
      </c>
      <c r="C10" s="135">
        <v>22198</v>
      </c>
      <c r="D10" s="325" t="str">
        <f>VLOOKUP(C10,Purchased!A:B,2,0)</f>
        <v>Dienes Knife</v>
      </c>
      <c r="E10" s="326"/>
      <c r="F10" s="108" t="str">
        <f>IF(VLOOKUP($C10,Purchased!A:Z,11,0) = 0, " ", VLOOKUP($C10,Purchased!A:Z,11,0))</f>
        <v>DIENES</v>
      </c>
      <c r="G10" s="108" t="str">
        <f>IF(VLOOKUP($C10,Purchased!A:Z,12,0)=0, " ", VLOOKUP($C10,Purchased!A:Z,12,0))</f>
        <v>DIENES</v>
      </c>
      <c r="H10" s="327" t="str">
        <f>IF(VLOOKUP($C10,Purchased!A:Z,13,0)=0, " ", VLOOKUP($C10,Purchased!A:Z,13,0))</f>
        <v>Part number should be 0022198</v>
      </c>
      <c r="I10" s="328"/>
      <c r="J10" s="46">
        <f>IF(VLOOKUP($C10,Purchased!A:Z,14,0)=0, " ", VLOOKUP($C10,Purchased!A:Z,14,0))</f>
        <v>45497</v>
      </c>
      <c r="K10" s="46">
        <f>IF(VLOOKUP(C10,Purchased!A:R,14,0)=0, " ", VLOOKUP(C10,Purchased!A:R,14,0))</f>
        <v>45497</v>
      </c>
      <c r="L10" s="46">
        <f>IF(VLOOKUP(C10,Purchased!A:R,15,0)=0, " ", VLOOKUP(C10,Purchased!A:R,15,0))</f>
        <v>45497</v>
      </c>
      <c r="M10" s="46">
        <f>IF(VLOOKUP(C10,Purchased!A:R,16,0)=0, " ",VLOOKUP(C10,Purchased!A:R,16,0))</f>
        <v>45505</v>
      </c>
      <c r="N10" s="130">
        <f>IF(VLOOKUP(C10,Purchased!A:R,17,0)=0, " ", VLOOKUP(C10,Purchased!A:R,17,0))</f>
        <v>45505</v>
      </c>
      <c r="O10" s="47">
        <f t="shared" ca="1" si="2"/>
        <v>1</v>
      </c>
      <c r="P10" s="51">
        <f>VLOOKUP(C10,Purchased!A:D,3,FALSE)</f>
        <v>20.21</v>
      </c>
      <c r="Q10" s="52">
        <f t="shared" si="3"/>
        <v>20.21</v>
      </c>
    </row>
    <row r="11" spans="1:17" s="2" customFormat="1" ht="12.75" customHeight="1" x14ac:dyDescent="0.25">
      <c r="A11" s="4">
        <v>303</v>
      </c>
      <c r="B11" s="2">
        <v>1</v>
      </c>
      <c r="C11" s="135" t="s">
        <v>694</v>
      </c>
      <c r="D11" s="325" t="str">
        <f>VLOOKUP(C11,Purchased!A:B,2,0)</f>
        <v>Metric M5 to 4mm hose quick connect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45489</v>
      </c>
      <c r="K11" s="46">
        <f>IF(VLOOKUP(C11,Purchased!A:R,14,0)=0, " ", VLOOKUP(C11,Purchased!A:R,14,0))</f>
        <v>45489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45520</v>
      </c>
      <c r="N11" s="130">
        <f>IF(VLOOKUP(C11,Purchased!A:R,17,0)=0, " ", VLOOKUP(C11,Purchased!A:R,17,0))</f>
        <v>45511</v>
      </c>
      <c r="O11" s="47">
        <f t="shared" ca="1" si="2"/>
        <v>1</v>
      </c>
      <c r="P11" s="51">
        <f>VLOOKUP(C11,Purchased!A:D,3,FALSE)</f>
        <v>0.85</v>
      </c>
      <c r="Q11" s="52">
        <f t="shared" si="3"/>
        <v>0.85</v>
      </c>
    </row>
    <row r="12" spans="1:17" s="2" customFormat="1" ht="12.75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501</v>
      </c>
      <c r="B13" s="2">
        <v>3</v>
      </c>
      <c r="C13" s="122" t="s">
        <v>179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ref="O13:O17" ca="1" si="4">B13*$L$2</f>
        <v>3</v>
      </c>
      <c r="P13" s="51">
        <f>VLOOKUP(C13,Bolts!A:B,2,FALSE)</f>
        <v>0</v>
      </c>
      <c r="Q13" s="52">
        <f t="shared" ref="Q13:Q17" si="5">B13*P13</f>
        <v>0</v>
      </c>
    </row>
    <row r="14" spans="1:17" s="2" customFormat="1" ht="12" customHeight="1" x14ac:dyDescent="0.25">
      <c r="A14" s="4">
        <v>502</v>
      </c>
      <c r="B14" s="2">
        <v>2</v>
      </c>
      <c r="C14" s="122" t="s">
        <v>1282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t="shared" ref="O14:O15" ca="1" si="6">B14*$L$2</f>
        <v>2</v>
      </c>
      <c r="P14" s="51">
        <f>VLOOKUP(C14,Bolts!A:B,2,FALSE)</f>
        <v>0</v>
      </c>
      <c r="Q14" s="52">
        <f t="shared" ref="Q14:Q15" si="7">B14*P14</f>
        <v>0</v>
      </c>
    </row>
    <row r="15" spans="1:17" s="2" customFormat="1" ht="12" customHeight="1" x14ac:dyDescent="0.25">
      <c r="A15" s="4">
        <v>503</v>
      </c>
      <c r="B15" s="2">
        <v>8</v>
      </c>
      <c r="C15" s="122" t="s">
        <v>506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ca="1" si="6"/>
        <v>8</v>
      </c>
      <c r="P15" s="51">
        <f>VLOOKUP(C15,Bolts!A:B,2,FALSE)</f>
        <v>0</v>
      </c>
      <c r="Q15" s="52">
        <f t="shared" si="7"/>
        <v>0</v>
      </c>
    </row>
    <row r="16" spans="1:17" s="2" customFormat="1" ht="12" customHeight="1" x14ac:dyDescent="0.25">
      <c r="A16" s="4">
        <v>504</v>
      </c>
      <c r="B16" s="2">
        <v>2</v>
      </c>
      <c r="C16" s="122" t="s">
        <v>174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ca="1" si="4"/>
        <v>2</v>
      </c>
      <c r="P16" s="51">
        <f>VLOOKUP(C16,Bolts!A:B,2,FALSE)</f>
        <v>0</v>
      </c>
      <c r="Q16" s="52">
        <f t="shared" si="5"/>
        <v>0</v>
      </c>
    </row>
    <row r="17" spans="1:17" s="2" customFormat="1" ht="12" customHeight="1" thickBot="1" x14ac:dyDescent="0.3">
      <c r="A17" s="4">
        <v>505</v>
      </c>
      <c r="B17" s="2">
        <v>3</v>
      </c>
      <c r="C17" s="122" t="s">
        <v>199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ca="1" si="4"/>
        <v>3</v>
      </c>
      <c r="P17" s="51">
        <f>VLOOKUP(C17,Bolts!A:B,2,FALSE)</f>
        <v>0</v>
      </c>
      <c r="Q17" s="52">
        <f t="shared" si="5"/>
        <v>0</v>
      </c>
    </row>
    <row r="18" spans="1:17" s="2" customFormat="1" ht="12" customHeight="1" thickBot="1" x14ac:dyDescent="0.3">
      <c r="A18" s="34"/>
      <c r="B18" s="35"/>
      <c r="C18" s="35"/>
      <c r="D18" s="316"/>
      <c r="E18" s="317"/>
      <c r="F18" s="35"/>
      <c r="G18" s="35"/>
      <c r="H18" s="309"/>
      <c r="I18" s="310"/>
      <c r="J18" s="36"/>
      <c r="K18" s="36"/>
      <c r="L18" s="36"/>
      <c r="M18" s="37"/>
      <c r="N18" s="132"/>
      <c r="O18" s="38"/>
      <c r="P18" s="99" t="s">
        <v>43</v>
      </c>
      <c r="Q18" s="104">
        <f>SUM(Q5:Q17)</f>
        <v>639.34</v>
      </c>
    </row>
    <row r="19" spans="1:17" s="2" customFormat="1" ht="12" customHeight="1" x14ac:dyDescent="0.2">
      <c r="D19" s="21"/>
      <c r="E19" s="21"/>
      <c r="J19" s="8"/>
      <c r="K19" s="8"/>
      <c r="L19" s="8"/>
      <c r="M19" s="8"/>
      <c r="N19" s="131"/>
      <c r="O19" s="5"/>
      <c r="P19" s="98"/>
      <c r="Q19" s="105"/>
    </row>
  </sheetData>
  <mergeCells count="26">
    <mergeCell ref="D7:E7"/>
    <mergeCell ref="H7:I7"/>
    <mergeCell ref="D6:E6"/>
    <mergeCell ref="H6:I6"/>
    <mergeCell ref="D1:E1"/>
    <mergeCell ref="D4:E4"/>
    <mergeCell ref="H4:I4"/>
    <mergeCell ref="D5:E5"/>
    <mergeCell ref="H5:I5"/>
    <mergeCell ref="D10:E10"/>
    <mergeCell ref="H10:I10"/>
    <mergeCell ref="D11:E11"/>
    <mergeCell ref="H11:I11"/>
    <mergeCell ref="D8:E8"/>
    <mergeCell ref="H8:I8"/>
    <mergeCell ref="D9:E9"/>
    <mergeCell ref="H9:I9"/>
    <mergeCell ref="D18:E18"/>
    <mergeCell ref="H18:I18"/>
    <mergeCell ref="D12:E12"/>
    <mergeCell ref="H12:I12"/>
    <mergeCell ref="D13:E13"/>
    <mergeCell ref="D16:E16"/>
    <mergeCell ref="D17:E17"/>
    <mergeCell ref="D14:E14"/>
    <mergeCell ref="D15:E15"/>
  </mergeCells>
  <phoneticPr fontId="8" type="noConversion"/>
  <conditionalFormatting sqref="M8 M12:M17">
    <cfRule type="cellIs" dxfId="516" priority="7" stopIfTrue="1" operator="lessThanOrEqual">
      <formula>$L8</formula>
    </cfRule>
    <cfRule type="cellIs" dxfId="515" priority="8" operator="greaterThan">
      <formula>L8</formula>
    </cfRule>
  </conditionalFormatting>
  <conditionalFormatting sqref="M9">
    <cfRule type="cellIs" dxfId="514" priority="5" stopIfTrue="1" operator="lessThanOrEqual">
      <formula>$L9</formula>
    </cfRule>
    <cfRule type="cellIs" dxfId="513" priority="6" operator="greaterThan">
      <formula>L9</formula>
    </cfRule>
  </conditionalFormatting>
  <conditionalFormatting sqref="M10">
    <cfRule type="cellIs" dxfId="512" priority="3" stopIfTrue="1" operator="lessThanOrEqual">
      <formula>$L10</formula>
    </cfRule>
    <cfRule type="cellIs" dxfId="511" priority="4" operator="greaterThan">
      <formula>L10</formula>
    </cfRule>
  </conditionalFormatting>
  <conditionalFormatting sqref="M11">
    <cfRule type="cellIs" dxfId="510" priority="1" stopIfTrue="1" operator="lessThanOrEqual">
      <formula>$L11</formula>
    </cfRule>
    <cfRule type="cellIs" dxfId="509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307D9D8-903A-4FCE-8DE1-BED2257356CC}">
          <x14:formula1>
            <xm:f>Extrusion!$B:$B</xm:f>
          </x14:formula1>
          <xm:sqref>C31</xm:sqref>
        </x14:dataValidation>
        <x14:dataValidation type="list" allowBlank="1" showInputMessage="1" showErrorMessage="1" xr:uid="{2AC977EC-4E17-4637-9F0E-8815BE547C8D}">
          <x14:formula1>
            <xm:f>Bolts!$A:$A</xm:f>
          </x14:formula1>
          <xm:sqref>C29:C31 C13:C17</xm:sqref>
        </x14:dataValidation>
        <x14:dataValidation type="list" allowBlank="1" showInputMessage="1" showErrorMessage="1" xr:uid="{DF62AE3F-47BD-4137-B38E-9C045A9F2795}">
          <x14:formula1>
            <xm:f>Machined!$C:$C</xm:f>
          </x14:formula1>
          <xm:sqref>C5:C8</xm:sqref>
        </x14:dataValidation>
        <x14:dataValidation type="list" allowBlank="1" showInputMessage="1" showErrorMessage="1" xr:uid="{204A03DE-222D-455A-ACD5-1E39AAD71576}">
          <x14:formula1>
            <xm:f>Purchased!$A:$A</xm:f>
          </x14:formula1>
          <xm:sqref>C9:C12 C18</xm:sqref>
        </x14:dataValidation>
      </x14:dataValidations>
    </ext>
  </extLst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795D9-5AB1-4399-A0E9-E26BB5BD134D}">
  <sheetPr codeName="Sheet208">
    <tabColor theme="9" tint="0.59999389629810485"/>
    <pageSetUpPr fitToPage="1"/>
  </sheetPr>
  <dimension ref="A1:Q21"/>
  <sheetViews>
    <sheetView zoomScale="115" zoomScaleNormal="115" workbookViewId="0">
      <selection sqref="A1:O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'9'!C8</f>
        <v>PG10.9.4.0.A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'9'!D8</f>
        <v>KNIFE WEB CLAMP ASSY</v>
      </c>
      <c r="D3" s="85" t="s">
        <v>50</v>
      </c>
      <c r="E3" s="86" t="str">
        <f ca="1">MID(CELL("filename",A1),FIND("]",CELL("filename",A1))+1,256)</f>
        <v>9.4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1294</v>
      </c>
      <c r="D5" s="314" t="str">
        <f>VLOOKUP(C5,Machined!C:X,2,0)</f>
        <v>HOLD DOWN MOUNT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45495</v>
      </c>
      <c r="K5" s="44">
        <f>IF(VLOOKUP($C5,Machined!C:Z,19,0) = 0, " ", VLOOKUP($C5,Machined!C:Z,19,0))</f>
        <v>45510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55658</v>
      </c>
      <c r="O5" s="45">
        <f ca="1">B5*$L$2</f>
        <v>4</v>
      </c>
      <c r="P5" s="49">
        <f>VLOOKUP(C5,Machined!C:F,3,0)</f>
        <v>87.74</v>
      </c>
      <c r="Q5" s="50">
        <f>B5*P5</f>
        <v>87.74</v>
      </c>
    </row>
    <row r="6" spans="1:17" s="2" customFormat="1" ht="12.75" customHeight="1" x14ac:dyDescent="0.25">
      <c r="A6" s="77">
        <v>2</v>
      </c>
      <c r="B6" s="20">
        <v>1</v>
      </c>
      <c r="C6" s="121" t="s">
        <v>1295</v>
      </c>
      <c r="D6" s="314" t="str">
        <f>VLOOKUP(C6,Machined!C:X,2,0)</f>
        <v>HOLD DOWN</v>
      </c>
      <c r="E6" s="329"/>
      <c r="F6" s="107" t="str">
        <f>VLOOKUP($C6,Machined!C:Z,13,0)</f>
        <v>AISI 1020 Steel, Cold Rolled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AISI 1020 Steel, Cold Rolled</v>
      </c>
      <c r="J6" s="44">
        <f>IF(VLOOKUP($C6,Machined!C:Z,18,0) = 0, " ", VLOOKUP($C6,Machined!C:Z,18,0))</f>
        <v>45470</v>
      </c>
      <c r="K6" s="44">
        <f>IF(VLOOKUP($C6,Machined!C:Z,19,0) = 0, " ", VLOOKUP($C6,Machined!C:Z,19,0))</f>
        <v>45474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55580</v>
      </c>
      <c r="O6" s="45">
        <f t="shared" ref="O6:O7" ca="1" si="0">B6*$L$2</f>
        <v>4</v>
      </c>
      <c r="P6" s="49">
        <f>VLOOKUP(C6,Machined!C:F,3,0)</f>
        <v>30</v>
      </c>
      <c r="Q6" s="50">
        <f t="shared" ref="Q6:Q7" si="1">B6*P6</f>
        <v>30</v>
      </c>
    </row>
    <row r="7" spans="1:17" s="2" customFormat="1" ht="12.75" customHeight="1" x14ac:dyDescent="0.25">
      <c r="A7" s="77">
        <v>3</v>
      </c>
      <c r="B7" s="20">
        <v>2</v>
      </c>
      <c r="C7" s="121" t="s">
        <v>1296</v>
      </c>
      <c r="D7" s="314" t="str">
        <f>VLOOKUP(C7,Machined!C:X,2,0)</f>
        <v>KNIFE CLAMP RUBBER</v>
      </c>
      <c r="E7" s="329"/>
      <c r="F7" s="107" t="str">
        <f>VLOOKUP($C7,Machined!C:Z,13,0)</f>
        <v>SILICONE RUBBER</v>
      </c>
      <c r="G7" s="44" t="str">
        <f>IF(VLOOKUP($C7,Machined!C:Z,16,0) = 0, " ", VLOOKUP($C7,Machined!C:Z,16,0))</f>
        <v>NULINE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SILICONE RUBBER</v>
      </c>
      <c r="J7" s="44" t="str">
        <f>IF(VLOOKUP($C7,Machined!C:Z,18,0) = 0, " ", VLOOKUP($C7,Machined!C:Z,18,0))</f>
        <v>N/A</v>
      </c>
      <c r="K7" s="44" t="str">
        <f>IF(VLOOKUP($C7,Machined!C:Z,19,0) = 0, " ", VLOOKUP($C7,Machined!C:Z,19,0))</f>
        <v>N/A</v>
      </c>
      <c r="L7" s="44" t="str">
        <f>IF(VLOOKUP($C7,Machined!C:Z,20,0) = 0, " ", VLOOKUP($C7,Machined!C:Z,20,0))</f>
        <v>N/A</v>
      </c>
      <c r="M7" s="44" t="str">
        <f>IF(VLOOKUP($C7,Machined!C:Z,21,0) = 0, " ", VLOOKUP($C7,Machined!C:Z,21,0))</f>
        <v>N/A</v>
      </c>
      <c r="N7" s="129" t="str">
        <f>IF(VLOOKUP($C7,Machined!C:Z,22,0) = 0, " ", VLOOKUP($C7,Machined!C:Z,22,0))</f>
        <v>N/A</v>
      </c>
      <c r="O7" s="45">
        <f t="shared" ca="1" si="0"/>
        <v>8</v>
      </c>
      <c r="P7" s="49">
        <f>VLOOKUP(C7,Machined!C:F,3,0)</f>
        <v>0</v>
      </c>
      <c r="Q7" s="50">
        <f t="shared" si="1"/>
        <v>0</v>
      </c>
    </row>
    <row r="8" spans="1:17" s="2" customFormat="1" ht="12.75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192</v>
      </c>
      <c r="D9" s="325" t="str">
        <f>VLOOKUP(C9,Purchased!A:B,2,0)</f>
        <v>BRX GOTO T-SLOT STONE 10 M6</v>
      </c>
      <c r="E9" s="326"/>
      <c r="F9" s="108" t="str">
        <f>IF(VLOOKUP($C9,Purchased!A:Z,11,0) = 0, " ", VLOOKUP($C9,Purchased!A:Z,11,0))</f>
        <v>BRX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 t="str">
        <f>IF(VLOOKUP($C9,Purchased!A:Z,14,0)=0, " ", VLOOKUP($C9,Purchased!A:Z,14,0))</f>
        <v>N/A</v>
      </c>
      <c r="K9" s="46" t="str">
        <f>IF(VLOOKUP(C9,Purchased!A:R,14,0)=0, " ", VLOOKUP(C9,Purchased!A:R,14,0))</f>
        <v>N/A</v>
      </c>
      <c r="L9" s="46">
        <f>IF(VLOOKUP(C9,Purchased!A:R,15,0)=0, " ", VLOOKUP(C9,Purchased!A:R,15,0))</f>
        <v>45532</v>
      </c>
      <c r="M9" s="46">
        <f>IF(VLOOKUP(C9,Purchased!A:R,16,0)=0, " ",VLOOKUP(C9,Purchased!A:R,16,0))</f>
        <v>45561</v>
      </c>
      <c r="N9" s="130" t="str">
        <f>IF(VLOOKUP(C9,Purchased!A:R,17,0)=0, " ", VLOOKUP(C9,Purchased!A:R,17,0))</f>
        <v xml:space="preserve"> </v>
      </c>
      <c r="O9" s="47">
        <f t="shared" ref="O9:O10" ca="1" si="2">B9*$L$2</f>
        <v>4</v>
      </c>
      <c r="P9" s="51">
        <f>VLOOKUP(C9,Purchased!A:D,3,FALSE)</f>
        <v>0.86</v>
      </c>
      <c r="Q9" s="52">
        <f t="shared" ref="Q9:Q10" si="3">B9*P9</f>
        <v>0.86</v>
      </c>
    </row>
    <row r="10" spans="1:17" s="2" customFormat="1" ht="12.75" customHeight="1" x14ac:dyDescent="0.25">
      <c r="A10" s="4">
        <v>302</v>
      </c>
      <c r="B10" s="2">
        <v>1</v>
      </c>
      <c r="C10" s="135" t="s">
        <v>193</v>
      </c>
      <c r="D10" s="325" t="str">
        <f>VLOOKUP(C10,Purchased!A:B,2,0)</f>
        <v>GN 300.1-45-M6-16-SW M6 adjustable handle w threaded bolt</v>
      </c>
      <c r="E10" s="326"/>
      <c r="F10" s="108" t="str">
        <f>IF(VLOOKUP($C10,Purchased!A:Z,11,0) = 0, " ", VLOOKUP($C10,Purchased!A:Z,11,0))</f>
        <v>ELESA</v>
      </c>
      <c r="G10" s="108" t="str">
        <f>IF(VLOOKUP($C10,Purchased!A:Z,12,0)=0, " ", VLOOKUP($C10,Purchased!A:Z,12,0))</f>
        <v>ELESA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45506</v>
      </c>
      <c r="K10" s="46">
        <f>IF(VLOOKUP(C10,Purchased!A:R,14,0)=0, " ", VLOOKUP(C10,Purchased!A:R,14,0))</f>
        <v>45506</v>
      </c>
      <c r="L10" s="46">
        <f>IF(VLOOKUP(C10,Purchased!A:R,15,0)=0, " ", VLOOKUP(C10,Purchased!A:R,15,0))</f>
        <v>45526</v>
      </c>
      <c r="M10" s="46">
        <f>IF(VLOOKUP(C10,Purchased!A:R,16,0)=0, " ",VLOOKUP(C10,Purchased!A:R,16,0))</f>
        <v>45551</v>
      </c>
      <c r="N10" s="130">
        <f>IF(VLOOKUP(C10,Purchased!A:R,17,0)=0, " ", VLOOKUP(C10,Purchased!A:R,17,0))</f>
        <v>45551</v>
      </c>
      <c r="O10" s="47">
        <f t="shared" ca="1" si="2"/>
        <v>4</v>
      </c>
      <c r="P10" s="51">
        <f>VLOOKUP(C10,Purchased!A:D,3,FALSE)</f>
        <v>8.58</v>
      </c>
      <c r="Q10" s="52">
        <f t="shared" si="3"/>
        <v>8.58</v>
      </c>
    </row>
    <row r="11" spans="1:17" s="2" customFormat="1" ht="12.75" customHeight="1" x14ac:dyDescent="0.25">
      <c r="A11" s="4">
        <v>303</v>
      </c>
      <c r="B11" s="2">
        <v>2</v>
      </c>
      <c r="C11" s="135" t="s">
        <v>1297</v>
      </c>
      <c r="D11" s="325" t="str">
        <f>VLOOKUP(C11,Purchased!A:B,2,0)</f>
        <v>10mm x 16mm METRIC ALLOY STEEL DOWEL PIN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ref="O11:O15" ca="1" si="4">B11*$L$2</f>
        <v>8</v>
      </c>
      <c r="P11" s="51">
        <f>VLOOKUP(C11,Purchased!A:D,3,FALSE)</f>
        <v>17.350000000000001</v>
      </c>
      <c r="Q11" s="52">
        <f t="shared" ref="Q11:Q15" si="5">B11*P11</f>
        <v>34.700000000000003</v>
      </c>
    </row>
    <row r="12" spans="1:17" s="2" customFormat="1" ht="12.75" customHeight="1" x14ac:dyDescent="0.25">
      <c r="A12" s="4">
        <v>304</v>
      </c>
      <c r="B12" s="2">
        <v>2</v>
      </c>
      <c r="C12" s="135" t="s">
        <v>694</v>
      </c>
      <c r="D12" s="325" t="str">
        <f>VLOOKUP(C12,Purchased!A:B,2,0)</f>
        <v>Metric M5 to 4mm hose quick connect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45489</v>
      </c>
      <c r="K12" s="46">
        <f>IF(VLOOKUP(C12,Purchased!A:R,14,0)=0, " ", VLOOKUP(C12,Purchased!A:R,14,0))</f>
        <v>45489</v>
      </c>
      <c r="L12" s="46">
        <f>IF(VLOOKUP(C12,Purchased!A:R,15,0)=0, " ", VLOOKUP(C12,Purchased!A:R,15,0))</f>
        <v>45491</v>
      </c>
      <c r="M12" s="46">
        <f>IF(VLOOKUP(C12,Purchased!A:R,16,0)=0, " ",VLOOKUP(C12,Purchased!A:R,16,0))</f>
        <v>45520</v>
      </c>
      <c r="N12" s="130">
        <f>IF(VLOOKUP(C12,Purchased!A:R,17,0)=0, " ", VLOOKUP(C12,Purchased!A:R,17,0))</f>
        <v>45511</v>
      </c>
      <c r="O12" s="47">
        <f t="shared" ca="1" si="4"/>
        <v>8</v>
      </c>
      <c r="P12" s="51">
        <f>VLOOKUP(C12,Purchased!A:D,3,FALSE)</f>
        <v>0.85</v>
      </c>
      <c r="Q12" s="52">
        <f t="shared" si="5"/>
        <v>1.7</v>
      </c>
    </row>
    <row r="13" spans="1:17" s="2" customFormat="1" ht="12.75" customHeight="1" x14ac:dyDescent="0.25">
      <c r="A13" s="4">
        <v>305</v>
      </c>
      <c r="B13" s="2">
        <v>2</v>
      </c>
      <c r="C13" s="135" t="s">
        <v>305</v>
      </c>
      <c r="D13" s="325" t="str">
        <f>VLOOKUP(C13,Purchased!A:B,2,0)</f>
        <v>Auto Switch, Solid State, General Purpose, M8-3Pin Connector, 0.5m Cord 
Length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10 more PO 55692</v>
      </c>
      <c r="I13" s="328"/>
      <c r="J13" s="46">
        <f>IF(VLOOKUP($C13,Purchased!A:Z,14,0)=0, " ", VLOOKUP($C13,Purchased!A:Z,14,0))</f>
        <v>45489</v>
      </c>
      <c r="K13" s="46">
        <f>IF(VLOOKUP(C13,Purchased!A:R,14,0)=0, " ", VLOOKUP(C13,Purchased!A:R,14,0))</f>
        <v>45489</v>
      </c>
      <c r="L13" s="46">
        <f>IF(VLOOKUP(C13,Purchased!A:R,15,0)=0, " ", VLOOKUP(C13,Purchased!A:R,15,0))</f>
        <v>45489</v>
      </c>
      <c r="M13" s="46">
        <f>IF(VLOOKUP(C13,Purchased!A:R,16,0)=0, " ",VLOOKUP(C13,Purchased!A:R,16,0))</f>
        <v>45510</v>
      </c>
      <c r="N13" s="130">
        <f>IF(VLOOKUP(C13,Purchased!A:R,17,0)=0, " ", VLOOKUP(C13,Purchased!A:R,17,0))</f>
        <v>45513</v>
      </c>
      <c r="O13" s="47">
        <f t="shared" ca="1" si="4"/>
        <v>8</v>
      </c>
      <c r="P13" s="51">
        <f>VLOOKUP(C13,Purchased!A:D,3,FALSE)</f>
        <v>38.64</v>
      </c>
      <c r="Q13" s="52">
        <f t="shared" si="5"/>
        <v>77.28</v>
      </c>
    </row>
    <row r="14" spans="1:17" s="2" customFormat="1" ht="12.75" customHeight="1" x14ac:dyDescent="0.25">
      <c r="A14" s="4">
        <v>306</v>
      </c>
      <c r="B14" s="2">
        <v>1</v>
      </c>
      <c r="C14" s="135" t="s">
        <v>1298</v>
      </c>
      <c r="D14" s="325" t="str">
        <f>VLOOKUP(C14,Purchased!A:B,2,0)</f>
        <v>25 x 20 cylinder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45489</v>
      </c>
      <c r="K14" s="46">
        <f>IF(VLOOKUP(C14,Purchased!A:R,14,0)=0, " ", VLOOKUP(C14,Purchased!A:R,14,0))</f>
        <v>45489</v>
      </c>
      <c r="L14" s="46">
        <f>IF(VLOOKUP(C14,Purchased!A:R,15,0)=0, " ", VLOOKUP(C14,Purchased!A:R,15,0))</f>
        <v>45489</v>
      </c>
      <c r="M14" s="46">
        <f>IF(VLOOKUP(C14,Purchased!A:R,16,0)=0, " ",VLOOKUP(C14,Purchased!A:R,16,0))</f>
        <v>45510</v>
      </c>
      <c r="N14" s="130">
        <f>IF(VLOOKUP(C14,Purchased!A:R,17,0)=0, " ", VLOOKUP(C14,Purchased!A:R,17,0))</f>
        <v>45513</v>
      </c>
      <c r="O14" s="47">
        <f t="shared" ca="1" si="4"/>
        <v>4</v>
      </c>
      <c r="P14" s="51">
        <f>VLOOKUP(C14,Purchased!A:D,3,FALSE)</f>
        <v>30.58</v>
      </c>
      <c r="Q14" s="52">
        <f t="shared" si="5"/>
        <v>30.58</v>
      </c>
    </row>
    <row r="15" spans="1:17" s="2" customFormat="1" ht="12.75" customHeight="1" x14ac:dyDescent="0.25">
      <c r="A15" s="4">
        <v>307</v>
      </c>
      <c r="B15" s="2">
        <v>1</v>
      </c>
      <c r="C15" s="135" t="s">
        <v>1299</v>
      </c>
      <c r="D15" s="325" t="str">
        <f>VLOOKUP(C15,Purchased!A:B,2,0)</f>
        <v>Coil Tubing, 4mmOD, 2 Tubes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45524</v>
      </c>
      <c r="M15" s="46">
        <f>IF(VLOOKUP(C15,Purchased!A:R,16,0)=0, " ",VLOOKUP(C15,Purchased!A:R,16,0))</f>
        <v>45547</v>
      </c>
      <c r="N15" s="130">
        <f>IF(VLOOKUP(C15,Purchased!A:R,17,0)=0, " ", VLOOKUP(C15,Purchased!A:R,17,0))</f>
        <v>45530</v>
      </c>
      <c r="O15" s="47">
        <f t="shared" ca="1" si="4"/>
        <v>4</v>
      </c>
      <c r="P15" s="51">
        <f>VLOOKUP(C15,Purchased!A:D,3,FALSE)</f>
        <v>19.690000000000001</v>
      </c>
      <c r="Q15" s="52">
        <f t="shared" si="5"/>
        <v>19.690000000000001</v>
      </c>
    </row>
    <row r="16" spans="1:17" s="2" customFormat="1" ht="12.75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" customHeight="1" x14ac:dyDescent="0.25">
      <c r="A17" s="4">
        <v>501</v>
      </c>
      <c r="B17" s="2">
        <v>2</v>
      </c>
      <c r="C17" s="122" t="s">
        <v>174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ref="O17:O19" ca="1" si="6">B17*$L$2</f>
        <v>8</v>
      </c>
      <c r="P17" s="51">
        <f>VLOOKUP(C17,Bolts!A:B,2,FALSE)</f>
        <v>0</v>
      </c>
      <c r="Q17" s="52">
        <f t="shared" ref="Q17:Q19" si="7">B17*P17</f>
        <v>0</v>
      </c>
    </row>
    <row r="18" spans="1:17" s="2" customFormat="1" ht="12" customHeight="1" x14ac:dyDescent="0.25">
      <c r="A18" s="4">
        <v>502</v>
      </c>
      <c r="B18" s="2">
        <v>2</v>
      </c>
      <c r="C18" s="122" t="s">
        <v>199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ca="1" si="6"/>
        <v>8</v>
      </c>
      <c r="P18" s="51">
        <f>VLOOKUP(C18,Bolts!A:B,2,FALSE)</f>
        <v>0</v>
      </c>
      <c r="Q18" s="52">
        <f t="shared" si="7"/>
        <v>0</v>
      </c>
    </row>
    <row r="19" spans="1:17" s="2" customFormat="1" ht="12" customHeight="1" thickBot="1" x14ac:dyDescent="0.3">
      <c r="A19" s="4">
        <v>503</v>
      </c>
      <c r="B19" s="2">
        <v>1</v>
      </c>
      <c r="C19" s="122" t="s">
        <v>905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t="shared" ca="1" si="6"/>
        <v>4</v>
      </c>
      <c r="P19" s="51">
        <f>VLOOKUP(C19,Bolts!A:B,2,FALSE)</f>
        <v>0</v>
      </c>
      <c r="Q19" s="52">
        <f t="shared" si="7"/>
        <v>0</v>
      </c>
    </row>
    <row r="20" spans="1:17" s="2" customFormat="1" ht="12" customHeight="1" thickBot="1" x14ac:dyDescent="0.3">
      <c r="A20" s="34"/>
      <c r="B20" s="35"/>
      <c r="C20" s="35"/>
      <c r="D20" s="316"/>
      <c r="E20" s="317"/>
      <c r="F20" s="35"/>
      <c r="G20" s="35"/>
      <c r="H20" s="309"/>
      <c r="I20" s="310"/>
      <c r="J20" s="36"/>
      <c r="K20" s="36"/>
      <c r="L20" s="36"/>
      <c r="M20" s="37"/>
      <c r="N20" s="132"/>
      <c r="O20" s="38"/>
      <c r="P20" s="99" t="s">
        <v>43</v>
      </c>
      <c r="Q20" s="104">
        <f>SUM(Q5:Q19)</f>
        <v>291.13</v>
      </c>
    </row>
    <row r="21" spans="1:17" s="2" customFormat="1" ht="12" customHeight="1" x14ac:dyDescent="0.2">
      <c r="D21" s="21"/>
      <c r="E21" s="21"/>
      <c r="J21" s="8"/>
      <c r="K21" s="8"/>
      <c r="L21" s="8"/>
      <c r="M21" s="8"/>
      <c r="N21" s="131"/>
      <c r="O21" s="5"/>
      <c r="P21" s="98"/>
      <c r="Q21" s="105"/>
    </row>
  </sheetData>
  <mergeCells count="32">
    <mergeCell ref="D6:E6"/>
    <mergeCell ref="H6:I6"/>
    <mergeCell ref="D1:E1"/>
    <mergeCell ref="D4:E4"/>
    <mergeCell ref="H4:I4"/>
    <mergeCell ref="D5:E5"/>
    <mergeCell ref="H5:I5"/>
    <mergeCell ref="D8:E8"/>
    <mergeCell ref="H8:I8"/>
    <mergeCell ref="D9:E9"/>
    <mergeCell ref="H9:I9"/>
    <mergeCell ref="D7:E7"/>
    <mergeCell ref="H7:I7"/>
    <mergeCell ref="D10:E10"/>
    <mergeCell ref="H10:I10"/>
    <mergeCell ref="D11:E11"/>
    <mergeCell ref="H11:I11"/>
    <mergeCell ref="D12:E12"/>
    <mergeCell ref="H12:I12"/>
    <mergeCell ref="D20:E20"/>
    <mergeCell ref="H20:I20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D18:E18"/>
    <mergeCell ref="D19:E19"/>
  </mergeCells>
  <phoneticPr fontId="8" type="noConversion"/>
  <conditionalFormatting sqref="M8 M16:M19">
    <cfRule type="cellIs" dxfId="508" priority="17" stopIfTrue="1" operator="lessThanOrEqual">
      <formula>$L8</formula>
    </cfRule>
    <cfRule type="cellIs" dxfId="507" priority="18" operator="greaterThan">
      <formula>L8</formula>
    </cfRule>
  </conditionalFormatting>
  <conditionalFormatting sqref="M9">
    <cfRule type="cellIs" dxfId="506" priority="13" stopIfTrue="1" operator="lessThanOrEqual">
      <formula>$L9</formula>
    </cfRule>
    <cfRule type="cellIs" dxfId="505" priority="14" operator="greaterThan">
      <formula>L9</formula>
    </cfRule>
  </conditionalFormatting>
  <conditionalFormatting sqref="M11">
    <cfRule type="cellIs" dxfId="504" priority="11" stopIfTrue="1" operator="lessThanOrEqual">
      <formula>$L11</formula>
    </cfRule>
    <cfRule type="cellIs" dxfId="503" priority="12" operator="greaterThan">
      <formula>L11</formula>
    </cfRule>
  </conditionalFormatting>
  <conditionalFormatting sqref="M12">
    <cfRule type="cellIs" dxfId="502" priority="9" stopIfTrue="1" operator="lessThanOrEqual">
      <formula>$L12</formula>
    </cfRule>
    <cfRule type="cellIs" dxfId="501" priority="10" operator="greaterThan">
      <formula>L12</formula>
    </cfRule>
  </conditionalFormatting>
  <conditionalFormatting sqref="M10">
    <cfRule type="cellIs" dxfId="500" priority="7" stopIfTrue="1" operator="lessThanOrEqual">
      <formula>$L10</formula>
    </cfRule>
    <cfRule type="cellIs" dxfId="499" priority="8" operator="greaterThan">
      <formula>L10</formula>
    </cfRule>
  </conditionalFormatting>
  <conditionalFormatting sqref="M13">
    <cfRule type="cellIs" dxfId="498" priority="5" stopIfTrue="1" operator="lessThanOrEqual">
      <formula>$L13</formula>
    </cfRule>
    <cfRule type="cellIs" dxfId="497" priority="6" operator="greaterThan">
      <formula>L13</formula>
    </cfRule>
  </conditionalFormatting>
  <conditionalFormatting sqref="M14">
    <cfRule type="cellIs" dxfId="496" priority="3" stopIfTrue="1" operator="lessThanOrEqual">
      <formula>$L14</formula>
    </cfRule>
    <cfRule type="cellIs" dxfId="495" priority="4" operator="greaterThan">
      <formula>L14</formula>
    </cfRule>
  </conditionalFormatting>
  <conditionalFormatting sqref="M15">
    <cfRule type="cellIs" dxfId="494" priority="1" stopIfTrue="1" operator="lessThanOrEqual">
      <formula>$L15</formula>
    </cfRule>
    <cfRule type="cellIs" dxfId="493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85CC620-4F02-431A-A553-E614726C2E10}">
          <x14:formula1>
            <xm:f>Extrusion!$B:$B</xm:f>
          </x14:formula1>
          <xm:sqref>C35</xm:sqref>
        </x14:dataValidation>
        <x14:dataValidation type="list" allowBlank="1" showInputMessage="1" showErrorMessage="1" xr:uid="{E22EDFC0-22E5-483E-A0D1-322C003AB37E}">
          <x14:formula1>
            <xm:f>Bolts!$A:$A</xm:f>
          </x14:formula1>
          <xm:sqref>C33:C35 C17:C20</xm:sqref>
        </x14:dataValidation>
        <x14:dataValidation type="list" allowBlank="1" showInputMessage="1" showErrorMessage="1" xr:uid="{D9125BD0-B0CE-41D8-8B9B-A97A565FFF94}">
          <x14:formula1>
            <xm:f>Machined!$C:$C</xm:f>
          </x14:formula1>
          <xm:sqref>C5:C8</xm:sqref>
        </x14:dataValidation>
        <x14:dataValidation type="list" allowBlank="1" showInputMessage="1" showErrorMessage="1" xr:uid="{0427DDD4-D43D-45B9-BCE5-4D2B6A299F4E}">
          <x14:formula1>
            <xm:f>Purchased!$A:$A</xm:f>
          </x14:formula1>
          <xm:sqref>C21:C22 C9:C16</xm:sqref>
        </x14:dataValidation>
      </x14:dataValidations>
    </ext>
  </extLst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90656-5DE8-475B-9AB8-F6EED9A9DBA6}">
  <sheetPr codeName="Sheet209">
    <tabColor theme="9" tint="0.59999389629810485"/>
    <pageSetUpPr fitToPage="1"/>
  </sheetPr>
  <dimension ref="A1:Q17"/>
  <sheetViews>
    <sheetView zoomScale="115" zoomScaleNormal="115" workbookViewId="0">
      <selection sqref="A1:O3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'9'!C9</f>
        <v>PG10.9.5.0.A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'9'!D9</f>
        <v>WEB ROLLER ASSEMBLY</v>
      </c>
      <c r="D3" s="85" t="s">
        <v>50</v>
      </c>
      <c r="E3" s="86" t="str">
        <f ca="1">MID(CELL("filename",A1),FIND("]",CELL("filename",A1))+1,256)</f>
        <v>9.5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164" t="s">
        <v>53</v>
      </c>
      <c r="P4" s="165" t="s">
        <v>27</v>
      </c>
      <c r="Q4" s="166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1300</v>
      </c>
      <c r="D5" s="314" t="str">
        <f>VLOOKUP(C5,Machined!C:X,2,0)</f>
        <v>PIVOT BRACKET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45470</v>
      </c>
      <c r="K5" s="44">
        <f>IF(VLOOKUP($C5,Machined!C:Z,19,0) = 0, " ", VLOOKUP($C5,Machined!C:Z,19,0))</f>
        <v>45474</v>
      </c>
      <c r="L5" s="44">
        <f>IF(VLOOKUP($C5,Machined!C:Z,20,0) = 0, " ", VLOOKUP($C5,Machined!C:Z,20,0))</f>
        <v>45495</v>
      </c>
      <c r="M5" s="44">
        <f>IF(VLOOKUP($C5,Machined!C:Z,21,0) = 0, " ", VLOOKUP($C5,Machined!C:Z,21,0))</f>
        <v>45495</v>
      </c>
      <c r="N5" s="129">
        <f>IF(VLOOKUP($C5,Machined!C:Z,22,0) = 0, " ", VLOOKUP($C5,Machined!C:Z,22,0))</f>
        <v>55580</v>
      </c>
      <c r="O5" s="45">
        <f ca="1">B5*$L$2</f>
        <v>4</v>
      </c>
      <c r="P5" s="49">
        <f>VLOOKUP(C5,Machined!C:F,3,0)</f>
        <v>70.25</v>
      </c>
      <c r="Q5" s="50">
        <f>B5*P5</f>
        <v>70.25</v>
      </c>
    </row>
    <row r="6" spans="1:17" s="2" customFormat="1" ht="12.75" customHeight="1" x14ac:dyDescent="0.25">
      <c r="A6" s="77">
        <v>2</v>
      </c>
      <c r="B6" s="20">
        <v>1</v>
      </c>
      <c r="C6" s="121" t="s">
        <v>1301</v>
      </c>
      <c r="D6" s="314" t="str">
        <f>VLOOKUP(C6,Machined!C:X,2,0)</f>
        <v>WHEEL ARM</v>
      </c>
      <c r="E6" s="329"/>
      <c r="F6" s="107" t="str">
        <f>VLOOKUP($C6,Machined!C:Z,13,0)</f>
        <v>304 STAINLESS STEEL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304 STAINLESS STEEL</v>
      </c>
      <c r="J6" s="44">
        <f>IF(VLOOKUP($C6,Machined!C:Z,18,0) = 0, " ", VLOOKUP($C6,Machined!C:Z,18,0))</f>
        <v>45470</v>
      </c>
      <c r="K6" s="44">
        <f>IF(VLOOKUP($C6,Machined!C:Z,19,0) = 0, " ", VLOOKUP($C6,Machined!C:Z,19,0))</f>
        <v>45474</v>
      </c>
      <c r="L6" s="44">
        <f>IF(VLOOKUP($C6,Machined!C:Z,20,0) = 0, " ", VLOOKUP($C6,Machined!C:Z,20,0))</f>
        <v>45495</v>
      </c>
      <c r="M6" s="44">
        <f>IF(VLOOKUP($C6,Machined!C:Z,21,0) = 0, " ", VLOOKUP($C6,Machined!C:Z,21,0))</f>
        <v>45495</v>
      </c>
      <c r="N6" s="129">
        <f>IF(VLOOKUP($C6,Machined!C:Z,22,0) = 0, " ", VLOOKUP($C6,Machined!C:Z,22,0))</f>
        <v>55580</v>
      </c>
      <c r="O6" s="45">
        <f t="shared" ref="O6" ca="1" si="0">B6*$L$2</f>
        <v>4</v>
      </c>
      <c r="P6" s="49">
        <f>VLOOKUP(C6,Machined!C:F,3,0)</f>
        <v>87.75</v>
      </c>
      <c r="Q6" s="50">
        <f t="shared" ref="Q6" si="1">B6*P6</f>
        <v>87.75</v>
      </c>
    </row>
    <row r="7" spans="1:17" s="2" customFormat="1" ht="12.75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x14ac:dyDescent="0.25">
      <c r="A8" s="4">
        <v>301</v>
      </c>
      <c r="B8" s="2">
        <v>1</v>
      </c>
      <c r="C8" s="135">
        <v>3842529324</v>
      </c>
      <c r="D8" s="325" t="str">
        <f>VLOOKUP(C8,Purchased!A:B,2,0)</f>
        <v>M8 SWIVEL-IN SLIDING BLOCK N10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 t="str">
        <f>IF(VLOOKUP($C8,Purchased!A:Z,14,0)=0, " ", VLOOKUP($C8,Purchased!A:Z,14,0))</f>
        <v>N/A</v>
      </c>
      <c r="K8" s="46" t="str">
        <f>IF(VLOOKUP(C8,Purchased!A:R,14,0)=0, " ", VLOOKUP(C8,Purchased!A:R,14,0))</f>
        <v>N/A</v>
      </c>
      <c r="L8" s="46">
        <f>IF(VLOOKUP(C8,Purchased!A:R,15,0)=0, " ", VLOOKUP(C8,Purchased!A:R,15,0))</f>
        <v>45532</v>
      </c>
      <c r="M8" s="46">
        <f>IF(VLOOKUP(C8,Purchased!A:R,16,0)=0, " ",VLOOKUP(C8,Purchased!A:R,16,0))</f>
        <v>45561</v>
      </c>
      <c r="N8" s="130" t="str">
        <f>IF(VLOOKUP(C8,Purchased!A:R,17,0)=0, " ", VLOOKUP(C8,Purchased!A:R,17,0))</f>
        <v xml:space="preserve"> </v>
      </c>
      <c r="O8" s="47">
        <f t="shared" ref="O8:O15" ca="1" si="2">B8*$L$2</f>
        <v>4</v>
      </c>
      <c r="P8" s="51">
        <f>VLOOKUP(C8,Purchased!A:D,3,FALSE)</f>
        <v>0.86</v>
      </c>
      <c r="Q8" s="52">
        <f t="shared" ref="Q8:Q15" si="3">B8*P8</f>
        <v>0.86</v>
      </c>
    </row>
    <row r="9" spans="1:17" s="2" customFormat="1" ht="12.75" customHeight="1" x14ac:dyDescent="0.25">
      <c r="A9" s="4">
        <v>302</v>
      </c>
      <c r="B9" s="2">
        <v>1</v>
      </c>
      <c r="C9" s="135" t="s">
        <v>427</v>
      </c>
      <c r="D9" s="325" t="str">
        <f>VLOOKUP(C9,Purchased!A:B,2,0)</f>
        <v>GN 300.1-63-M8-25-SW Adjustable handles with threaded screw</v>
      </c>
      <c r="E9" s="326"/>
      <c r="F9" s="108" t="str">
        <f>IF(VLOOKUP($C9,Purchased!A:Z,11,0) = 0, " ", VLOOKUP($C9,Purchased!A:Z,11,0))</f>
        <v>ELESA</v>
      </c>
      <c r="G9" s="108" t="str">
        <f>IF(VLOOKUP($C9,Purchased!A:Z,12,0)=0, " ", VLOOKUP($C9,Purchased!A:Z,12,0))</f>
        <v>ELESA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45506</v>
      </c>
      <c r="K9" s="46">
        <f>IF(VLOOKUP(C9,Purchased!A:R,14,0)=0, " ", VLOOKUP(C9,Purchased!A:R,14,0))</f>
        <v>45506</v>
      </c>
      <c r="L9" s="46">
        <f>IF(VLOOKUP(C9,Purchased!A:R,15,0)=0, " ", VLOOKUP(C9,Purchased!A:R,15,0))</f>
        <v>45526</v>
      </c>
      <c r="M9" s="46">
        <f>IF(VLOOKUP(C9,Purchased!A:R,16,0)=0, " ",VLOOKUP(C9,Purchased!A:R,16,0))</f>
        <v>45551</v>
      </c>
      <c r="N9" s="130">
        <f>IF(VLOOKUP(C9,Purchased!A:R,17,0)=0, " ", VLOOKUP(C9,Purchased!A:R,17,0))</f>
        <v>45551</v>
      </c>
      <c r="O9" s="47">
        <f t="shared" ca="1" si="2"/>
        <v>4</v>
      </c>
      <c r="P9" s="51">
        <f>VLOOKUP(C9,Purchased!A:D,3,FALSE)</f>
        <v>11.6</v>
      </c>
      <c r="Q9" s="52">
        <f t="shared" si="3"/>
        <v>11.6</v>
      </c>
    </row>
    <row r="10" spans="1:17" s="2" customFormat="1" ht="12.75" customHeight="1" x14ac:dyDescent="0.25">
      <c r="A10" s="4">
        <v>303</v>
      </c>
      <c r="B10" s="2">
        <v>1</v>
      </c>
      <c r="C10" s="135" t="s">
        <v>1302</v>
      </c>
      <c r="D10" s="325" t="str">
        <f>VLOOKUP(C10,Purchased!A:B,2,0)</f>
        <v>Shoulder Bolt, 10MM DIA, 16MM L, M6X1.0 THREAD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45481</v>
      </c>
      <c r="K10" s="46">
        <f>IF(VLOOKUP(C10,Purchased!A:R,14,0)=0, " ", VLOOKUP(C10,Purchased!A:R,14,0))</f>
        <v>45481</v>
      </c>
      <c r="L10" s="46">
        <f>IF(VLOOKUP(C10,Purchased!A:R,15,0)=0, " ", VLOOKUP(C10,Purchased!A:R,15,0))</f>
        <v>45481</v>
      </c>
      <c r="M10" s="46">
        <f>IF(VLOOKUP(C10,Purchased!A:R,16,0)=0, " ",VLOOKUP(C10,Purchased!A:R,16,0))</f>
        <v>45482</v>
      </c>
      <c r="N10" s="130">
        <f>IF(VLOOKUP(C10,Purchased!A:R,17,0)=0, " ", VLOOKUP(C10,Purchased!A:R,17,0))</f>
        <v>45482</v>
      </c>
      <c r="O10" s="47">
        <f t="shared" ca="1" si="2"/>
        <v>4</v>
      </c>
      <c r="P10" s="51">
        <f>VLOOKUP(C10,Purchased!A:D,3,FALSE)</f>
        <v>16.5</v>
      </c>
      <c r="Q10" s="52">
        <f t="shared" si="3"/>
        <v>16.5</v>
      </c>
    </row>
    <row r="11" spans="1:17" s="2" customFormat="1" ht="12.75" customHeight="1" x14ac:dyDescent="0.25">
      <c r="A11" s="4">
        <v>304</v>
      </c>
      <c r="B11" s="2">
        <v>1</v>
      </c>
      <c r="C11" s="135" t="s">
        <v>1303</v>
      </c>
      <c r="D11" s="325" t="str">
        <f>VLOOKUP(C11,Purchased!A:B,2,0)</f>
        <v>Shoulder Bolt, 12MM DIA, 45MM L, M10X1.5 THREAD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ca="1" si="2"/>
        <v>4</v>
      </c>
      <c r="P11" s="51">
        <f>VLOOKUP(C11,Purchased!A:D,3,FALSE)</f>
        <v>13.02</v>
      </c>
      <c r="Q11" s="52">
        <f t="shared" si="3"/>
        <v>13.02</v>
      </c>
    </row>
    <row r="12" spans="1:17" s="2" customFormat="1" ht="12.75" customHeight="1" x14ac:dyDescent="0.25">
      <c r="A12" s="4">
        <v>305</v>
      </c>
      <c r="B12" s="2">
        <v>1</v>
      </c>
      <c r="C12" s="135" t="s">
        <v>1304</v>
      </c>
      <c r="D12" s="325" t="str">
        <f>VLOOKUP(C12,Purchased!A:B,2,0)</f>
        <v>Ring Shim, 0.1mm THICK, 0.25IN ID</v>
      </c>
      <c r="E12" s="326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45481</v>
      </c>
      <c r="K12" s="46">
        <f>IF(VLOOKUP(C12,Purchased!A:R,14,0)=0, " ", VLOOKUP(C12,Purchased!A:R,14,0))</f>
        <v>45481</v>
      </c>
      <c r="L12" s="46">
        <f>IF(VLOOKUP(C12,Purchased!A:R,15,0)=0, " ", VLOOKUP(C12,Purchased!A:R,15,0))</f>
        <v>45481</v>
      </c>
      <c r="M12" s="46">
        <f>IF(VLOOKUP(C12,Purchased!A:R,16,0)=0, " ",VLOOKUP(C12,Purchased!A:R,16,0))</f>
        <v>45482</v>
      </c>
      <c r="N12" s="130">
        <f>IF(VLOOKUP(C12,Purchased!A:R,17,0)=0, " ", VLOOKUP(C12,Purchased!A:R,17,0))</f>
        <v>45482</v>
      </c>
      <c r="O12" s="47">
        <f t="shared" ca="1" si="2"/>
        <v>4</v>
      </c>
      <c r="P12" s="51">
        <f>VLOOKUP(C12,Purchased!A:D,3,FALSE)</f>
        <v>11.97</v>
      </c>
      <c r="Q12" s="52">
        <f t="shared" si="3"/>
        <v>11.97</v>
      </c>
    </row>
    <row r="13" spans="1:17" s="2" customFormat="1" ht="12.75" customHeight="1" x14ac:dyDescent="0.25">
      <c r="A13" s="4">
        <v>306</v>
      </c>
      <c r="B13" s="2">
        <v>1</v>
      </c>
      <c r="C13" s="135" t="s">
        <v>178</v>
      </c>
      <c r="D13" s="325" t="str">
        <f>VLOOKUP(C13,Purchased!A:B,2,0)</f>
        <v>10mm Dia 20mm L Steel Dowel Pin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>3 Additional Quantity Added to 55697</v>
      </c>
      <c r="I13" s="328"/>
      <c r="J13" s="46">
        <f>IF(VLOOKUP($C13,Purchased!A:Z,14,0)=0, " ", VLOOKUP($C13,Purchased!A:Z,14,0))</f>
        <v>45481</v>
      </c>
      <c r="K13" s="46">
        <f>IF(VLOOKUP(C13,Purchased!A:R,14,0)=0, " ", VLOOKUP(C13,Purchased!A:R,14,0))</f>
        <v>45481</v>
      </c>
      <c r="L13" s="46">
        <f>IF(VLOOKUP(C13,Purchased!A:R,15,0)=0, " ", VLOOKUP(C13,Purchased!A:R,15,0))</f>
        <v>45481</v>
      </c>
      <c r="M13" s="46">
        <f>IF(VLOOKUP(C13,Purchased!A:R,16,0)=0, " ",VLOOKUP(C13,Purchased!A:R,16,0))</f>
        <v>45482</v>
      </c>
      <c r="N13" s="130">
        <f>IF(VLOOKUP(C13,Purchased!A:R,17,0)=0, " ", VLOOKUP(C13,Purchased!A:R,17,0))</f>
        <v>45482</v>
      </c>
      <c r="O13" s="47">
        <f t="shared" ca="1" si="2"/>
        <v>4</v>
      </c>
      <c r="P13" s="51">
        <f>VLOOKUP(C13,Purchased!A:D,3,FALSE)</f>
        <v>10.57</v>
      </c>
      <c r="Q13" s="52">
        <f t="shared" si="3"/>
        <v>10.57</v>
      </c>
    </row>
    <row r="14" spans="1:17" s="2" customFormat="1" ht="12.75" customHeight="1" x14ac:dyDescent="0.25">
      <c r="A14" s="4">
        <v>307</v>
      </c>
      <c r="B14" s="2">
        <v>1</v>
      </c>
      <c r="C14" s="135" t="s">
        <v>1305</v>
      </c>
      <c r="D14" s="325" t="str">
        <f>VLOOKUP(C14,Purchased!A:B,2,0)</f>
        <v>High-Load Dry-Running Sleeve Bearing</v>
      </c>
      <c r="E14" s="326"/>
      <c r="F14" s="108" t="str">
        <f>IF(VLOOKUP($C14,Purchased!A:Z,11,0) = 0, " ", VLOOKUP($C14,Purchased!A:Z,11,0))</f>
        <v>MCM</v>
      </c>
      <c r="G14" s="108" t="str">
        <f>IF(VLOOKUP($C14,Purchased!A:Z,12,0)=0, " ", VLOOKUP($C14,Purchased!A:Z,12,0))</f>
        <v>MCM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45481</v>
      </c>
      <c r="K14" s="46">
        <f>IF(VLOOKUP(C14,Purchased!A:R,14,0)=0, " ", VLOOKUP(C14,Purchased!A:R,14,0))</f>
        <v>45481</v>
      </c>
      <c r="L14" s="46">
        <f>IF(VLOOKUP(C14,Purchased!A:R,15,0)=0, " ", VLOOKUP(C14,Purchased!A:R,15,0))</f>
        <v>45481</v>
      </c>
      <c r="M14" s="46">
        <f>IF(VLOOKUP(C14,Purchased!A:R,16,0)=0, " ",VLOOKUP(C14,Purchased!A:R,16,0))</f>
        <v>45482</v>
      </c>
      <c r="N14" s="130">
        <f>IF(VLOOKUP(C14,Purchased!A:R,17,0)=0, " ", VLOOKUP(C14,Purchased!A:R,17,0))</f>
        <v>45482</v>
      </c>
      <c r="O14" s="47">
        <f t="shared" ca="1" si="2"/>
        <v>4</v>
      </c>
      <c r="P14" s="51">
        <f>VLOOKUP(C14,Purchased!A:D,3,FALSE)</f>
        <v>3.8</v>
      </c>
      <c r="Q14" s="52">
        <f t="shared" si="3"/>
        <v>3.8</v>
      </c>
    </row>
    <row r="15" spans="1:17" s="2" customFormat="1" ht="12.75" customHeight="1" thickBot="1" x14ac:dyDescent="0.3">
      <c r="A15" s="4">
        <v>308</v>
      </c>
      <c r="B15" s="2">
        <v>1</v>
      </c>
      <c r="C15" s="135" t="s">
        <v>1306</v>
      </c>
      <c r="D15" s="325" t="str">
        <f>VLOOKUP(C15,Purchased!A:B,2,0)</f>
        <v>100MM URETHANE WHEEL</v>
      </c>
      <c r="E15" s="326"/>
      <c r="F15" s="108" t="str">
        <f>IF(VLOOKUP($C15,Purchased!A:Z,11,0) = 0, " ", VLOOKUP($C15,Purchased!A:Z,11,0))</f>
        <v>MISUMI</v>
      </c>
      <c r="G15" s="108" t="str">
        <f>IF(VLOOKUP($C15,Purchased!A:Z,12,0)=0, " ", VLOOKUP($C15,Purchased!A:Z,12,0))</f>
        <v>MISUMI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45483</v>
      </c>
      <c r="K15" s="46">
        <f>IF(VLOOKUP(C15,Purchased!A:R,14,0)=0, " ", VLOOKUP(C15,Purchased!A:R,14,0))</f>
        <v>45483</v>
      </c>
      <c r="L15" s="46">
        <f>IF(VLOOKUP(C15,Purchased!A:R,15,0)=0, " ", VLOOKUP(C15,Purchased!A:R,15,0))</f>
        <v>45483</v>
      </c>
      <c r="M15" s="46">
        <f>IF(VLOOKUP(C15,Purchased!A:R,16,0)=0, " ",VLOOKUP(C15,Purchased!A:R,16,0))</f>
        <v>45512</v>
      </c>
      <c r="N15" s="130">
        <f>IF(VLOOKUP(C15,Purchased!A:R,17,0)=0, " ", VLOOKUP(C15,Purchased!A:R,17,0))</f>
        <v>45512</v>
      </c>
      <c r="O15" s="47">
        <f t="shared" ca="1" si="2"/>
        <v>4</v>
      </c>
      <c r="P15" s="51">
        <f>VLOOKUP(C15,Purchased!A:D,3,FALSE)</f>
        <v>27.94</v>
      </c>
      <c r="Q15" s="52">
        <f t="shared" si="3"/>
        <v>27.94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254.26000000000002</v>
      </c>
    </row>
    <row r="17" spans="4:17" s="2" customFormat="1" ht="12" customHeight="1" x14ac:dyDescent="0.2">
      <c r="D17" s="21"/>
      <c r="E17" s="21"/>
      <c r="J17" s="8"/>
      <c r="K17" s="8"/>
      <c r="L17" s="8"/>
      <c r="M17" s="8"/>
      <c r="N17" s="131"/>
      <c r="O17" s="5"/>
      <c r="P17" s="98"/>
      <c r="Q17" s="105"/>
    </row>
  </sheetData>
  <mergeCells count="27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  <mergeCell ref="D9:E9"/>
    <mergeCell ref="H9:I9"/>
    <mergeCell ref="D10:E10"/>
    <mergeCell ref="H10:I10"/>
    <mergeCell ref="D11:E11"/>
    <mergeCell ref="H11:I11"/>
    <mergeCell ref="D16:E16"/>
    <mergeCell ref="H16:I16"/>
    <mergeCell ref="D12:E12"/>
    <mergeCell ref="H12:I12"/>
    <mergeCell ref="D14:E14"/>
    <mergeCell ref="H14:I14"/>
    <mergeCell ref="D15:E15"/>
    <mergeCell ref="H15:I15"/>
    <mergeCell ref="D13:E13"/>
    <mergeCell ref="H13:I13"/>
  </mergeCells>
  <phoneticPr fontId="8" type="noConversion"/>
  <conditionalFormatting sqref="M7">
    <cfRule type="cellIs" dxfId="492" priority="17" stopIfTrue="1" operator="lessThanOrEqual">
      <formula>$L7</formula>
    </cfRule>
    <cfRule type="cellIs" dxfId="491" priority="18" operator="greaterThan">
      <formula>L7</formula>
    </cfRule>
  </conditionalFormatting>
  <conditionalFormatting sqref="M8">
    <cfRule type="cellIs" dxfId="490" priority="15" stopIfTrue="1" operator="lessThanOrEqual">
      <formula>$L8</formula>
    </cfRule>
    <cfRule type="cellIs" dxfId="489" priority="16" operator="greaterThan">
      <formula>L8</formula>
    </cfRule>
  </conditionalFormatting>
  <conditionalFormatting sqref="M9">
    <cfRule type="cellIs" dxfId="488" priority="13" stopIfTrue="1" operator="lessThanOrEqual">
      <formula>$L9</formula>
    </cfRule>
    <cfRule type="cellIs" dxfId="487" priority="14" operator="greaterThan">
      <formula>L9</formula>
    </cfRule>
  </conditionalFormatting>
  <conditionalFormatting sqref="M10">
    <cfRule type="cellIs" dxfId="486" priority="11" stopIfTrue="1" operator="lessThanOrEqual">
      <formula>$L10</formula>
    </cfRule>
    <cfRule type="cellIs" dxfId="485" priority="12" operator="greaterThan">
      <formula>L10</formula>
    </cfRule>
  </conditionalFormatting>
  <conditionalFormatting sqref="M11">
    <cfRule type="cellIs" dxfId="484" priority="9" stopIfTrue="1" operator="lessThanOrEqual">
      <formula>$L11</formula>
    </cfRule>
    <cfRule type="cellIs" dxfId="483" priority="10" operator="greaterThan">
      <formula>L11</formula>
    </cfRule>
  </conditionalFormatting>
  <conditionalFormatting sqref="M12">
    <cfRule type="cellIs" dxfId="482" priority="7" stopIfTrue="1" operator="lessThanOrEqual">
      <formula>$L12</formula>
    </cfRule>
    <cfRule type="cellIs" dxfId="481" priority="8" operator="greaterThan">
      <formula>L12</formula>
    </cfRule>
  </conditionalFormatting>
  <conditionalFormatting sqref="M13">
    <cfRule type="cellIs" dxfId="480" priority="5" stopIfTrue="1" operator="lessThanOrEqual">
      <formula>$L13</formula>
    </cfRule>
    <cfRule type="cellIs" dxfId="479" priority="6" operator="greaterThan">
      <formula>L13</formula>
    </cfRule>
  </conditionalFormatting>
  <conditionalFormatting sqref="M14">
    <cfRule type="cellIs" dxfId="478" priority="3" stopIfTrue="1" operator="lessThanOrEqual">
      <formula>$L14</formula>
    </cfRule>
    <cfRule type="cellIs" dxfId="477" priority="4" operator="greaterThan">
      <formula>L14</formula>
    </cfRule>
  </conditionalFormatting>
  <conditionalFormatting sqref="M15">
    <cfRule type="cellIs" dxfId="476" priority="1" stopIfTrue="1" operator="lessThanOrEqual">
      <formula>$L15</formula>
    </cfRule>
    <cfRule type="cellIs" dxfId="475" priority="2" operator="greaterThan">
      <formula>L15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54CE163-E9EE-4643-8361-B0C9022A0B77}">
          <x14:formula1>
            <xm:f>Extrusion!$B:$B</xm:f>
          </x14:formula1>
          <xm:sqref>C31</xm:sqref>
        </x14:dataValidation>
        <x14:dataValidation type="list" allowBlank="1" showInputMessage="1" showErrorMessage="1" xr:uid="{BEF36453-E70A-4FC0-95E4-D3C4392CC2E2}">
          <x14:formula1>
            <xm:f>Bolts!$A:$A</xm:f>
          </x14:formula1>
          <xm:sqref>C29:C31 C16</xm:sqref>
        </x14:dataValidation>
        <x14:dataValidation type="list" allowBlank="1" showInputMessage="1" showErrorMessage="1" xr:uid="{92E4A185-17B7-4290-A6B1-B83F9B2806BC}">
          <x14:formula1>
            <xm:f>Machined!$C:$C</xm:f>
          </x14:formula1>
          <xm:sqref>C5:C7</xm:sqref>
        </x14:dataValidation>
        <x14:dataValidation type="list" allowBlank="1" showInputMessage="1" showErrorMessage="1" xr:uid="{A9E52683-1312-41E8-81A8-8B511742BED8}">
          <x14:formula1>
            <xm:f>Purchased!$A:$A</xm:f>
          </x14:formula1>
          <xm:sqref>C17:C18 C8:C15</xm:sqref>
        </x14:dataValidation>
      </x14:dataValidations>
    </ext>
  </extLst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D9883-20A3-408F-9778-6ABEF8E0C889}">
  <sheetPr codeName="Sheet211">
    <tabColor theme="5" tint="0.59999389629810485"/>
  </sheetPr>
  <dimension ref="A1:Q9"/>
  <sheetViews>
    <sheetView zoomScale="115" zoomScaleNormal="115" workbookViewId="0">
      <selection activeCell="C12" sqref="C1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'0'!C14</f>
        <v>PG10.10.0.A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'0'!D14</f>
        <v>Delivery Assy</v>
      </c>
      <c r="D3" s="85" t="s">
        <v>50</v>
      </c>
      <c r="E3" s="86" t="str">
        <f ca="1">MID(CELL("filename",A1),FIND("]",CELL("filename",A1))+1,256)</f>
        <v>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1307</v>
      </c>
      <c r="D5" s="336" t="str">
        <f ca="1">VLOOKUP(C5,Assemblies!E:P,2,0)</f>
        <v>Delivery Frame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'10.1'!Q41</f>
        <v>6412.2465600000014</v>
      </c>
      <c r="Q5" s="118">
        <f>B5*P5</f>
        <v>6412.2465600000014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1308</v>
      </c>
      <c r="D6" s="314" t="str">
        <f ca="1">VLOOKUP(C6,Assemblies!E:P,2,0)</f>
        <v>Retracting Conveyor Assy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1</v>
      </c>
      <c r="P6" s="147">
        <f>'10.2'!Q46</f>
        <v>24366.784600000003</v>
      </c>
      <c r="Q6" s="103">
        <f>B6*P6</f>
        <v>24366.784600000003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1309</v>
      </c>
      <c r="D7" s="314" t="str">
        <f ca="1">VLOOKUP(C7,Assemblies!E:P,2,0)</f>
        <v>Indexing Conveyor Assemb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1</v>
      </c>
      <c r="P7" s="147">
        <f>'10.3'!Q27</f>
        <v>12100.282800000001</v>
      </c>
      <c r="Q7" s="103">
        <f>B7*P7</f>
        <v>12100.282800000001</v>
      </c>
    </row>
    <row r="8" spans="1:17" s="2" customFormat="1" ht="12.75" customHeight="1" thickBot="1" x14ac:dyDescent="0.25">
      <c r="A8" s="150" t="s">
        <v>60</v>
      </c>
      <c r="B8" s="1">
        <v>2</v>
      </c>
      <c r="C8" s="145" t="s">
        <v>369</v>
      </c>
      <c r="D8" s="314" t="str">
        <f ca="1">VLOOKUP(C8,Assemblies!E:P,2,0)</f>
        <v>Extrusion Joining Assy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2</v>
      </c>
      <c r="P8" s="147">
        <f>'2.1.1'!Q10</f>
        <v>45.83</v>
      </c>
      <c r="Q8" s="103">
        <f>B8*P8</f>
        <v>91.66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42970.97396000001</v>
      </c>
    </row>
  </sheetData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E0ABD5-497C-4C08-A338-1C232EDAED88}">
          <x14:formula1>
            <xm:f>Assemblies!$E:$E</xm:f>
          </x14:formula1>
          <xm:sqref>C5:C8</xm:sqref>
        </x14:dataValidation>
      </x14:dataValidations>
    </ext>
  </extLst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031C3-36FB-4C88-AD4B-A84623D53F6F}">
  <sheetPr codeName="Sheet212">
    <tabColor theme="9" tint="0.59999389629810485"/>
  </sheetPr>
  <dimension ref="A1:Q41"/>
  <sheetViews>
    <sheetView zoomScale="115" zoomScaleNormal="115" workbookViewId="0">
      <selection activeCell="R17" sqref="R1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'10'!C5</f>
        <v>PG10.10.1.0.A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'10'!D5</f>
        <v>Delivery Frame Assy</v>
      </c>
      <c r="D3" s="85" t="s">
        <v>50</v>
      </c>
      <c r="E3" s="86" t="str">
        <f ca="1">MID(CELL("filename",A1),FIND("]",CELL("filename",A1))+1,256)</f>
        <v>10.1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2</v>
      </c>
      <c r="C5" s="112" t="s">
        <v>1310</v>
      </c>
      <c r="D5" s="336" t="str">
        <f ca="1">VLOOKUP(C5,Assemblies!E:P,2,0)</f>
        <v>Retracting Conveyor Door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2</v>
      </c>
      <c r="P5" s="117">
        <f>'10.1.1'!Q22</f>
        <v>824.40000000000009</v>
      </c>
      <c r="Q5" s="118">
        <f>B5*P5</f>
        <v>1648.8000000000002</v>
      </c>
    </row>
    <row r="6" spans="1:17" s="2" customFormat="1" ht="12" customHeight="1" x14ac:dyDescent="0.2">
      <c r="A6" s="150" t="s">
        <v>56</v>
      </c>
      <c r="B6" s="1">
        <v>1</v>
      </c>
      <c r="C6" s="145" t="s">
        <v>1311</v>
      </c>
      <c r="D6" s="314" t="str">
        <f ca="1">VLOOKUP(C6,Assemblies!E:P,2,0)</f>
        <v>Bottom Guarding 1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1</v>
      </c>
      <c r="P6" s="147">
        <f>'10.1.2'!Q8</f>
        <v>105</v>
      </c>
      <c r="Q6" s="103">
        <f>B6*P6</f>
        <v>105</v>
      </c>
    </row>
    <row r="7" spans="1:17" s="2" customFormat="1" ht="12" customHeight="1" x14ac:dyDescent="0.2">
      <c r="A7" s="150" t="s">
        <v>58</v>
      </c>
      <c r="B7" s="1">
        <v>2</v>
      </c>
      <c r="C7" s="145" t="s">
        <v>1312</v>
      </c>
      <c r="D7" s="314" t="str">
        <f ca="1">VLOOKUP(C7,Assemblies!E:P,2,0)</f>
        <v>Bottom Guarding 2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2</v>
      </c>
      <c r="P7" s="147">
        <f>'10.1.3'!Q8</f>
        <v>120</v>
      </c>
      <c r="Q7" s="153">
        <f>B7*P7</f>
        <v>240</v>
      </c>
    </row>
    <row r="8" spans="1:17" s="2" customFormat="1" ht="12" customHeight="1" x14ac:dyDescent="0.2">
      <c r="A8" s="150" t="s">
        <v>60</v>
      </c>
      <c r="B8" s="1">
        <v>1</v>
      </c>
      <c r="C8" s="145" t="s">
        <v>1313</v>
      </c>
      <c r="D8" s="314" t="str">
        <f ca="1">VLOOKUP(C8,Assemblies!E:P,2,0)</f>
        <v>End Guarding Assem</v>
      </c>
      <c r="E8" s="347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1</v>
      </c>
      <c r="P8" s="147">
        <f>'10.1.4'!Q8</f>
        <v>155</v>
      </c>
      <c r="Q8" s="153">
        <f>B8*P8</f>
        <v>155</v>
      </c>
    </row>
    <row r="9" spans="1:17" s="1" customFormat="1" ht="12.75" customHeight="1" x14ac:dyDescent="0.2">
      <c r="A9" s="150" t="s">
        <v>62</v>
      </c>
      <c r="B9" s="1">
        <v>1</v>
      </c>
      <c r="C9" s="145" t="s">
        <v>1314</v>
      </c>
      <c r="D9" s="314" t="str">
        <f ca="1">VLOOKUP(C9,Assemblies!E:P,2,0)</f>
        <v>End Guard Sliding Door</v>
      </c>
      <c r="E9" s="347"/>
      <c r="F9" s="32"/>
      <c r="G9" s="32"/>
      <c r="H9" s="303"/>
      <c r="I9" s="303"/>
      <c r="J9" s="28"/>
      <c r="K9" s="28"/>
      <c r="L9" s="28"/>
      <c r="M9" s="28"/>
      <c r="N9" s="33"/>
      <c r="O9" s="146">
        <f t="shared" ref="O9:O17" ca="1" si="0">B9*$L$2</f>
        <v>1</v>
      </c>
      <c r="P9" s="147">
        <f>'10.1.5'!Q12</f>
        <v>80.016559999999998</v>
      </c>
      <c r="Q9" s="153">
        <f t="shared" ref="Q9:Q17" si="1">B9*P9</f>
        <v>80.016559999999998</v>
      </c>
    </row>
    <row r="10" spans="1:17" s="2" customFormat="1" ht="12.75" customHeight="1" x14ac:dyDescent="0.2">
      <c r="A10" s="150" t="s">
        <v>64</v>
      </c>
      <c r="B10" s="1">
        <v>2</v>
      </c>
      <c r="C10" s="145" t="s">
        <v>1315</v>
      </c>
      <c r="D10" s="314" t="str">
        <f ca="1">VLOOKUP(C10,Assemblies!E:P,2,0)</f>
        <v xml:space="preserve">End Bottom Guarding </v>
      </c>
      <c r="E10" s="315"/>
      <c r="F10" s="32"/>
      <c r="G10" s="32"/>
      <c r="H10" s="303"/>
      <c r="I10" s="303"/>
      <c r="J10" s="28"/>
      <c r="K10" s="28"/>
      <c r="L10" s="28"/>
      <c r="M10" s="28"/>
      <c r="N10" s="33"/>
      <c r="O10" s="146">
        <f t="shared" ca="1" si="0"/>
        <v>2</v>
      </c>
      <c r="P10" s="147">
        <f>'10.1.6'!Q8</f>
        <v>65</v>
      </c>
      <c r="Q10" s="153">
        <f t="shared" si="1"/>
        <v>130</v>
      </c>
    </row>
    <row r="11" spans="1:17" s="2" customFormat="1" ht="12.75" customHeight="1" x14ac:dyDescent="0.2">
      <c r="A11" s="150" t="s">
        <v>66</v>
      </c>
      <c r="B11" s="1">
        <v>1</v>
      </c>
      <c r="C11" s="145" t="s">
        <v>1316</v>
      </c>
      <c r="D11" s="314" t="str">
        <f ca="1">VLOOKUP(C11,Assemblies!E:P,2,0)</f>
        <v>Padle Conveyor Guarding</v>
      </c>
      <c r="E11" s="315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ca="1" si="0"/>
        <v>1</v>
      </c>
      <c r="P11" s="147">
        <f>'10.1.7'!Q8</f>
        <v>72</v>
      </c>
      <c r="Q11" s="103">
        <f t="shared" si="1"/>
        <v>72</v>
      </c>
    </row>
    <row r="12" spans="1:17" s="2" customFormat="1" ht="12.75" customHeight="1" x14ac:dyDescent="0.2">
      <c r="A12" s="150" t="s">
        <v>68</v>
      </c>
      <c r="B12" s="1">
        <v>1</v>
      </c>
      <c r="C12" s="145" t="s">
        <v>1317</v>
      </c>
      <c r="D12" s="314" t="str">
        <f ca="1">VLOOKUP(C12,Assemblies!E:P,2,0)</f>
        <v>Bottom Guarding Motor Cut Out</v>
      </c>
      <c r="E12" s="315"/>
      <c r="F12" s="32"/>
      <c r="G12" s="32"/>
      <c r="H12" s="303"/>
      <c r="I12" s="303"/>
      <c r="J12" s="28"/>
      <c r="K12" s="28"/>
      <c r="L12" s="28"/>
      <c r="M12" s="28"/>
      <c r="N12" s="33"/>
      <c r="O12" s="146">
        <f ca="1">B12*$L$2</f>
        <v>1</v>
      </c>
      <c r="P12" s="147">
        <f>'10.1.8'!Q8</f>
        <v>100</v>
      </c>
      <c r="Q12" s="103">
        <f>B12*P12</f>
        <v>100</v>
      </c>
    </row>
    <row r="13" spans="1:17" s="2" customFormat="1" ht="12.75" customHeight="1" x14ac:dyDescent="0.2">
      <c r="A13" s="150" t="s">
        <v>70</v>
      </c>
      <c r="B13" s="1">
        <v>1</v>
      </c>
      <c r="C13" s="145" t="s">
        <v>1318</v>
      </c>
      <c r="D13" s="314" t="str">
        <f ca="1">VLOOKUP(C13,Assemblies!E:P,2,0)</f>
        <v>Bag Edge Sensor Assem</v>
      </c>
      <c r="E13" s="315"/>
      <c r="F13" s="32"/>
      <c r="G13" s="32"/>
      <c r="H13" s="303"/>
      <c r="I13" s="303"/>
      <c r="J13" s="28"/>
      <c r="K13" s="28"/>
      <c r="L13" s="28"/>
      <c r="M13" s="28"/>
      <c r="N13" s="33"/>
      <c r="O13" s="146">
        <f t="shared" ref="O13" ca="1" si="2">B13*$L$2</f>
        <v>1</v>
      </c>
      <c r="P13" s="147">
        <f>'10.1.9'!Q20</f>
        <v>606.65000000000009</v>
      </c>
      <c r="Q13" s="103">
        <f t="shared" ref="Q13" si="3">B13*P13</f>
        <v>606.65000000000009</v>
      </c>
    </row>
    <row r="14" spans="1:17" s="2" customFormat="1" ht="12.75" customHeight="1" x14ac:dyDescent="0.2">
      <c r="A14" s="150" t="s">
        <v>72</v>
      </c>
      <c r="B14" s="1">
        <v>1</v>
      </c>
      <c r="C14" s="145" t="s">
        <v>1319</v>
      </c>
      <c r="D14" s="314" t="str">
        <f ca="1">VLOOKUP(C14,Assemblies!E:P,2,0)</f>
        <v>Static Mitigation Assy</v>
      </c>
      <c r="E14" s="315"/>
      <c r="F14" s="32"/>
      <c r="G14" s="32"/>
      <c r="H14" s="303"/>
      <c r="I14" s="303"/>
      <c r="J14" s="28"/>
      <c r="K14" s="28"/>
      <c r="L14" s="28"/>
      <c r="M14" s="28"/>
      <c r="N14" s="33"/>
      <c r="O14" s="146">
        <f ca="1">B14*$L$2</f>
        <v>1</v>
      </c>
      <c r="P14" s="147">
        <f>'10.1.10'!Q13</f>
        <v>1518.68</v>
      </c>
      <c r="Q14" s="103">
        <f>B14*P14</f>
        <v>1518.68</v>
      </c>
    </row>
    <row r="15" spans="1:17" s="2" customFormat="1" ht="12.75" customHeight="1" x14ac:dyDescent="0.2">
      <c r="A15" s="150" t="s">
        <v>74</v>
      </c>
      <c r="B15" s="1">
        <v>1</v>
      </c>
      <c r="C15" s="145" t="s">
        <v>1320</v>
      </c>
      <c r="D15" s="314" t="str">
        <f ca="1">VLOOKUP(C15,Assemblies!E:P,2,0)</f>
        <v>End Bottom Guard Assemy</v>
      </c>
      <c r="E15" s="315"/>
      <c r="F15" s="32"/>
      <c r="G15" s="32"/>
      <c r="H15" s="303"/>
      <c r="I15" s="303"/>
      <c r="J15" s="28"/>
      <c r="K15" s="28"/>
      <c r="L15" s="28"/>
      <c r="M15" s="28"/>
      <c r="N15" s="33"/>
      <c r="O15" s="146">
        <f t="shared" ca="1" si="0"/>
        <v>1</v>
      </c>
      <c r="P15" s="147">
        <f>'10.1.11'!Q8</f>
        <v>95</v>
      </c>
      <c r="Q15" s="103">
        <f t="shared" si="1"/>
        <v>95</v>
      </c>
    </row>
    <row r="16" spans="1:17" s="2" customFormat="1" ht="12.75" customHeight="1" x14ac:dyDescent="0.2">
      <c r="A16" s="150" t="s">
        <v>76</v>
      </c>
      <c r="B16" s="1">
        <v>6</v>
      </c>
      <c r="C16" s="145" t="s">
        <v>1321</v>
      </c>
      <c r="D16" s="314" t="str">
        <f ca="1">VLOOKUP(C16,Assemblies!E:P,2,0)</f>
        <v>M12 Leveling Foot Assy 100mm</v>
      </c>
      <c r="E16" s="315"/>
      <c r="F16" s="32"/>
      <c r="G16" s="32"/>
      <c r="H16" s="303"/>
      <c r="I16" s="303"/>
      <c r="J16" s="28"/>
      <c r="K16" s="28"/>
      <c r="L16" s="28"/>
      <c r="M16" s="28"/>
      <c r="N16" s="33"/>
      <c r="O16" s="146">
        <f t="shared" ref="O16" ca="1" si="4">B16*$L$2</f>
        <v>6</v>
      </c>
      <c r="P16" s="147">
        <f>'10.1.12'!Q11</f>
        <v>65.58</v>
      </c>
      <c r="Q16" s="103">
        <f t="shared" ref="Q16" si="5">B16*P16</f>
        <v>393.48</v>
      </c>
    </row>
    <row r="17" spans="1:17" s="2" customFormat="1" ht="12.75" customHeight="1" x14ac:dyDescent="0.2">
      <c r="A17" s="150" t="s">
        <v>78</v>
      </c>
      <c r="B17" s="1">
        <v>1</v>
      </c>
      <c r="C17" s="145" t="s">
        <v>1322</v>
      </c>
      <c r="D17" s="314" t="str">
        <f ca="1">VLOOKUP(C17,Assemblies!E:P,2,0)</f>
        <v>Twin Wall Top Guard 9</v>
      </c>
      <c r="E17" s="315"/>
      <c r="F17" s="32"/>
      <c r="G17" s="32"/>
      <c r="H17" s="303"/>
      <c r="I17" s="303"/>
      <c r="J17" s="28"/>
      <c r="K17" s="28"/>
      <c r="L17" s="28"/>
      <c r="M17" s="28"/>
      <c r="N17" s="33"/>
      <c r="O17" s="146">
        <f t="shared" ca="1" si="0"/>
        <v>1</v>
      </c>
      <c r="P17" s="147">
        <f>'10.1.13'!Q8</f>
        <v>340.68</v>
      </c>
      <c r="Q17" s="103">
        <f t="shared" si="1"/>
        <v>340.68</v>
      </c>
    </row>
    <row r="18" spans="1:17" s="2" customFormat="1" ht="12.75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301</v>
      </c>
      <c r="B19" s="2">
        <v>140</v>
      </c>
      <c r="C19" s="135" t="s">
        <v>149</v>
      </c>
      <c r="D19" s="325" t="str">
        <f>VLOOKUP(C19,Purchased!A:B,2,0)</f>
        <v>BRX GOTO QUICK CONNECTOR N10 0°</v>
      </c>
      <c r="E19" s="326"/>
      <c r="F19" s="108" t="str">
        <f>IF(VLOOKUP($C19,Purchased!A:Z,11,0) = 0, " ", VLOOKUP($C19,Purchased!A:Z,11,0))</f>
        <v>T-SLOTS</v>
      </c>
      <c r="G19" s="108" t="str">
        <f>IF(VLOOKUP($C19,Purchased!A:Z,12,0)=0, " ", VLOOKUP($C19,Purchased!A:Z,12,0))</f>
        <v>Process Tech</v>
      </c>
      <c r="H19" s="327" t="str">
        <f>IF(VLOOKUP($C19,Purchased!A:Z,13,0)=0, " ", VLOOKUP($C19,Purchased!A:Z,13,0))</f>
        <v>500 More on P.O. #55639 Part# 659730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45362</v>
      </c>
      <c r="M19" s="46">
        <f>IF(VLOOKUP(C19,Purchased!A:R,16,0)=0, " ",VLOOKUP(C19,Purchased!A:R,16,0))</f>
        <v>45378</v>
      </c>
      <c r="N19" s="130">
        <f>IF(VLOOKUP(C19,Purchased!A:R,17,0)=0, " ", VLOOKUP(C19,Purchased!A:R,17,0))</f>
        <v>45378</v>
      </c>
      <c r="O19" s="47">
        <f t="shared" ref="O19:O21" ca="1" si="6">B19*$L$2</f>
        <v>140</v>
      </c>
      <c r="P19" s="51">
        <f>VLOOKUP(C19,Purchased!A:D,3,FALSE)</f>
        <v>4.17</v>
      </c>
      <c r="Q19" s="52">
        <f t="shared" ref="Q19:Q21" si="7">B19*P19</f>
        <v>583.79999999999995</v>
      </c>
    </row>
    <row r="20" spans="1:17" s="2" customFormat="1" ht="12" customHeight="1" x14ac:dyDescent="0.25">
      <c r="A20" s="4">
        <v>302</v>
      </c>
      <c r="B20" s="2">
        <v>50</v>
      </c>
      <c r="C20" s="135">
        <v>3842535466</v>
      </c>
      <c r="D20" s="325" t="str">
        <f>VLOOKUP(C20,Purchased!A:B,2,0)</f>
        <v>BRX GOTO QUICK CONNECTOR N10 90°</v>
      </c>
      <c r="E20" s="326"/>
      <c r="F20" s="108" t="str">
        <f>IF(VLOOKUP($C20,Purchased!A:Z,11,0) = 0, " ", VLOOKUP($C20,Purchased!A:Z,11,0))</f>
        <v>T-SLOTS</v>
      </c>
      <c r="G20" s="108" t="str">
        <f>IF(VLOOKUP($C20,Purchased!A:Z,12,0)=0, " ", VLOOKUP($C20,Purchased!A:Z,12,0))</f>
        <v>Process Tech</v>
      </c>
      <c r="H20" s="327" t="str">
        <f>IF(VLOOKUP($C20,Purchased!A:Z,13,0)=0, " ", VLOOKUP($C20,Purchased!A:Z,13,0))</f>
        <v>Ordered 300 8/29/24 JP</v>
      </c>
      <c r="I20" s="328"/>
      <c r="J20" s="46" t="str">
        <f>IF(VLOOKUP($C20,Purchased!A:Z,14,0)=0, " ", VLOOKUP($C20,Purchased!A:Z,14,0))</f>
        <v>N/A</v>
      </c>
      <c r="K20" s="46" t="str">
        <f>IF(VLOOKUP(C20,Purchased!A:R,14,0)=0, " ", VLOOKUP(C20,Purchased!A:R,14,0))</f>
        <v>N/A</v>
      </c>
      <c r="L20" s="46">
        <f>IF(VLOOKUP(C20,Purchased!A:R,15,0)=0, " ", VLOOKUP(C20,Purchased!A:R,15,0))</f>
        <v>45533</v>
      </c>
      <c r="M20" s="46">
        <f>IF(VLOOKUP(C20,Purchased!A:R,16,0)=0, " ",VLOOKUP(C20,Purchased!A:R,16,0))</f>
        <v>45540</v>
      </c>
      <c r="N20" s="130" t="str">
        <f>IF(VLOOKUP(C20,Purchased!A:R,17,0)=0, " ", VLOOKUP(C20,Purchased!A:R,17,0))</f>
        <v xml:space="preserve"> </v>
      </c>
      <c r="O20" s="47">
        <f t="shared" ca="1" si="6"/>
        <v>50</v>
      </c>
      <c r="P20" s="51">
        <f>VLOOKUP(C20,Purchased!A:D,3,FALSE)</f>
        <v>4.17</v>
      </c>
      <c r="Q20" s="52">
        <f t="shared" si="7"/>
        <v>208.5</v>
      </c>
    </row>
    <row r="21" spans="1:17" s="2" customFormat="1" ht="12" customHeight="1" x14ac:dyDescent="0.25">
      <c r="A21" s="4">
        <v>303</v>
      </c>
      <c r="B21" s="2">
        <v>8</v>
      </c>
      <c r="C21" s="135">
        <v>3842548758</v>
      </c>
      <c r="D21" s="325" t="str">
        <f>VLOOKUP(C21,Purchased!A:B,2,0)</f>
        <v>BRX 3842548758 Cover Cap 90x90 Grey</v>
      </c>
      <c r="E21" s="326"/>
      <c r="F21" s="108" t="str">
        <f>IF(VLOOKUP($C21,Purchased!A:Z,11,0) = 0, " ", VLOOKUP($C21,Purchased!A:Z,11,0))</f>
        <v>BRX</v>
      </c>
      <c r="G21" s="108" t="str">
        <f>IF(VLOOKUP($C21,Purchased!A:Z,12,0)=0, " ", VLOOKUP($C21,Purchased!A:Z,12,0))</f>
        <v>AAP</v>
      </c>
      <c r="H21" s="327" t="str">
        <f>IF(VLOOKUP($C21,Purchased!A:Z,13,0)=0, " ", VLOOKUP($C21,Purchased!A:Z,13,0))</f>
        <v xml:space="preserve"> </v>
      </c>
      <c r="I21" s="328"/>
      <c r="J21" s="46" t="str">
        <f>IF(VLOOKUP($C21,Purchased!A:Z,14,0)=0, " ", VLOOKUP($C21,Purchased!A:Z,14,0))</f>
        <v>N/A</v>
      </c>
      <c r="K21" s="46" t="str">
        <f>IF(VLOOKUP(C21,Purchased!A:R,14,0)=0, " ", VLOOKUP(C21,Purchased!A:R,14,0))</f>
        <v>N/A</v>
      </c>
      <c r="L21" s="46">
        <f>IF(VLOOKUP(C21,Purchased!A:R,15,0)=0, " ", VLOOKUP(C21,Purchased!A:R,15,0))</f>
        <v>45524</v>
      </c>
      <c r="M21" s="46">
        <f>IF(VLOOKUP(C21,Purchased!A:R,16,0)=0, " ",VLOOKUP(C21,Purchased!A:R,16,0))</f>
        <v>45547</v>
      </c>
      <c r="N21" s="130" t="str">
        <f>IF(VLOOKUP(C21,Purchased!A:R,17,0)=0, " ", VLOOKUP(C21,Purchased!A:R,17,0))</f>
        <v xml:space="preserve"> </v>
      </c>
      <c r="O21" s="47">
        <f t="shared" ca="1" si="6"/>
        <v>8</v>
      </c>
      <c r="P21" s="51">
        <f>VLOOKUP(C21,Purchased!A:D,3,FALSE)</f>
        <v>2.83</v>
      </c>
      <c r="Q21" s="52">
        <f t="shared" si="7"/>
        <v>22.64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25"/>
      <c r="B23" s="26"/>
      <c r="C23" s="26"/>
      <c r="D23" s="332"/>
      <c r="E23" s="333"/>
      <c r="F23" s="26"/>
      <c r="G23" s="26"/>
      <c r="H23" s="322"/>
      <c r="I23" s="323"/>
      <c r="J23" s="27"/>
      <c r="K23" s="27"/>
      <c r="L23" s="27"/>
      <c r="M23" s="28"/>
      <c r="N23" s="29"/>
      <c r="O23" s="29"/>
      <c r="P23" s="148"/>
      <c r="Q23" s="149"/>
    </row>
    <row r="24" spans="1:17" s="2" customFormat="1" ht="12" customHeight="1" x14ac:dyDescent="0.25">
      <c r="A24" s="4">
        <v>701</v>
      </c>
      <c r="B24" s="2">
        <v>2</v>
      </c>
      <c r="C24" s="123" t="s">
        <v>1323</v>
      </c>
      <c r="D24" s="325" t="str">
        <f>VLOOKUP(C24,Extrusion!B:C,2,0)</f>
        <v>APPROVED EL 8/1</v>
      </c>
      <c r="E24" s="326"/>
      <c r="F24" s="108" t="str">
        <f ca="1">VLOOKUP(C24,Extrusion!B:N,5,0)</f>
        <v>YES</v>
      </c>
      <c r="G24" s="108">
        <f>VLOOKUP(C24,Extrusion!B:N,6,0)</f>
        <v>1</v>
      </c>
      <c r="H24" s="108">
        <f>VLOOKUP(C24,Extrusion!B:N,7,0)</f>
        <v>0</v>
      </c>
      <c r="I24" s="109"/>
      <c r="J24" s="46" t="str">
        <f>VLOOKUP(C24,Extrusion!B:N,8,0)</f>
        <v>T-Slots</v>
      </c>
      <c r="K24" s="46">
        <f>VLOOKUP(C24,Extrusion!B:N,9,0)</f>
        <v>0</v>
      </c>
      <c r="L24" s="46">
        <f>VLOOKUP(C24,Extrusion!B:N,10,0)</f>
        <v>0</v>
      </c>
      <c r="M24" s="46">
        <f>VLOOKUP(C24,Extrusion!B:N,11,0)</f>
        <v>0</v>
      </c>
      <c r="N24" s="47">
        <f>VLOOKUP(C24,Extrusion!B:O,12,0)</f>
        <v>0</v>
      </c>
      <c r="O24" s="47">
        <f t="shared" ref="O24" ca="1" si="8">B24*$L$2</f>
        <v>2</v>
      </c>
      <c r="P24" s="51">
        <f>VLOOKUP(C24,Extrusion!B:G,4,0)</f>
        <v>0</v>
      </c>
      <c r="Q24" s="52">
        <f t="shared" ref="Q24" si="9">B24*P24</f>
        <v>0</v>
      </c>
    </row>
    <row r="25" spans="1:17" s="2" customFormat="1" ht="12" customHeight="1" x14ac:dyDescent="0.25">
      <c r="A25" s="4">
        <v>702</v>
      </c>
      <c r="B25" s="2">
        <v>2</v>
      </c>
      <c r="C25" s="123" t="s">
        <v>1324</v>
      </c>
      <c r="D25" s="325" t="str">
        <f>VLOOKUP(C25,Extrusion!B:C,2,0)</f>
        <v>APPROVED EL 8/1</v>
      </c>
      <c r="E25" s="326"/>
      <c r="F25" s="108" t="str">
        <f ca="1">VLOOKUP(C25,Extrusion!B:N,5,0)</f>
        <v/>
      </c>
      <c r="G25" s="108">
        <f>VLOOKUP(C25,Extrusion!B:N,6,0)</f>
        <v>1</v>
      </c>
      <c r="H25" s="108">
        <f>VLOOKUP(C25,Extrusion!B:N,7,0)</f>
        <v>0</v>
      </c>
      <c r="I25" s="109"/>
      <c r="J25" s="46" t="str">
        <f>VLOOKUP(C25,Extrusion!B:N,8,0)</f>
        <v>T-Slots</v>
      </c>
      <c r="K25" s="46">
        <f>VLOOKUP(C25,Extrusion!B:N,9,0)</f>
        <v>0</v>
      </c>
      <c r="L25" s="46">
        <f>VLOOKUP(C25,Extrusion!B:N,10,0)</f>
        <v>0</v>
      </c>
      <c r="M25" s="46">
        <f>VLOOKUP(C25,Extrusion!B:N,11,0)</f>
        <v>0</v>
      </c>
      <c r="N25" s="47">
        <f>VLOOKUP(C25,Extrusion!B:O,12,0)</f>
        <v>0</v>
      </c>
      <c r="O25" s="47">
        <f t="shared" ref="O25:O40" ca="1" si="10">B25*$L$2</f>
        <v>2</v>
      </c>
      <c r="P25" s="51">
        <f>VLOOKUP(C25,Extrusion!B:G,4,0)</f>
        <v>2</v>
      </c>
      <c r="Q25" s="52">
        <f t="shared" ref="Q25:Q40" si="11">B25*P25</f>
        <v>4</v>
      </c>
    </row>
    <row r="26" spans="1:17" s="2" customFormat="1" ht="12" customHeight="1" x14ac:dyDescent="0.25">
      <c r="A26" s="4">
        <v>703</v>
      </c>
      <c r="B26" s="2">
        <v>3</v>
      </c>
      <c r="C26" s="123" t="s">
        <v>1325</v>
      </c>
      <c r="D26" s="325" t="str">
        <f>VLOOKUP(C26,Extrusion!B:C,2,0)</f>
        <v>APPROVED EL 8/1</v>
      </c>
      <c r="E26" s="326"/>
      <c r="F26" s="108" t="str">
        <f ca="1">VLOOKUP(C26,Extrusion!B:N,5,0)</f>
        <v/>
      </c>
      <c r="G26" s="108">
        <f>VLOOKUP(C26,Extrusion!B:N,6,0)</f>
        <v>1</v>
      </c>
      <c r="H26" s="108">
        <f>VLOOKUP(C26,Extrusion!B:N,7,0)</f>
        <v>0</v>
      </c>
      <c r="I26" s="109"/>
      <c r="J26" s="46" t="str">
        <f>VLOOKUP(C26,Extrusion!B:N,8,0)</f>
        <v>T-Slots</v>
      </c>
      <c r="K26" s="46">
        <f>VLOOKUP(C26,Extrusion!B:N,9,0)</f>
        <v>0</v>
      </c>
      <c r="L26" s="46">
        <f>VLOOKUP(C26,Extrusion!B:N,10,0)</f>
        <v>0</v>
      </c>
      <c r="M26" s="46">
        <f>VLOOKUP(C26,Extrusion!B:N,11,0)</f>
        <v>0</v>
      </c>
      <c r="N26" s="47">
        <f>VLOOKUP(C26,Extrusion!B:O,12,0)</f>
        <v>0</v>
      </c>
      <c r="O26" s="47">
        <f t="shared" ca="1" si="10"/>
        <v>3</v>
      </c>
      <c r="P26" s="51">
        <f>VLOOKUP(C26,Extrusion!B:G,4,0)</f>
        <v>3</v>
      </c>
      <c r="Q26" s="52">
        <f t="shared" si="11"/>
        <v>9</v>
      </c>
    </row>
    <row r="27" spans="1:17" s="2" customFormat="1" ht="12" customHeight="1" x14ac:dyDescent="0.25">
      <c r="A27" s="4">
        <v>704</v>
      </c>
      <c r="B27" s="2">
        <v>2</v>
      </c>
      <c r="C27" s="123" t="s">
        <v>1326</v>
      </c>
      <c r="D27" s="325" t="str">
        <f>VLOOKUP(C27,Extrusion!B:C,2,0)</f>
        <v>APPROVED EL 8/1</v>
      </c>
      <c r="E27" s="326"/>
      <c r="F27" s="108" t="str">
        <f ca="1">VLOOKUP(C27,Extrusion!B:N,5,0)</f>
        <v/>
      </c>
      <c r="G27" s="108">
        <f>VLOOKUP(C27,Extrusion!B:N,6,0)</f>
        <v>1</v>
      </c>
      <c r="H27" s="108">
        <f>VLOOKUP(C27,Extrusion!B:N,7,0)</f>
        <v>0</v>
      </c>
      <c r="I27" s="109"/>
      <c r="J27" s="46" t="str">
        <f>VLOOKUP(C27,Extrusion!B:N,8,0)</f>
        <v>T-Slots</v>
      </c>
      <c r="K27" s="46">
        <f>VLOOKUP(C27,Extrusion!B:N,9,0)</f>
        <v>0</v>
      </c>
      <c r="L27" s="46">
        <f>VLOOKUP(C27,Extrusion!B:N,10,0)</f>
        <v>0</v>
      </c>
      <c r="M27" s="46">
        <f>VLOOKUP(C27,Extrusion!B:N,11,0)</f>
        <v>0</v>
      </c>
      <c r="N27" s="47">
        <f>VLOOKUP(C27,Extrusion!B:O,12,0)</f>
        <v>0</v>
      </c>
      <c r="O27" s="47">
        <f t="shared" ca="1" si="10"/>
        <v>2</v>
      </c>
      <c r="P27" s="51">
        <f>VLOOKUP(C27,Extrusion!B:G,4,0)</f>
        <v>2</v>
      </c>
      <c r="Q27" s="52">
        <f t="shared" si="11"/>
        <v>4</v>
      </c>
    </row>
    <row r="28" spans="1:17" s="2" customFormat="1" ht="12" customHeight="1" x14ac:dyDescent="0.25">
      <c r="A28" s="4">
        <v>705</v>
      </c>
      <c r="B28" s="2">
        <v>4</v>
      </c>
      <c r="C28" s="123" t="s">
        <v>1327</v>
      </c>
      <c r="D28" s="325" t="str">
        <f>VLOOKUP(C28,Extrusion!B:C,2,0)</f>
        <v>APPROVED EL 8/1</v>
      </c>
      <c r="E28" s="326"/>
      <c r="F28" s="108" t="str">
        <f ca="1">VLOOKUP(C28,Extrusion!B:N,5,0)</f>
        <v/>
      </c>
      <c r="G28" s="108">
        <f>VLOOKUP(C28,Extrusion!B:N,6,0)</f>
        <v>1</v>
      </c>
      <c r="H28" s="108">
        <f>VLOOKUP(C28,Extrusion!B:N,7,0)</f>
        <v>0</v>
      </c>
      <c r="I28" s="109"/>
      <c r="J28" s="46" t="str">
        <f>VLOOKUP(C28,Extrusion!B:N,8,0)</f>
        <v>T-Slots</v>
      </c>
      <c r="K28" s="46">
        <f>VLOOKUP(C28,Extrusion!B:N,9,0)</f>
        <v>0</v>
      </c>
      <c r="L28" s="46">
        <f>VLOOKUP(C28,Extrusion!B:N,10,0)</f>
        <v>0</v>
      </c>
      <c r="M28" s="46">
        <f>VLOOKUP(C28,Extrusion!B:N,11,0)</f>
        <v>0</v>
      </c>
      <c r="N28" s="47">
        <f>VLOOKUP(C28,Extrusion!B:O,12,0)</f>
        <v>0</v>
      </c>
      <c r="O28" s="47">
        <f t="shared" ca="1" si="10"/>
        <v>4</v>
      </c>
      <c r="P28" s="51">
        <f>VLOOKUP(C28,Extrusion!B:G,4,0)</f>
        <v>4</v>
      </c>
      <c r="Q28" s="52">
        <f t="shared" si="11"/>
        <v>16</v>
      </c>
    </row>
    <row r="29" spans="1:17" s="2" customFormat="1" ht="12" customHeight="1" x14ac:dyDescent="0.25">
      <c r="A29" s="4">
        <v>706</v>
      </c>
      <c r="B29" s="2">
        <v>2</v>
      </c>
      <c r="C29" s="123" t="s">
        <v>1328</v>
      </c>
      <c r="D29" s="325" t="str">
        <f>VLOOKUP(C29,Extrusion!B:C,2,0)</f>
        <v>APPROVED EL 8/1</v>
      </c>
      <c r="E29" s="326"/>
      <c r="F29" s="108" t="str">
        <f ca="1">VLOOKUP(C29,Extrusion!B:N,5,0)</f>
        <v/>
      </c>
      <c r="G29" s="108">
        <f>VLOOKUP(C29,Extrusion!B:N,6,0)</f>
        <v>1</v>
      </c>
      <c r="H29" s="108">
        <f>VLOOKUP(C29,Extrusion!B:N,7,0)</f>
        <v>0</v>
      </c>
      <c r="I29" s="109"/>
      <c r="J29" s="46" t="str">
        <f>VLOOKUP(C29,Extrusion!B:N,8,0)</f>
        <v>T-Slots</v>
      </c>
      <c r="K29" s="46">
        <f>VLOOKUP(C29,Extrusion!B:N,9,0)</f>
        <v>0</v>
      </c>
      <c r="L29" s="46">
        <f>VLOOKUP(C29,Extrusion!B:N,10,0)</f>
        <v>0</v>
      </c>
      <c r="M29" s="46">
        <f>VLOOKUP(C29,Extrusion!B:N,11,0)</f>
        <v>0</v>
      </c>
      <c r="N29" s="47">
        <f>VLOOKUP(C29,Extrusion!B:O,12,0)</f>
        <v>0</v>
      </c>
      <c r="O29" s="47">
        <f t="shared" ca="1" si="10"/>
        <v>2</v>
      </c>
      <c r="P29" s="51">
        <f>VLOOKUP(C29,Extrusion!B:G,4,0)</f>
        <v>2</v>
      </c>
      <c r="Q29" s="52">
        <f t="shared" si="11"/>
        <v>4</v>
      </c>
    </row>
    <row r="30" spans="1:17" s="2" customFormat="1" ht="12" customHeight="1" x14ac:dyDescent="0.25">
      <c r="A30" s="4">
        <v>707</v>
      </c>
      <c r="B30" s="2">
        <v>2</v>
      </c>
      <c r="C30" s="123" t="s">
        <v>1329</v>
      </c>
      <c r="D30" s="325" t="str">
        <f>VLOOKUP(C30,Extrusion!B:C,2,0)</f>
        <v>APPROVED EL 8/1</v>
      </c>
      <c r="E30" s="326"/>
      <c r="F30" s="108" t="str">
        <f ca="1">VLOOKUP(C30,Extrusion!B:N,5,0)</f>
        <v/>
      </c>
      <c r="G30" s="108">
        <f>VLOOKUP(C30,Extrusion!B:N,6,0)</f>
        <v>1</v>
      </c>
      <c r="H30" s="108">
        <f>VLOOKUP(C30,Extrusion!B:N,7,0)</f>
        <v>0</v>
      </c>
      <c r="I30" s="109"/>
      <c r="J30" s="46" t="str">
        <f>VLOOKUP(C30,Extrusion!B:N,8,0)</f>
        <v>T-Slots</v>
      </c>
      <c r="K30" s="46">
        <f>VLOOKUP(C30,Extrusion!B:N,9,0)</f>
        <v>0</v>
      </c>
      <c r="L30" s="46">
        <f>VLOOKUP(C30,Extrusion!B:N,10,0)</f>
        <v>0</v>
      </c>
      <c r="M30" s="46">
        <f>VLOOKUP(C30,Extrusion!B:N,11,0)</f>
        <v>0</v>
      </c>
      <c r="N30" s="47">
        <f>VLOOKUP(C30,Extrusion!B:O,12,0)</f>
        <v>0</v>
      </c>
      <c r="O30" s="47">
        <f t="shared" ca="1" si="10"/>
        <v>2</v>
      </c>
      <c r="P30" s="51">
        <f>VLOOKUP(C30,Extrusion!B:G,4,0)</f>
        <v>2</v>
      </c>
      <c r="Q30" s="52">
        <f t="shared" si="11"/>
        <v>4</v>
      </c>
    </row>
    <row r="31" spans="1:17" s="2" customFormat="1" ht="12" customHeight="1" x14ac:dyDescent="0.25">
      <c r="A31" s="4">
        <v>708</v>
      </c>
      <c r="B31" s="2">
        <v>2</v>
      </c>
      <c r="C31" s="123" t="s">
        <v>1330</v>
      </c>
      <c r="D31" s="325" t="str">
        <f>VLOOKUP(C31,Extrusion!B:C,2,0)</f>
        <v>APPROVED EL 8/7</v>
      </c>
      <c r="E31" s="326"/>
      <c r="F31" s="108" t="str">
        <f ca="1">VLOOKUP(C31,Extrusion!B:N,5,0)</f>
        <v/>
      </c>
      <c r="G31" s="108">
        <f>VLOOKUP(C31,Extrusion!B:N,6,0)</f>
        <v>1</v>
      </c>
      <c r="H31" s="108">
        <f>VLOOKUP(C31,Extrusion!B:N,7,0)</f>
        <v>0</v>
      </c>
      <c r="I31" s="109"/>
      <c r="J31" s="46" t="str">
        <f>VLOOKUP(C31,Extrusion!B:N,8,0)</f>
        <v>T-Slots</v>
      </c>
      <c r="K31" s="46">
        <f>VLOOKUP(C31,Extrusion!B:N,9,0)</f>
        <v>0</v>
      </c>
      <c r="L31" s="46">
        <f>VLOOKUP(C31,Extrusion!B:N,10,0)</f>
        <v>0</v>
      </c>
      <c r="M31" s="46">
        <f>VLOOKUP(C31,Extrusion!B:N,11,0)</f>
        <v>0</v>
      </c>
      <c r="N31" s="47">
        <f>VLOOKUP(C31,Extrusion!B:O,12,0)</f>
        <v>0</v>
      </c>
      <c r="O31" s="47">
        <f t="shared" ref="O31" ca="1" si="12">B31*$L$2</f>
        <v>2</v>
      </c>
      <c r="P31" s="51">
        <f>VLOOKUP(C31,Extrusion!B:G,4,0)</f>
        <v>2</v>
      </c>
      <c r="Q31" s="52">
        <f t="shared" ref="Q31" si="13">B31*P31</f>
        <v>4</v>
      </c>
    </row>
    <row r="32" spans="1:17" s="2" customFormat="1" ht="12" customHeight="1" x14ac:dyDescent="0.25">
      <c r="A32" s="4">
        <v>709</v>
      </c>
      <c r="B32" s="2">
        <v>4</v>
      </c>
      <c r="C32" s="123" t="s">
        <v>1331</v>
      </c>
      <c r="D32" s="325" t="str">
        <f>VLOOKUP(C32,Extrusion!B:C,2,0)</f>
        <v>APPROVED EL 8/1</v>
      </c>
      <c r="E32" s="326"/>
      <c r="F32" s="108" t="str">
        <f ca="1">VLOOKUP(C32,Extrusion!B:N,5,0)</f>
        <v/>
      </c>
      <c r="G32" s="108">
        <f>VLOOKUP(C32,Extrusion!B:N,6,0)</f>
        <v>1</v>
      </c>
      <c r="H32" s="108">
        <f>VLOOKUP(C32,Extrusion!B:N,7,0)</f>
        <v>0</v>
      </c>
      <c r="I32" s="109"/>
      <c r="J32" s="46" t="str">
        <f>VLOOKUP(C32,Extrusion!B:N,8,0)</f>
        <v>T-Slots</v>
      </c>
      <c r="K32" s="46">
        <f>VLOOKUP(C32,Extrusion!B:N,9,0)</f>
        <v>0</v>
      </c>
      <c r="L32" s="46">
        <f>VLOOKUP(C32,Extrusion!B:N,10,0)</f>
        <v>0</v>
      </c>
      <c r="M32" s="46">
        <f>VLOOKUP(C32,Extrusion!B:N,11,0)</f>
        <v>0</v>
      </c>
      <c r="N32" s="47">
        <f>VLOOKUP(C32,Extrusion!B:O,12,0)</f>
        <v>0</v>
      </c>
      <c r="O32" s="47">
        <f t="shared" ca="1" si="10"/>
        <v>4</v>
      </c>
      <c r="P32" s="51">
        <f>VLOOKUP(C32,Extrusion!B:G,4,0)</f>
        <v>4</v>
      </c>
      <c r="Q32" s="52">
        <f t="shared" si="11"/>
        <v>16</v>
      </c>
    </row>
    <row r="33" spans="1:17" s="2" customFormat="1" ht="12" customHeight="1" x14ac:dyDescent="0.25">
      <c r="A33" s="4">
        <v>710</v>
      </c>
      <c r="B33" s="2">
        <v>5</v>
      </c>
      <c r="C33" s="123" t="s">
        <v>1332</v>
      </c>
      <c r="D33" s="325" t="str">
        <f>VLOOKUP(C33,Extrusion!B:C,2,0)</f>
        <v>APPROVED EL 8/1</v>
      </c>
      <c r="E33" s="326"/>
      <c r="F33" s="108" t="str">
        <f ca="1">VLOOKUP(C33,Extrusion!B:N,5,0)</f>
        <v/>
      </c>
      <c r="G33" s="108">
        <f>VLOOKUP(C33,Extrusion!B:N,6,0)</f>
        <v>1</v>
      </c>
      <c r="H33" s="108">
        <f>VLOOKUP(C33,Extrusion!B:N,7,0)</f>
        <v>0</v>
      </c>
      <c r="I33" s="109"/>
      <c r="J33" s="46" t="str">
        <f>VLOOKUP(C33,Extrusion!B:N,8,0)</f>
        <v>T-Slots</v>
      </c>
      <c r="K33" s="46">
        <f>VLOOKUP(C33,Extrusion!B:N,9,0)</f>
        <v>0</v>
      </c>
      <c r="L33" s="46">
        <f>VLOOKUP(C33,Extrusion!B:N,10,0)</f>
        <v>0</v>
      </c>
      <c r="M33" s="46">
        <f>VLOOKUP(C33,Extrusion!B:N,11,0)</f>
        <v>0</v>
      </c>
      <c r="N33" s="47">
        <f>VLOOKUP(C33,Extrusion!B:O,12,0)</f>
        <v>0</v>
      </c>
      <c r="O33" s="47">
        <f t="shared" ca="1" si="10"/>
        <v>5</v>
      </c>
      <c r="P33" s="51">
        <f>VLOOKUP(C33,Extrusion!B:G,4,0)</f>
        <v>5</v>
      </c>
      <c r="Q33" s="52">
        <f t="shared" si="11"/>
        <v>25</v>
      </c>
    </row>
    <row r="34" spans="1:17" s="2" customFormat="1" ht="12" customHeight="1" x14ac:dyDescent="0.25">
      <c r="A34" s="4">
        <v>711</v>
      </c>
      <c r="B34" s="2">
        <v>2</v>
      </c>
      <c r="C34" s="123" t="s">
        <v>1333</v>
      </c>
      <c r="D34" s="325" t="str">
        <f>VLOOKUP(C34,Extrusion!B:C,2,0)</f>
        <v>APPROVED EL 8/1</v>
      </c>
      <c r="E34" s="326"/>
      <c r="F34" s="108" t="str">
        <f ca="1">VLOOKUP(C34,Extrusion!B:N,5,0)</f>
        <v/>
      </c>
      <c r="G34" s="108">
        <f>VLOOKUP(C34,Extrusion!B:N,6,0)</f>
        <v>1</v>
      </c>
      <c r="H34" s="108">
        <f>VLOOKUP(C34,Extrusion!B:N,7,0)</f>
        <v>0</v>
      </c>
      <c r="I34" s="109"/>
      <c r="J34" s="46" t="str">
        <f>VLOOKUP(C34,Extrusion!B:N,8,0)</f>
        <v>T-Slots</v>
      </c>
      <c r="K34" s="46">
        <f>VLOOKUP(C34,Extrusion!B:N,9,0)</f>
        <v>0</v>
      </c>
      <c r="L34" s="46">
        <f>VLOOKUP(C34,Extrusion!B:N,10,0)</f>
        <v>0</v>
      </c>
      <c r="M34" s="46">
        <f>VLOOKUP(C34,Extrusion!B:N,11,0)</f>
        <v>0</v>
      </c>
      <c r="N34" s="47">
        <f>VLOOKUP(C34,Extrusion!B:O,12,0)</f>
        <v>0</v>
      </c>
      <c r="O34" s="47">
        <f t="shared" ca="1" si="10"/>
        <v>2</v>
      </c>
      <c r="P34" s="51">
        <f>VLOOKUP(C34,Extrusion!B:G,4,0)</f>
        <v>2</v>
      </c>
      <c r="Q34" s="52">
        <f t="shared" si="11"/>
        <v>4</v>
      </c>
    </row>
    <row r="35" spans="1:17" s="2" customFormat="1" ht="12" customHeight="1" x14ac:dyDescent="0.25">
      <c r="A35" s="4">
        <v>712</v>
      </c>
      <c r="B35" s="2">
        <v>4</v>
      </c>
      <c r="C35" s="123" t="s">
        <v>1334</v>
      </c>
      <c r="D35" s="325" t="str">
        <f>VLOOKUP(C35,Extrusion!B:C,2,0)</f>
        <v>APPROVED EL 8/7</v>
      </c>
      <c r="E35" s="326"/>
      <c r="F35" s="108" t="str">
        <f ca="1">VLOOKUP(C35,Extrusion!B:N,5,0)</f>
        <v/>
      </c>
      <c r="G35" s="108">
        <f>VLOOKUP(C35,Extrusion!B:N,6,0)</f>
        <v>1</v>
      </c>
      <c r="H35" s="108">
        <f>VLOOKUP(C35,Extrusion!B:N,7,0)</f>
        <v>0</v>
      </c>
      <c r="I35" s="109"/>
      <c r="J35" s="46" t="str">
        <f>VLOOKUP(C35,Extrusion!B:N,8,0)</f>
        <v>T-Slots</v>
      </c>
      <c r="K35" s="46">
        <f>VLOOKUP(C35,Extrusion!B:N,9,0)</f>
        <v>0</v>
      </c>
      <c r="L35" s="46">
        <f>VLOOKUP(C35,Extrusion!B:N,10,0)</f>
        <v>0</v>
      </c>
      <c r="M35" s="46">
        <f>VLOOKUP(C35,Extrusion!B:N,11,0)</f>
        <v>0</v>
      </c>
      <c r="N35" s="47">
        <f>VLOOKUP(C35,Extrusion!B:O,12,0)</f>
        <v>0</v>
      </c>
      <c r="O35" s="47">
        <f t="shared" ca="1" si="10"/>
        <v>4</v>
      </c>
      <c r="P35" s="51">
        <f>VLOOKUP(C35,Extrusion!B:G,4,0)</f>
        <v>4</v>
      </c>
      <c r="Q35" s="52">
        <f t="shared" si="11"/>
        <v>16</v>
      </c>
    </row>
    <row r="36" spans="1:17" s="2" customFormat="1" ht="12" customHeight="1" x14ac:dyDescent="0.25">
      <c r="A36" s="4">
        <v>713</v>
      </c>
      <c r="B36" s="2">
        <v>2</v>
      </c>
      <c r="C36" s="123" t="s">
        <v>1335</v>
      </c>
      <c r="D36" s="325" t="str">
        <f>VLOOKUP(C36,Extrusion!B:C,2,0)</f>
        <v>APPROVED EL 8/1</v>
      </c>
      <c r="E36" s="326"/>
      <c r="F36" s="108" t="str">
        <f ca="1">VLOOKUP(C36,Extrusion!B:N,5,0)</f>
        <v/>
      </c>
      <c r="G36" s="108">
        <f>VLOOKUP(C36,Extrusion!B:N,6,0)</f>
        <v>1</v>
      </c>
      <c r="H36" s="108">
        <f>VLOOKUP(C36,Extrusion!B:N,7,0)</f>
        <v>0</v>
      </c>
      <c r="I36" s="109"/>
      <c r="J36" s="46" t="str">
        <f>VLOOKUP(C36,Extrusion!B:N,8,0)</f>
        <v>T-Slots</v>
      </c>
      <c r="K36" s="46">
        <f>VLOOKUP(C36,Extrusion!B:N,9,0)</f>
        <v>0</v>
      </c>
      <c r="L36" s="46">
        <f>VLOOKUP(C36,Extrusion!B:N,10,0)</f>
        <v>0</v>
      </c>
      <c r="M36" s="46">
        <f>VLOOKUP(C36,Extrusion!B:N,11,0)</f>
        <v>0</v>
      </c>
      <c r="N36" s="47">
        <f>VLOOKUP(C36,Extrusion!B:O,12,0)</f>
        <v>0</v>
      </c>
      <c r="O36" s="47">
        <f t="shared" ca="1" si="10"/>
        <v>2</v>
      </c>
      <c r="P36" s="51">
        <f>VLOOKUP(C36,Extrusion!B:G,4,0)</f>
        <v>2</v>
      </c>
      <c r="Q36" s="52">
        <f t="shared" si="11"/>
        <v>4</v>
      </c>
    </row>
    <row r="37" spans="1:17" s="2" customFormat="1" ht="12" customHeight="1" x14ac:dyDescent="0.25">
      <c r="A37" s="4">
        <v>714</v>
      </c>
      <c r="B37" s="2">
        <v>1</v>
      </c>
      <c r="C37" s="123" t="s">
        <v>1336</v>
      </c>
      <c r="D37" s="325" t="str">
        <f>VLOOKUP(C37,Extrusion!B:C,2,0)</f>
        <v>APPROVED EL 8/1</v>
      </c>
      <c r="E37" s="326"/>
      <c r="F37" s="108" t="str">
        <f ca="1">VLOOKUP(C37,Extrusion!B:N,5,0)</f>
        <v/>
      </c>
      <c r="G37" s="108">
        <f>VLOOKUP(C37,Extrusion!B:N,6,0)</f>
        <v>1</v>
      </c>
      <c r="H37" s="108">
        <f>VLOOKUP(C37,Extrusion!B:N,7,0)</f>
        <v>0</v>
      </c>
      <c r="I37" s="109"/>
      <c r="J37" s="46" t="str">
        <f>VLOOKUP(C37,Extrusion!B:N,8,0)</f>
        <v>T-Slots</v>
      </c>
      <c r="K37" s="46">
        <f>VLOOKUP(C37,Extrusion!B:N,9,0)</f>
        <v>0</v>
      </c>
      <c r="L37" s="46">
        <f>VLOOKUP(C37,Extrusion!B:N,10,0)</f>
        <v>0</v>
      </c>
      <c r="M37" s="46">
        <f>VLOOKUP(C37,Extrusion!B:N,11,0)</f>
        <v>0</v>
      </c>
      <c r="N37" s="47">
        <f>VLOOKUP(C37,Extrusion!B:O,12,0)</f>
        <v>0</v>
      </c>
      <c r="O37" s="47">
        <f ca="1">B37*$L$2</f>
        <v>1</v>
      </c>
      <c r="P37" s="51">
        <f>VLOOKUP(C37,Extrusion!B:G,4,0)</f>
        <v>1</v>
      </c>
      <c r="Q37" s="52">
        <f>B37*P37</f>
        <v>1</v>
      </c>
    </row>
    <row r="38" spans="1:17" s="2" customFormat="1" ht="12" customHeight="1" x14ac:dyDescent="0.25">
      <c r="A38" s="4">
        <v>715</v>
      </c>
      <c r="B38" s="2">
        <v>1</v>
      </c>
      <c r="C38" s="123" t="s">
        <v>1337</v>
      </c>
      <c r="D38" s="325" t="str">
        <f>VLOOKUP(C38,Extrusion!B:C,2,0)</f>
        <v>APPROVED EL 8/1</v>
      </c>
      <c r="E38" s="326"/>
      <c r="F38" s="108" t="str">
        <f ca="1">VLOOKUP(C38,Extrusion!B:N,5,0)</f>
        <v/>
      </c>
      <c r="G38" s="108">
        <f>VLOOKUP(C38,Extrusion!B:N,6,0)</f>
        <v>1</v>
      </c>
      <c r="H38" s="108">
        <f>VLOOKUP(C38,Extrusion!B:N,7,0)</f>
        <v>0</v>
      </c>
      <c r="I38" s="109"/>
      <c r="J38" s="46" t="str">
        <f>VLOOKUP(C38,Extrusion!B:N,8,0)</f>
        <v>T-Slots</v>
      </c>
      <c r="K38" s="46">
        <f>VLOOKUP(C38,Extrusion!B:N,9,0)</f>
        <v>0</v>
      </c>
      <c r="L38" s="46">
        <f>VLOOKUP(C38,Extrusion!B:N,10,0)</f>
        <v>0</v>
      </c>
      <c r="M38" s="46">
        <f>VLOOKUP(C38,Extrusion!B:N,11,0)</f>
        <v>0</v>
      </c>
      <c r="N38" s="47">
        <f>VLOOKUP(C38,Extrusion!B:O,12,0)</f>
        <v>0</v>
      </c>
      <c r="O38" s="47">
        <f ca="1">B38*$L$2</f>
        <v>1</v>
      </c>
      <c r="P38" s="51">
        <f>VLOOKUP(C38,Extrusion!B:G,4,0)</f>
        <v>1</v>
      </c>
      <c r="Q38" s="52">
        <f>B38*P38</f>
        <v>1</v>
      </c>
    </row>
    <row r="39" spans="1:17" s="2" customFormat="1" ht="12" customHeight="1" x14ac:dyDescent="0.25">
      <c r="A39" s="4">
        <v>716</v>
      </c>
      <c r="B39" s="2">
        <v>1</v>
      </c>
      <c r="C39" s="123" t="s">
        <v>1338</v>
      </c>
      <c r="D39" s="325" t="str">
        <f>VLOOKUP(C39,Extrusion!B:C,2,0)</f>
        <v>APPROVED EL 8/1</v>
      </c>
      <c r="E39" s="326"/>
      <c r="F39" s="108" t="str">
        <f ca="1">VLOOKUP(C39,Extrusion!B:N,5,0)</f>
        <v>YES</v>
      </c>
      <c r="G39" s="108">
        <f>VLOOKUP(C39,Extrusion!B:N,6,0)</f>
        <v>1</v>
      </c>
      <c r="H39" s="108">
        <f>VLOOKUP(C39,Extrusion!B:N,7,0)</f>
        <v>0</v>
      </c>
      <c r="I39" s="109"/>
      <c r="J39" s="46" t="str">
        <f>VLOOKUP(C39,Extrusion!B:N,8,0)</f>
        <v>T-Slots</v>
      </c>
      <c r="K39" s="46">
        <f>VLOOKUP(C39,Extrusion!B:N,9,0)</f>
        <v>0</v>
      </c>
      <c r="L39" s="46">
        <f>VLOOKUP(C39,Extrusion!B:N,10,0)</f>
        <v>0</v>
      </c>
      <c r="M39" s="46">
        <f>VLOOKUP(C39,Extrusion!B:N,11,0)</f>
        <v>0</v>
      </c>
      <c r="N39" s="47">
        <f>VLOOKUP(C39,Extrusion!B:O,12,0)</f>
        <v>0</v>
      </c>
      <c r="O39" s="47">
        <f t="shared" ref="O39" ca="1" si="14">B39*$L$2</f>
        <v>1</v>
      </c>
      <c r="P39" s="51">
        <f>VLOOKUP(C39,Extrusion!B:G,4,0)</f>
        <v>0</v>
      </c>
      <c r="Q39" s="52">
        <f t="shared" ref="Q39" si="15">B39*P39</f>
        <v>0</v>
      </c>
    </row>
    <row r="40" spans="1:17" s="2" customFormat="1" ht="12" customHeight="1" thickBot="1" x14ac:dyDescent="0.3">
      <c r="A40" s="4">
        <v>717</v>
      </c>
      <c r="B40" s="2">
        <v>1</v>
      </c>
      <c r="C40" s="123" t="s">
        <v>1339</v>
      </c>
      <c r="D40" s="325" t="str">
        <f>VLOOKUP(C40,Extrusion!B:C,2,0)</f>
        <v>APPROVED EL 8/1</v>
      </c>
      <c r="E40" s="326"/>
      <c r="F40" s="108" t="str">
        <f ca="1">VLOOKUP(C40,Extrusion!B:N,5,0)</f>
        <v>YES</v>
      </c>
      <c r="G40" s="108">
        <f>VLOOKUP(C40,Extrusion!B:N,6,0)</f>
        <v>1</v>
      </c>
      <c r="H40" s="108">
        <f>VLOOKUP(C40,Extrusion!B:N,7,0)</f>
        <v>0</v>
      </c>
      <c r="I40" s="109"/>
      <c r="J40" s="46" t="str">
        <f>VLOOKUP(C40,Extrusion!B:N,8,0)</f>
        <v>T-Slots</v>
      </c>
      <c r="K40" s="46">
        <f>VLOOKUP(C40,Extrusion!B:N,9,0)</f>
        <v>0</v>
      </c>
      <c r="L40" s="46">
        <f>VLOOKUP(C40,Extrusion!B:N,10,0)</f>
        <v>0</v>
      </c>
      <c r="M40" s="46">
        <f>VLOOKUP(C40,Extrusion!B:N,11,0)</f>
        <v>0</v>
      </c>
      <c r="N40" s="47">
        <f>VLOOKUP(C40,Extrusion!B:O,12,0)</f>
        <v>0</v>
      </c>
      <c r="O40" s="47">
        <f t="shared" ca="1" si="10"/>
        <v>1</v>
      </c>
      <c r="P40" s="51">
        <f>VLOOKUP(C40,Extrusion!B:G,4,0)</f>
        <v>0</v>
      </c>
      <c r="Q40" s="52">
        <f t="shared" si="11"/>
        <v>0</v>
      </c>
    </row>
    <row r="41" spans="1:17" s="2" customFormat="1" ht="12" customHeight="1" thickBot="1" x14ac:dyDescent="0.3">
      <c r="A41" s="34"/>
      <c r="B41" s="35"/>
      <c r="C41" s="35"/>
      <c r="D41" s="316"/>
      <c r="E41" s="317"/>
      <c r="F41" s="35"/>
      <c r="G41" s="35"/>
      <c r="H41" s="309"/>
      <c r="I41" s="310"/>
      <c r="J41" s="36"/>
      <c r="K41" s="36"/>
      <c r="L41" s="36"/>
      <c r="M41" s="37"/>
      <c r="N41" s="132"/>
      <c r="O41" s="38"/>
      <c r="P41" s="99" t="s">
        <v>43</v>
      </c>
      <c r="Q41" s="104">
        <f>SUM(Q5:Q40)</f>
        <v>6412.2465600000014</v>
      </c>
    </row>
  </sheetData>
  <mergeCells count="60">
    <mergeCell ref="D30:E30"/>
    <mergeCell ref="D32:E32"/>
    <mergeCell ref="D33:E33"/>
    <mergeCell ref="D20:E20"/>
    <mergeCell ref="H20:I20"/>
    <mergeCell ref="D25:E25"/>
    <mergeCell ref="D26:E26"/>
    <mergeCell ref="D27:E27"/>
    <mergeCell ref="D28:E28"/>
    <mergeCell ref="D29:E29"/>
    <mergeCell ref="D31:E31"/>
    <mergeCell ref="D24:E24"/>
    <mergeCell ref="D21:E21"/>
    <mergeCell ref="H21:I21"/>
    <mergeCell ref="D22:E22"/>
    <mergeCell ref="H22:I22"/>
    <mergeCell ref="D41:E41"/>
    <mergeCell ref="H41:I41"/>
    <mergeCell ref="D37:E37"/>
    <mergeCell ref="D38:E38"/>
    <mergeCell ref="D34:E34"/>
    <mergeCell ref="D39:E39"/>
    <mergeCell ref="D35:E35"/>
    <mergeCell ref="D36:E36"/>
    <mergeCell ref="D40:E40"/>
    <mergeCell ref="D11:E11"/>
    <mergeCell ref="H11:I11"/>
    <mergeCell ref="D17:E17"/>
    <mergeCell ref="H17:I17"/>
    <mergeCell ref="D15:E15"/>
    <mergeCell ref="H15:I15"/>
    <mergeCell ref="D12:E12"/>
    <mergeCell ref="H14:I14"/>
    <mergeCell ref="H12:I12"/>
    <mergeCell ref="D13:E13"/>
    <mergeCell ref="H13:I13"/>
    <mergeCell ref="D14:E14"/>
    <mergeCell ref="D16:E16"/>
    <mergeCell ref="H16:I16"/>
    <mergeCell ref="D19:E19"/>
    <mergeCell ref="H19:I19"/>
    <mergeCell ref="D18:E18"/>
    <mergeCell ref="H18:I18"/>
    <mergeCell ref="D23:E23"/>
    <mergeCell ref="H23:I23"/>
    <mergeCell ref="D10:E10"/>
    <mergeCell ref="H10:I10"/>
    <mergeCell ref="D1:E1"/>
    <mergeCell ref="D4:E4"/>
    <mergeCell ref="H4:I4"/>
    <mergeCell ref="D9:E9"/>
    <mergeCell ref="H9:I9"/>
    <mergeCell ref="D5:E5"/>
    <mergeCell ref="H5:I5"/>
    <mergeCell ref="D6:E6"/>
    <mergeCell ref="H6:I6"/>
    <mergeCell ref="D7:E7"/>
    <mergeCell ref="H7:I7"/>
    <mergeCell ref="D8:E8"/>
    <mergeCell ref="H8:I8"/>
  </mergeCells>
  <conditionalFormatting sqref="M18 M22:M40">
    <cfRule type="cellIs" dxfId="474" priority="9" stopIfTrue="1" operator="lessThanOrEqual">
      <formula>$L18</formula>
    </cfRule>
    <cfRule type="cellIs" dxfId="473" priority="10" operator="greaterThan">
      <formula>L18</formula>
    </cfRule>
  </conditionalFormatting>
  <conditionalFormatting sqref="M19">
    <cfRule type="cellIs" dxfId="472" priority="5" stopIfTrue="1" operator="lessThanOrEqual">
      <formula>$L19</formula>
    </cfRule>
    <cfRule type="cellIs" dxfId="471" priority="6" operator="greaterThan">
      <formula>L19</formula>
    </cfRule>
  </conditionalFormatting>
  <conditionalFormatting sqref="M20">
    <cfRule type="cellIs" dxfId="470" priority="3" stopIfTrue="1" operator="lessThanOrEqual">
      <formula>$L20</formula>
    </cfRule>
    <cfRule type="cellIs" dxfId="469" priority="4" operator="greaterThan">
      <formula>L20</formula>
    </cfRule>
  </conditionalFormatting>
  <conditionalFormatting sqref="M21">
    <cfRule type="cellIs" dxfId="468" priority="1" stopIfTrue="1" operator="lessThanOrEqual">
      <formula>$L21</formula>
    </cfRule>
    <cfRule type="cellIs" dxfId="467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CD545BC-815B-4DFB-A3F4-5C135C981C64}">
          <x14:formula1>
            <xm:f>Extrusion!$B:$B</xm:f>
          </x14:formula1>
          <xm:sqref>C24:C40</xm:sqref>
        </x14:dataValidation>
        <x14:dataValidation type="list" allowBlank="1" showInputMessage="1" showErrorMessage="1" xr:uid="{6855760B-7C67-4279-8CD2-09D9FFA086FF}">
          <x14:formula1>
            <xm:f>Bolts!$A:$A</xm:f>
          </x14:formula1>
          <xm:sqref>C22</xm:sqref>
        </x14:dataValidation>
        <x14:dataValidation type="list" allowBlank="1" showInputMessage="1" showErrorMessage="1" xr:uid="{41C8E3CC-90F1-4F8B-B025-0423A933130C}">
          <x14:formula1>
            <xm:f>Assemblies!$E:$E</xm:f>
          </x14:formula1>
          <xm:sqref>C5:C17</xm:sqref>
        </x14:dataValidation>
        <x14:dataValidation type="list" allowBlank="1" showInputMessage="1" showErrorMessage="1" xr:uid="{E07F6A80-A95D-413C-AF74-47A5DAC56BFC}">
          <x14:formula1>
            <xm:f>Machined!$C:$C</xm:f>
          </x14:formula1>
          <xm:sqref>C18</xm:sqref>
        </x14:dataValidation>
        <x14:dataValidation type="list" allowBlank="1" showInputMessage="1" showErrorMessage="1" xr:uid="{A53EEC15-CD81-4F55-99D0-1E24FCC8C54C}">
          <x14:formula1>
            <xm:f>Purchased!$A:$A</xm:f>
          </x14:formula1>
          <xm:sqref>C19:C21</xm:sqref>
        </x14:dataValidation>
      </x14:dataValidations>
    </ext>
  </extLst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768FB-678C-4752-98B5-6305332D8A0C}">
  <sheetPr codeName="Sheet213">
    <tabColor theme="6" tint="0.59999389629810485"/>
  </sheetPr>
  <dimension ref="A1:Q22"/>
  <sheetViews>
    <sheetView zoomScale="115" zoomScaleNormal="115" workbookViewId="0">
      <selection activeCell="D26" sqref="D2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'10.1'!C5</f>
        <v>PG10.10.1.1.0.A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'10.1'!D5</f>
        <v>Retracting Conveyor Door</v>
      </c>
      <c r="D3" s="85" t="s">
        <v>50</v>
      </c>
      <c r="E3" s="86" t="str">
        <f ca="1">MID(CELL("filename",A1),FIND("]",CELL("filename",A1))+1,256)</f>
        <v>10.1.1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">
      <c r="A5" s="150" t="s">
        <v>54</v>
      </c>
      <c r="B5" s="1">
        <v>1</v>
      </c>
      <c r="C5" s="145" t="s">
        <v>337</v>
      </c>
      <c r="D5" s="314" t="str">
        <f ca="1">VLOOKUP(C5,Assemblies!E:P,2,0)</f>
        <v>Door Mag Lock Assembly</v>
      </c>
      <c r="E5" s="315"/>
      <c r="F5" s="32"/>
      <c r="G5" s="32"/>
      <c r="H5" s="303"/>
      <c r="I5" s="303"/>
      <c r="J5" s="28"/>
      <c r="K5" s="28"/>
      <c r="L5" s="28"/>
      <c r="M5" s="28"/>
      <c r="N5" s="33"/>
      <c r="O5" s="146">
        <f t="shared" ref="O5" ca="1" si="0">B5*$L$2</f>
        <v>2</v>
      </c>
      <c r="P5" s="147">
        <f>'1.4.1'!Q16</f>
        <v>441.74</v>
      </c>
      <c r="Q5" s="103">
        <f t="shared" ref="Q5" si="1">B5*P5</f>
        <v>441.74</v>
      </c>
    </row>
    <row r="6" spans="1:17" s="1" customFormat="1" ht="12" customHeight="1" x14ac:dyDescent="0.2">
      <c r="A6" s="150" t="s">
        <v>56</v>
      </c>
      <c r="B6" s="1">
        <v>1</v>
      </c>
      <c r="C6" s="145" t="s">
        <v>338</v>
      </c>
      <c r="D6" s="314" t="str">
        <f ca="1">VLOOKUP(C6,Assemblies!E:P,2,0)</f>
        <v>Elesa Door Handle Assembly</v>
      </c>
      <c r="E6" s="314"/>
      <c r="F6" s="32"/>
      <c r="G6" s="32"/>
      <c r="H6" s="303"/>
      <c r="I6" s="303"/>
      <c r="J6" s="28"/>
      <c r="K6" s="28"/>
      <c r="L6" s="28"/>
      <c r="M6" s="28"/>
      <c r="N6" s="33"/>
      <c r="O6" s="146">
        <f ca="1">B6*$L$2</f>
        <v>2</v>
      </c>
      <c r="P6" s="147">
        <f>'1.4.2'!Q9</f>
        <v>11.93</v>
      </c>
      <c r="Q6" s="151">
        <f>B6*P6</f>
        <v>11.93</v>
      </c>
    </row>
    <row r="7" spans="1:17" s="1" customFormat="1" ht="12" customHeight="1" x14ac:dyDescent="0.2">
      <c r="A7" s="150" t="s">
        <v>58</v>
      </c>
      <c r="B7" s="1">
        <v>2</v>
      </c>
      <c r="C7" s="145" t="s">
        <v>400</v>
      </c>
      <c r="D7" s="314" t="str">
        <f ca="1">VLOOKUP(C7,Assemblies!E:P,2,0)</f>
        <v>Guard Pivot Assy</v>
      </c>
      <c r="E7" s="314"/>
      <c r="F7" s="32"/>
      <c r="G7" s="32"/>
      <c r="H7" s="303"/>
      <c r="I7" s="303"/>
      <c r="J7" s="28"/>
      <c r="K7" s="28"/>
      <c r="L7" s="28"/>
      <c r="M7" s="28"/>
      <c r="N7" s="33"/>
      <c r="O7" s="146">
        <f ca="1">B7*$L$2</f>
        <v>4</v>
      </c>
      <c r="P7" s="147">
        <f>'2.2.1.1'!Q12</f>
        <v>0</v>
      </c>
      <c r="Q7" s="151">
        <f>B7*P7</f>
        <v>0</v>
      </c>
    </row>
    <row r="8" spans="1:17" s="1" customFormat="1" ht="12" customHeight="1" x14ac:dyDescent="0.2">
      <c r="A8" s="150" t="s">
        <v>60</v>
      </c>
      <c r="B8" s="1">
        <v>2</v>
      </c>
      <c r="C8" s="145" t="s">
        <v>401</v>
      </c>
      <c r="D8" s="314" t="str">
        <f ca="1">VLOOKUP(C8,Assemblies!E:P,2,0)</f>
        <v>Door Support Assem</v>
      </c>
      <c r="E8" s="314"/>
      <c r="F8" s="32"/>
      <c r="G8" s="32"/>
      <c r="H8" s="303"/>
      <c r="I8" s="303"/>
      <c r="J8" s="28"/>
      <c r="K8" s="28"/>
      <c r="L8" s="28"/>
      <c r="M8" s="28"/>
      <c r="N8" s="33"/>
      <c r="O8" s="146">
        <f ca="1">B8*$L$2</f>
        <v>4</v>
      </c>
      <c r="P8" s="147">
        <f>'2.2.1.1'!Q13</f>
        <v>37.954999999999998</v>
      </c>
      <c r="Q8" s="151">
        <f>B8*P8</f>
        <v>75.91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.75" customHeight="1" x14ac:dyDescent="0.25">
      <c r="A10" s="77">
        <v>1</v>
      </c>
      <c r="B10" s="20">
        <v>1</v>
      </c>
      <c r="C10" s="121" t="s">
        <v>1340</v>
      </c>
      <c r="D10" s="314" t="str">
        <f>VLOOKUP(C10,Machined!C:X,2,0)</f>
        <v xml:space="preserve">Short Clear Poly Panel </v>
      </c>
      <c r="E10" s="329"/>
      <c r="F10" s="107" t="str">
        <f>VLOOKUP($C10,Machined!C:Z,13,0)</f>
        <v>POLYCARBONITE-CLEAR</v>
      </c>
      <c r="G10" s="44" t="str">
        <f>IF(VLOOKUP($C10,Machined!C:Z,16,0) = 0, " ", VLOOKUP($C10,Machined!C:Z,16,0))</f>
        <v>Port Plastics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POLYCARBONITE-CLEAR</v>
      </c>
      <c r="J10" s="44" t="str">
        <f>IF(VLOOKUP($C10,Machined!C:Z,18,0) = 0, " ", VLOOKUP($C10,Machined!C:Z,18,0))</f>
        <v>(TJ) 8/8/2024</v>
      </c>
      <c r="K10" s="44">
        <f>IF(VLOOKUP($C10,Machined!C:Z,19,0) = 0, " ", VLOOKUP($C10,Machined!C:Z,19,0))</f>
        <v>45530</v>
      </c>
      <c r="L10" s="44">
        <f>IF(VLOOKUP($C10,Machined!C:Z,20,0) = 0, " ", VLOOKUP($C10,Machined!C:Z,20,0))</f>
        <v>45561</v>
      </c>
      <c r="M10" s="44" t="str">
        <f>IF(VLOOKUP($C10,Machined!C:Z,21,0) = 0, " ", VLOOKUP($C10,Machined!C:Z,21,0))</f>
        <v xml:space="preserve"> </v>
      </c>
      <c r="N10" s="129">
        <f>IF(VLOOKUP($C10,Machined!C:Z,22,0) = 0, " ", VLOOKUP($C10,Machined!C:Z,22,0))</f>
        <v>55708</v>
      </c>
      <c r="O10" s="45">
        <f t="shared" ref="O10:O11" ca="1" si="2">B10*$L$2</f>
        <v>2</v>
      </c>
      <c r="P10" s="49">
        <f>VLOOKUP(C10,Machined!C:F,3,0)</f>
        <v>45</v>
      </c>
      <c r="Q10" s="50">
        <f t="shared" ref="Q10:Q11" si="3">B10*P10</f>
        <v>45</v>
      </c>
    </row>
    <row r="11" spans="1:17" s="2" customFormat="1" ht="12.75" customHeight="1" x14ac:dyDescent="0.25">
      <c r="A11" s="77">
        <v>2</v>
      </c>
      <c r="B11" s="20">
        <v>1</v>
      </c>
      <c r="C11" s="121" t="s">
        <v>1341</v>
      </c>
      <c r="D11" s="314" t="str">
        <f>VLOOKUP(C11,Machined!C:X,2,0)</f>
        <v xml:space="preserve">Long Clear Poly Panel </v>
      </c>
      <c r="E11" s="329"/>
      <c r="F11" s="107" t="str">
        <f>VLOOKUP($C11,Machined!C:Z,13,0)</f>
        <v>POLYCARBONITE-CLEAR</v>
      </c>
      <c r="G11" s="44" t="str">
        <f>IF(VLOOKUP($C11,Machined!C:Z,16,0) = 0, " ", VLOOKUP($C11,Machined!C:Z,16,0))</f>
        <v>Port Plastics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POLYCARBONITE-CLEAR</v>
      </c>
      <c r="J11" s="44" t="str">
        <f>IF(VLOOKUP($C11,Machined!C:Z,18,0) = 0, " ", VLOOKUP($C11,Machined!C:Z,18,0))</f>
        <v>(TJ) 8/8/2024</v>
      </c>
      <c r="K11" s="44">
        <f>IF(VLOOKUP($C11,Machined!C:Z,19,0) = 0, " ", VLOOKUP($C11,Machined!C:Z,19,0))</f>
        <v>45530</v>
      </c>
      <c r="L11" s="44">
        <f>IF(VLOOKUP($C11,Machined!C:Z,20,0) = 0, " ", VLOOKUP($C11,Machined!C:Z,20,0))</f>
        <v>45561</v>
      </c>
      <c r="M11" s="44" t="str">
        <f>IF(VLOOKUP($C11,Machined!C:Z,21,0) = 0, " ", VLOOKUP($C11,Machined!C:Z,21,0))</f>
        <v xml:space="preserve"> </v>
      </c>
      <c r="N11" s="129">
        <f>IF(VLOOKUP($C11,Machined!C:Z,22,0) = 0, " ", VLOOKUP($C11,Machined!C:Z,22,0))</f>
        <v>55708</v>
      </c>
      <c r="O11" s="45">
        <f t="shared" ca="1" si="2"/>
        <v>2</v>
      </c>
      <c r="P11" s="49">
        <f>VLOOKUP(C11,Machined!C:F,3,0)</f>
        <v>50</v>
      </c>
      <c r="Q11" s="50">
        <f t="shared" si="3"/>
        <v>50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x14ac:dyDescent="0.25">
      <c r="A13" s="4">
        <v>301</v>
      </c>
      <c r="B13" s="2">
        <v>7000</v>
      </c>
      <c r="C13" s="135">
        <v>3842146906</v>
      </c>
      <c r="D13" s="325" t="str">
        <f>VLOOKUP(C13,Purchased!A:B,2,0)</f>
        <v>SLOT PROFILE SCHWARZ</v>
      </c>
      <c r="E13" s="326"/>
      <c r="F13" s="108" t="str">
        <f>IF(VLOOKUP($C13,Purchased!A:Z,11,0) = 0, " ", VLOOKUP($C13,Purchased!A:Z,11,0))</f>
        <v>BRX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>P/N changed to 3842555270</v>
      </c>
      <c r="I13" s="328"/>
      <c r="J13" s="46" t="str">
        <f>IF(VLOOKUP($C13,Purchased!A:Z,14,0)=0, " ", VLOOKUP($C13,Purchased!A:Z,14,0))</f>
        <v>N/A</v>
      </c>
      <c r="K13" s="46" t="str">
        <f>IF(VLOOKUP(C13,Purchased!A:R,14,0)=0, " ", VLOOKUP(C13,Purchased!A:R,14,0))</f>
        <v>N/A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45561</v>
      </c>
      <c r="N13" s="130" t="str">
        <f>IF(VLOOKUP(C13,Purchased!A:R,17,0)=0, " ", VLOOKUP(C13,Purchased!A:R,17,0))</f>
        <v xml:space="preserve"> </v>
      </c>
      <c r="O13" s="47">
        <f ca="1">B13*$L$2</f>
        <v>14000</v>
      </c>
      <c r="P13" s="51">
        <f>VLOOKUP(C13,Purchased!A:D,3,FALSE)</f>
        <v>5</v>
      </c>
      <c r="Q13" s="52">
        <f>B13/2000*P13</f>
        <v>17.5</v>
      </c>
    </row>
    <row r="14" spans="1:17" s="2" customFormat="1" ht="12" customHeight="1" x14ac:dyDescent="0.25">
      <c r="A14" s="4">
        <v>302</v>
      </c>
      <c r="B14" s="2">
        <v>8</v>
      </c>
      <c r="C14" s="135" t="s">
        <v>149</v>
      </c>
      <c r="D14" s="325" t="str">
        <f>VLOOKUP(C14,Purchased!A:B,2,0)</f>
        <v>BRX GOTO QUICK CONNECTOR N10 0°</v>
      </c>
      <c r="E14" s="326"/>
      <c r="F14" s="108" t="str">
        <f>IF(VLOOKUP($C14,Purchased!A:Z,11,0) = 0, " ", VLOOKUP($C14,Purchased!A:Z,11,0))</f>
        <v>T-SLOTS</v>
      </c>
      <c r="G14" s="108" t="str">
        <f>IF(VLOOKUP($C14,Purchased!A:Z,12,0)=0, " ", VLOOKUP($C14,Purchased!A:Z,12,0))</f>
        <v>Process Tech</v>
      </c>
      <c r="H14" s="327" t="str">
        <f>IF(VLOOKUP($C14,Purchased!A:Z,13,0)=0, " ", VLOOKUP($C14,Purchased!A:Z,13,0))</f>
        <v>500 More on P.O. #55639 Part# 659730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>
        <f>IF(VLOOKUP(C14,Purchased!A:R,15,0)=0, " ", VLOOKUP(C14,Purchased!A:R,15,0))</f>
        <v>45362</v>
      </c>
      <c r="M14" s="46">
        <f>IF(VLOOKUP(C14,Purchased!A:R,16,0)=0, " ",VLOOKUP(C14,Purchased!A:R,16,0))</f>
        <v>45378</v>
      </c>
      <c r="N14" s="130">
        <f>IF(VLOOKUP(C14,Purchased!A:R,17,0)=0, " ", VLOOKUP(C14,Purchased!A:R,17,0))</f>
        <v>45378</v>
      </c>
      <c r="O14" s="47">
        <f t="shared" ref="O14:O15" ca="1" si="4">B14*$L$2</f>
        <v>16</v>
      </c>
      <c r="P14" s="51">
        <f>VLOOKUP(C14,Purchased!A:D,3,FALSE)</f>
        <v>4.17</v>
      </c>
      <c r="Q14" s="52">
        <f t="shared" ref="Q14:Q15" si="5">B14*P14</f>
        <v>33.36</v>
      </c>
    </row>
    <row r="15" spans="1:17" s="2" customFormat="1" ht="12" customHeight="1" x14ac:dyDescent="0.25">
      <c r="A15" s="4">
        <v>303</v>
      </c>
      <c r="B15" s="2">
        <v>6</v>
      </c>
      <c r="C15" s="135" t="s">
        <v>341</v>
      </c>
      <c r="D15" s="325" t="str">
        <f>VLOOKUP(C15,Purchased!A:B,2,0)</f>
        <v>BRX GOTO HINGE AL 45/45, 2PK</v>
      </c>
      <c r="E15" s="326"/>
      <c r="F15" s="108" t="str">
        <f>IF(VLOOKUP($C15,Purchased!A:Z,11,0) = 0, " ", VLOOKUP($C15,Purchased!A:Z,11,0))</f>
        <v>BRX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>Nuline has 40X Quantity</v>
      </c>
      <c r="I15" s="328"/>
      <c r="J15" s="46" t="str">
        <f>IF(VLOOKUP($C15,Purchased!A:Z,14,0)=0, " ", VLOOKUP($C15,Purchased!A:Z,14,0))</f>
        <v>N/A</v>
      </c>
      <c r="K15" s="46" t="str">
        <f>IF(VLOOKUP(C15,Purchased!A:R,14,0)=0, " ", VLOOKUP(C15,Purchased!A:R,14,0))</f>
        <v>N/A</v>
      </c>
      <c r="L15" s="46">
        <f>IF(VLOOKUP(C15,Purchased!A:R,15,0)=0, " ", VLOOKUP(C15,Purchased!A:R,15,0))</f>
        <v>45532</v>
      </c>
      <c r="M15" s="46">
        <f>IF(VLOOKUP(C15,Purchased!A:R,16,0)=0, " ",VLOOKUP(C15,Purchased!A:R,16,0))</f>
        <v>45561</v>
      </c>
      <c r="N15" s="130" t="str">
        <f>IF(VLOOKUP(C15,Purchased!A:R,17,0)=0, " ", VLOOKUP(C15,Purchased!A:R,17,0))</f>
        <v xml:space="preserve"> </v>
      </c>
      <c r="O15" s="47">
        <f t="shared" ca="1" si="4"/>
        <v>12</v>
      </c>
      <c r="P15" s="51">
        <f>VLOOKUP(C15,Purchased!A:D,3,FALSE)</f>
        <v>22.16</v>
      </c>
      <c r="Q15" s="52">
        <f t="shared" si="5"/>
        <v>132.96</v>
      </c>
    </row>
    <row r="16" spans="1:17" s="2" customFormat="1" ht="12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" customHeight="1" x14ac:dyDescent="0.25">
      <c r="A17" s="4">
        <v>501</v>
      </c>
      <c r="B17" s="2">
        <v>24</v>
      </c>
      <c r="C17" s="122" t="s">
        <v>277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ref="O17" ca="1" si="6">B17*$L$2</f>
        <v>48</v>
      </c>
      <c r="P17" s="51">
        <f>VLOOKUP(C17,Bolts!A:B,2,FALSE)</f>
        <v>0</v>
      </c>
      <c r="Q17" s="52">
        <f t="shared" ref="Q17" si="7">B17*P17</f>
        <v>0</v>
      </c>
    </row>
    <row r="18" spans="1:17" s="2" customFormat="1" ht="12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/>
      <c r="L18" s="27"/>
      <c r="M18" s="28"/>
      <c r="N18" s="29"/>
      <c r="O18" s="29"/>
      <c r="P18" s="148"/>
      <c r="Q18" s="149"/>
    </row>
    <row r="19" spans="1:17" s="2" customFormat="1" ht="12" customHeight="1" x14ac:dyDescent="0.25">
      <c r="A19" s="4">
        <v>701</v>
      </c>
      <c r="B19" s="2">
        <v>2</v>
      </c>
      <c r="C19" s="123" t="s">
        <v>3778</v>
      </c>
      <c r="D19" s="325" t="str">
        <f>VLOOKUP(C19,Extrusion!B:C,2,0)</f>
        <v>APPROVED EL 9/3</v>
      </c>
      <c r="E19" s="326"/>
      <c r="F19" s="108" t="str">
        <f ca="1">VLOOKUP(C19,Extrusion!B:N,5,0)</f>
        <v>YES</v>
      </c>
      <c r="G19" s="108">
        <f>VLOOKUP(C19,Extrusion!B:N,6,0)</f>
        <v>1</v>
      </c>
      <c r="H19" s="108">
        <f>VLOOKUP(C19,Extrusion!B:N,7,0)</f>
        <v>0</v>
      </c>
      <c r="I19" s="109"/>
      <c r="J19" s="46" t="str">
        <f>VLOOKUP(C19,Extrusion!B:N,8,0)</f>
        <v>T-Slots</v>
      </c>
      <c r="K19" s="46">
        <f>VLOOKUP(C19,Extrusion!B:N,9,0)</f>
        <v>0</v>
      </c>
      <c r="L19" s="46">
        <f>VLOOKUP(C19,Extrusion!B:N,10,0)</f>
        <v>3</v>
      </c>
      <c r="M19" s="46">
        <f>VLOOKUP(C19,Extrusion!B:N,11,0)</f>
        <v>4</v>
      </c>
      <c r="N19" s="47">
        <f>VLOOKUP(C19,Extrusion!B:O,12,0)</f>
        <v>5</v>
      </c>
      <c r="O19" s="47">
        <f t="shared" ref="O19:O21" ca="1" si="8">B19*$L$2</f>
        <v>4</v>
      </c>
      <c r="P19" s="51">
        <f>VLOOKUP(C19,Extrusion!B:G,4,0)</f>
        <v>0</v>
      </c>
      <c r="Q19" s="52">
        <f t="shared" ref="Q19:Q21" si="9">B19*P19</f>
        <v>0</v>
      </c>
    </row>
    <row r="20" spans="1:17" s="2" customFormat="1" ht="12" customHeight="1" x14ac:dyDescent="0.25">
      <c r="A20" s="4">
        <v>702</v>
      </c>
      <c r="B20" s="2">
        <v>2</v>
      </c>
      <c r="C20" s="123" t="s">
        <v>3779</v>
      </c>
      <c r="D20" s="325" t="str">
        <f>VLOOKUP(C20,Extrusion!B:C,2,0)</f>
        <v>APPROVED EL 9/3</v>
      </c>
      <c r="E20" s="326"/>
      <c r="F20" s="108" t="str">
        <f ca="1">VLOOKUP(C20,Extrusion!B:N,5,0)</f>
        <v>YES</v>
      </c>
      <c r="G20" s="108">
        <f>VLOOKUP(C20,Extrusion!B:N,6,0)</f>
        <v>1</v>
      </c>
      <c r="H20" s="108">
        <f>VLOOKUP(C20,Extrusion!B:N,7,0)</f>
        <v>0</v>
      </c>
      <c r="I20" s="109"/>
      <c r="J20" s="46" t="str">
        <f>VLOOKUP(C20,Extrusion!B:N,8,0)</f>
        <v>T-Slots</v>
      </c>
      <c r="K20" s="46">
        <f>VLOOKUP(C20,Extrusion!B:N,9,0)</f>
        <v>0</v>
      </c>
      <c r="L20" s="46">
        <f>VLOOKUP(C20,Extrusion!B:N,10,0)</f>
        <v>3</v>
      </c>
      <c r="M20" s="46">
        <f>VLOOKUP(C20,Extrusion!B:N,11,0)</f>
        <v>4</v>
      </c>
      <c r="N20" s="47">
        <f>VLOOKUP(C20,Extrusion!B:O,12,0)</f>
        <v>5</v>
      </c>
      <c r="O20" s="47">
        <f t="shared" ca="1" si="8"/>
        <v>4</v>
      </c>
      <c r="P20" s="51">
        <f>VLOOKUP(C20,Extrusion!B:G,4,0)</f>
        <v>0</v>
      </c>
      <c r="Q20" s="52">
        <f t="shared" si="9"/>
        <v>0</v>
      </c>
    </row>
    <row r="21" spans="1:17" s="2" customFormat="1" ht="12" customHeight="1" thickBot="1" x14ac:dyDescent="0.3">
      <c r="A21" s="4">
        <v>703</v>
      </c>
      <c r="B21" s="2">
        <v>4</v>
      </c>
      <c r="C21" s="123" t="s">
        <v>1342</v>
      </c>
      <c r="D21" s="325" t="str">
        <f>VLOOKUP(C21,Extrusion!B:C,2,0)</f>
        <v>APPROVED EL 9/3</v>
      </c>
      <c r="E21" s="326"/>
      <c r="F21" s="108" t="str">
        <f ca="1">VLOOKUP(C21,Extrusion!B:N,5,0)</f>
        <v>YES</v>
      </c>
      <c r="G21" s="108">
        <f>VLOOKUP(C21,Extrusion!B:N,6,0)</f>
        <v>1</v>
      </c>
      <c r="H21" s="108">
        <f>VLOOKUP(C21,Extrusion!B:N,7,0)</f>
        <v>0</v>
      </c>
      <c r="I21" s="109"/>
      <c r="J21" s="46" t="str">
        <f>VLOOKUP(C21,Extrusion!B:N,8,0)</f>
        <v>T-Slots</v>
      </c>
      <c r="K21" s="46">
        <f>VLOOKUP(C21,Extrusion!B:N,9,0)</f>
        <v>0</v>
      </c>
      <c r="L21" s="46">
        <f>VLOOKUP(C21,Extrusion!B:N,10,0)</f>
        <v>3</v>
      </c>
      <c r="M21" s="46">
        <f>VLOOKUP(C21,Extrusion!B:N,11,0)</f>
        <v>4</v>
      </c>
      <c r="N21" s="47">
        <f>VLOOKUP(C21,Extrusion!B:O,12,0)</f>
        <v>5</v>
      </c>
      <c r="O21" s="47">
        <f t="shared" ca="1" si="8"/>
        <v>8</v>
      </c>
      <c r="P21" s="51">
        <f>VLOOKUP(C21,Extrusion!B:G,4,0)</f>
        <v>4</v>
      </c>
      <c r="Q21" s="52">
        <f t="shared" si="9"/>
        <v>16</v>
      </c>
    </row>
    <row r="22" spans="1:17" s="2" customFormat="1" ht="12" customHeight="1" thickBot="1" x14ac:dyDescent="0.3">
      <c r="A22" s="34"/>
      <c r="B22" s="35"/>
      <c r="C22" s="35"/>
      <c r="D22" s="316"/>
      <c r="E22" s="317"/>
      <c r="F22" s="35"/>
      <c r="G22" s="35"/>
      <c r="H22" s="309"/>
      <c r="I22" s="310"/>
      <c r="J22" s="36"/>
      <c r="K22" s="36"/>
      <c r="L22" s="36"/>
      <c r="M22" s="37"/>
      <c r="N22" s="132"/>
      <c r="O22" s="38"/>
      <c r="P22" s="99" t="s">
        <v>43</v>
      </c>
      <c r="Q22" s="104">
        <f>SUM(Q5:Q21)</f>
        <v>824.40000000000009</v>
      </c>
    </row>
  </sheetData>
  <mergeCells count="35">
    <mergeCell ref="D15:E15"/>
    <mergeCell ref="H15:I15"/>
    <mergeCell ref="D14:E14"/>
    <mergeCell ref="H14:I14"/>
    <mergeCell ref="D12:E12"/>
    <mergeCell ref="H12:I12"/>
    <mergeCell ref="D13:E13"/>
    <mergeCell ref="H13:I13"/>
    <mergeCell ref="D16:E16"/>
    <mergeCell ref="H16:I16"/>
    <mergeCell ref="D17:E17"/>
    <mergeCell ref="D22:E22"/>
    <mergeCell ref="H22:I22"/>
    <mergeCell ref="D18:E18"/>
    <mergeCell ref="H18:I18"/>
    <mergeCell ref="D19:E19"/>
    <mergeCell ref="D20:E20"/>
    <mergeCell ref="D21:E21"/>
    <mergeCell ref="D1:E1"/>
    <mergeCell ref="D4:E4"/>
    <mergeCell ref="H4:I4"/>
    <mergeCell ref="D8:E8"/>
    <mergeCell ref="H8:I8"/>
    <mergeCell ref="D5:E5"/>
    <mergeCell ref="H5:I5"/>
    <mergeCell ref="D6:E6"/>
    <mergeCell ref="H6:I6"/>
    <mergeCell ref="D7:E7"/>
    <mergeCell ref="H7:I7"/>
    <mergeCell ref="D11:E11"/>
    <mergeCell ref="H11:I11"/>
    <mergeCell ref="D10:E10"/>
    <mergeCell ref="H10:I10"/>
    <mergeCell ref="D9:E9"/>
    <mergeCell ref="H9:I9"/>
  </mergeCells>
  <conditionalFormatting sqref="M9 M16:M21">
    <cfRule type="cellIs" dxfId="466" priority="9" stopIfTrue="1" operator="lessThanOrEqual">
      <formula>$L9</formula>
    </cfRule>
    <cfRule type="cellIs" dxfId="465" priority="10" operator="greaterThan">
      <formula>L9</formula>
    </cfRule>
  </conditionalFormatting>
  <conditionalFormatting sqref="M12">
    <cfRule type="cellIs" dxfId="464" priority="11" stopIfTrue="1" operator="lessThanOrEqual">
      <formula>$L12</formula>
    </cfRule>
    <cfRule type="cellIs" dxfId="463" priority="12" operator="greaterThan">
      <formula>L12</formula>
    </cfRule>
  </conditionalFormatting>
  <conditionalFormatting sqref="M13:M15">
    <cfRule type="cellIs" dxfId="462" priority="1" stopIfTrue="1" operator="lessThanOrEqual">
      <formula>$L13</formula>
    </cfRule>
    <cfRule type="cellIs" dxfId="461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2F5A4DA-7C62-4BC5-B83F-0E3D79A3ED7A}">
          <x14:formula1>
            <xm:f>Extrusion!$B:$B</xm:f>
          </x14:formula1>
          <xm:sqref>C19:C21</xm:sqref>
        </x14:dataValidation>
        <x14:dataValidation type="list" allowBlank="1" showInputMessage="1" showErrorMessage="1" xr:uid="{C57C5A9F-B340-4C2C-91C5-6210DD77E20B}">
          <x14:formula1>
            <xm:f>Bolts!$A:$A</xm:f>
          </x14:formula1>
          <xm:sqref>C16:C17</xm:sqref>
        </x14:dataValidation>
        <x14:dataValidation type="list" allowBlank="1" showInputMessage="1" showErrorMessage="1" xr:uid="{EE1B8FBA-6C1C-42F6-9268-2C780B47951C}">
          <x14:formula1>
            <xm:f>Assemblies!$E:$E</xm:f>
          </x14:formula1>
          <xm:sqref>C5:C8</xm:sqref>
        </x14:dataValidation>
        <x14:dataValidation type="list" allowBlank="1" showInputMessage="1" showErrorMessage="1" xr:uid="{B2CC4470-2505-4792-AB78-591765D82DFE}">
          <x14:formula1>
            <xm:f>Machined!$C:$C</xm:f>
          </x14:formula1>
          <xm:sqref>C10:C11</xm:sqref>
        </x14:dataValidation>
        <x14:dataValidation type="list" allowBlank="1" showInputMessage="1" showErrorMessage="1" xr:uid="{ACAE3EE3-37CD-4F2A-94E9-FBD8F3FDA4E0}">
          <x14:formula1>
            <xm:f>Purchased!$A:$A</xm:f>
          </x14:formula1>
          <xm:sqref>C9 C12:C15</xm:sqref>
        </x14:dataValidation>
      </x14:dataValidations>
    </ext>
  </extLst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EFD97-72DE-457E-970D-818BC5F354C1}">
  <sheetPr codeName="Sheet214">
    <tabColor theme="6" tint="0.59999389629810485"/>
  </sheetPr>
  <dimension ref="A1:Q8"/>
  <sheetViews>
    <sheetView zoomScale="115" zoomScaleNormal="115" workbookViewId="0">
      <selection activeCell="D11" sqref="D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'10.1'!C6</f>
        <v>PG10.10.1.2.0.A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'10.1'!D6</f>
        <v>Bottom Guarding 1</v>
      </c>
      <c r="D3" s="85" t="s">
        <v>50</v>
      </c>
      <c r="E3" s="86" t="str">
        <f ca="1">MID(CELL("filename",A1),FIND("]",CELL("filename",A1))+1,256)</f>
        <v>10.1.2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363</v>
      </c>
      <c r="D5" s="336" t="str">
        <f ca="1">VLOOKUP(C5,Assemblies!E:P,2,0)</f>
        <v>Variofix and Washer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/>
      <c r="Q5" s="118">
        <f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1343</v>
      </c>
      <c r="D7" s="314" t="str">
        <f>VLOOKUP(C7,Machined!C:X,2,0)</f>
        <v xml:space="preserve">Bottom Guarding 1 Poly 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105</v>
      </c>
      <c r="Q7" s="50">
        <f>B7*P7</f>
        <v>105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105</v>
      </c>
    </row>
  </sheetData>
  <mergeCells count="11">
    <mergeCell ref="D8:E8"/>
    <mergeCell ref="H8:I8"/>
    <mergeCell ref="D6:E6"/>
    <mergeCell ref="H6:I6"/>
    <mergeCell ref="D7:E7"/>
    <mergeCell ref="H7:I7"/>
    <mergeCell ref="D1:E1"/>
    <mergeCell ref="D4:E4"/>
    <mergeCell ref="H4:I4"/>
    <mergeCell ref="D5:E5"/>
    <mergeCell ref="H5:I5"/>
  </mergeCells>
  <conditionalFormatting sqref="M6">
    <cfRule type="cellIs" dxfId="460" priority="3" stopIfTrue="1" operator="lessThanOrEqual">
      <formula>$L6</formula>
    </cfRule>
    <cfRule type="cellIs" dxfId="459" priority="4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FB18A9-71BE-45DB-AC9E-5B90134A7155}">
          <x14:formula1>
            <xm:f>Assemblies!$E:$E</xm:f>
          </x14:formula1>
          <xm:sqref>C5</xm:sqref>
        </x14:dataValidation>
        <x14:dataValidation type="list" allowBlank="1" showInputMessage="1" showErrorMessage="1" xr:uid="{E982C03C-3138-4EB7-B730-7F050F90F2FC}">
          <x14:formula1>
            <xm:f>Machined!$C:$C</xm:f>
          </x14:formula1>
          <xm:sqref>C6:C7</xm:sqref>
        </x14:dataValidation>
      </x14:dataValidations>
    </ext>
  </extLst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F62D1-1F20-4D18-978F-A8983800F05C}">
  <sheetPr codeName="Sheet215">
    <tabColor theme="6" tint="0.59999389629810485"/>
  </sheetPr>
  <dimension ref="A1:Q8"/>
  <sheetViews>
    <sheetView zoomScale="115" zoomScaleNormal="115" workbookViewId="0">
      <selection activeCell="C12" sqref="C1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'10.1'!C7</f>
        <v>PG10.10.1.3.0.A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'10.1'!D7</f>
        <v>Bottom Guarding 2</v>
      </c>
      <c r="D3" s="85" t="s">
        <v>50</v>
      </c>
      <c r="E3" s="86" t="str">
        <f ca="1">MID(CELL("filename",A1),FIND("]",CELL("filename",A1))+1,256)</f>
        <v>10.1.3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10</v>
      </c>
      <c r="C5" s="112" t="s">
        <v>363</v>
      </c>
      <c r="D5" s="336" t="str">
        <f ca="1">VLOOKUP(C5,Assemblies!E:P,2,0)</f>
        <v>Variofix and Washer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20</v>
      </c>
      <c r="P5" s="117"/>
      <c r="Q5" s="118">
        <f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1344</v>
      </c>
      <c r="D7" s="314" t="str">
        <f>VLOOKUP(C7,Machined!C:X,2,0)</f>
        <v>Bottom Guarding 2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2</v>
      </c>
      <c r="P7" s="49">
        <f>VLOOKUP(C7,Machined!C:F,3,0)</f>
        <v>120</v>
      </c>
      <c r="Q7" s="50">
        <f>B7*P7</f>
        <v>120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120</v>
      </c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458" priority="1" stopIfTrue="1" operator="lessThanOrEqual">
      <formula>$L6</formula>
    </cfRule>
    <cfRule type="cellIs" dxfId="45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3F71E54-2027-4465-BBCA-DA10781CFBBC}">
          <x14:formula1>
            <xm:f>Assemblies!$E:$E</xm:f>
          </x14:formula1>
          <xm:sqref>C5</xm:sqref>
        </x14:dataValidation>
        <x14:dataValidation type="list" allowBlank="1" showInputMessage="1" showErrorMessage="1" xr:uid="{1D6B68C3-3270-41F8-98C8-0231E4B58381}">
          <x14:formula1>
            <xm:f>Machined!$C:$C</xm:f>
          </x14:formula1>
          <xm:sqref>C6:C7</xm:sqref>
        </x14:dataValidation>
      </x14:dataValidations>
    </ext>
  </extLst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D46D2-2704-45A4-BDF8-39673E590994}">
  <sheetPr codeName="Sheet216">
    <tabColor theme="6" tint="0.59999389629810485"/>
  </sheetPr>
  <dimension ref="A1:Q8"/>
  <sheetViews>
    <sheetView zoomScale="115" zoomScaleNormal="115" workbookViewId="0">
      <selection activeCell="C11" sqref="C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'10.1'!C8</f>
        <v>PG10.10.1.4.0.A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'10.1'!D8</f>
        <v>End Guarding Assem</v>
      </c>
      <c r="D3" s="85" t="s">
        <v>50</v>
      </c>
      <c r="E3" s="86" t="str">
        <f ca="1">MID(CELL("filename",A1),FIND("]",CELL("filename",A1))+1,256)</f>
        <v>10.1.4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12</v>
      </c>
      <c r="C5" s="112" t="s">
        <v>363</v>
      </c>
      <c r="D5" s="336" t="str">
        <f ca="1">VLOOKUP(C5,Assemblies!E:P,2,0)</f>
        <v>Variofix and Washer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12</v>
      </c>
      <c r="P5" s="117"/>
      <c r="Q5" s="118">
        <f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1345</v>
      </c>
      <c r="D7" s="314" t="str">
        <f>VLOOKUP(C7,Machined!C:X,2,0)</f>
        <v>End Top Guarding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155</v>
      </c>
      <c r="Q7" s="50">
        <f>B7*P7</f>
        <v>155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155</v>
      </c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456" priority="1" stopIfTrue="1" operator="lessThanOrEqual">
      <formula>$L6</formula>
    </cfRule>
    <cfRule type="cellIs" dxfId="45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D243DC1-2F82-493A-8736-B37E49D3990C}">
          <x14:formula1>
            <xm:f>Assemblies!$E:$E</xm:f>
          </x14:formula1>
          <xm:sqref>C5</xm:sqref>
        </x14:dataValidation>
        <x14:dataValidation type="list" allowBlank="1" showInputMessage="1" showErrorMessage="1" xr:uid="{0DF44428-3A70-4521-865C-D38D36E73AED}">
          <x14:formula1>
            <xm:f>Machined!$C:$C</xm:f>
          </x14:formula1>
          <xm:sqref>C6:C7</xm:sqref>
        </x14:dataValidation>
      </x14:dataValidations>
    </ext>
  </extLst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97B1-09C6-4F48-82E0-7E56677C31E7}">
  <sheetPr codeName="Sheet217">
    <tabColor theme="6" tint="0.59999389629810485"/>
  </sheetPr>
  <dimension ref="A1:Q12"/>
  <sheetViews>
    <sheetView zoomScale="115" zoomScaleNormal="115" workbookViewId="0">
      <selection activeCell="B14" sqref="B1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'10.1'!C9</f>
        <v>PG10.10.1.5.0.A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'10.1'!D9</f>
        <v>End Guard Sliding Door</v>
      </c>
      <c r="D3" s="85" t="s">
        <v>50</v>
      </c>
      <c r="E3" s="86" t="str">
        <f ca="1">MID(CELL("filename",A1),FIND("]",CELL("filename",A1))+1,256)</f>
        <v>10.1.5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1346</v>
      </c>
      <c r="D5" s="314" t="str">
        <f>VLOOKUP(C5,Machined!C:X,2,0)</f>
        <v>End Guarding Sliding Panel</v>
      </c>
      <c r="E5" s="329"/>
      <c r="F5" s="107" t="str">
        <f>VLOOKUP($C5,Machined!C:Z,13,0)</f>
        <v>POLYCARBONITE-CLEAR</v>
      </c>
      <c r="G5" s="44" t="str">
        <f>IF(VLOOKUP($C5,Machined!C:Z,16,0) = 0, " ", VLOOKUP($C5,Machined!C:Z,16,0))</f>
        <v>Port Plastics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POLYCARBONITE-CLEAR</v>
      </c>
      <c r="J5" s="44" t="str">
        <f>IF(VLOOKUP($C5,Machined!C:Z,18,0) = 0, " ", VLOOKUP($C5,Machined!C:Z,18,0))</f>
        <v>(TJ) 8/8/2024</v>
      </c>
      <c r="K5" s="44">
        <f>IF(VLOOKUP($C5,Machined!C:Z,19,0) = 0, " ", VLOOKUP($C5,Machined!C:Z,19,0))</f>
        <v>45530</v>
      </c>
      <c r="L5" s="44">
        <f>IF(VLOOKUP($C5,Machined!C:Z,20,0) = 0, " ", VLOOKUP($C5,Machined!C:Z,20,0))</f>
        <v>45561</v>
      </c>
      <c r="M5" s="44" t="str">
        <f>IF(VLOOKUP($C5,Machined!C:Z,21,0) = 0, " ", VLOOKUP($C5,Machined!C:Z,21,0))</f>
        <v xml:space="preserve"> </v>
      </c>
      <c r="N5" s="129">
        <f>IF(VLOOKUP($C5,Machined!C:Z,22,0) = 0, " ", VLOOKUP($C5,Machined!C:Z,22,0))</f>
        <v>55708</v>
      </c>
      <c r="O5" s="45">
        <f ca="1">B5*$L$2</f>
        <v>1</v>
      </c>
      <c r="P5" s="49">
        <f>VLOOKUP(C5,Machined!C:F,3,0)</f>
        <v>80</v>
      </c>
      <c r="Q5" s="50">
        <f>B5*P5</f>
        <v>80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x14ac:dyDescent="0.25">
      <c r="A7" s="4">
        <v>301</v>
      </c>
      <c r="B7" s="2">
        <v>4</v>
      </c>
      <c r="C7" s="135">
        <v>3842530283</v>
      </c>
      <c r="D7" s="325" t="str">
        <f>VLOOKUP(C7,Purchased!A:B,2,0)</f>
        <v>BRX GOTO T-NUT 10 M5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100 additional quantity added to 55710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ca="1">B7*$L$2</f>
        <v>4</v>
      </c>
      <c r="P7" s="51">
        <f>VLOOKUP(C7,Purchased!A:D,3,FALSE)</f>
        <v>0.56000000000000005</v>
      </c>
      <c r="Q7" s="52">
        <f>B7/2000*P7</f>
        <v>1.1200000000000001E-3</v>
      </c>
    </row>
    <row r="8" spans="1:17" s="2" customFormat="1" ht="12.75" customHeight="1" x14ac:dyDescent="0.25">
      <c r="A8" s="4">
        <v>302</v>
      </c>
      <c r="B8" s="2">
        <v>4</v>
      </c>
      <c r="C8" s="135" t="s">
        <v>553</v>
      </c>
      <c r="D8" s="325" t="str">
        <f>VLOOKUP(C8,Purchased!A:B,2,0)</f>
        <v>Metal-Bonded Sealing Washer with Neoprene Seal, Hot-Dipped Galvanized Steel, 1/4" Screw, 0.260" ID, 0.5" OD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ca="1">B8*$L$2</f>
        <v>4</v>
      </c>
      <c r="P8" s="51">
        <f>VLOOKUP(C8,Purchased!A:D,3,FALSE)</f>
        <v>6.56</v>
      </c>
      <c r="Q8" s="52">
        <f>B8/2000*P8</f>
        <v>1.312E-2</v>
      </c>
    </row>
    <row r="9" spans="1:17" s="2" customFormat="1" ht="12.75" customHeight="1" x14ac:dyDescent="0.25">
      <c r="A9" s="4">
        <v>303</v>
      </c>
      <c r="B9" s="2">
        <v>4</v>
      </c>
      <c r="C9" s="135" t="s">
        <v>185</v>
      </c>
      <c r="D9" s="325" t="str">
        <f>VLOOKUP(C9,Purchased!A:B,2,0)</f>
        <v>Aluminum Unthreaded Spacer 13 mm OD, 13 mm Long, for M5 Screw Size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45526</v>
      </c>
      <c r="K9" s="46">
        <f>IF(VLOOKUP(C9,Purchased!A:R,14,0)=0, " ", VLOOKUP(C9,Purchased!A:R,14,0))</f>
        <v>45526</v>
      </c>
      <c r="L9" s="46">
        <f>IF(VLOOKUP(C9,Purchased!A:R,15,0)=0, " ", VLOOKUP(C9,Purchased!A:R,15,0))</f>
        <v>45526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ca="1">B9*$L$2</f>
        <v>4</v>
      </c>
      <c r="P9" s="51">
        <f>VLOOKUP(C9,Purchased!A:D,3,FALSE)</f>
        <v>1.1599999999999999</v>
      </c>
      <c r="Q9" s="52">
        <f>B9/2000*P9</f>
        <v>2.32E-3</v>
      </c>
    </row>
    <row r="10" spans="1:17" s="2" customFormat="1" ht="12.75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.75" customHeight="1" thickBot="1" x14ac:dyDescent="0.3">
      <c r="A11" s="4">
        <v>501</v>
      </c>
      <c r="B11" s="2">
        <v>4</v>
      </c>
      <c r="C11" s="122" t="s">
        <v>811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4</v>
      </c>
      <c r="P11" s="51">
        <f>VLOOKUP(C11,Bolts!A:B,2,FALSE)</f>
        <v>0</v>
      </c>
      <c r="Q11" s="52">
        <f>B11*P11</f>
        <v>0</v>
      </c>
    </row>
    <row r="12" spans="1:17" s="2" customFormat="1" ht="12" customHeight="1" thickBot="1" x14ac:dyDescent="0.3">
      <c r="A12" s="34"/>
      <c r="B12" s="35"/>
      <c r="C12" s="35"/>
      <c r="D12" s="316"/>
      <c r="E12" s="317"/>
      <c r="F12" s="35"/>
      <c r="G12" s="35"/>
      <c r="H12" s="309"/>
      <c r="I12" s="310"/>
      <c r="J12" s="36"/>
      <c r="K12" s="36"/>
      <c r="L12" s="36"/>
      <c r="M12" s="37"/>
      <c r="N12" s="132"/>
      <c r="O12" s="38"/>
      <c r="P12" s="99" t="s">
        <v>43</v>
      </c>
      <c r="Q12" s="104">
        <f>SUM(Q5:Q11)</f>
        <v>80.016559999999998</v>
      </c>
    </row>
  </sheetData>
  <mergeCells count="18">
    <mergeCell ref="D8:E8"/>
    <mergeCell ref="H8:I8"/>
    <mergeCell ref="D5:E5"/>
    <mergeCell ref="H5:I5"/>
    <mergeCell ref="D12:E12"/>
    <mergeCell ref="H12:I12"/>
    <mergeCell ref="D1:E1"/>
    <mergeCell ref="D4:E4"/>
    <mergeCell ref="H4:I4"/>
    <mergeCell ref="D11:E11"/>
    <mergeCell ref="D10:E10"/>
    <mergeCell ref="H10:I10"/>
    <mergeCell ref="D6:E6"/>
    <mergeCell ref="H6:I6"/>
    <mergeCell ref="D9:E9"/>
    <mergeCell ref="H9:I9"/>
    <mergeCell ref="D7:E7"/>
    <mergeCell ref="H7:I7"/>
  </mergeCells>
  <conditionalFormatting sqref="M10:M11">
    <cfRule type="cellIs" dxfId="454" priority="7" stopIfTrue="1" operator="lessThanOrEqual">
      <formula>$L10</formula>
    </cfRule>
    <cfRule type="cellIs" dxfId="453" priority="8" operator="greaterThan">
      <formula>L10</formula>
    </cfRule>
  </conditionalFormatting>
  <conditionalFormatting sqref="M6">
    <cfRule type="cellIs" dxfId="452" priority="3" stopIfTrue="1" operator="lessThanOrEqual">
      <formula>$L6</formula>
    </cfRule>
    <cfRule type="cellIs" dxfId="451" priority="4" operator="greaterThan">
      <formula>L6</formula>
    </cfRule>
  </conditionalFormatting>
  <conditionalFormatting sqref="M7:M9">
    <cfRule type="cellIs" dxfId="450" priority="1" stopIfTrue="1" operator="lessThanOrEqual">
      <formula>$L7</formula>
    </cfRule>
    <cfRule type="cellIs" dxfId="449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B4309F-DE23-414A-AB37-8A33B82B93F1}">
          <x14:formula1>
            <xm:f>Bolts!$A:$A</xm:f>
          </x14:formula1>
          <xm:sqref>C11</xm:sqref>
        </x14:dataValidation>
        <x14:dataValidation type="list" allowBlank="1" showInputMessage="1" showErrorMessage="1" xr:uid="{03A37304-0F61-4B18-AFC7-56957B73B7AE}">
          <x14:formula1>
            <xm:f>Machined!$C:$C</xm:f>
          </x14:formula1>
          <xm:sqref>C5 C10</xm:sqref>
        </x14:dataValidation>
        <x14:dataValidation type="list" allowBlank="1" showInputMessage="1" showErrorMessage="1" xr:uid="{D4A276E5-1247-4B51-95CA-EF34E692F49E}">
          <x14:formula1>
            <xm:f>Purchased!$A:$A</xm:f>
          </x14:formula1>
          <xm:sqref>C6:C9</xm:sqref>
        </x14:dataValidation>
      </x14:dataValidations>
    </ext>
  </extLst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6145E-F815-4A3F-845C-751087359F5F}">
  <sheetPr codeName="Sheet218">
    <tabColor theme="6" tint="0.59999389629810485"/>
  </sheetPr>
  <dimension ref="A1:Q8"/>
  <sheetViews>
    <sheetView view="pageBreakPreview" zoomScale="60" zoomScaleNormal="60" workbookViewId="0">
      <selection activeCell="J27" sqref="J2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'10.1'!C10</f>
        <v>PG10.10.1.6.0.A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'10.1'!D10</f>
        <v xml:space="preserve">End Bottom Guarding </v>
      </c>
      <c r="D3" s="85" t="s">
        <v>50</v>
      </c>
      <c r="E3" s="86" t="str">
        <f ca="1">MID(CELL("filename",A1),FIND("]",CELL("filename",A1))+1,256)</f>
        <v>10.1.6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5</v>
      </c>
      <c r="C5" s="112" t="s">
        <v>363</v>
      </c>
      <c r="D5" s="336" t="str">
        <f ca="1">VLOOKUP(C5,Assemblies!E:P,2,0)</f>
        <v>Variofix and Washer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/>
      <c r="Q5" s="118">
        <f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1347</v>
      </c>
      <c r="D7" s="314" t="str">
        <f>VLOOKUP(C7,Machined!C:X,2,0)</f>
        <v>End Guarding Short Bottom Poly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2</v>
      </c>
      <c r="P7" s="49">
        <f>VLOOKUP(C7,Machined!C:F,3,0)</f>
        <v>65</v>
      </c>
      <c r="Q7" s="50">
        <f>B7*P7</f>
        <v>65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65</v>
      </c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448" priority="1" stopIfTrue="1" operator="lessThanOrEqual">
      <formula>$L6</formula>
    </cfRule>
    <cfRule type="cellIs" dxfId="44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F0A0D62-B443-419E-A0EE-CBCAD5413CC9}">
          <x14:formula1>
            <xm:f>Assemblies!$E:$E</xm:f>
          </x14:formula1>
          <xm:sqref>C5</xm:sqref>
        </x14:dataValidation>
        <x14:dataValidation type="list" allowBlank="1" showInputMessage="1" showErrorMessage="1" xr:uid="{BC734A72-AF28-4A11-B9FB-3B7A3FC9D9DB}">
          <x14:formula1>
            <xm:f>Machined!$C:$C</xm:f>
          </x14:formula1>
          <xm:sqref>C6:C7</xm:sqref>
        </x14:dataValidation>
      </x14:dataValidations>
    </ext>
  </extLst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8053-8332-45B5-8CF5-DCB331CC688C}">
  <sheetPr codeName="Sheet219">
    <tabColor theme="6" tint="0.59999389629810485"/>
  </sheetPr>
  <dimension ref="A1:Q8"/>
  <sheetViews>
    <sheetView zoomScale="115" zoomScaleNormal="115" workbookViewId="0">
      <selection activeCell="C11" sqref="C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'10.1'!C11</f>
        <v>PG10.10.1.7.0.A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'10.1'!D11</f>
        <v>Padle Conveyor Guarding</v>
      </c>
      <c r="D3" s="85" t="s">
        <v>50</v>
      </c>
      <c r="E3" s="86" t="str">
        <f ca="1">MID(CELL("filename",A1),FIND("]",CELL("filename",A1))+1,256)</f>
        <v>10.1.7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5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5</v>
      </c>
      <c r="P5" s="117"/>
      <c r="Q5" s="118">
        <f>B5*P5</f>
        <v>0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1348</v>
      </c>
      <c r="D7" s="314" t="str">
        <f>VLOOKUP(C7,Machined!C:X,2,0)</f>
        <v>End Guarding Padle Conveyor Side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72</v>
      </c>
      <c r="Q7" s="50">
        <f>B7*P7</f>
        <v>72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72</v>
      </c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446" priority="1" stopIfTrue="1" operator="lessThanOrEqual">
      <formula>$L6</formula>
    </cfRule>
    <cfRule type="cellIs" dxfId="445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57B299-C894-4A21-B49F-51A870679AA6}">
          <x14:formula1>
            <xm:f>Assemblies!$E:$E</xm:f>
          </x14:formula1>
          <xm:sqref>C5</xm:sqref>
        </x14:dataValidation>
        <x14:dataValidation type="list" allowBlank="1" showInputMessage="1" showErrorMessage="1" xr:uid="{3F6C1930-368F-4B10-A3A0-C970430556B1}">
          <x14:formula1>
            <xm:f>Machined!$C:$C</xm:f>
          </x14:formula1>
          <xm:sqref>C6:C7</xm:sqref>
        </x14:dataValidation>
      </x14:dataValidations>
    </ext>
  </extLst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D7C5-CF27-493A-9FD9-CA48DBDC14F8}">
  <sheetPr codeName="Sheet220">
    <tabColor theme="6" tint="0.59999389629810485"/>
  </sheetPr>
  <dimension ref="A1:Q8"/>
  <sheetViews>
    <sheetView zoomScale="115" zoomScaleNormal="115" workbookViewId="0">
      <selection activeCell="C10" sqref="C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'10.1'!C12</f>
        <v>PG10.10.1.8.0.A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'10.1'!D12</f>
        <v>Bottom Guarding Motor Cut Out</v>
      </c>
      <c r="D3" s="85" t="s">
        <v>50</v>
      </c>
      <c r="E3" s="86" t="str">
        <f ca="1">MID(CELL("filename",A1),FIND("]",CELL("filename",A1))+1,256)</f>
        <v>10.1.8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10</v>
      </c>
      <c r="C5" s="112" t="s">
        <v>363</v>
      </c>
      <c r="D5" s="336" t="str">
        <f ca="1">VLOOKUP(C5,Assemblies!E:P,2,0)</f>
        <v>Variofix and Washer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10</v>
      </c>
      <c r="P5" s="117"/>
      <c r="Q5" s="118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1349</v>
      </c>
      <c r="D7" s="314" t="str">
        <f>VLOOKUP(C7,Machined!C:X,2,0)</f>
        <v xml:space="preserve">Bottom Guarding Motor Cut out Poly 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100</v>
      </c>
      <c r="Q7" s="50">
        <f>B7*P7</f>
        <v>100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100</v>
      </c>
    </row>
  </sheetData>
  <mergeCells count="11">
    <mergeCell ref="D8:E8"/>
    <mergeCell ref="H8:I8"/>
    <mergeCell ref="D6:E6"/>
    <mergeCell ref="H6:I6"/>
    <mergeCell ref="D1:E1"/>
    <mergeCell ref="D4:E4"/>
    <mergeCell ref="H4:I4"/>
    <mergeCell ref="D7:E7"/>
    <mergeCell ref="H7:I7"/>
    <mergeCell ref="D5:E5"/>
    <mergeCell ref="H5:I5"/>
  </mergeCells>
  <conditionalFormatting sqref="M6">
    <cfRule type="cellIs" dxfId="444" priority="1" stopIfTrue="1" operator="lessThanOrEqual">
      <formula>$L6</formula>
    </cfRule>
    <cfRule type="cellIs" dxfId="443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BCC3BE-28D1-4D3A-B972-2913C05B0E43}">
          <x14:formula1>
            <xm:f>Assemblies!$E:$E</xm:f>
          </x14:formula1>
          <xm:sqref>C5</xm:sqref>
        </x14:dataValidation>
        <x14:dataValidation type="list" allowBlank="1" showInputMessage="1" showErrorMessage="1" xr:uid="{8CA17C16-5ABF-4D54-891D-8A375A2AB4D3}">
          <x14:formula1>
            <xm:f>Machined!$C:$C</xm:f>
          </x14:formula1>
          <xm:sqref>C6:C7</xm:sqref>
        </x14:dataValidation>
      </x14:dataValidations>
    </ext>
  </extLst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91D28-B492-4142-AA12-AD504BD4AF52}">
  <sheetPr codeName="Sheet221">
    <tabColor theme="6" tint="0.59999389629810485"/>
  </sheetPr>
  <dimension ref="A1:Q20"/>
  <sheetViews>
    <sheetView zoomScale="115" zoomScaleNormal="115" workbookViewId="0">
      <selection activeCell="C24" sqref="C24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'10.1'!C13</f>
        <v>PG10.10.1.9.0.A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'10.1'!D13</f>
        <v>Bag Edge Sensor Assem</v>
      </c>
      <c r="D3" s="85" t="s">
        <v>50</v>
      </c>
      <c r="E3" s="86" t="str">
        <f ca="1">MID(CELL("filename",A1),FIND("]",CELL("filename",A1))+1,256)</f>
        <v>10.1.9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1350</v>
      </c>
      <c r="D5" s="314" t="str">
        <f>VLOOKUP(C5,Machined!C:X,2,0)</f>
        <v>Bag Edge Sensor Mount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Xometry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45527</v>
      </c>
      <c r="K5" s="44">
        <f>IF(VLOOKUP($C5,Machined!C:Z,19,0) = 0, " ", VLOOKUP($C5,Machined!C:Z,19,0))</f>
        <v>45530</v>
      </c>
      <c r="L5" s="44">
        <f>IF(VLOOKUP($C5,Machined!C:Z,20,0) = 0, " ", VLOOKUP($C5,Machined!C:Z,20,0))</f>
        <v>45560</v>
      </c>
      <c r="M5" s="44">
        <f>IF(VLOOKUP($C5,Machined!C:Z,21,0) = 0, " ", VLOOKUP($C5,Machined!C:Z,21,0))</f>
        <v>45560</v>
      </c>
      <c r="N5" s="129">
        <f>IF(VLOOKUP($C5,Machined!C:Z,22,0) = 0, " ", VLOOKUP($C5,Machined!C:Z,22,0))</f>
        <v>55706</v>
      </c>
      <c r="O5" s="45">
        <f ca="1">B5*$L$2</f>
        <v>1</v>
      </c>
      <c r="P5" s="49">
        <f>VLOOKUP(C5,Machined!C:F,3,0)</f>
        <v>127.74</v>
      </c>
      <c r="Q5" s="50">
        <f>B5*P5</f>
        <v>127.74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>
        <v>3842529323</v>
      </c>
      <c r="D7" s="325" t="str">
        <f>VLOOKUP(C7,Purchased!A:B,2,0)</f>
        <v>BRX 3842529323 - M6 SLIDING BLOCK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 t="str">
        <f>IF(VLOOKUP($C7,Purchased!A:Z,14,0)=0, " ", VLOOKUP($C7,Purchased!A:Z,14,0))</f>
        <v xml:space="preserve"> </v>
      </c>
      <c r="K7" s="46" t="str">
        <f>IF(VLOOKUP(C7,Purchased!A:R,14,0)=0, " ", VLOOKUP(C7,Purchased!A:R,14,0))</f>
        <v xml:space="preserve"> </v>
      </c>
      <c r="L7" s="46">
        <f>IF(VLOOKUP(C7,Purchased!A:R,15,0)=0, " ", VLOOKUP(C7,Purchased!A:R,15,0))</f>
        <v>45532</v>
      </c>
      <c r="M7" s="46">
        <f>IF(VLOOKUP(C7,Purchased!A:R,16,0)=0, " ",VLOOKUP(C7,Purchased!A:R,16,0))</f>
        <v>45561</v>
      </c>
      <c r="N7" s="130" t="str">
        <f>IF(VLOOKUP(C7,Purchased!A:R,17,0)=0, " ", VLOOKUP(C7,Purchased!A:R,17,0))</f>
        <v xml:space="preserve"> </v>
      </c>
      <c r="O7" s="47">
        <f t="shared" ref="O7:O14" ca="1" si="0">B7*$L$2</f>
        <v>1</v>
      </c>
      <c r="P7" s="51">
        <f>VLOOKUP(C7,Purchased!A:D,3,FALSE)</f>
        <v>0.86</v>
      </c>
      <c r="Q7" s="52">
        <f t="shared" ref="Q7:Q14" si="1">B7*P7</f>
        <v>0.86</v>
      </c>
    </row>
    <row r="8" spans="1:17" s="2" customFormat="1" ht="12" customHeight="1" x14ac:dyDescent="0.25">
      <c r="A8" s="4">
        <v>302</v>
      </c>
      <c r="B8" s="2">
        <v>2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ref="O8" ca="1" si="2">B8*$L$2</f>
        <v>2</v>
      </c>
      <c r="P8" s="51">
        <f>VLOOKUP(C8,Purchased!A:D,3,FALSE)</f>
        <v>0.56000000000000005</v>
      </c>
      <c r="Q8" s="52">
        <f t="shared" ref="Q8" si="3">B8*P8</f>
        <v>1.1200000000000001</v>
      </c>
    </row>
    <row r="9" spans="1:17" s="2" customFormat="1" ht="12" customHeight="1" x14ac:dyDescent="0.25">
      <c r="A9" s="4">
        <v>303</v>
      </c>
      <c r="B9" s="2">
        <v>1</v>
      </c>
      <c r="C9" s="135" t="s">
        <v>1351</v>
      </c>
      <c r="D9" s="325" t="str">
        <f>VLOOKUP(C9,Purchased!A:B,2,0)</f>
        <v>Keyence Reflective Fiber Unit</v>
      </c>
      <c r="E9" s="326"/>
      <c r="F9" s="108" t="str">
        <f>IF(VLOOKUP($C9,Purchased!A:Z,11,0) = 0, " ", VLOOKUP($C9,Purchased!A:Z,11,0))</f>
        <v>KEYENCE</v>
      </c>
      <c r="G9" s="108" t="str">
        <f>IF(VLOOKUP($C9,Purchased!A:Z,12,0)=0, " ", VLOOKUP($C9,Purchased!A:Z,12,0))</f>
        <v>KEYENCE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45516</v>
      </c>
      <c r="K9" s="46">
        <f>IF(VLOOKUP(C9,Purchased!A:R,14,0)=0, " ", VLOOKUP(C9,Purchased!A:R,14,0))</f>
        <v>45516</v>
      </c>
      <c r="L9" s="46">
        <f>IF(VLOOKUP(C9,Purchased!A:R,15,0)=0, " ", VLOOKUP(C9,Purchased!A:R,15,0))</f>
        <v>45518</v>
      </c>
      <c r="M9" s="46">
        <f>IF(VLOOKUP(C9,Purchased!A:R,16,0)=0, " ",VLOOKUP(C9,Purchased!A:R,16,0))</f>
        <v>45526</v>
      </c>
      <c r="N9" s="130">
        <f>IF(VLOOKUP(C9,Purchased!A:R,17,0)=0, " ", VLOOKUP(C9,Purchased!A:R,17,0))</f>
        <v>45526</v>
      </c>
      <c r="O9" s="47">
        <f t="shared" ca="1" si="0"/>
        <v>1</v>
      </c>
      <c r="P9" s="51">
        <f>VLOOKUP(C9,Purchased!A:D,3,FALSE)</f>
        <v>215</v>
      </c>
      <c r="Q9" s="52">
        <f t="shared" si="1"/>
        <v>215</v>
      </c>
    </row>
    <row r="10" spans="1:17" s="2" customFormat="1" ht="12" customHeight="1" x14ac:dyDescent="0.25">
      <c r="A10" s="4">
        <v>304</v>
      </c>
      <c r="B10" s="2">
        <v>1</v>
      </c>
      <c r="C10" s="135" t="s">
        <v>1352</v>
      </c>
      <c r="D10" s="325" t="str">
        <f>VLOOKUP(C10,Purchased!A:B,2,0)</f>
        <v>Keyence Fiber Optic Amplifier</v>
      </c>
      <c r="E10" s="326"/>
      <c r="F10" s="108" t="str">
        <f>IF(VLOOKUP($C10,Purchased!A:Z,11,0) = 0, " ", VLOOKUP($C10,Purchased!A:Z,11,0))</f>
        <v>KEYENCE</v>
      </c>
      <c r="G10" s="108" t="str">
        <f>IF(VLOOKUP($C10,Purchased!A:Z,12,0)=0, " ", VLOOKUP($C10,Purchased!A:Z,12,0))</f>
        <v>KEYENCE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45516</v>
      </c>
      <c r="K10" s="46">
        <f>IF(VLOOKUP(C10,Purchased!A:R,14,0)=0, " ", VLOOKUP(C10,Purchased!A:R,14,0))</f>
        <v>45516</v>
      </c>
      <c r="L10" s="46">
        <f>IF(VLOOKUP(C10,Purchased!A:R,15,0)=0, " ", VLOOKUP(C10,Purchased!A:R,15,0))</f>
        <v>45518</v>
      </c>
      <c r="M10" s="46">
        <f>IF(VLOOKUP(C10,Purchased!A:R,16,0)=0, " ",VLOOKUP(C10,Purchased!A:R,16,0))</f>
        <v>45526</v>
      </c>
      <c r="N10" s="130">
        <f>IF(VLOOKUP(C10,Purchased!A:R,17,0)=0, " ", VLOOKUP(C10,Purchased!A:R,17,0))</f>
        <v>45526</v>
      </c>
      <c r="O10" s="47">
        <f t="shared" ca="1" si="0"/>
        <v>1</v>
      </c>
      <c r="P10" s="51">
        <f>VLOOKUP(C10,Purchased!A:D,3,FALSE)</f>
        <v>235</v>
      </c>
      <c r="Q10" s="52">
        <f t="shared" si="1"/>
        <v>235</v>
      </c>
    </row>
    <row r="11" spans="1:17" s="2" customFormat="1" ht="12" customHeight="1" x14ac:dyDescent="0.25">
      <c r="A11" s="4">
        <v>305</v>
      </c>
      <c r="B11" s="2">
        <v>1</v>
      </c>
      <c r="C11" s="135" t="s">
        <v>1297</v>
      </c>
      <c r="D11" s="325" t="str">
        <f>VLOOKUP(C11,Purchased!A:B,2,0)</f>
        <v>10mm x 16mm METRIC ALLOY STEEL DOWEL PIN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45481</v>
      </c>
      <c r="K11" s="46">
        <f>IF(VLOOKUP(C11,Purchased!A:R,14,0)=0, " ", VLOOKUP(C11,Purchased!A:R,14,0))</f>
        <v>45481</v>
      </c>
      <c r="L11" s="46">
        <f>IF(VLOOKUP(C11,Purchased!A:R,15,0)=0, " ", VLOOKUP(C11,Purchased!A:R,15,0))</f>
        <v>45481</v>
      </c>
      <c r="M11" s="46">
        <f>IF(VLOOKUP(C11,Purchased!A:R,16,0)=0, " ",VLOOKUP(C11,Purchased!A:R,16,0))</f>
        <v>45482</v>
      </c>
      <c r="N11" s="130">
        <f>IF(VLOOKUP(C11,Purchased!A:R,17,0)=0, " ", VLOOKUP(C11,Purchased!A:R,17,0))</f>
        <v>45482</v>
      </c>
      <c r="O11" s="47">
        <f t="shared" ca="1" si="0"/>
        <v>1</v>
      </c>
      <c r="P11" s="51">
        <f>VLOOKUP(C11,Purchased!A:D,3,FALSE)</f>
        <v>17.350000000000001</v>
      </c>
      <c r="Q11" s="52">
        <f t="shared" si="1"/>
        <v>17.350000000000001</v>
      </c>
    </row>
    <row r="12" spans="1:17" s="2" customFormat="1" ht="12" customHeight="1" x14ac:dyDescent="0.25">
      <c r="A12" s="4">
        <v>306</v>
      </c>
      <c r="B12" s="2">
        <v>1</v>
      </c>
      <c r="C12" s="135" t="s">
        <v>193</v>
      </c>
      <c r="D12" s="325" t="str">
        <f>VLOOKUP(C12,Purchased!A:B,2,0)</f>
        <v>GN 300.1-45-M6-16-SW M6 adjustable handle w threaded bolt</v>
      </c>
      <c r="E12" s="326"/>
      <c r="F12" s="108" t="str">
        <f>IF(VLOOKUP($C12,Purchased!A:Z,11,0) = 0, " ", VLOOKUP($C12,Purchased!A:Z,11,0))</f>
        <v>ELESA</v>
      </c>
      <c r="G12" s="108" t="str">
        <f>IF(VLOOKUP($C12,Purchased!A:Z,12,0)=0, " ", VLOOKUP($C12,Purchased!A:Z,12,0))</f>
        <v>ELESA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45506</v>
      </c>
      <c r="K12" s="46">
        <f>IF(VLOOKUP(C12,Purchased!A:R,14,0)=0, " ", VLOOKUP(C12,Purchased!A:R,14,0))</f>
        <v>45506</v>
      </c>
      <c r="L12" s="46">
        <f>IF(VLOOKUP(C12,Purchased!A:R,15,0)=0, " ", VLOOKUP(C12,Purchased!A:R,15,0))</f>
        <v>45526</v>
      </c>
      <c r="M12" s="46">
        <f>IF(VLOOKUP(C12,Purchased!A:R,16,0)=0, " ",VLOOKUP(C12,Purchased!A:R,16,0))</f>
        <v>45551</v>
      </c>
      <c r="N12" s="130">
        <f>IF(VLOOKUP(C12,Purchased!A:R,17,0)=0, " ", VLOOKUP(C12,Purchased!A:R,17,0))</f>
        <v>45551</v>
      </c>
      <c r="O12" s="47">
        <f t="shared" ca="1" si="0"/>
        <v>1</v>
      </c>
      <c r="P12" s="51">
        <f>VLOOKUP(C12,Purchased!A:D,3,FALSE)</f>
        <v>8.58</v>
      </c>
      <c r="Q12" s="52">
        <f t="shared" si="1"/>
        <v>8.58</v>
      </c>
    </row>
    <row r="13" spans="1:17" s="2" customFormat="1" ht="12" customHeight="1" x14ac:dyDescent="0.25">
      <c r="A13" s="4">
        <v>307</v>
      </c>
      <c r="B13" s="2">
        <v>1</v>
      </c>
      <c r="C13" s="135" t="s">
        <v>1358</v>
      </c>
      <c r="D13" s="325" t="str">
        <f>VLOOKUP(C13,Purchased!A:B,2,0)</f>
        <v>M8 4PIN TO FLYING LEAD 10M CABLE, Gray</v>
      </c>
      <c r="E13" s="326"/>
      <c r="F13" s="108" t="str">
        <f>IF(VLOOKUP($C13,Purchased!A:Z,11,0) = 0, " ", VLOOKUP($C13,Purchased!A:Z,11,0))</f>
        <v>MURR</v>
      </c>
      <c r="G13" s="108" t="str">
        <f>IF(VLOOKUP($C13,Purchased!A:Z,12,0)=0, " ", VLOOKUP($C13,Purchased!A:Z,12,0))</f>
        <v>MURR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45506</v>
      </c>
      <c r="K13" s="46">
        <f>IF(VLOOKUP(C13,Purchased!A:R,14,0)=0, " ", VLOOKUP(C13,Purchased!A:R,14,0))</f>
        <v>45506</v>
      </c>
      <c r="L13" s="46" t="str">
        <f>IF(VLOOKUP(C13,Purchased!A:R,15,0)=0, " ", VLOOKUP(C13,Purchased!A:R,15,0))</f>
        <v xml:space="preserve"> </v>
      </c>
      <c r="M13" s="46" t="str">
        <f>IF(VLOOKUP(C13,Purchased!A:R,16,0)=0, " ",VLOOKUP(C13,Purchased!A:R,16,0))</f>
        <v xml:space="preserve"> </v>
      </c>
      <c r="N13" s="130" t="str">
        <f>IF(VLOOKUP(C13,Purchased!A:R,17,0)=0, " ", VLOOKUP(C13,Purchased!A:R,17,0))</f>
        <v xml:space="preserve"> </v>
      </c>
      <c r="O13" s="47">
        <f t="shared" ref="O13" ca="1" si="4">B13*$L$2</f>
        <v>1</v>
      </c>
      <c r="P13" s="51">
        <f>VLOOKUP(C13,Purchased!A:D,3,FALSE)</f>
        <v>0</v>
      </c>
      <c r="Q13" s="52">
        <f t="shared" ref="Q13" si="5">B13*P13</f>
        <v>0</v>
      </c>
    </row>
    <row r="14" spans="1:17" s="2" customFormat="1" ht="12" customHeight="1" x14ac:dyDescent="0.25">
      <c r="A14" s="4">
        <v>308</v>
      </c>
      <c r="B14" s="2">
        <v>1</v>
      </c>
      <c r="C14" s="135" t="s">
        <v>1353</v>
      </c>
      <c r="D14" s="325" t="str">
        <f>VLOOKUP(C14,Purchased!A:B,2,0)</f>
        <v>GENERIC DIN RAIL</v>
      </c>
      <c r="E14" s="326"/>
      <c r="F14" s="108" t="str">
        <f>IF(VLOOKUP($C14,Purchased!A:Z,11,0) = 0, " ", VLOOKUP($C14,Purchased!A:Z,11,0))</f>
        <v>NULINE</v>
      </c>
      <c r="G14" s="108" t="str">
        <f>IF(VLOOKUP($C14,Purchased!A:Z,12,0)=0, " ", VLOOKUP($C14,Purchased!A:Z,12,0))</f>
        <v>NULINE</v>
      </c>
      <c r="H14" s="327" t="str">
        <f>IF(VLOOKUP($C14,Purchased!A:Z,13,0)=0, " ", VLOOKUP($C14,Purchased!A:Z,13,0))</f>
        <v>IN HOUSE</v>
      </c>
      <c r="I14" s="328"/>
      <c r="J14" s="46" t="str">
        <f>IF(VLOOKUP($C14,Purchased!A:Z,14,0)=0, " ", VLOOKUP($C14,Purchased!A:Z,14,0))</f>
        <v>N/A</v>
      </c>
      <c r="K14" s="46" t="str">
        <f>IF(VLOOKUP(C14,Purchased!A:R,14,0)=0, " ", VLOOKUP(C14,Purchased!A:R,14,0))</f>
        <v>N/A</v>
      </c>
      <c r="L14" s="46" t="str">
        <f>IF(VLOOKUP(C14,Purchased!A:R,15,0)=0, " ", VLOOKUP(C14,Purchased!A:R,15,0))</f>
        <v>N/A</v>
      </c>
      <c r="M14" s="46" t="str">
        <f>IF(VLOOKUP(C14,Purchased!A:R,16,0)=0, " ",VLOOKUP(C14,Purchased!A:R,16,0))</f>
        <v>N/A</v>
      </c>
      <c r="N14" s="130" t="str">
        <f>IF(VLOOKUP(C14,Purchased!A:R,17,0)=0, " ", VLOOKUP(C14,Purchased!A:R,17,0))</f>
        <v>N/A</v>
      </c>
      <c r="O14" s="47">
        <f t="shared" ca="1" si="0"/>
        <v>1</v>
      </c>
      <c r="P14" s="51">
        <f>VLOOKUP(C14,Purchased!A:D,3,FALSE)</f>
        <v>0</v>
      </c>
      <c r="Q14" s="52">
        <f t="shared" si="1"/>
        <v>0</v>
      </c>
    </row>
    <row r="15" spans="1:17" s="2" customFormat="1" ht="12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" customHeight="1" x14ac:dyDescent="0.25">
      <c r="A16" s="4">
        <v>501</v>
      </c>
      <c r="B16" s="2">
        <v>1</v>
      </c>
      <c r="C16" s="122" t="s">
        <v>1354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ca="1">B16*$L$2</f>
        <v>1</v>
      </c>
      <c r="P16" s="51">
        <f>VLOOKUP(C16,Bolts!A:B,2,FALSE)</f>
        <v>0</v>
      </c>
      <c r="Q16" s="52">
        <f>B16*P16</f>
        <v>0</v>
      </c>
    </row>
    <row r="17" spans="1:17" s="2" customFormat="1" ht="12" customHeight="1" x14ac:dyDescent="0.25">
      <c r="A17" s="4">
        <v>502</v>
      </c>
      <c r="B17" s="2">
        <v>1</v>
      </c>
      <c r="C17" s="122" t="s">
        <v>1355</v>
      </c>
      <c r="D17" s="325"/>
      <c r="E17" s="326"/>
      <c r="F17" s="108">
        <f>VLOOKUP(C17,Bolts!A:L,5,0)</f>
        <v>0</v>
      </c>
      <c r="G17" s="108" t="str">
        <f>VLOOKUP(C17,Bolts!A:L,6,0)</f>
        <v xml:space="preserve"> 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ca="1">B17*$L$2</f>
        <v>1</v>
      </c>
      <c r="P17" s="51">
        <f>VLOOKUP(C17,Bolts!A:B,2,FALSE)</f>
        <v>0</v>
      </c>
      <c r="Q17" s="52">
        <f>B17*P17</f>
        <v>0</v>
      </c>
    </row>
    <row r="18" spans="1:17" s="2" customFormat="1" ht="12" customHeight="1" x14ac:dyDescent="0.25">
      <c r="A18" s="4">
        <v>503</v>
      </c>
      <c r="B18" s="2">
        <v>2</v>
      </c>
      <c r="C18" s="122" t="s">
        <v>246</v>
      </c>
      <c r="D18" s="325"/>
      <c r="E18" s="326"/>
      <c r="F18" s="108">
        <f>VLOOKUP(C18,Bolts!A:L,5,0)</f>
        <v>0</v>
      </c>
      <c r="G18" s="108">
        <f>VLOOKUP(C18,Bolts!A:L,6,0)</f>
        <v>0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ca="1">B18*$L$2</f>
        <v>2</v>
      </c>
      <c r="P18" s="51">
        <f>VLOOKUP(C18,Bolts!A:B,2,FALSE)</f>
        <v>0</v>
      </c>
      <c r="Q18" s="52">
        <f>B18*P18</f>
        <v>0</v>
      </c>
    </row>
    <row r="19" spans="1:17" s="2" customFormat="1" ht="12" customHeight="1" thickBot="1" x14ac:dyDescent="0.3">
      <c r="A19" s="4">
        <v>504</v>
      </c>
      <c r="B19" s="2">
        <v>1</v>
      </c>
      <c r="C19" s="122" t="s">
        <v>1356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ca="1">B19*$L$2</f>
        <v>1</v>
      </c>
      <c r="P19" s="51">
        <f>VLOOKUP(C19,Bolts!A:B,2,FALSE)</f>
        <v>1</v>
      </c>
      <c r="Q19" s="52">
        <f>B19*P19</f>
        <v>1</v>
      </c>
    </row>
    <row r="20" spans="1:17" s="2" customFormat="1" ht="12" customHeight="1" thickBot="1" x14ac:dyDescent="0.3">
      <c r="A20" s="34"/>
      <c r="B20" s="35"/>
      <c r="C20" s="35"/>
      <c r="D20" s="316"/>
      <c r="E20" s="317"/>
      <c r="F20" s="35"/>
      <c r="G20" s="35"/>
      <c r="H20" s="309"/>
      <c r="I20" s="310"/>
      <c r="J20" s="36"/>
      <c r="K20" s="36"/>
      <c r="L20" s="36"/>
      <c r="M20" s="37"/>
      <c r="N20" s="132"/>
      <c r="O20" s="38"/>
      <c r="P20" s="99" t="s">
        <v>43</v>
      </c>
      <c r="Q20" s="104">
        <f>SUM(Q5:Q19)</f>
        <v>606.65000000000009</v>
      </c>
    </row>
  </sheetData>
  <mergeCells count="31">
    <mergeCell ref="D15:E15"/>
    <mergeCell ref="H15:I15"/>
    <mergeCell ref="D20:E20"/>
    <mergeCell ref="H20:I20"/>
    <mergeCell ref="D16:E16"/>
    <mergeCell ref="D17:E17"/>
    <mergeCell ref="D19:E19"/>
    <mergeCell ref="D18:E18"/>
    <mergeCell ref="D10:E10"/>
    <mergeCell ref="H10:I10"/>
    <mergeCell ref="D11:E11"/>
    <mergeCell ref="H11:I11"/>
    <mergeCell ref="D14:E14"/>
    <mergeCell ref="H14:I14"/>
    <mergeCell ref="D12:E12"/>
    <mergeCell ref="H12:I12"/>
    <mergeCell ref="D13:E13"/>
    <mergeCell ref="H13:I13"/>
    <mergeCell ref="D6:E6"/>
    <mergeCell ref="H6:I6"/>
    <mergeCell ref="D7:E7"/>
    <mergeCell ref="H7:I7"/>
    <mergeCell ref="D9:E9"/>
    <mergeCell ref="H9:I9"/>
    <mergeCell ref="D8:E8"/>
    <mergeCell ref="H8:I8"/>
    <mergeCell ref="D1:E1"/>
    <mergeCell ref="D4:E4"/>
    <mergeCell ref="H4:I4"/>
    <mergeCell ref="D5:E5"/>
    <mergeCell ref="H5:I5"/>
  </mergeCells>
  <conditionalFormatting sqref="M6 M15:M19">
    <cfRule type="cellIs" dxfId="442" priority="13" stopIfTrue="1" operator="lessThanOrEqual">
      <formula>$L6</formula>
    </cfRule>
    <cfRule type="cellIs" dxfId="441" priority="14" operator="greaterThan">
      <formula>L6</formula>
    </cfRule>
  </conditionalFormatting>
  <conditionalFormatting sqref="M7">
    <cfRule type="cellIs" dxfId="440" priority="11" stopIfTrue="1" operator="lessThanOrEqual">
      <formula>$L7</formula>
    </cfRule>
    <cfRule type="cellIs" dxfId="439" priority="12" operator="greaterThan">
      <formula>L7</formula>
    </cfRule>
  </conditionalFormatting>
  <conditionalFormatting sqref="M8:M9">
    <cfRule type="cellIs" dxfId="438" priority="9" stopIfTrue="1" operator="lessThanOrEqual">
      <formula>$L8</formula>
    </cfRule>
    <cfRule type="cellIs" dxfId="437" priority="10" operator="greaterThan">
      <formula>L8</formula>
    </cfRule>
  </conditionalFormatting>
  <conditionalFormatting sqref="M10">
    <cfRule type="cellIs" dxfId="436" priority="7" stopIfTrue="1" operator="lessThanOrEqual">
      <formula>$L10</formula>
    </cfRule>
    <cfRule type="cellIs" dxfId="435" priority="8" operator="greaterThan">
      <formula>L10</formula>
    </cfRule>
  </conditionalFormatting>
  <conditionalFormatting sqref="M11">
    <cfRule type="cellIs" dxfId="434" priority="5" stopIfTrue="1" operator="lessThanOrEqual">
      <formula>$L11</formula>
    </cfRule>
    <cfRule type="cellIs" dxfId="433" priority="6" operator="greaterThan">
      <formula>L11</formula>
    </cfRule>
  </conditionalFormatting>
  <conditionalFormatting sqref="M12">
    <cfRule type="cellIs" dxfId="432" priority="3" stopIfTrue="1" operator="lessThanOrEqual">
      <formula>$L12</formula>
    </cfRule>
    <cfRule type="cellIs" dxfId="431" priority="4" operator="greaterThan">
      <formula>L12</formula>
    </cfRule>
  </conditionalFormatting>
  <conditionalFormatting sqref="M13:M14">
    <cfRule type="cellIs" dxfId="430" priority="1" stopIfTrue="1" operator="lessThanOrEqual">
      <formula>$L13</formula>
    </cfRule>
    <cfRule type="cellIs" dxfId="429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68649B-167A-4A09-B04A-7D2326E42C50}">
          <x14:formula1>
            <xm:f>Bolts!$A:$A</xm:f>
          </x14:formula1>
          <xm:sqref>C15:C19</xm:sqref>
        </x14:dataValidation>
        <x14:dataValidation type="list" allowBlank="1" showInputMessage="1" showErrorMessage="1" xr:uid="{780C95BA-990E-4772-A69F-64732937A6F3}">
          <x14:formula1>
            <xm:f>Machined!$C:$C</xm:f>
          </x14:formula1>
          <xm:sqref>C5</xm:sqref>
        </x14:dataValidation>
        <x14:dataValidation type="list" allowBlank="1" showInputMessage="1" showErrorMessage="1" xr:uid="{E1AFEEA5-CC87-4C39-A66B-FC27CFC9F304}">
          <x14:formula1>
            <xm:f>Purchased!$A:$A</xm:f>
          </x14:formula1>
          <xm:sqref>C6:C14</xm:sqref>
        </x14:dataValidation>
      </x14:dataValidations>
    </ext>
  </extLst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8E46D-0406-433D-95B6-282FDEE916B3}">
  <sheetPr codeName="Sheet222">
    <tabColor theme="6" tint="0.59999389629810485"/>
  </sheetPr>
  <dimension ref="A1:Q13"/>
  <sheetViews>
    <sheetView zoomScale="115" zoomScaleNormal="115" workbookViewId="0">
      <selection activeCell="E17" sqref="E1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'10.1'!C14</f>
        <v>PG10.10.1.10.0.A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'10.1'!D14</f>
        <v>Static Mitigation Assy</v>
      </c>
      <c r="D3" s="85" t="s">
        <v>50</v>
      </c>
      <c r="E3" s="86" t="str">
        <f ca="1">MID(CELL("filename",A1),FIND("]",CELL("filename",A1))+1,256)</f>
        <v>10.1.10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3</v>
      </c>
      <c r="C5" s="121" t="s">
        <v>244</v>
      </c>
      <c r="D5" s="314" t="str">
        <f>VLOOKUP(C5,Machined!C:X,2,0)</f>
        <v>Static Bar Mount</v>
      </c>
      <c r="E5" s="329"/>
      <c r="F5" s="107" t="str">
        <f>VLOOKUP($C5,Machined!C:Z,13,0)</f>
        <v>304 STAINLESS STEEL</v>
      </c>
      <c r="G5" s="44" t="str">
        <f>IF(VLOOKUP($C5,Machined!C:Z,16,0) = 0, " ", VLOOKUP($C5,Machined!C:Z,16,0))</f>
        <v>Proto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304 STAINLESS STEEL</v>
      </c>
      <c r="J5" s="44">
        <f>IF(VLOOKUP($C5,Machined!C:Z,18,0) = 0, " ", VLOOKUP($C5,Machined!C:Z,18,0))</f>
        <v>45526</v>
      </c>
      <c r="K5" s="44">
        <f>IF(VLOOKUP($C5,Machined!C:Z,19,0) = 0, " ", VLOOKUP($C5,Machined!C:Z,19,0))</f>
        <v>45527</v>
      </c>
      <c r="L5" s="44">
        <f>IF(VLOOKUP($C5,Machined!C:Z,20,0) = 0, " ", VLOOKUP($C5,Machined!C:Z,20,0))</f>
        <v>45548</v>
      </c>
      <c r="M5" s="44">
        <f>IF(VLOOKUP($C5,Machined!C:Z,21,0) = 0, " ", VLOOKUP($C5,Machined!C:Z,21,0))</f>
        <v>45548</v>
      </c>
      <c r="N5" s="129">
        <f>IF(VLOOKUP($C5,Machined!C:Z,22,0) = 0, " ", VLOOKUP($C5,Machined!C:Z,22,0))</f>
        <v>55702</v>
      </c>
      <c r="O5" s="45">
        <f ca="1">B5*$L$2</f>
        <v>3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3</v>
      </c>
      <c r="C7" s="135" t="s">
        <v>172</v>
      </c>
      <c r="D7" s="325" t="str">
        <f>VLOOKUP(C7,Purchased!A:B,2,0)</f>
        <v>BRX GOTO T-NUT 10 M6</v>
      </c>
      <c r="E7" s="326"/>
      <c r="F7" s="108" t="str">
        <f>IF(VLOOKUP($C7,Purchased!A:Z,11,0) = 0, " ", VLOOKUP($C7,Purchased!A:Z,11,0))</f>
        <v>BRX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45463</v>
      </c>
      <c r="K7" s="46">
        <f>IF(VLOOKUP(C7,Purchased!A:R,14,0)=0, " ", VLOOKUP(C7,Purchased!A:R,14,0))</f>
        <v>45463</v>
      </c>
      <c r="L7" s="46">
        <f>IF(VLOOKUP(C7,Purchased!A:R,15,0)=0, " ", VLOOKUP(C7,Purchased!A:R,15,0))</f>
        <v>45463</v>
      </c>
      <c r="M7" s="46">
        <f>IF(VLOOKUP(C7,Purchased!A:R,16,0)=0, " ",VLOOKUP(C7,Purchased!A:R,16,0))</f>
        <v>45481</v>
      </c>
      <c r="N7" s="130">
        <f>IF(VLOOKUP(C7,Purchased!A:R,17,0)=0, " ", VLOOKUP(C7,Purchased!A:R,17,0))</f>
        <v>45481</v>
      </c>
      <c r="O7" s="47">
        <f t="shared" ref="O7:O9" ca="1" si="0">B7*$L$2</f>
        <v>3</v>
      </c>
      <c r="P7" s="51">
        <f>VLOOKUP(C7,Purchased!A:D,3,FALSE)</f>
        <v>0.56000000000000005</v>
      </c>
      <c r="Q7" s="52">
        <f t="shared" ref="Q7:Q9" si="1">B7*P7</f>
        <v>1.6800000000000002</v>
      </c>
    </row>
    <row r="8" spans="1:17" s="2" customFormat="1" ht="12" customHeight="1" x14ac:dyDescent="0.25">
      <c r="A8" s="4">
        <v>302</v>
      </c>
      <c r="B8" s="2">
        <v>1</v>
      </c>
      <c r="C8" s="135" t="s">
        <v>1357</v>
      </c>
      <c r="D8" s="325" t="str">
        <f>VLOOKUP(C8,Purchased!A:B,2,0)</f>
        <v>Hyperion 960IPS Pulsed DC Bar 1000mm</v>
      </c>
      <c r="E8" s="326"/>
      <c r="F8" s="108" t="str">
        <f>IF(VLOOKUP($C8,Purchased!A:Z,11,0) = 0, " ", VLOOKUP($C8,Purchased!A:Z,11,0))</f>
        <v>MEECH</v>
      </c>
      <c r="G8" s="108" t="str">
        <f>IF(VLOOKUP($C8,Purchased!A:Z,12,0)=0, " ", VLOOKUP($C8,Purchased!A:Z,12,0))</f>
        <v>MEECH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45510</v>
      </c>
      <c r="K8" s="46">
        <f>IF(VLOOKUP(C8,Purchased!A:R,14,0)=0, " ", VLOOKUP(C8,Purchased!A:R,14,0))</f>
        <v>45510</v>
      </c>
      <c r="L8" s="46">
        <f>IF(VLOOKUP(C8,Purchased!A:R,15,0)=0, " ", VLOOKUP(C8,Purchased!A:R,15,0))</f>
        <v>45523</v>
      </c>
      <c r="M8" s="46">
        <f>IF(VLOOKUP(C8,Purchased!A:R,16,0)=0, " ",VLOOKUP(C8,Purchased!A:R,16,0))</f>
        <v>45548</v>
      </c>
      <c r="N8" s="130" t="str">
        <f>IF(VLOOKUP(C8,Purchased!A:R,17,0)=0, " ", VLOOKUP(C8,Purchased!A:R,17,0))</f>
        <v xml:space="preserve"> </v>
      </c>
      <c r="O8" s="47">
        <f t="shared" ca="1" si="0"/>
        <v>1</v>
      </c>
      <c r="P8" s="51">
        <f>VLOOKUP(C8,Purchased!A:D,3,FALSE)</f>
        <v>1514</v>
      </c>
      <c r="Q8" s="52">
        <f t="shared" si="1"/>
        <v>1514</v>
      </c>
    </row>
    <row r="9" spans="1:17" s="2" customFormat="1" ht="12" customHeight="1" x14ac:dyDescent="0.25">
      <c r="A9" s="4">
        <v>303</v>
      </c>
      <c r="B9" s="2">
        <v>1</v>
      </c>
      <c r="C9" s="135" t="s">
        <v>1358</v>
      </c>
      <c r="D9" s="325" t="str">
        <f>VLOOKUP(C9,Purchased!A:B,2,0)</f>
        <v>M8 4PIN TO FLYING LEAD 10M CABLE, Gray</v>
      </c>
      <c r="E9" s="326"/>
      <c r="F9" s="108" t="str">
        <f>IF(VLOOKUP($C9,Purchased!A:Z,11,0) = 0, " ", VLOOKUP($C9,Purchased!A:Z,11,0))</f>
        <v>MURR</v>
      </c>
      <c r="G9" s="108" t="str">
        <f>IF(VLOOKUP($C9,Purchased!A:Z,12,0)=0, " ", VLOOKUP($C9,Purchased!A:Z,12,0))</f>
        <v>MURR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45506</v>
      </c>
      <c r="K9" s="46">
        <f>IF(VLOOKUP(C9,Purchased!A:R,14,0)=0, " ", VLOOKUP(C9,Purchased!A:R,14,0))</f>
        <v>45506</v>
      </c>
      <c r="L9" s="46" t="str">
        <f>IF(VLOOKUP(C9,Purchased!A:R,15,0)=0, " ", VLOOKUP(C9,Purchased!A:R,15,0))</f>
        <v xml:space="preserve"> 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t="shared" ca="1" si="0"/>
        <v>1</v>
      </c>
      <c r="P9" s="51">
        <f>VLOOKUP(C9,Purchased!A:D,3,FALSE)</f>
        <v>0</v>
      </c>
      <c r="Q9" s="52">
        <f t="shared" si="1"/>
        <v>0</v>
      </c>
    </row>
    <row r="10" spans="1:17" s="2" customFormat="1" ht="12" customHeight="1" x14ac:dyDescent="0.25">
      <c r="A10" s="25"/>
      <c r="B10" s="26"/>
      <c r="C10" s="26"/>
      <c r="D10" s="332"/>
      <c r="E10" s="333"/>
      <c r="F10" s="26"/>
      <c r="G10" s="26"/>
      <c r="H10" s="322"/>
      <c r="I10" s="323"/>
      <c r="J10" s="27"/>
      <c r="K10" s="27"/>
      <c r="L10" s="27"/>
      <c r="M10" s="28"/>
      <c r="N10" s="29"/>
      <c r="O10" s="29"/>
      <c r="P10" s="148"/>
      <c r="Q10" s="149"/>
    </row>
    <row r="11" spans="1:17" s="2" customFormat="1" ht="12" customHeight="1" x14ac:dyDescent="0.25">
      <c r="A11" s="4">
        <v>501</v>
      </c>
      <c r="B11" s="2">
        <v>3</v>
      </c>
      <c r="C11" s="122" t="s">
        <v>246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ca="1">B11*$L$2</f>
        <v>3</v>
      </c>
      <c r="P11" s="51">
        <f>VLOOKUP(C11,Bolts!A:B,2,FALSE)</f>
        <v>0</v>
      </c>
      <c r="Q11" s="52">
        <f>B11*P11</f>
        <v>0</v>
      </c>
    </row>
    <row r="12" spans="1:17" s="2" customFormat="1" ht="12" customHeight="1" thickBot="1" x14ac:dyDescent="0.3">
      <c r="A12" s="4">
        <v>502</v>
      </c>
      <c r="B12" s="2">
        <v>3</v>
      </c>
      <c r="C12" s="122" t="s">
        <v>247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ca="1">B12*$L$2</f>
        <v>3</v>
      </c>
      <c r="P12" s="51">
        <f>VLOOKUP(C12,Bolts!A:B,2,FALSE)</f>
        <v>1</v>
      </c>
      <c r="Q12" s="52">
        <f>B12*P12</f>
        <v>3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1518.68</v>
      </c>
    </row>
  </sheetData>
  <mergeCells count="19">
    <mergeCell ref="D12:E12"/>
    <mergeCell ref="D13:E13"/>
    <mergeCell ref="H13:I13"/>
    <mergeCell ref="D9:E9"/>
    <mergeCell ref="H9:I9"/>
    <mergeCell ref="D10:E10"/>
    <mergeCell ref="H10:I10"/>
    <mergeCell ref="D11:E11"/>
    <mergeCell ref="D6:E6"/>
    <mergeCell ref="H6:I6"/>
    <mergeCell ref="D8:E8"/>
    <mergeCell ref="H8:I8"/>
    <mergeCell ref="D1:E1"/>
    <mergeCell ref="D4:E4"/>
    <mergeCell ref="H4:I4"/>
    <mergeCell ref="D5:E5"/>
    <mergeCell ref="H5:I5"/>
    <mergeCell ref="D7:E7"/>
    <mergeCell ref="H7:I7"/>
  </mergeCells>
  <conditionalFormatting sqref="M6 M10:M12">
    <cfRule type="cellIs" dxfId="428" priority="7" stopIfTrue="1" operator="lessThanOrEqual">
      <formula>$L6</formula>
    </cfRule>
    <cfRule type="cellIs" dxfId="427" priority="8" operator="greaterThan">
      <formula>L6</formula>
    </cfRule>
  </conditionalFormatting>
  <conditionalFormatting sqref="M7:M9">
    <cfRule type="cellIs" dxfId="426" priority="1" stopIfTrue="1" operator="lessThanOrEqual">
      <formula>$L7</formula>
    </cfRule>
    <cfRule type="cellIs" dxfId="425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3B2D5-E4C3-495A-9C2B-1DE2E00FE400}">
          <x14:formula1>
            <xm:f>Bolts!$A:$A</xm:f>
          </x14:formula1>
          <xm:sqref>C10:C12</xm:sqref>
        </x14:dataValidation>
        <x14:dataValidation type="list" allowBlank="1" showInputMessage="1" showErrorMessage="1" xr:uid="{1246D5E8-F15B-4492-834B-11A7EA322C11}">
          <x14:formula1>
            <xm:f>Machined!$C:$C</xm:f>
          </x14:formula1>
          <xm:sqref>C5</xm:sqref>
        </x14:dataValidation>
        <x14:dataValidation type="list" allowBlank="1" showInputMessage="1" showErrorMessage="1" xr:uid="{BCD3D44D-3241-4FDD-84C3-011E26D60E17}">
          <x14:formula1>
            <xm:f>Purchased!$A:$A</xm:f>
          </x14:formula1>
          <xm:sqref>C6:C9</xm:sqref>
        </x14:dataValidation>
      </x14:dataValidations>
    </ext>
  </extLst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7F98F-64E0-48B6-A2ED-EEA950FD1552}">
  <sheetPr codeName="Sheet223">
    <tabColor theme="6" tint="0.59999389629810485"/>
  </sheetPr>
  <dimension ref="A1:Q8"/>
  <sheetViews>
    <sheetView zoomScale="115" zoomScaleNormal="115" workbookViewId="0">
      <selection activeCell="C10" sqref="C1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'10.1'!C15</f>
        <v>PG10.10.1.11.0.A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'10.1'!D15</f>
        <v>End Bottom Guard Assemy</v>
      </c>
      <c r="D3" s="85" t="s">
        <v>50</v>
      </c>
      <c r="E3" s="86" t="str">
        <f ca="1">MID(CELL("filename",A1),FIND("]",CELL("filename",A1))+1,256)</f>
        <v>10.1.11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" customHeight="1" x14ac:dyDescent="0.2">
      <c r="A5" s="110" t="s">
        <v>54</v>
      </c>
      <c r="B5" s="111">
        <v>7</v>
      </c>
      <c r="C5" s="112" t="s">
        <v>363</v>
      </c>
      <c r="D5" s="336" t="str">
        <f ca="1">VLOOKUP(C5,Assemblies!E:P,2,0)</f>
        <v>Variofix and Washer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7</v>
      </c>
      <c r="P5" s="117"/>
      <c r="Q5" s="118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1</v>
      </c>
      <c r="C7" s="121" t="s">
        <v>1359</v>
      </c>
      <c r="D7" s="314" t="str">
        <f>VLOOKUP(C7,Machined!C:X,2,0)</f>
        <v>End Guarding Padle Conveyor Bellow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Port Plastics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POLYCARBONITE-CLEAR</v>
      </c>
      <c r="J7" s="44" t="str">
        <f>IF(VLOOKUP($C7,Machined!C:Z,18,0) = 0, " ", VLOOKUP($C7,Machined!C:Z,18,0))</f>
        <v>(TJ) 8/8/2024</v>
      </c>
      <c r="K7" s="44">
        <f>IF(VLOOKUP($C7,Machined!C:Z,19,0) = 0, " ", VLOOKUP($C7,Machined!C:Z,19,0))</f>
        <v>45530</v>
      </c>
      <c r="L7" s="44">
        <f>IF(VLOOKUP($C7,Machined!C:Z,20,0) = 0, " ", VLOOKUP($C7,Machined!C:Z,20,0))</f>
        <v>45561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55708</v>
      </c>
      <c r="O7" s="45">
        <f ca="1">B7*$L$2</f>
        <v>1</v>
      </c>
      <c r="P7" s="49">
        <f>VLOOKUP(C7,Machined!C:F,3,0)</f>
        <v>95</v>
      </c>
      <c r="Q7" s="50">
        <f>B7*P7</f>
        <v>95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95</v>
      </c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424" priority="1" stopIfTrue="1" operator="lessThanOrEqual">
      <formula>$L6</formula>
    </cfRule>
    <cfRule type="cellIs" dxfId="423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3D96F82-2883-49AB-933C-ABF98A44D2F8}">
          <x14:formula1>
            <xm:f>Assemblies!$E:$E</xm:f>
          </x14:formula1>
          <xm:sqref>C5</xm:sqref>
        </x14:dataValidation>
        <x14:dataValidation type="list" allowBlank="1" showInputMessage="1" showErrorMessage="1" xr:uid="{8B4EB8EA-10CA-47CB-AEA3-17385BD90F62}">
          <x14:formula1>
            <xm:f>Machined!$C:$C</xm:f>
          </x14:formula1>
          <xm:sqref>C6:C7</xm:sqref>
        </x14:dataValidation>
      </x14:dataValidations>
    </ext>
  </extLst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2F30D-CD0B-4F9A-BCA0-1D37D8B47749}">
  <sheetPr codeName="Sheet249">
    <tabColor theme="6" tint="0.59999389629810485"/>
  </sheetPr>
  <dimension ref="A1:Q11"/>
  <sheetViews>
    <sheetView zoomScale="115" zoomScaleNormal="115" workbookViewId="0">
      <selection activeCell="C5" sqref="C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4" width="20.7109375" style="22" customWidth="1"/>
    <col min="5" max="5" width="20.2851562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'10.1'!C17</f>
        <v>PG10.10.1.13.0.A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'10.1'!D17</f>
        <v>Twin Wall Top Guard 9</v>
      </c>
      <c r="D3" s="85" t="s">
        <v>50</v>
      </c>
      <c r="E3" s="86" t="str">
        <f ca="1">MID(CELL("filename",A1),FIND("]",CELL("filename",A1))+1,256)</f>
        <v>10.1.12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691</v>
      </c>
      <c r="D5" s="314" t="str">
        <f>VLOOKUP(C5,Machined!C:X,2,0)</f>
        <v>M12 Foot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 xml:space="preserve"> </v>
      </c>
      <c r="I5" s="321"/>
      <c r="J5" s="44">
        <f>IF(VLOOKUP($C5,Machined!C:Z,18,0) = 0, " ", VLOOKUP($C5,Machined!C:Z,18,0))</f>
        <v>45435</v>
      </c>
      <c r="K5" s="44">
        <f>IF(VLOOKUP($C5,Machined!C:Z,19,0) = 0, " ", VLOOKUP($C5,Machined!C:Z,19,0))</f>
        <v>45453</v>
      </c>
      <c r="L5" s="44">
        <f>IF(VLOOKUP($C5,Machined!C:Z,20,0) = 0, " ", VLOOKUP($C5,Machined!C:Z,20,0))</f>
        <v>45490</v>
      </c>
      <c r="M5" s="44">
        <f>IF(VLOOKUP($C5,Machined!C:Z,21,0) = 0, " ", VLOOKUP($C5,Machined!C:Z,21,0))</f>
        <v>45490</v>
      </c>
      <c r="N5" s="129">
        <f>IF(VLOOKUP($C5,Machined!C:Z,22,0) = 0, " ", VLOOKUP($C5,Machined!C:Z,22,0))</f>
        <v>55545</v>
      </c>
      <c r="O5" s="45">
        <f ca="1">B5*$L$2</f>
        <v>1</v>
      </c>
      <c r="P5" s="49">
        <f>VLOOKUP(C5,Machined!C:F,3,0)</f>
        <v>36.65</v>
      </c>
      <c r="Q5" s="50">
        <f>B5*P5</f>
        <v>36.65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>
        <v>1004039</v>
      </c>
      <c r="D7" s="325" t="str">
        <f>VLOOKUP(C7,Purchased!A:B,2,0)</f>
        <v>M16 Leveling foot - HX081, Black NBR-HX16150_139_139(2.00), SW2+0, AISI 304_Shell</v>
      </c>
      <c r="E7" s="326"/>
      <c r="F7" s="108" t="str">
        <f>IF(VLOOKUP($C7,Purchased!A:Z,11,0) = 0, " ", VLOOKUP($C7,Purchased!A:Z,11,0))</f>
        <v>NGI</v>
      </c>
      <c r="G7" s="108" t="str">
        <f>IF(VLOOKUP($C7,Purchased!A:Z,12,0)=0, " ", VLOOKUP($C7,Purchased!A:Z,12,0))</f>
        <v>NGI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45413</v>
      </c>
      <c r="K7" s="46">
        <f>IF(VLOOKUP(C7,Purchased!A:R,14,0)=0, " ", VLOOKUP(C7,Purchased!A:R,14,0))</f>
        <v>45413</v>
      </c>
      <c r="L7" s="46">
        <f>IF(VLOOKUP(C7,Purchased!A:R,15,0)=0, " ", VLOOKUP(C7,Purchased!A:R,15,0))</f>
        <v>45453</v>
      </c>
      <c r="M7" s="46">
        <f>IF(VLOOKUP(C7,Purchased!A:R,16,0)=0, " ",VLOOKUP(C7,Purchased!A:R,16,0))</f>
        <v>45467</v>
      </c>
      <c r="N7" s="130">
        <f>IF(VLOOKUP(C7,Purchased!A:R,17,0)=0, " ", VLOOKUP(C7,Purchased!A:R,17,0))</f>
        <v>45467</v>
      </c>
      <c r="O7" s="47">
        <f ca="1">B7*$L$2</f>
        <v>1</v>
      </c>
      <c r="P7" s="51">
        <f>VLOOKUP(C7,Purchased!A:D,3,FALSE)</f>
        <v>18.63</v>
      </c>
      <c r="Q7" s="52">
        <f>B7*P7</f>
        <v>18.63</v>
      </c>
    </row>
    <row r="8" spans="1:17" s="2" customFormat="1" ht="12" customHeight="1" x14ac:dyDescent="0.25">
      <c r="A8" s="4">
        <v>302</v>
      </c>
      <c r="B8" s="2">
        <v>1</v>
      </c>
      <c r="C8" s="135" t="s">
        <v>166</v>
      </c>
      <c r="D8" s="325" t="str">
        <f>VLOOKUP(C8,Purchased!A:B,2,0)</f>
        <v>Zinc-Plated Steel Hex Nut Medium-Strength, Class 8, M16 x 2 mm Thread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45503</v>
      </c>
      <c r="K8" s="46">
        <f>IF(VLOOKUP(C8,Purchased!A:R,14,0)=0, " ", VLOOKUP(C8,Purchased!A:R,14,0))</f>
        <v>45503</v>
      </c>
      <c r="L8" s="46">
        <f>IF(VLOOKUP(C8,Purchased!A:R,15,0)=0, " ", VLOOKUP(C8,Purchased!A:R,15,0))</f>
        <v>45503</v>
      </c>
      <c r="M8" s="46">
        <f>IF(VLOOKUP(C8,Purchased!A:R,16,0)=0, " ",VLOOKUP(C8,Purchased!A:R,16,0))</f>
        <v>45504</v>
      </c>
      <c r="N8" s="130">
        <f>IF(VLOOKUP(C8,Purchased!A:R,17,0)=0, " ", VLOOKUP(C8,Purchased!A:R,17,0))</f>
        <v>45504</v>
      </c>
      <c r="O8" s="47">
        <f ca="1">B8*$L$2</f>
        <v>1</v>
      </c>
      <c r="P8" s="51">
        <f>VLOOKUP(C8,Purchased!A:D,3,FALSE)</f>
        <v>10.3</v>
      </c>
      <c r="Q8" s="52">
        <f>B8*P8</f>
        <v>10.3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thickBot="1" x14ac:dyDescent="0.3">
      <c r="A10" s="4">
        <v>501</v>
      </c>
      <c r="B10" s="2">
        <v>4</v>
      </c>
      <c r="C10" s="122" t="s">
        <v>692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ca="1">B10*$L$2</f>
        <v>4</v>
      </c>
      <c r="P10" s="51">
        <f>VLOOKUP(C10,Bolts!A:B,2,FALSE)</f>
        <v>0</v>
      </c>
      <c r="Q10" s="52">
        <f>B10*P10</f>
        <v>0</v>
      </c>
    </row>
    <row r="11" spans="1:17" s="2" customFormat="1" ht="12" customHeight="1" thickBot="1" x14ac:dyDescent="0.3">
      <c r="A11" s="34"/>
      <c r="B11" s="35"/>
      <c r="C11" s="35"/>
      <c r="D11" s="316"/>
      <c r="E11" s="317"/>
      <c r="F11" s="35"/>
      <c r="G11" s="35"/>
      <c r="H11" s="309"/>
      <c r="I11" s="310"/>
      <c r="J11" s="36"/>
      <c r="K11" s="36"/>
      <c r="L11" s="36"/>
      <c r="M11" s="37"/>
      <c r="N11" s="132"/>
      <c r="O11" s="38"/>
      <c r="P11" s="99" t="s">
        <v>43</v>
      </c>
      <c r="Q11" s="104">
        <f>SUM(Q5:Q10)</f>
        <v>65.58</v>
      </c>
    </row>
  </sheetData>
  <mergeCells count="16">
    <mergeCell ref="D6:E6"/>
    <mergeCell ref="H6:I6"/>
    <mergeCell ref="D1:E1"/>
    <mergeCell ref="D4:E4"/>
    <mergeCell ref="H4:I4"/>
    <mergeCell ref="D5:E5"/>
    <mergeCell ref="H5:I5"/>
    <mergeCell ref="D10:E10"/>
    <mergeCell ref="D11:E11"/>
    <mergeCell ref="H11:I11"/>
    <mergeCell ref="D7:E7"/>
    <mergeCell ref="H7:I7"/>
    <mergeCell ref="D8:E8"/>
    <mergeCell ref="H8:I8"/>
    <mergeCell ref="D9:E9"/>
    <mergeCell ref="H9:I9"/>
  </mergeCells>
  <conditionalFormatting sqref="M6 M9:M10">
    <cfRule type="cellIs" dxfId="422" priority="3" stopIfTrue="1" operator="lessThanOrEqual">
      <formula>$L6</formula>
    </cfRule>
    <cfRule type="cellIs" dxfId="421" priority="4" operator="greaterThan">
      <formula>L6</formula>
    </cfRule>
  </conditionalFormatting>
  <conditionalFormatting sqref="M7:M8">
    <cfRule type="cellIs" dxfId="420" priority="1" stopIfTrue="1" operator="lessThanOrEqual">
      <formula>$L7</formula>
    </cfRule>
    <cfRule type="cellIs" dxfId="419" priority="2" operator="greaterThan">
      <formula>L7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5A643B-DD08-4697-B669-05DFAF286A1A}">
          <x14:formula1>
            <xm:f>Bolts!$A:$A</xm:f>
          </x14:formula1>
          <xm:sqref>C9:C10</xm:sqref>
        </x14:dataValidation>
        <x14:dataValidation type="list" allowBlank="1" showInputMessage="1" showErrorMessage="1" xr:uid="{386C1A51-DDC0-425F-B718-9EFDAE206F64}">
          <x14:formula1>
            <xm:f>Machined!$C:$C</xm:f>
          </x14:formula1>
          <xm:sqref>C5</xm:sqref>
        </x14:dataValidation>
        <x14:dataValidation type="list" allowBlank="1" showInputMessage="1" showErrorMessage="1" xr:uid="{1192ED18-CA07-47DE-98E2-2FD02709EBF2}">
          <x14:formula1>
            <xm:f>Purchased!$A:$A</xm:f>
          </x14:formula1>
          <xm:sqref>C6:C8</xm:sqref>
        </x14:dataValidation>
      </x14:dataValidations>
    </ext>
  </extLst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4317F-8D36-4D15-BE20-EDB135CB3D3C}">
  <sheetPr codeName="Sheet262">
    <tabColor theme="6" tint="0.59999389629810485"/>
  </sheetPr>
  <dimension ref="A1:Q9"/>
  <sheetViews>
    <sheetView zoomScale="115" zoomScaleNormal="115" workbookViewId="0">
      <selection activeCell="I17" sqref="I1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'10.1'!C17</f>
        <v>PG10.10.1.13.0.A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'10.1'!D17</f>
        <v>Twin Wall Top Guard 9</v>
      </c>
      <c r="D3" s="85" t="s">
        <v>50</v>
      </c>
      <c r="E3" s="86" t="str">
        <f ca="1">MID(CELL("filename",A1),FIND("]",CELL("filename",A1))+1,256)</f>
        <v>10.1.13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24</v>
      </c>
      <c r="C5" s="112" t="s">
        <v>230</v>
      </c>
      <c r="D5" s="336" t="str">
        <f ca="1">VLOOKUP(C5,Assemblies!E:P,2,0)</f>
        <v>M5 Hardware for Poly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24</v>
      </c>
      <c r="P5" s="117">
        <f>'1.1.11.1'!Q9</f>
        <v>7.1199999999999992</v>
      </c>
      <c r="Q5" s="152">
        <f>B5*P5</f>
        <v>170.88</v>
      </c>
    </row>
    <row r="6" spans="1:17" s="2" customFormat="1" ht="12.75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.75" customHeight="1" thickBot="1" x14ac:dyDescent="0.3">
      <c r="A7" s="77">
        <v>1</v>
      </c>
      <c r="B7" s="20">
        <v>2</v>
      </c>
      <c r="C7" s="121" t="s">
        <v>1360</v>
      </c>
      <c r="D7" s="314" t="str">
        <f>VLOOKUP(C7,Machined!C:X,2,0)</f>
        <v>Twin Wall Top Guard 9</v>
      </c>
      <c r="E7" s="329"/>
      <c r="F7" s="107" t="str">
        <f>VLOOKUP($C7,Machined!C:Z,13,0)</f>
        <v>POLYCARBONITE-CLEAR</v>
      </c>
      <c r="G7" s="44" t="str">
        <f>IF(VLOOKUP($C7,Machined!C:Z,16,0) = 0, " ", VLOOKUP($C7,Machined!C:Z,16,0))</f>
        <v>Polycarbstore.com</v>
      </c>
      <c r="H7" s="320" t="str">
        <f>IF(VLOOKUP($C7,Machined!C:Z,17,0) = 0, " ", VLOOKUP($C7,Machined!C:Z,17,0))</f>
        <v xml:space="preserve"> </v>
      </c>
      <c r="I7" s="321"/>
      <c r="J7" s="44">
        <f>IF(VLOOKUP($C7,Machined!C:Z,18,0) = 0, " ", VLOOKUP($C7,Machined!C:Z,18,0))</f>
        <v>45545</v>
      </c>
      <c r="K7" s="44">
        <f>IF(VLOOKUP($C7,Machined!C:Z,19,0) = 0, " ", VLOOKUP($C7,Machined!C:Z,19,0))</f>
        <v>45554</v>
      </c>
      <c r="L7" s="44">
        <f>IF(VLOOKUP($C7,Machined!C:Z,20,0) = 0, " ", VLOOKUP($C7,Machined!C:Z,20,0))</f>
        <v>45576</v>
      </c>
      <c r="M7" s="44" t="str">
        <f>IF(VLOOKUP($C7,Machined!C:Z,21,0) = 0, " ", VLOOKUP($C7,Machined!C:Z,21,0))</f>
        <v xml:space="preserve"> </v>
      </c>
      <c r="N7" s="129">
        <f>IF(VLOOKUP($C7,Machined!C:Z,22,0) = 0, " ", VLOOKUP($C7,Machined!C:Z,22,0))</f>
        <v>55745</v>
      </c>
      <c r="O7" s="45">
        <f ca="1">B7*$L$2</f>
        <v>2</v>
      </c>
      <c r="P7" s="49">
        <f>VLOOKUP(C7,Machined!C:F,3,0)</f>
        <v>84.9</v>
      </c>
      <c r="Q7" s="50">
        <f>B7*P7</f>
        <v>169.8</v>
      </c>
    </row>
    <row r="8" spans="1:17" s="2" customFormat="1" ht="12" customHeight="1" thickBot="1" x14ac:dyDescent="0.3">
      <c r="A8" s="34"/>
      <c r="B8" s="35"/>
      <c r="C8" s="35"/>
      <c r="D8" s="316"/>
      <c r="E8" s="317"/>
      <c r="F8" s="35"/>
      <c r="G8" s="35"/>
      <c r="H8" s="309"/>
      <c r="I8" s="310"/>
      <c r="J8" s="36"/>
      <c r="K8" s="36"/>
      <c r="L8" s="36"/>
      <c r="M8" s="37"/>
      <c r="N8" s="132"/>
      <c r="O8" s="38"/>
      <c r="P8" s="99" t="s">
        <v>43</v>
      </c>
      <c r="Q8" s="104">
        <f>SUM(Q5:Q7)</f>
        <v>340.68</v>
      </c>
    </row>
    <row r="9" spans="1:17" s="2" customFormat="1" ht="12" customHeight="1" x14ac:dyDescent="0.2">
      <c r="D9" s="21"/>
      <c r="E9" s="21"/>
      <c r="J9" s="8"/>
      <c r="K9" s="8"/>
      <c r="L9" s="8"/>
      <c r="M9" s="8"/>
      <c r="N9" s="131"/>
      <c r="O9" s="5"/>
      <c r="P9" s="98"/>
      <c r="Q9" s="105"/>
    </row>
  </sheetData>
  <mergeCells count="11">
    <mergeCell ref="D7:E7"/>
    <mergeCell ref="H7:I7"/>
    <mergeCell ref="D8:E8"/>
    <mergeCell ref="H8:I8"/>
    <mergeCell ref="D1:E1"/>
    <mergeCell ref="D4:E4"/>
    <mergeCell ref="H4:I4"/>
    <mergeCell ref="D5:E5"/>
    <mergeCell ref="H5:I5"/>
    <mergeCell ref="D6:E6"/>
    <mergeCell ref="H6:I6"/>
  </mergeCells>
  <conditionalFormatting sqref="M6">
    <cfRule type="cellIs" dxfId="418" priority="1" stopIfTrue="1" operator="lessThanOrEqual">
      <formula>$L6</formula>
    </cfRule>
    <cfRule type="cellIs" dxfId="41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82A9117-43C7-4242-AA0C-D13244D8BE8A}">
          <x14:formula1>
            <xm:f>Assemblies!$E:$E</xm:f>
          </x14:formula1>
          <xm:sqref>C5</xm:sqref>
        </x14:dataValidation>
        <x14:dataValidation type="list" allowBlank="1" showInputMessage="1" showErrorMessage="1" xr:uid="{627AE783-3C3A-45CF-93C3-B39CA08C279C}">
          <x14:formula1>
            <xm:f>Machined!$C:$C</xm:f>
          </x14:formula1>
          <xm:sqref>C7</xm:sqref>
        </x14:dataValidation>
      </x14:dataValidations>
    </ext>
  </extLst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FA5AF-D661-4097-937E-9167889055D4}">
  <sheetPr codeName="Sheet224">
    <tabColor theme="9" tint="0.59999389629810485"/>
  </sheetPr>
  <dimension ref="A1:Q46"/>
  <sheetViews>
    <sheetView zoomScale="115" zoomScaleNormal="115" workbookViewId="0">
      <selection activeCell="C27" sqref="C2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'10'!C6</f>
        <v>PG10.10.2.0.A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'10'!D6</f>
        <v>Retracting Conveyor Assy</v>
      </c>
      <c r="D3" s="85" t="s">
        <v>50</v>
      </c>
      <c r="E3" s="86" t="str">
        <f ca="1">MID(CELL("filename",A1),FIND("]",CELL("filename",A1))+1,256)</f>
        <v>10.2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1</v>
      </c>
      <c r="C5" s="112" t="s">
        <v>1361</v>
      </c>
      <c r="D5" s="336" t="str">
        <f ca="1">VLOOKUP(C5,Assemblies!E:P,2,0)</f>
        <v>Driven Roller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t="shared" ref="O5:O12" ca="1" si="0">B5*$L$2</f>
        <v>1</v>
      </c>
      <c r="P5" s="117">
        <f>'10.2.1'!Q16</f>
        <v>989.64999999999986</v>
      </c>
      <c r="Q5" s="118">
        <f t="shared" ref="Q5:Q12" si="1">B5*P5</f>
        <v>989.64999999999986</v>
      </c>
    </row>
    <row r="6" spans="1:17" s="2" customFormat="1" ht="12.75" customHeight="1" x14ac:dyDescent="0.2">
      <c r="A6" s="150" t="s">
        <v>56</v>
      </c>
      <c r="B6" s="1">
        <v>1</v>
      </c>
      <c r="C6" s="145" t="s">
        <v>1362</v>
      </c>
      <c r="D6" s="314" t="str">
        <f ca="1">VLOOKUP(C6,Assemblies!E:P,2,0)</f>
        <v>Conveyor Drive Motor Assem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>
        <f t="shared" ca="1" si="0"/>
        <v>1</v>
      </c>
      <c r="P6" s="147">
        <f>'10.2.2'!Q17</f>
        <v>4195.3086000000003</v>
      </c>
      <c r="Q6" s="103">
        <f t="shared" si="1"/>
        <v>4195.3086000000003</v>
      </c>
    </row>
    <row r="7" spans="1:17" s="2" customFormat="1" ht="12.75" customHeight="1" x14ac:dyDescent="0.2">
      <c r="A7" s="150" t="s">
        <v>58</v>
      </c>
      <c r="B7" s="1">
        <v>1</v>
      </c>
      <c r="C7" s="145" t="s">
        <v>1363</v>
      </c>
      <c r="D7" s="314" t="str">
        <f ca="1">VLOOKUP(C7,Assemblies!E:P,2,0)</f>
        <v>Retracting Motor Assem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>
        <f t="shared" ca="1" si="0"/>
        <v>1</v>
      </c>
      <c r="P7" s="147">
        <f>'10.2.3'!Q16</f>
        <v>4319.7080000000005</v>
      </c>
      <c r="Q7" s="103">
        <f t="shared" si="1"/>
        <v>4319.7080000000005</v>
      </c>
    </row>
    <row r="8" spans="1:17" s="2" customFormat="1" ht="12.75" customHeight="1" x14ac:dyDescent="0.2">
      <c r="A8" s="150" t="s">
        <v>60</v>
      </c>
      <c r="B8" s="1">
        <v>1</v>
      </c>
      <c r="C8" s="145" t="s">
        <v>1364</v>
      </c>
      <c r="D8" s="314" t="str">
        <f ca="1">VLOOKUP(C8,Assemblies!E:P,2,0)</f>
        <v>Retracting Belt Tensioner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>
        <f t="shared" ca="1" si="0"/>
        <v>1</v>
      </c>
      <c r="P8" s="147">
        <f>'10.2.4'!Q14</f>
        <v>370.47</v>
      </c>
      <c r="Q8" s="103">
        <f t="shared" si="1"/>
        <v>370.47</v>
      </c>
    </row>
    <row r="9" spans="1:17" s="2" customFormat="1" ht="12.75" customHeight="1" x14ac:dyDescent="0.2">
      <c r="A9" s="150" t="s">
        <v>62</v>
      </c>
      <c r="B9" s="1">
        <v>1</v>
      </c>
      <c r="C9" s="145" t="s">
        <v>1365</v>
      </c>
      <c r="D9" s="314" t="str">
        <f ca="1">VLOOKUP(C9,Assemblies!E:P,2,0)</f>
        <v>Idler Conveyor Roller Unguided Assy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>
        <f t="shared" ca="1" si="0"/>
        <v>1</v>
      </c>
      <c r="P9" s="147">
        <f>'10.2.5'!Q9</f>
        <v>682.48</v>
      </c>
      <c r="Q9" s="103">
        <f t="shared" si="1"/>
        <v>682.48</v>
      </c>
    </row>
    <row r="10" spans="1:17" s="2" customFormat="1" ht="12.75" customHeight="1" x14ac:dyDescent="0.2">
      <c r="A10" s="150" t="s">
        <v>64</v>
      </c>
      <c r="B10" s="1">
        <v>2</v>
      </c>
      <c r="C10" s="145" t="s">
        <v>1366</v>
      </c>
      <c r="D10" s="314" t="str">
        <f ca="1">VLOOKUP(C10,Assemblies!E:P,2,0)</f>
        <v>Idler Conveyor Roller Guided Assy</v>
      </c>
      <c r="E10" s="315"/>
      <c r="F10" s="32"/>
      <c r="G10" s="32"/>
      <c r="H10" s="32"/>
      <c r="I10" s="32"/>
      <c r="J10" s="28"/>
      <c r="K10" s="28"/>
      <c r="L10" s="28"/>
      <c r="M10" s="28"/>
      <c r="N10" s="33"/>
      <c r="O10" s="146">
        <f t="shared" ca="1" si="0"/>
        <v>2</v>
      </c>
      <c r="P10" s="147">
        <f>'10.2.6'!Q9</f>
        <v>608.6</v>
      </c>
      <c r="Q10" s="103">
        <f t="shared" si="1"/>
        <v>1217.2</v>
      </c>
    </row>
    <row r="11" spans="1:17" s="2" customFormat="1" ht="12.75" customHeight="1" x14ac:dyDescent="0.2">
      <c r="A11" s="150" t="s">
        <v>66</v>
      </c>
      <c r="B11" s="1">
        <v>1</v>
      </c>
      <c r="C11" s="145" t="s">
        <v>1367</v>
      </c>
      <c r="D11" s="314" t="str">
        <f ca="1">VLOOKUP(C11,Assemblies!E:P,2,0)</f>
        <v>Idler Conveyor Roller Guided Assy Short Shaft</v>
      </c>
      <c r="E11" s="315"/>
      <c r="F11" s="32"/>
      <c r="G11" s="32"/>
      <c r="H11" s="303"/>
      <c r="I11" s="303"/>
      <c r="J11" s="28"/>
      <c r="K11" s="28"/>
      <c r="L11" s="28"/>
      <c r="M11" s="28"/>
      <c r="N11" s="33"/>
      <c r="O11" s="146">
        <f t="shared" ca="1" si="0"/>
        <v>1</v>
      </c>
      <c r="P11" s="147">
        <f>'10.2.7'!Q9</f>
        <v>608.6</v>
      </c>
      <c r="Q11" s="103">
        <f t="shared" si="1"/>
        <v>608.6</v>
      </c>
    </row>
    <row r="12" spans="1:17" s="2" customFormat="1" ht="12.75" customHeight="1" x14ac:dyDescent="0.2">
      <c r="A12" s="150" t="s">
        <v>68</v>
      </c>
      <c r="B12" s="1">
        <v>1</v>
      </c>
      <c r="C12" s="145" t="s">
        <v>1368</v>
      </c>
      <c r="D12" s="314" t="str">
        <f ca="1">VLOOKUP(C12,Assemblies!E:P,2,0)</f>
        <v>Retraction Action Driven Axle Assembly</v>
      </c>
      <c r="E12" s="315"/>
      <c r="F12" s="32"/>
      <c r="G12" s="32"/>
      <c r="H12" s="32"/>
      <c r="I12" s="32"/>
      <c r="J12" s="28"/>
      <c r="K12" s="28"/>
      <c r="L12" s="28"/>
      <c r="M12" s="28"/>
      <c r="N12" s="33"/>
      <c r="O12" s="146">
        <f t="shared" ca="1" si="0"/>
        <v>1</v>
      </c>
      <c r="P12" s="147">
        <f>'10.2.8'!Q15</f>
        <v>588.45999999999992</v>
      </c>
      <c r="Q12" s="103">
        <f t="shared" si="1"/>
        <v>588.45999999999992</v>
      </c>
    </row>
    <row r="13" spans="1:17" s="2" customFormat="1" ht="12.75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.75" customHeight="1" x14ac:dyDescent="0.25">
      <c r="A14" s="77">
        <v>1</v>
      </c>
      <c r="B14" s="20">
        <v>1</v>
      </c>
      <c r="C14" s="121" t="s">
        <v>1369</v>
      </c>
      <c r="D14" s="314" t="str">
        <f>VLOOKUP(C14,Machined!C:X,2,0)</f>
        <v>Retracting Conveyor Side Plate A</v>
      </c>
      <c r="E14" s="329"/>
      <c r="F14" s="107" t="str">
        <f>VLOOKUP($C14,Machined!C:Z,13,0)</f>
        <v>6061-T6 ALUMINUM</v>
      </c>
      <c r="G14" s="44" t="str">
        <f>IF(VLOOKUP($C14,Machined!C:Z,16,0) = 0, " ", VLOOKUP($C14,Machined!C:Z,16,0))</f>
        <v>Bemox</v>
      </c>
      <c r="H14" s="320" t="str">
        <f>IF(VLOOKUP($C14,Machined!C:Z,17,0) = 0, " ", VLOOKUP($C14,Machined!C:Z,17,0))</f>
        <v xml:space="preserve"> </v>
      </c>
      <c r="I14" s="321" t="str">
        <f>IF(VLOOKUP($C14,Machined!$C:$Y,13,0) = 0, " ", VLOOKUP($C14,Machined!$C:$Y,13,0))</f>
        <v>6061-T6 ALUMINUM</v>
      </c>
      <c r="J14" s="44">
        <f>IF(VLOOKUP($C14,Machined!C:Z,18,0) = 0, " ", VLOOKUP($C14,Machined!C:Z,18,0))</f>
        <v>45489</v>
      </c>
      <c r="K14" s="44">
        <f>IF(VLOOKUP($C14,Machined!C:Z,19,0) = 0, " ", VLOOKUP($C14,Machined!C:Z,19,0))</f>
        <v>45513</v>
      </c>
      <c r="L14" s="44">
        <f>IF(VLOOKUP($C14,Machined!C:Z,20,0) = 0, " ", VLOOKUP($C14,Machined!C:Z,20,0))</f>
        <v>45551</v>
      </c>
      <c r="M14" s="44">
        <f>IF(VLOOKUP($C14,Machined!C:Z,21,0) = 0, " ", VLOOKUP($C14,Machined!C:Z,21,0))</f>
        <v>45566</v>
      </c>
      <c r="N14" s="129">
        <f>IF(VLOOKUP($C14,Machined!C:Z,22,0) = 0, " ", VLOOKUP($C14,Machined!C:Z,22,0))</f>
        <v>55676</v>
      </c>
      <c r="O14" s="45">
        <f t="shared" ref="O14:O23" ca="1" si="2">B14*$L$2</f>
        <v>1</v>
      </c>
      <c r="P14" s="49">
        <f>VLOOKUP(C14,Machined!C:F,3,0)</f>
        <v>1570.2</v>
      </c>
      <c r="Q14" s="50">
        <f t="shared" ref="Q14:Q23" si="3">B14*P14</f>
        <v>1570.2</v>
      </c>
    </row>
    <row r="15" spans="1:17" s="2" customFormat="1" ht="12.75" customHeight="1" x14ac:dyDescent="0.25">
      <c r="A15" s="77">
        <v>2</v>
      </c>
      <c r="B15" s="20">
        <v>1</v>
      </c>
      <c r="C15" s="121" t="s">
        <v>1370</v>
      </c>
      <c r="D15" s="314" t="str">
        <f>VLOOKUP(C15,Machined!C:X,2,0)</f>
        <v>Retracting Conveyor Side Plate B</v>
      </c>
      <c r="E15" s="329"/>
      <c r="F15" s="107" t="str">
        <f>VLOOKUP($C15,Machined!C:Z,13,0)</f>
        <v>6061-T6 ALUMINUM</v>
      </c>
      <c r="G15" s="44" t="str">
        <f>IF(VLOOKUP($C15,Machined!C:Z,16,0) = 0, " ", VLOOKUP($C15,Machined!C:Z,16,0))</f>
        <v>Bemox</v>
      </c>
      <c r="H15" s="320" t="str">
        <f>IF(VLOOKUP($C15,Machined!C:Z,17,0) = 0, " ", VLOOKUP($C15,Machined!C:Z,17,0))</f>
        <v xml:space="preserve"> </v>
      </c>
      <c r="I15" s="321" t="str">
        <f>IF(VLOOKUP($C15,Machined!$C:$Y,13,0) = 0, " ", VLOOKUP($C15,Machined!$C:$Y,13,0))</f>
        <v>6061-T6 ALUMINUM</v>
      </c>
      <c r="J15" s="44">
        <f>IF(VLOOKUP($C15,Machined!C:Z,18,0) = 0, " ", VLOOKUP($C15,Machined!C:Z,18,0))</f>
        <v>45489</v>
      </c>
      <c r="K15" s="44">
        <f>IF(VLOOKUP($C15,Machined!C:Z,19,0) = 0, " ", VLOOKUP($C15,Machined!C:Z,19,0))</f>
        <v>45513</v>
      </c>
      <c r="L15" s="44">
        <f>IF(VLOOKUP($C15,Machined!C:Z,20,0) = 0, " ", VLOOKUP($C15,Machined!C:Z,20,0))</f>
        <v>45551</v>
      </c>
      <c r="M15" s="44">
        <f>IF(VLOOKUP($C15,Machined!C:Z,21,0) = 0, " ", VLOOKUP($C15,Machined!C:Z,21,0))</f>
        <v>45566</v>
      </c>
      <c r="N15" s="129">
        <f>IF(VLOOKUP($C15,Machined!C:Z,22,0) = 0, " ", VLOOKUP($C15,Machined!C:Z,22,0))</f>
        <v>55676</v>
      </c>
      <c r="O15" s="45">
        <f t="shared" ca="1" si="2"/>
        <v>1</v>
      </c>
      <c r="P15" s="49">
        <f>VLOOKUP(C15,Machined!C:F,3,0)</f>
        <v>1187.5</v>
      </c>
      <c r="Q15" s="50">
        <f t="shared" si="3"/>
        <v>1187.5</v>
      </c>
    </row>
    <row r="16" spans="1:17" s="2" customFormat="1" ht="12.75" customHeight="1" x14ac:dyDescent="0.25">
      <c r="A16" s="77">
        <v>3</v>
      </c>
      <c r="B16" s="20">
        <v>2</v>
      </c>
      <c r="C16" s="121" t="s">
        <v>1371</v>
      </c>
      <c r="D16" s="314" t="str">
        <f>VLOOKUP(C16,Machined!C:X,2,0)</f>
        <v>Retracting Conveyor Arm</v>
      </c>
      <c r="E16" s="329"/>
      <c r="F16" s="107" t="str">
        <f>VLOOKUP($C16,Machined!C:Z,13,0)</f>
        <v>6061-T6 ALUMINUM</v>
      </c>
      <c r="G16" s="44" t="str">
        <f>IF(VLOOKUP($C16,Machined!C:Z,16,0) = 0, " ", VLOOKUP($C16,Machined!C:Z,16,0))</f>
        <v>Bemox</v>
      </c>
      <c r="H16" s="320" t="str">
        <f>IF(VLOOKUP($C16,Machined!C:Z,17,0) = 0, " ", VLOOKUP($C16,Machined!C:Z,17,0))</f>
        <v xml:space="preserve"> </v>
      </c>
      <c r="I16" s="321" t="str">
        <f>IF(VLOOKUP($C16,Machined!$C:$Y,13,0) = 0, " ", VLOOKUP($C16,Machined!$C:$Y,13,0))</f>
        <v>6061-T6 ALUMINUM</v>
      </c>
      <c r="J16" s="44">
        <f>IF(VLOOKUP($C16,Machined!C:Z,18,0) = 0, " ", VLOOKUP($C16,Machined!C:Z,18,0))</f>
        <v>45489</v>
      </c>
      <c r="K16" s="44">
        <f>IF(VLOOKUP($C16,Machined!C:Z,19,0) = 0, " ", VLOOKUP($C16,Machined!C:Z,19,0))</f>
        <v>45513</v>
      </c>
      <c r="L16" s="44">
        <f>IF(VLOOKUP($C16,Machined!C:Z,20,0) = 0, " ", VLOOKUP($C16,Machined!C:Z,20,0))</f>
        <v>45551</v>
      </c>
      <c r="M16" s="44">
        <f>IF(VLOOKUP($C16,Machined!C:Z,21,0) = 0, " ", VLOOKUP($C16,Machined!C:Z,21,0))</f>
        <v>45566</v>
      </c>
      <c r="N16" s="129">
        <f>IF(VLOOKUP($C16,Machined!C:Z,22,0) = 0, " ", VLOOKUP($C16,Machined!C:Z,22,0))</f>
        <v>55676</v>
      </c>
      <c r="O16" s="45">
        <f t="shared" ca="1" si="2"/>
        <v>2</v>
      </c>
      <c r="P16" s="49">
        <f>VLOOKUP(C16,Machined!C:F,3,0)</f>
        <v>517.65</v>
      </c>
      <c r="Q16" s="50">
        <f t="shared" si="3"/>
        <v>1035.3</v>
      </c>
    </row>
    <row r="17" spans="1:17" s="2" customFormat="1" ht="12.75" customHeight="1" x14ac:dyDescent="0.25">
      <c r="A17" s="77">
        <v>4</v>
      </c>
      <c r="B17" s="20">
        <v>8</v>
      </c>
      <c r="C17" s="121" t="s">
        <v>1372</v>
      </c>
      <c r="D17" s="314" t="str">
        <f>VLOOKUP(C17,Machined!C:X,2,0)</f>
        <v>Shaft Clamp</v>
      </c>
      <c r="E17" s="329"/>
      <c r="F17" s="107" t="str">
        <f>VLOOKUP($C17,Machined!C:Z,13,0)</f>
        <v>1018 COLD ROLLED STEEL</v>
      </c>
      <c r="G17" s="44" t="str">
        <f>IF(VLOOKUP($C17,Machined!C:Z,16,0) = 0, " ", VLOOKUP($C17,Machined!C:Z,16,0))</f>
        <v>Dodd Mfg</v>
      </c>
      <c r="H17" s="320" t="str">
        <f>IF(VLOOKUP($C17,Machined!C:Z,17,0) = 0, " ", VLOOKUP($C17,Machined!C:Z,17,0))</f>
        <v xml:space="preserve"> </v>
      </c>
      <c r="I17" s="321" t="str">
        <f>IF(VLOOKUP($C17,Machined!$C:$Y,13,0) = 0, " ", VLOOKUP($C17,Machined!$C:$Y,13,0))</f>
        <v>1018 COLD ROLLED STEEL</v>
      </c>
      <c r="J17" s="44">
        <f>IF(VLOOKUP($C17,Machined!C:Z,18,0) = 0, " ", VLOOKUP($C17,Machined!C:Z,18,0))</f>
        <v>45489</v>
      </c>
      <c r="K17" s="44">
        <f>IF(VLOOKUP($C17,Machined!C:Z,19,0) = 0, " ", VLOOKUP($C17,Machined!C:Z,19,0))</f>
        <v>45490</v>
      </c>
      <c r="L17" s="44">
        <f>IF(VLOOKUP($C17,Machined!C:Z,20,0) = 0, " ", VLOOKUP($C17,Machined!C:Z,20,0))</f>
        <v>45522</v>
      </c>
      <c r="M17" s="44">
        <f>IF(VLOOKUP($C17,Machined!C:Z,21,0) = 0, " ", VLOOKUP($C17,Machined!C:Z,21,0))</f>
        <v>45522</v>
      </c>
      <c r="N17" s="129">
        <f>IF(VLOOKUP($C17,Machined!C:Z,22,0) = 0, " ", VLOOKUP($C17,Machined!C:Z,22,0))</f>
        <v>55608</v>
      </c>
      <c r="O17" s="45">
        <f t="shared" ca="1" si="2"/>
        <v>8</v>
      </c>
      <c r="P17" s="49">
        <f>VLOOKUP(C17,Machined!C:F,3,0)</f>
        <v>35</v>
      </c>
      <c r="Q17" s="50">
        <f t="shared" si="3"/>
        <v>280</v>
      </c>
    </row>
    <row r="18" spans="1:17" s="2" customFormat="1" ht="12.75" customHeight="1" x14ac:dyDescent="0.25">
      <c r="A18" s="77">
        <v>5</v>
      </c>
      <c r="B18" s="20">
        <v>4</v>
      </c>
      <c r="C18" s="121" t="s">
        <v>1373</v>
      </c>
      <c r="D18" s="314" t="str">
        <f>VLOOKUP(C18,Machined!C:X,2,0)</f>
        <v>Bearing Block Spacer</v>
      </c>
      <c r="E18" s="329"/>
      <c r="F18" s="107" t="str">
        <f>VLOOKUP($C18,Machined!C:Z,13,0)</f>
        <v>6061-T6 ALUMINUM</v>
      </c>
      <c r="G18" s="44" t="str">
        <f>IF(VLOOKUP($C18,Machined!C:Z,16,0) = 0, " ", VLOOKUP($C18,Machined!C:Z,16,0))</f>
        <v>Dodd Mfg</v>
      </c>
      <c r="H18" s="320" t="str">
        <f>IF(VLOOKUP($C18,Machined!C:Z,17,0) = 0, " ", VLOOKUP($C18,Machined!C:Z,17,0))</f>
        <v xml:space="preserve"> </v>
      </c>
      <c r="I18" s="321" t="str">
        <f>IF(VLOOKUP($C18,Machined!$C:$Y,13,0) = 0, " ", VLOOKUP($C18,Machined!$C:$Y,13,0))</f>
        <v>6061-T6 ALUMINUM</v>
      </c>
      <c r="J18" s="44">
        <f>IF(VLOOKUP($C18,Machined!C:Z,18,0) = 0, " ", VLOOKUP($C18,Machined!C:Z,18,0))</f>
        <v>45489</v>
      </c>
      <c r="K18" s="44">
        <f>IF(VLOOKUP($C18,Machined!C:Z,19,0) = 0, " ", VLOOKUP($C18,Machined!C:Z,19,0))</f>
        <v>45490</v>
      </c>
      <c r="L18" s="44">
        <f>IF(VLOOKUP($C18,Machined!C:Z,20,0) = 0, " ", VLOOKUP($C18,Machined!C:Z,20,0))</f>
        <v>45522</v>
      </c>
      <c r="M18" s="44">
        <f>IF(VLOOKUP($C18,Machined!C:Z,21,0) = 0, " ", VLOOKUP($C18,Machined!C:Z,21,0))</f>
        <v>45522</v>
      </c>
      <c r="N18" s="129">
        <f>IF(VLOOKUP($C18,Machined!C:Z,22,0) = 0, " ", VLOOKUP($C18,Machined!C:Z,22,0))</f>
        <v>55608</v>
      </c>
      <c r="O18" s="45">
        <f t="shared" ca="1" si="2"/>
        <v>4</v>
      </c>
      <c r="P18" s="49">
        <f>VLOOKUP(C18,Machined!C:F,3,0)</f>
        <v>37.5</v>
      </c>
      <c r="Q18" s="50">
        <f t="shared" si="3"/>
        <v>150</v>
      </c>
    </row>
    <row r="19" spans="1:17" s="2" customFormat="1" ht="12.75" customHeight="1" x14ac:dyDescent="0.25">
      <c r="A19" s="77">
        <v>6</v>
      </c>
      <c r="B19" s="20">
        <v>4</v>
      </c>
      <c r="C19" s="121" t="s">
        <v>1374</v>
      </c>
      <c r="D19" s="314" t="str">
        <f>VLOOKUP(C19,Machined!C:X,2,0)</f>
        <v>Belt Clamp Mount</v>
      </c>
      <c r="E19" s="329"/>
      <c r="F19" s="107" t="str">
        <f>VLOOKUP($C19,Machined!C:Z,13,0)</f>
        <v>6061-T6 ALUMINUM</v>
      </c>
      <c r="G19" s="44" t="str">
        <f>IF(VLOOKUP($C19,Machined!C:Z,16,0) = 0, " ", VLOOKUP($C19,Machined!C:Z,16,0))</f>
        <v>Craig Miller</v>
      </c>
      <c r="H19" s="320" t="str">
        <f>IF(VLOOKUP($C19,Machined!C:Z,17,0) = 0, " ", VLOOKUP($C19,Machined!C:Z,17,0))</f>
        <v xml:space="preserve"> </v>
      </c>
      <c r="I19" s="321" t="str">
        <f>IF(VLOOKUP($C19,Machined!$C:$Y,13,0) = 0, " ", VLOOKUP($C19,Machined!$C:$Y,13,0))</f>
        <v>6061-T6 ALUMINUM</v>
      </c>
      <c r="J19" s="44">
        <f>IF(VLOOKUP($C19,Machined!C:Z,18,0) = 0, " ", VLOOKUP($C19,Machined!C:Z,18,0))</f>
        <v>45489</v>
      </c>
      <c r="K19" s="44">
        <f>IF(VLOOKUP($C19,Machined!C:Z,19,0) = 0, " ", VLOOKUP($C19,Machined!C:Z,19,0))</f>
        <v>45490</v>
      </c>
      <c r="L19" s="44">
        <f>IF(VLOOKUP($C19,Machined!C:Z,20,0) = 0, " ", VLOOKUP($C19,Machined!C:Z,20,0))</f>
        <v>45522</v>
      </c>
      <c r="M19" s="44">
        <f>IF(VLOOKUP($C19,Machined!C:Z,21,0) = 0, " ", VLOOKUP($C19,Machined!C:Z,21,0))</f>
        <v>45522</v>
      </c>
      <c r="N19" s="129">
        <f>IF(VLOOKUP($C19,Machined!C:Z,22,0) = 0, " ", VLOOKUP($C19,Machined!C:Z,22,0))</f>
        <v>55609</v>
      </c>
      <c r="O19" s="45">
        <f t="shared" ca="1" si="2"/>
        <v>4</v>
      </c>
      <c r="P19" s="49">
        <f>VLOOKUP(C19,Machined!C:F,3,0)</f>
        <v>47.3</v>
      </c>
      <c r="Q19" s="50">
        <f t="shared" si="3"/>
        <v>189.2</v>
      </c>
    </row>
    <row r="20" spans="1:17" s="2" customFormat="1" ht="12.75" customHeight="1" x14ac:dyDescent="0.25">
      <c r="A20" s="77">
        <v>7</v>
      </c>
      <c r="B20" s="20">
        <v>2</v>
      </c>
      <c r="C20" s="121" t="s">
        <v>1375</v>
      </c>
      <c r="D20" s="314" t="str">
        <f>VLOOKUP(C20,Machined!C:X,2,0)</f>
        <v>Belt Clamp</v>
      </c>
      <c r="E20" s="329"/>
      <c r="F20" s="107" t="str">
        <f>VLOOKUP($C20,Machined!C:Z,13,0)</f>
        <v>1018 COLD ROLLED STEEL</v>
      </c>
      <c r="G20" s="44" t="str">
        <f>IF(VLOOKUP($C20,Machined!C:Z,16,0) = 0, " ", VLOOKUP($C20,Machined!C:Z,16,0))</f>
        <v>Craig Miller</v>
      </c>
      <c r="H20" s="320" t="str">
        <f>IF(VLOOKUP($C20,Machined!C:Z,17,0) = 0, " ", VLOOKUP($C20,Machined!C:Z,17,0))</f>
        <v xml:space="preserve"> </v>
      </c>
      <c r="I20" s="321" t="str">
        <f>IF(VLOOKUP($C20,Machined!$C:$Y,13,0) = 0, " ", VLOOKUP($C20,Machined!$C:$Y,13,0))</f>
        <v>1018 COLD ROLLED STEEL</v>
      </c>
      <c r="J20" s="44">
        <f>IF(VLOOKUP($C20,Machined!C:Z,18,0) = 0, " ", VLOOKUP($C20,Machined!C:Z,18,0))</f>
        <v>45489</v>
      </c>
      <c r="K20" s="44">
        <f>IF(VLOOKUP($C20,Machined!C:Z,19,0) = 0, " ", VLOOKUP($C20,Machined!C:Z,19,0))</f>
        <v>45490</v>
      </c>
      <c r="L20" s="44">
        <f>IF(VLOOKUP($C20,Machined!C:Z,20,0) = 0, " ", VLOOKUP($C20,Machined!C:Z,20,0))</f>
        <v>45522</v>
      </c>
      <c r="M20" s="44">
        <f>IF(VLOOKUP($C20,Machined!C:Z,21,0) = 0, " ", VLOOKUP($C20,Machined!C:Z,21,0))</f>
        <v>45522</v>
      </c>
      <c r="N20" s="129">
        <f>IF(VLOOKUP($C20,Machined!C:Z,22,0) = 0, " ", VLOOKUP($C20,Machined!C:Z,22,0))</f>
        <v>55609</v>
      </c>
      <c r="O20" s="45">
        <f ca="1">B20*$L$2</f>
        <v>2</v>
      </c>
      <c r="P20" s="49">
        <f>VLOOKUP(C20,Machined!C:F,3,0)</f>
        <v>181</v>
      </c>
      <c r="Q20" s="50">
        <f>B20*P20</f>
        <v>362</v>
      </c>
    </row>
    <row r="21" spans="1:17" s="2" customFormat="1" ht="12.75" customHeight="1" x14ac:dyDescent="0.25">
      <c r="A21" s="77">
        <v>8</v>
      </c>
      <c r="B21" s="20">
        <v>4</v>
      </c>
      <c r="C21" s="121" t="s">
        <v>1376</v>
      </c>
      <c r="D21" s="314" t="str">
        <f>VLOOKUP(C21,Machined!C:X,2,0)</f>
        <v>Tentioning Bolt Plate</v>
      </c>
      <c r="E21" s="329"/>
      <c r="F21" s="107" t="str">
        <f>VLOOKUP($C21,Machined!C:Z,13,0)</f>
        <v>1018 COLD ROLLED STEEL</v>
      </c>
      <c r="G21" s="44" t="str">
        <f>IF(VLOOKUP($C21,Machined!C:Z,16,0) = 0, " ", VLOOKUP($C21,Machined!C:Z,16,0))</f>
        <v>Craig Miller</v>
      </c>
      <c r="H21" s="320" t="str">
        <f>IF(VLOOKUP($C21,Machined!C:Z,17,0) = 0, " ", VLOOKUP($C21,Machined!C:Z,17,0))</f>
        <v xml:space="preserve"> </v>
      </c>
      <c r="I21" s="321" t="str">
        <f>IF(VLOOKUP($C21,Machined!$C:$Y,13,0) = 0, " ", VLOOKUP($C21,Machined!$C:$Y,13,0))</f>
        <v>1018 COLD ROLLED STEEL</v>
      </c>
      <c r="J21" s="44">
        <f>IF(VLOOKUP($C21,Machined!C:Z,18,0) = 0, " ", VLOOKUP($C21,Machined!C:Z,18,0))</f>
        <v>45489</v>
      </c>
      <c r="K21" s="44">
        <f>IF(VLOOKUP($C21,Machined!C:Z,19,0) = 0, " ", VLOOKUP($C21,Machined!C:Z,19,0))</f>
        <v>45490</v>
      </c>
      <c r="L21" s="44">
        <f>IF(VLOOKUP($C21,Machined!C:Z,20,0) = 0, " ", VLOOKUP($C21,Machined!C:Z,20,0))</f>
        <v>45522</v>
      </c>
      <c r="M21" s="44">
        <f>IF(VLOOKUP($C21,Machined!C:Z,21,0) = 0, " ", VLOOKUP($C21,Machined!C:Z,21,0))</f>
        <v>45522</v>
      </c>
      <c r="N21" s="129">
        <f>IF(VLOOKUP($C21,Machined!C:Z,22,0) = 0, " ", VLOOKUP($C21,Machined!C:Z,22,0))</f>
        <v>55609</v>
      </c>
      <c r="O21" s="45">
        <f ca="1">B21*$L$2</f>
        <v>4</v>
      </c>
      <c r="P21" s="49">
        <f>VLOOKUP(C21,Machined!C:F,3,0)</f>
        <v>35.54</v>
      </c>
      <c r="Q21" s="50">
        <f>B21*P21</f>
        <v>142.16</v>
      </c>
    </row>
    <row r="22" spans="1:17" s="2" customFormat="1" ht="12.75" customHeight="1" x14ac:dyDescent="0.25">
      <c r="A22" s="77" t="s">
        <v>1377</v>
      </c>
      <c r="B22" s="20">
        <v>2</v>
      </c>
      <c r="C22" s="121" t="s">
        <v>1378</v>
      </c>
      <c r="D22" s="314" t="str">
        <f>VLOOKUP(C22,Machined!C:X,2,0)</f>
        <v>Limit Sensor Mount</v>
      </c>
      <c r="E22" s="329"/>
      <c r="F22" s="107" t="str">
        <f>VLOOKUP($C22,Machined!C:Z,13,0)</f>
        <v>304 STAINLESS STEEL</v>
      </c>
      <c r="G22" s="44" t="str">
        <f>IF(VLOOKUP($C22,Machined!C:Z,16,0) = 0, " ", VLOOKUP($C22,Machined!C:Z,16,0))</f>
        <v>Proto</v>
      </c>
      <c r="H22" s="320" t="str">
        <f>IF(VLOOKUP($C22,Machined!C:Z,17,0) = 0, " ", VLOOKUP($C22,Machined!C:Z,17,0))</f>
        <v xml:space="preserve"> </v>
      </c>
      <c r="I22" s="321" t="str">
        <f>IF(VLOOKUP($C22,Machined!$C:$Y,13,0) = 0, " ", VLOOKUP($C22,Machined!$C:$Y,13,0))</f>
        <v>304 STAINLESS STEEL</v>
      </c>
      <c r="J22" s="44">
        <f>IF(VLOOKUP($C22,Machined!C:Z,18,0) = 0, " ", VLOOKUP($C22,Machined!C:Z,18,0))</f>
        <v>45526</v>
      </c>
      <c r="K22" s="44">
        <f>IF(VLOOKUP($C22,Machined!C:Z,19,0) = 0, " ", VLOOKUP($C22,Machined!C:Z,19,0))</f>
        <v>45527</v>
      </c>
      <c r="L22" s="44">
        <f>IF(VLOOKUP($C22,Machined!C:Z,20,0) = 0, " ", VLOOKUP($C22,Machined!C:Z,20,0))</f>
        <v>45548</v>
      </c>
      <c r="M22" s="44">
        <f>IF(VLOOKUP($C22,Machined!C:Z,21,0) = 0, " ", VLOOKUP($C22,Machined!C:Z,21,0))</f>
        <v>45548</v>
      </c>
      <c r="N22" s="129">
        <f>IF(VLOOKUP($C22,Machined!C:Z,22,0) = 0, " ", VLOOKUP($C22,Machined!C:Z,22,0))</f>
        <v>55702</v>
      </c>
      <c r="O22" s="45">
        <f t="shared" ca="1" si="2"/>
        <v>2</v>
      </c>
      <c r="P22" s="49">
        <f>VLOOKUP(C22,Machined!C:F,3,0)</f>
        <v>0</v>
      </c>
      <c r="Q22" s="50">
        <f t="shared" si="3"/>
        <v>0</v>
      </c>
    </row>
    <row r="23" spans="1:17" s="2" customFormat="1" ht="12.75" customHeight="1" x14ac:dyDescent="0.25">
      <c r="A23" s="77" t="s">
        <v>1246</v>
      </c>
      <c r="B23" s="20">
        <v>2</v>
      </c>
      <c r="C23" s="121" t="s">
        <v>1379</v>
      </c>
      <c r="D23" s="314" t="str">
        <f>VLOOKUP(C23,Machined!C:X,2,0)</f>
        <v>Limit Sensor Mount Retract</v>
      </c>
      <c r="E23" s="329"/>
      <c r="F23" s="107" t="str">
        <f>VLOOKUP($C23,Machined!C:Z,13,0)</f>
        <v>304 STAINLESS STEEL</v>
      </c>
      <c r="G23" s="44" t="str">
        <f>IF(VLOOKUP($C23,Machined!C:Z,16,0) = 0, " ", VLOOKUP($C23,Machined!C:Z,16,0))</f>
        <v>Proto</v>
      </c>
      <c r="H23" s="320" t="str">
        <f>IF(VLOOKUP($C23,Machined!C:Z,17,0) = 0, " ", VLOOKUP($C23,Machined!C:Z,17,0))</f>
        <v xml:space="preserve"> </v>
      </c>
      <c r="I23" s="321" t="str">
        <f>IF(VLOOKUP($C23,Machined!$C:$Y,13,0) = 0, " ", VLOOKUP($C23,Machined!$C:$Y,13,0))</f>
        <v>304 STAINLESS STEEL</v>
      </c>
      <c r="J23" s="44">
        <f>IF(VLOOKUP($C23,Machined!C:Z,18,0) = 0, " ", VLOOKUP($C23,Machined!C:Z,18,0))</f>
        <v>45526</v>
      </c>
      <c r="K23" s="44">
        <f>IF(VLOOKUP($C23,Machined!C:Z,19,0) = 0, " ", VLOOKUP($C23,Machined!C:Z,19,0))</f>
        <v>45527</v>
      </c>
      <c r="L23" s="44">
        <f>IF(VLOOKUP($C23,Machined!C:Z,20,0) = 0, " ", VLOOKUP($C23,Machined!C:Z,20,0))</f>
        <v>45548</v>
      </c>
      <c r="M23" s="44">
        <f>IF(VLOOKUP($C23,Machined!C:Z,21,0) = 0, " ", VLOOKUP($C23,Machined!C:Z,21,0))</f>
        <v>45548</v>
      </c>
      <c r="N23" s="129">
        <f>IF(VLOOKUP($C23,Machined!C:Z,22,0) = 0, " ", VLOOKUP($C23,Machined!C:Z,22,0))</f>
        <v>55702</v>
      </c>
      <c r="O23" s="45">
        <f t="shared" ca="1" si="2"/>
        <v>2</v>
      </c>
      <c r="P23" s="49">
        <f>VLOOKUP(C23,Machined!C:F,3,0)</f>
        <v>0</v>
      </c>
      <c r="Q23" s="50">
        <f t="shared" si="3"/>
        <v>0</v>
      </c>
    </row>
    <row r="24" spans="1:17" s="2" customFormat="1" ht="12" customHeight="1" x14ac:dyDescent="0.25">
      <c r="A24" s="25"/>
      <c r="B24" s="26"/>
      <c r="C24" s="26"/>
      <c r="D24" s="332"/>
      <c r="E24" s="333"/>
      <c r="F24" s="26"/>
      <c r="G24" s="26"/>
      <c r="H24" s="322"/>
      <c r="I24" s="323"/>
      <c r="J24" s="27"/>
      <c r="K24" s="27"/>
      <c r="L24" s="27"/>
      <c r="M24" s="28"/>
      <c r="N24" s="29"/>
      <c r="O24" s="29"/>
      <c r="P24" s="148"/>
      <c r="Q24" s="149"/>
    </row>
    <row r="25" spans="1:17" s="2" customFormat="1" ht="12" customHeight="1" x14ac:dyDescent="0.25">
      <c r="A25" s="4">
        <v>301</v>
      </c>
      <c r="B25" s="2">
        <v>4</v>
      </c>
      <c r="C25" s="135" t="s">
        <v>104</v>
      </c>
      <c r="D25" s="325" t="str">
        <f>VLOOKUP(C25,Purchased!A:B,2,0)</f>
        <v>BRX GOTO T-NUT 10 M8</v>
      </c>
      <c r="E25" s="326"/>
      <c r="F25" s="108" t="str">
        <f>IF(VLOOKUP($C25,Purchased!A:Z,11,0) = 0, " ", VLOOKUP($C25,Purchased!A:Z,11,0))</f>
        <v>BRX</v>
      </c>
      <c r="G25" s="108" t="str">
        <f>IF(VLOOKUP($C25,Purchased!A:Z,12,0)=0, " ", VLOOKUP($C25,Purchased!A:Z,12,0))</f>
        <v>AAP</v>
      </c>
      <c r="H25" s="327" t="str">
        <f>IF(VLOOKUP($C25,Purchased!A:Z,13,0)=0, " ", VLOOKUP($C25,Purchased!A:Z,13,0))</f>
        <v>400 additional quantity added to 55710</v>
      </c>
      <c r="I25" s="328"/>
      <c r="J25" s="46">
        <f>IF(VLOOKUP($C25,Purchased!A:Z,14,0)=0, " ", VLOOKUP($C25,Purchased!A:Z,14,0))</f>
        <v>45463</v>
      </c>
      <c r="K25" s="46">
        <f>IF(VLOOKUP(C25,Purchased!A:R,14,0)=0, " ", VLOOKUP(C25,Purchased!A:R,14,0))</f>
        <v>45463</v>
      </c>
      <c r="L25" s="46">
        <f>IF(VLOOKUP(C25,Purchased!A:R,15,0)=0, " ", VLOOKUP(C25,Purchased!A:R,15,0))</f>
        <v>45463</v>
      </c>
      <c r="M25" s="46">
        <f>IF(VLOOKUP(C25,Purchased!A:R,16,0)=0, " ",VLOOKUP(C25,Purchased!A:R,16,0))</f>
        <v>45481</v>
      </c>
      <c r="N25" s="130">
        <f>IF(VLOOKUP(C25,Purchased!A:R,17,0)=0, " ", VLOOKUP(C25,Purchased!A:R,17,0))</f>
        <v>45481</v>
      </c>
      <c r="O25" s="47">
        <f t="shared" ref="O25:O32" ca="1" si="4">B25*$L$2</f>
        <v>4</v>
      </c>
      <c r="P25" s="51">
        <f>VLOOKUP(C25,Purchased!A:D,3,FALSE)</f>
        <v>0.56000000000000005</v>
      </c>
      <c r="Q25" s="52">
        <f t="shared" ref="Q25:Q32" si="5">B25*P25</f>
        <v>2.2400000000000002</v>
      </c>
    </row>
    <row r="26" spans="1:17" s="2" customFormat="1" ht="12" customHeight="1" x14ac:dyDescent="0.25">
      <c r="A26" s="4">
        <v>302</v>
      </c>
      <c r="B26" s="2">
        <v>20</v>
      </c>
      <c r="C26" s="135">
        <v>3842528735</v>
      </c>
      <c r="D26" s="325" t="str">
        <f>VLOOKUP(C26,Purchased!A:B,2,0)</f>
        <v>T-SLOT STONE 10 M8</v>
      </c>
      <c r="E26" s="326"/>
      <c r="F26" s="108" t="str">
        <f>IF(VLOOKUP($C26,Purchased!A:Z,11,0) = 0, " ", VLOOKUP($C26,Purchased!A:Z,11,0))</f>
        <v>BRX</v>
      </c>
      <c r="G26" s="108" t="str">
        <f>IF(VLOOKUP($C26,Purchased!A:Z,12,0)=0, " ", VLOOKUP($C26,Purchased!A:Z,12,0))</f>
        <v>AAP</v>
      </c>
      <c r="H26" s="327" t="str">
        <f>IF(VLOOKUP($C26,Purchased!A:Z,13,0)=0, " ", VLOOKUP($C26,Purchased!A:Z,13,0))</f>
        <v xml:space="preserve"> </v>
      </c>
      <c r="I26" s="328"/>
      <c r="J26" s="46" t="str">
        <f>IF(VLOOKUP($C26,Purchased!A:Z,14,0)=0, " ", VLOOKUP($C26,Purchased!A:Z,14,0))</f>
        <v>N/A</v>
      </c>
      <c r="K26" s="46" t="str">
        <f>IF(VLOOKUP(C26,Purchased!A:R,14,0)=0, " ", VLOOKUP(C26,Purchased!A:R,14,0))</f>
        <v>N/A</v>
      </c>
      <c r="L26" s="46">
        <f>IF(VLOOKUP(C26,Purchased!A:R,15,0)=0, " ", VLOOKUP(C26,Purchased!A:R,15,0))</f>
        <v>45532</v>
      </c>
      <c r="M26" s="46">
        <f>IF(VLOOKUP(C26,Purchased!A:R,16,0)=0, " ",VLOOKUP(C26,Purchased!A:R,16,0))</f>
        <v>45561</v>
      </c>
      <c r="N26" s="130" t="str">
        <f>IF(VLOOKUP(C26,Purchased!A:R,17,0)=0, " ", VLOOKUP(C26,Purchased!A:R,17,0))</f>
        <v xml:space="preserve"> </v>
      </c>
      <c r="O26" s="47">
        <f t="shared" ca="1" si="4"/>
        <v>20</v>
      </c>
      <c r="P26" s="51">
        <f>VLOOKUP(C26,Purchased!A:D,3,FALSE)</f>
        <v>0.86</v>
      </c>
      <c r="Q26" s="52">
        <f t="shared" si="5"/>
        <v>17.2</v>
      </c>
    </row>
    <row r="27" spans="1:17" s="2" customFormat="1" ht="12" customHeight="1" x14ac:dyDescent="0.25">
      <c r="A27" s="4">
        <v>303</v>
      </c>
      <c r="B27" s="2">
        <v>4</v>
      </c>
      <c r="C27" s="135" t="s">
        <v>256</v>
      </c>
      <c r="D27" s="325" t="str">
        <f>VLOOKUP(C27,Purchased!A:B,2,0)</f>
        <v>BRL Linear Guide Runner Block Sz 25, Standard Flange</v>
      </c>
      <c r="E27" s="326"/>
      <c r="F27" s="108" t="str">
        <f>IF(VLOOKUP($C27,Purchased!A:Z,11,0) = 0, " ", VLOOKUP($C27,Purchased!A:Z,11,0))</f>
        <v>BRL</v>
      </c>
      <c r="G27" s="108" t="str">
        <f>IF(VLOOKUP($C27,Purchased!A:Z,12,0)=0, " ", VLOOKUP($C27,Purchased!A:Z,12,0))</f>
        <v>AAP</v>
      </c>
      <c r="H27" s="327" t="str">
        <f>IF(VLOOKUP($C27,Purchased!A:Z,13,0)=0, " ", VLOOKUP($C27,Purchased!A:Z,13,0))</f>
        <v>Ordered 16 additional PO 55645</v>
      </c>
      <c r="I27" s="328"/>
      <c r="J27" s="46">
        <f>IF(VLOOKUP($C27,Purchased!A:Z,14,0)=0, " ", VLOOKUP($C27,Purchased!A:Z,14,0))</f>
        <v>45456</v>
      </c>
      <c r="K27" s="46">
        <f>IF(VLOOKUP(C27,Purchased!A:R,14,0)=0, " ", VLOOKUP(C27,Purchased!A:R,14,0))</f>
        <v>45456</v>
      </c>
      <c r="L27" s="46">
        <f>IF(VLOOKUP(C27,Purchased!A:R,15,0)=0, " ", VLOOKUP(C27,Purchased!A:R,15,0))</f>
        <v>45456</v>
      </c>
      <c r="M27" s="46">
        <f>IF(VLOOKUP(C27,Purchased!A:R,16,0)=0, " ",VLOOKUP(C27,Purchased!A:R,16,0))</f>
        <v>45502</v>
      </c>
      <c r="N27" s="130">
        <f>IF(VLOOKUP(C27,Purchased!A:R,17,0)=0, " ", VLOOKUP(C27,Purchased!A:R,17,0))</f>
        <v>45505</v>
      </c>
      <c r="O27" s="47">
        <f t="shared" ca="1" si="4"/>
        <v>4</v>
      </c>
      <c r="P27" s="51">
        <f>VLOOKUP(C27,Purchased!A:D,3,FALSE)</f>
        <v>138.68</v>
      </c>
      <c r="Q27" s="52">
        <f t="shared" si="5"/>
        <v>554.72</v>
      </c>
    </row>
    <row r="28" spans="1:17" s="2" customFormat="1" ht="12" customHeight="1" x14ac:dyDescent="0.25">
      <c r="A28" s="4">
        <v>304</v>
      </c>
      <c r="B28" s="2">
        <v>2</v>
      </c>
      <c r="C28" s="135" t="s">
        <v>1380</v>
      </c>
      <c r="D28" s="325" t="str">
        <f>VLOOKUP(C28,Purchased!A:B,2,0)</f>
        <v>25MM BALL RAIL, 1524MM LENGTH, T-34MM</v>
      </c>
      <c r="E28" s="326"/>
      <c r="F28" s="108" t="str">
        <f>IF(VLOOKUP($C28,Purchased!A:Z,11,0) = 0, " ", VLOOKUP($C28,Purchased!A:Z,11,0))</f>
        <v>BRL</v>
      </c>
      <c r="G28" s="108" t="str">
        <f>IF(VLOOKUP($C28,Purchased!A:Z,12,0)=0, " ", VLOOKUP($C28,Purchased!A:Z,12,0))</f>
        <v>AAP</v>
      </c>
      <c r="H28" s="327" t="str">
        <f>IF(VLOOKUP($C28,Purchased!A:Z,13,0)=0, " ", VLOOKUP($C28,Purchased!A:Z,13,0))</f>
        <v xml:space="preserve"> </v>
      </c>
      <c r="I28" s="328"/>
      <c r="J28" s="46">
        <f>IF(VLOOKUP($C28,Purchased!A:Z,14,0)=0, " ", VLOOKUP($C28,Purchased!A:Z,14,0))</f>
        <v>45502</v>
      </c>
      <c r="K28" s="46">
        <f>IF(VLOOKUP(C28,Purchased!A:R,14,0)=0, " ", VLOOKUP(C28,Purchased!A:R,14,0))</f>
        <v>45502</v>
      </c>
      <c r="L28" s="46">
        <f>IF(VLOOKUP(C28,Purchased!A:R,15,0)=0, " ", VLOOKUP(C28,Purchased!A:R,15,0))</f>
        <v>45506</v>
      </c>
      <c r="M28" s="46">
        <f>IF(VLOOKUP(C28,Purchased!A:R,16,0)=0, " ",VLOOKUP(C28,Purchased!A:R,16,0))</f>
        <v>45547</v>
      </c>
      <c r="N28" s="130">
        <f>IF(VLOOKUP(C28,Purchased!A:R,17,0)=0, " ", VLOOKUP(C28,Purchased!A:R,17,0))</f>
        <v>45552</v>
      </c>
      <c r="O28" s="47">
        <f t="shared" ca="1" si="4"/>
        <v>2</v>
      </c>
      <c r="P28" s="51">
        <f>VLOOKUP(C28,Purchased!A:D,3,FALSE)</f>
        <v>446.37400000000002</v>
      </c>
      <c r="Q28" s="52">
        <f t="shared" si="5"/>
        <v>892.74800000000005</v>
      </c>
    </row>
    <row r="29" spans="1:17" s="2" customFormat="1" ht="12" customHeight="1" x14ac:dyDescent="0.25">
      <c r="A29" s="4">
        <v>305</v>
      </c>
      <c r="B29" s="2">
        <v>1</v>
      </c>
      <c r="C29" s="135" t="s">
        <v>1381</v>
      </c>
      <c r="D29" s="325" t="str">
        <f>VLOOKUP(C29,Purchased!A:B,2,0)</f>
        <v>48in wide x 4645mm long conveyor belt</v>
      </c>
      <c r="E29" s="326"/>
      <c r="F29" s="108" t="str">
        <f>IF(VLOOKUP($C29,Purchased!A:Z,11,0) = 0, " ", VLOOKUP($C29,Purchased!A:Z,11,0))</f>
        <v>DORNER</v>
      </c>
      <c r="G29" s="108" t="str">
        <f>IF(VLOOKUP($C29,Purchased!A:Z,12,0)=0, " ", VLOOKUP($C29,Purchased!A:Z,12,0))</f>
        <v>AAP</v>
      </c>
      <c r="H29" s="327" t="str">
        <f>IF(VLOOKUP($C29,Purchased!A:Z,13,0)=0, " ", VLOOKUP($C29,Purchased!A:Z,13,0))</f>
        <v xml:space="preserve"> </v>
      </c>
      <c r="I29" s="328"/>
      <c r="J29" s="46">
        <f>IF(VLOOKUP($C29,Purchased!A:Z,14,0)=0, " ", VLOOKUP($C29,Purchased!A:Z,14,0))</f>
        <v>45491</v>
      </c>
      <c r="K29" s="46">
        <f>IF(VLOOKUP(C29,Purchased!A:R,14,0)=0, " ", VLOOKUP(C29,Purchased!A:R,14,0))</f>
        <v>45491</v>
      </c>
      <c r="L29" s="46">
        <f>IF(VLOOKUP(C29,Purchased!A:R,15,0)=0, " ", VLOOKUP(C29,Purchased!A:R,15,0))</f>
        <v>45491</v>
      </c>
      <c r="M29" s="46">
        <f>IF(VLOOKUP(C29,Purchased!A:R,16,0)=0, " ",VLOOKUP(C29,Purchased!A:R,16,0))</f>
        <v>45533</v>
      </c>
      <c r="N29" s="130">
        <f>IF(VLOOKUP(C29,Purchased!A:R,17,0)=0, " ", VLOOKUP(C29,Purchased!A:R,17,0))</f>
        <v>45533</v>
      </c>
      <c r="O29" s="47">
        <f ca="1">B29*$L$2</f>
        <v>1</v>
      </c>
      <c r="P29" s="51">
        <f>VLOOKUP(C29,Purchased!A:D,3,FALSE)</f>
        <v>4944</v>
      </c>
      <c r="Q29" s="52">
        <f>B29*P29</f>
        <v>4944</v>
      </c>
    </row>
    <row r="30" spans="1:17" s="2" customFormat="1" ht="12" customHeight="1" x14ac:dyDescent="0.25">
      <c r="A30" s="4">
        <v>306</v>
      </c>
      <c r="B30" s="2">
        <v>4</v>
      </c>
      <c r="C30" s="135" t="s">
        <v>300</v>
      </c>
      <c r="D30" s="325" t="str">
        <f>VLOOKUP(C30,Purchased!A:B,2,0)</f>
        <v>Dowel Pin 52100 Alloy Steel, 10 mm Diameter, 30 mm Long</v>
      </c>
      <c r="E30" s="326"/>
      <c r="F30" s="108" t="str">
        <f>IF(VLOOKUP($C30,Purchased!A:Z,11,0) = 0, " ", VLOOKUP($C30,Purchased!A:Z,11,0))</f>
        <v>MCM</v>
      </c>
      <c r="G30" s="108" t="str">
        <f>IF(VLOOKUP($C30,Purchased!A:Z,12,0)=0, " ", VLOOKUP($C30,Purchased!A:Z,12,0))</f>
        <v>MCM</v>
      </c>
      <c r="H30" s="327" t="str">
        <f>IF(VLOOKUP($C30,Purchased!A:Z,13,0)=0, " ", VLOOKUP($C30,Purchased!A:Z,13,0))</f>
        <v>4 Additional Quantity Added to 55697</v>
      </c>
      <c r="I30" s="328"/>
      <c r="J30" s="46">
        <f>IF(VLOOKUP($C30,Purchased!A:Z,14,0)=0, " ", VLOOKUP($C30,Purchased!A:Z,14,0))</f>
        <v>45460</v>
      </c>
      <c r="K30" s="46">
        <f>IF(VLOOKUP(C30,Purchased!A:R,14,0)=0, " ", VLOOKUP(C30,Purchased!A:R,14,0))</f>
        <v>45460</v>
      </c>
      <c r="L30" s="46">
        <f>IF(VLOOKUP(C30,Purchased!A:R,15,0)=0, " ", VLOOKUP(C30,Purchased!A:R,15,0))</f>
        <v>45460</v>
      </c>
      <c r="M30" s="46">
        <f>IF(VLOOKUP(C30,Purchased!A:R,16,0)=0, " ",VLOOKUP(C30,Purchased!A:R,16,0))</f>
        <v>45462</v>
      </c>
      <c r="N30" s="130">
        <f>IF(VLOOKUP(C30,Purchased!A:R,17,0)=0, " ", VLOOKUP(C30,Purchased!A:R,17,0))</f>
        <v>45462</v>
      </c>
      <c r="O30" s="47">
        <f ca="1">B30*$L$2</f>
        <v>4</v>
      </c>
      <c r="P30" s="51">
        <f>VLOOKUP(C30,Purchased!A:D,3,FALSE)</f>
        <v>12.91</v>
      </c>
      <c r="Q30" s="52">
        <f>B30*P30</f>
        <v>51.64</v>
      </c>
    </row>
    <row r="31" spans="1:17" s="2" customFormat="1" ht="12" customHeight="1" x14ac:dyDescent="0.25">
      <c r="A31" s="4">
        <v>305</v>
      </c>
      <c r="B31" s="2">
        <v>4</v>
      </c>
      <c r="C31" s="135" t="s">
        <v>1358</v>
      </c>
      <c r="D31" s="325" t="str">
        <f>VLOOKUP(C31,Purchased!A:B,2,0)</f>
        <v>M8 4PIN TO FLYING LEAD 10M CABLE, Gray</v>
      </c>
      <c r="E31" s="326"/>
      <c r="F31" s="108" t="str">
        <f>IF(VLOOKUP($C31,Purchased!A:Z,11,0) = 0, " ", VLOOKUP($C31,Purchased!A:Z,11,0))</f>
        <v>MURR</v>
      </c>
      <c r="G31" s="108" t="str">
        <f>IF(VLOOKUP($C31,Purchased!A:Z,12,0)=0, " ", VLOOKUP($C31,Purchased!A:Z,12,0))</f>
        <v>MURR</v>
      </c>
      <c r="H31" s="327" t="str">
        <f>IF(VLOOKUP($C31,Purchased!A:Z,13,0)=0, " ", VLOOKUP($C31,Purchased!A:Z,13,0))</f>
        <v xml:space="preserve"> </v>
      </c>
      <c r="I31" s="328"/>
      <c r="J31" s="46">
        <f>IF(VLOOKUP($C31,Purchased!A:Z,14,0)=0, " ", VLOOKUP($C31,Purchased!A:Z,14,0))</f>
        <v>45506</v>
      </c>
      <c r="K31" s="46">
        <f>IF(VLOOKUP(C31,Purchased!A:R,14,0)=0, " ", VLOOKUP(C31,Purchased!A:R,14,0))</f>
        <v>45506</v>
      </c>
      <c r="L31" s="46" t="str">
        <f>IF(VLOOKUP(C31,Purchased!A:R,15,0)=0, " ", VLOOKUP(C31,Purchased!A:R,15,0))</f>
        <v xml:space="preserve"> </v>
      </c>
      <c r="M31" s="46" t="str">
        <f>IF(VLOOKUP(C31,Purchased!A:R,16,0)=0, " ",VLOOKUP(C31,Purchased!A:R,16,0))</f>
        <v xml:space="preserve"> </v>
      </c>
      <c r="N31" s="130" t="str">
        <f>IF(VLOOKUP(C31,Purchased!A:R,17,0)=0, " ", VLOOKUP(C31,Purchased!A:R,17,0))</f>
        <v xml:space="preserve"> </v>
      </c>
      <c r="O31" s="47">
        <f t="shared" ca="1" si="4"/>
        <v>4</v>
      </c>
      <c r="P31" s="51">
        <f>VLOOKUP(C31,Purchased!A:D,3,FALSE)</f>
        <v>0</v>
      </c>
      <c r="Q31" s="52">
        <f t="shared" si="5"/>
        <v>0</v>
      </c>
    </row>
    <row r="32" spans="1:17" s="2" customFormat="1" ht="12" customHeight="1" x14ac:dyDescent="0.25">
      <c r="A32" s="4">
        <v>306</v>
      </c>
      <c r="B32" s="2">
        <v>4</v>
      </c>
      <c r="C32" s="135" t="s">
        <v>1382</v>
      </c>
      <c r="D32" s="325" t="str">
        <f>VLOOKUP(C32,Purchased!A:B,2,0)</f>
        <v>Distance sensor</v>
      </c>
      <c r="E32" s="326"/>
      <c r="F32" s="108" t="str">
        <f>IF(VLOOKUP($C32,Purchased!A:Z,11,0) = 0, " ", VLOOKUP($C32,Purchased!A:Z,11,0))</f>
        <v>KEYENCE</v>
      </c>
      <c r="G32" s="108" t="str">
        <f>IF(VLOOKUP($C32,Purchased!A:Z,12,0)=0, " ", VLOOKUP($C32,Purchased!A:Z,12,0))</f>
        <v>KEYENCE</v>
      </c>
      <c r="H32" s="327" t="str">
        <f>IF(VLOOKUP($C32,Purchased!A:Z,13,0)=0, " ", VLOOKUP($C32,Purchased!A:Z,13,0))</f>
        <v>Nuline Stock</v>
      </c>
      <c r="I32" s="328"/>
      <c r="J32" s="46" t="str">
        <f>IF(VLOOKUP($C32,Purchased!A:Z,14,0)=0, " ", VLOOKUP($C32,Purchased!A:Z,14,0))</f>
        <v>N/A</v>
      </c>
      <c r="K32" s="46" t="str">
        <f>IF(VLOOKUP(C32,Purchased!A:R,14,0)=0, " ", VLOOKUP(C32,Purchased!A:R,14,0))</f>
        <v>N/A</v>
      </c>
      <c r="L32" s="46" t="str">
        <f>IF(VLOOKUP(C32,Purchased!A:R,15,0)=0, " ", VLOOKUP(C32,Purchased!A:R,15,0))</f>
        <v>N/A</v>
      </c>
      <c r="M32" s="46" t="str">
        <f>IF(VLOOKUP(C32,Purchased!A:R,16,0)=0, " ",VLOOKUP(C32,Purchased!A:R,16,0))</f>
        <v>N/A</v>
      </c>
      <c r="N32" s="130" t="str">
        <f>IF(VLOOKUP(C32,Purchased!A:R,17,0)=0, " ", VLOOKUP(C32,Purchased!A:R,17,0))</f>
        <v>N/A</v>
      </c>
      <c r="O32" s="47">
        <f t="shared" ca="1" si="4"/>
        <v>4</v>
      </c>
      <c r="P32" s="51">
        <f>VLOOKUP(C32,Purchased!A:D,3,FALSE)</f>
        <v>0</v>
      </c>
      <c r="Q32" s="52">
        <f t="shared" si="5"/>
        <v>0</v>
      </c>
    </row>
    <row r="33" spans="1:17" s="2" customFormat="1" ht="12" customHeight="1" x14ac:dyDescent="0.25">
      <c r="A33" s="25"/>
      <c r="B33" s="26"/>
      <c r="C33" s="26"/>
      <c r="D33" s="332"/>
      <c r="E33" s="333"/>
      <c r="F33" s="26"/>
      <c r="G33" s="26"/>
      <c r="H33" s="322"/>
      <c r="I33" s="323"/>
      <c r="J33" s="27"/>
      <c r="K33" s="27"/>
      <c r="L33" s="27"/>
      <c r="M33" s="28"/>
      <c r="N33" s="29"/>
      <c r="O33" s="29"/>
      <c r="P33" s="148"/>
      <c r="Q33" s="149"/>
    </row>
    <row r="34" spans="1:17" s="2" customFormat="1" ht="12" customHeight="1" x14ac:dyDescent="0.25">
      <c r="A34" s="4">
        <v>501</v>
      </c>
      <c r="B34" s="2">
        <v>8</v>
      </c>
      <c r="C34" s="122" t="s">
        <v>349</v>
      </c>
      <c r="D34" s="325"/>
      <c r="E34" s="326"/>
      <c r="F34" s="108">
        <f>VLOOKUP(C34,Bolts!A:L,5,0)</f>
        <v>0</v>
      </c>
      <c r="G34" s="108">
        <f>VLOOKUP(C34,Bolts!A:L,6,0)</f>
        <v>0</v>
      </c>
      <c r="H34" s="108">
        <f>VLOOKUP(C34,Bolts!A:L,7,0)</f>
        <v>0</v>
      </c>
      <c r="I34" s="109"/>
      <c r="J34" s="46">
        <f>VLOOKUP(C34,Bolts!A:L,8,0)</f>
        <v>0</v>
      </c>
      <c r="K34" s="46">
        <f>VLOOKUP(C34,Bolts!A:L,9,0)</f>
        <v>0</v>
      </c>
      <c r="L34" s="46">
        <f>VLOOKUP(C34,Bolts!A:L,10,0)</f>
        <v>0</v>
      </c>
      <c r="M34" s="46">
        <f>VLOOKUP(C34,Bolts!A:L,11,0)</f>
        <v>0</v>
      </c>
      <c r="N34" s="130">
        <f>VLOOKUP(C34,Bolts!A:L,12,0)</f>
        <v>0</v>
      </c>
      <c r="O34" s="47">
        <f t="shared" ref="O34:O35" ca="1" si="6">B34*$L$2</f>
        <v>8</v>
      </c>
      <c r="P34" s="51">
        <f>VLOOKUP(C34,Bolts!A:B,2,FALSE)</f>
        <v>0</v>
      </c>
      <c r="Q34" s="52">
        <f t="shared" ref="Q34:Q35" si="7">B34*P34</f>
        <v>0</v>
      </c>
    </row>
    <row r="35" spans="1:17" s="2" customFormat="1" ht="12" customHeight="1" x14ac:dyDescent="0.25">
      <c r="A35" s="4">
        <v>502</v>
      </c>
      <c r="B35" s="2">
        <v>8</v>
      </c>
      <c r="C35" s="122" t="s">
        <v>198</v>
      </c>
      <c r="D35" s="325"/>
      <c r="E35" s="326"/>
      <c r="F35" s="108">
        <f>VLOOKUP(C35,Bolts!A:L,5,0)</f>
        <v>0</v>
      </c>
      <c r="G35" s="108">
        <f>VLOOKUP(C35,Bolts!A:L,6,0)</f>
        <v>0</v>
      </c>
      <c r="H35" s="108">
        <f>VLOOKUP(C35,Bolts!A:L,7,0)</f>
        <v>0</v>
      </c>
      <c r="I35" s="109"/>
      <c r="J35" s="46">
        <f>VLOOKUP(C35,Bolts!A:L,8,0)</f>
        <v>0</v>
      </c>
      <c r="K35" s="46">
        <f>VLOOKUP(C35,Bolts!A:L,9,0)</f>
        <v>0</v>
      </c>
      <c r="L35" s="46">
        <f>VLOOKUP(C35,Bolts!A:L,10,0)</f>
        <v>0</v>
      </c>
      <c r="M35" s="46">
        <f>VLOOKUP(C35,Bolts!A:L,11,0)</f>
        <v>0</v>
      </c>
      <c r="N35" s="130">
        <f>VLOOKUP(C35,Bolts!A:L,12,0)</f>
        <v>0</v>
      </c>
      <c r="O35" s="47">
        <f t="shared" ca="1" si="6"/>
        <v>8</v>
      </c>
      <c r="P35" s="51">
        <f>VLOOKUP(C35,Bolts!A:B,2,FALSE)</f>
        <v>0</v>
      </c>
      <c r="Q35" s="52">
        <f t="shared" si="7"/>
        <v>0</v>
      </c>
    </row>
    <row r="36" spans="1:17" s="2" customFormat="1" ht="12" customHeight="1" x14ac:dyDescent="0.25">
      <c r="A36" s="4">
        <v>503</v>
      </c>
      <c r="B36" s="2">
        <v>12</v>
      </c>
      <c r="C36" s="122" t="s">
        <v>174</v>
      </c>
      <c r="D36" s="325"/>
      <c r="E36" s="326"/>
      <c r="F36" s="108">
        <f>VLOOKUP(C36,Bolts!A:L,5,0)</f>
        <v>0</v>
      </c>
      <c r="G36" s="108">
        <f>VLOOKUP(C36,Bolts!A:L,6,0)</f>
        <v>0</v>
      </c>
      <c r="H36" s="108">
        <f>VLOOKUP(C36,Bolts!A:L,7,0)</f>
        <v>0</v>
      </c>
      <c r="I36" s="109"/>
      <c r="J36" s="46">
        <f>VLOOKUP(C36,Bolts!A:L,8,0)</f>
        <v>0</v>
      </c>
      <c r="K36" s="46">
        <f>VLOOKUP(C36,Bolts!A:L,9,0)</f>
        <v>0</v>
      </c>
      <c r="L36" s="46">
        <f>VLOOKUP(C36,Bolts!A:L,10,0)</f>
        <v>0</v>
      </c>
      <c r="M36" s="46">
        <f>VLOOKUP(C36,Bolts!A:L,11,0)</f>
        <v>0</v>
      </c>
      <c r="N36" s="130">
        <f>VLOOKUP(C36,Bolts!A:L,12,0)</f>
        <v>0</v>
      </c>
      <c r="O36" s="47">
        <f t="shared" ref="O36:O43" ca="1" si="8">B36*$L$2</f>
        <v>12</v>
      </c>
      <c r="P36" s="51">
        <f>VLOOKUP(C36,Bolts!A:B,2,FALSE)</f>
        <v>0</v>
      </c>
      <c r="Q36" s="52">
        <f t="shared" ref="Q36:Q43" si="9">B36*P36</f>
        <v>0</v>
      </c>
    </row>
    <row r="37" spans="1:17" s="2" customFormat="1" ht="12" customHeight="1" x14ac:dyDescent="0.25">
      <c r="A37" s="4">
        <v>504</v>
      </c>
      <c r="B37" s="2">
        <v>34</v>
      </c>
      <c r="C37" s="122" t="s">
        <v>660</v>
      </c>
      <c r="D37" s="325"/>
      <c r="E37" s="326"/>
      <c r="F37" s="108">
        <f>VLOOKUP(C37,Bolts!A:L,5,0)</f>
        <v>0</v>
      </c>
      <c r="G37" s="108">
        <f>VLOOKUP(C37,Bolts!A:L,6,0)</f>
        <v>0</v>
      </c>
      <c r="H37" s="108">
        <f>VLOOKUP(C37,Bolts!A:L,7,0)</f>
        <v>0</v>
      </c>
      <c r="I37" s="109"/>
      <c r="J37" s="46">
        <f>VLOOKUP(C37,Bolts!A:L,8,0)</f>
        <v>0</v>
      </c>
      <c r="K37" s="46">
        <f>VLOOKUP(C37,Bolts!A:L,9,0)</f>
        <v>0</v>
      </c>
      <c r="L37" s="46">
        <f>VLOOKUP(C37,Bolts!A:L,10,0)</f>
        <v>0</v>
      </c>
      <c r="M37" s="46">
        <f>VLOOKUP(C37,Bolts!A:L,11,0)</f>
        <v>0</v>
      </c>
      <c r="N37" s="130">
        <f>VLOOKUP(C37,Bolts!A:L,12,0)</f>
        <v>0</v>
      </c>
      <c r="O37" s="47">
        <f t="shared" ca="1" si="8"/>
        <v>34</v>
      </c>
      <c r="P37" s="51">
        <f>VLOOKUP(C37,Bolts!A:B,2,FALSE)</f>
        <v>0</v>
      </c>
      <c r="Q37" s="52">
        <f t="shared" si="9"/>
        <v>0</v>
      </c>
    </row>
    <row r="38" spans="1:17" s="2" customFormat="1" ht="12" customHeight="1" x14ac:dyDescent="0.25">
      <c r="A38" s="4">
        <v>505</v>
      </c>
      <c r="B38" s="2">
        <v>16</v>
      </c>
      <c r="C38" s="122" t="s">
        <v>311</v>
      </c>
      <c r="D38" s="325"/>
      <c r="E38" s="326"/>
      <c r="F38" s="108">
        <f>VLOOKUP(C38,Bolts!A:L,5,0)</f>
        <v>0</v>
      </c>
      <c r="G38" s="108">
        <f>VLOOKUP(C38,Bolts!A:L,6,0)</f>
        <v>0</v>
      </c>
      <c r="H38" s="108">
        <f>VLOOKUP(C38,Bolts!A:L,7,0)</f>
        <v>0</v>
      </c>
      <c r="I38" s="109"/>
      <c r="J38" s="46">
        <f>VLOOKUP(C38,Bolts!A:L,8,0)</f>
        <v>0</v>
      </c>
      <c r="K38" s="46">
        <f>VLOOKUP(C38,Bolts!A:L,9,0)</f>
        <v>0</v>
      </c>
      <c r="L38" s="46">
        <f>VLOOKUP(C38,Bolts!A:L,10,0)</f>
        <v>0</v>
      </c>
      <c r="M38" s="46">
        <f>VLOOKUP(C38,Bolts!A:L,11,0)</f>
        <v>0</v>
      </c>
      <c r="N38" s="130">
        <f>VLOOKUP(C38,Bolts!A:L,12,0)</f>
        <v>0</v>
      </c>
      <c r="O38" s="47">
        <f t="shared" ca="1" si="8"/>
        <v>16</v>
      </c>
      <c r="P38" s="51">
        <f>VLOOKUP(C38,Bolts!A:B,2,FALSE)</f>
        <v>0</v>
      </c>
      <c r="Q38" s="52">
        <f t="shared" si="9"/>
        <v>0</v>
      </c>
    </row>
    <row r="39" spans="1:17" s="2" customFormat="1" ht="12" customHeight="1" x14ac:dyDescent="0.25">
      <c r="A39" s="4">
        <v>506</v>
      </c>
      <c r="B39" s="2">
        <v>24</v>
      </c>
      <c r="C39" s="122" t="s">
        <v>186</v>
      </c>
      <c r="D39" s="325"/>
      <c r="E39" s="326"/>
      <c r="F39" s="108">
        <f>VLOOKUP(C39,Bolts!A:L,5,0)</f>
        <v>0</v>
      </c>
      <c r="G39" s="108">
        <f>VLOOKUP(C39,Bolts!A:L,6,0)</f>
        <v>0</v>
      </c>
      <c r="H39" s="108">
        <f>VLOOKUP(C39,Bolts!A:L,7,0)</f>
        <v>0</v>
      </c>
      <c r="I39" s="109"/>
      <c r="J39" s="46">
        <f>VLOOKUP(C39,Bolts!A:L,8,0)</f>
        <v>0</v>
      </c>
      <c r="K39" s="46">
        <f>VLOOKUP(C39,Bolts!A:L,9,0)</f>
        <v>0</v>
      </c>
      <c r="L39" s="46">
        <f>VLOOKUP(C39,Bolts!A:L,10,0)</f>
        <v>0</v>
      </c>
      <c r="M39" s="46">
        <f>VLOOKUP(C39,Bolts!A:L,11,0)</f>
        <v>0</v>
      </c>
      <c r="N39" s="130">
        <f>VLOOKUP(C39,Bolts!A:L,12,0)</f>
        <v>0</v>
      </c>
      <c r="O39" s="47">
        <f t="shared" ca="1" si="8"/>
        <v>24</v>
      </c>
      <c r="P39" s="51">
        <f>VLOOKUP(C39,Bolts!A:B,2,FALSE)</f>
        <v>0</v>
      </c>
      <c r="Q39" s="52">
        <f t="shared" si="9"/>
        <v>0</v>
      </c>
    </row>
    <row r="40" spans="1:17" s="2" customFormat="1" ht="12" customHeight="1" x14ac:dyDescent="0.25">
      <c r="A40" s="4">
        <v>507</v>
      </c>
      <c r="B40" s="2">
        <v>16</v>
      </c>
      <c r="C40" s="122" t="s">
        <v>264</v>
      </c>
      <c r="D40" s="325"/>
      <c r="E40" s="326"/>
      <c r="F40" s="108">
        <f>VLOOKUP(C40,Bolts!A:L,5,0)</f>
        <v>0</v>
      </c>
      <c r="G40" s="108">
        <f>VLOOKUP(C40,Bolts!A:L,6,0)</f>
        <v>0</v>
      </c>
      <c r="H40" s="108">
        <f>VLOOKUP(C40,Bolts!A:L,7,0)</f>
        <v>0</v>
      </c>
      <c r="I40" s="109"/>
      <c r="J40" s="46">
        <f>VLOOKUP(C40,Bolts!A:L,8,0)</f>
        <v>0</v>
      </c>
      <c r="K40" s="46">
        <f>VLOOKUP(C40,Bolts!A:L,9,0)</f>
        <v>0</v>
      </c>
      <c r="L40" s="46">
        <f>VLOOKUP(C40,Bolts!A:L,10,0)</f>
        <v>0</v>
      </c>
      <c r="M40" s="46">
        <f>VLOOKUP(C40,Bolts!A:L,11,0)</f>
        <v>0</v>
      </c>
      <c r="N40" s="130">
        <f>VLOOKUP(C40,Bolts!A:L,12,0)</f>
        <v>0</v>
      </c>
      <c r="O40" s="47">
        <f t="shared" ca="1" si="8"/>
        <v>16</v>
      </c>
      <c r="P40" s="51">
        <f>VLOOKUP(C40,Bolts!A:B,2,FALSE)</f>
        <v>0</v>
      </c>
      <c r="Q40" s="52">
        <f t="shared" si="9"/>
        <v>0</v>
      </c>
    </row>
    <row r="41" spans="1:17" s="2" customFormat="1" ht="12" customHeight="1" x14ac:dyDescent="0.25">
      <c r="A41" s="4">
        <v>508</v>
      </c>
      <c r="B41" s="2">
        <v>8</v>
      </c>
      <c r="C41" s="122" t="s">
        <v>1162</v>
      </c>
      <c r="D41" s="325"/>
      <c r="E41" s="326"/>
      <c r="F41" s="108" t="str">
        <f>VLOOKUP(C41,Bolts!A:L,5,0)</f>
        <v xml:space="preserve"> </v>
      </c>
      <c r="G41" s="108" t="str">
        <f>VLOOKUP(C41,Bolts!A:L,6,0)</f>
        <v xml:space="preserve"> </v>
      </c>
      <c r="H41" s="108">
        <f>VLOOKUP(C41,Bolts!A:L,7,0)</f>
        <v>0</v>
      </c>
      <c r="I41" s="109"/>
      <c r="J41" s="46">
        <f>VLOOKUP(C41,Bolts!A:L,8,0)</f>
        <v>0</v>
      </c>
      <c r="K41" s="46">
        <f>VLOOKUP(C41,Bolts!A:L,9,0)</f>
        <v>0</v>
      </c>
      <c r="L41" s="46">
        <f>VLOOKUP(C41,Bolts!A:L,10,0)</f>
        <v>0</v>
      </c>
      <c r="M41" s="46">
        <f>VLOOKUP(C41,Bolts!A:L,11,0)</f>
        <v>0</v>
      </c>
      <c r="N41" s="130">
        <f>VLOOKUP(C41,Bolts!A:L,12,0)</f>
        <v>0</v>
      </c>
      <c r="O41" s="47">
        <f t="shared" ca="1" si="8"/>
        <v>8</v>
      </c>
      <c r="P41" s="51">
        <f>VLOOKUP(C41,Bolts!A:B,2,FALSE)</f>
        <v>0</v>
      </c>
      <c r="Q41" s="52">
        <f t="shared" si="9"/>
        <v>0</v>
      </c>
    </row>
    <row r="42" spans="1:17" s="2" customFormat="1" ht="12" customHeight="1" x14ac:dyDescent="0.25">
      <c r="A42" s="4">
        <v>509</v>
      </c>
      <c r="B42" s="2">
        <v>2</v>
      </c>
      <c r="C42" s="122" t="s">
        <v>1383</v>
      </c>
      <c r="D42" s="325"/>
      <c r="E42" s="326"/>
      <c r="F42" s="108">
        <f>VLOOKUP(C42,Bolts!A:L,5,0)</f>
        <v>0</v>
      </c>
      <c r="G42" s="108">
        <f>VLOOKUP(C42,Bolts!A:L,6,0)</f>
        <v>0</v>
      </c>
      <c r="H42" s="108">
        <f>VLOOKUP(C42,Bolts!A:L,7,0)</f>
        <v>0</v>
      </c>
      <c r="I42" s="109"/>
      <c r="J42" s="46">
        <f>VLOOKUP(C42,Bolts!A:L,8,0)</f>
        <v>0</v>
      </c>
      <c r="K42" s="46">
        <f>VLOOKUP(C42,Bolts!A:L,9,0)</f>
        <v>0</v>
      </c>
      <c r="L42" s="46">
        <f>VLOOKUP(C42,Bolts!A:L,10,0)</f>
        <v>0</v>
      </c>
      <c r="M42" s="46">
        <f>VLOOKUP(C42,Bolts!A:L,11,0)</f>
        <v>0</v>
      </c>
      <c r="N42" s="130">
        <f>VLOOKUP(C42,Bolts!A:L,12,0)</f>
        <v>0</v>
      </c>
      <c r="O42" s="47">
        <f t="shared" ca="1" si="8"/>
        <v>2</v>
      </c>
      <c r="P42" s="51">
        <f>VLOOKUP(C42,Bolts!A:B,2,FALSE)</f>
        <v>0</v>
      </c>
      <c r="Q42" s="52">
        <f t="shared" si="9"/>
        <v>0</v>
      </c>
    </row>
    <row r="43" spans="1:17" s="2" customFormat="1" ht="12" customHeight="1" x14ac:dyDescent="0.25">
      <c r="A43" s="4">
        <v>510</v>
      </c>
      <c r="B43" s="2">
        <v>2</v>
      </c>
      <c r="C43" s="122" t="s">
        <v>1384</v>
      </c>
      <c r="D43" s="325"/>
      <c r="E43" s="326"/>
      <c r="F43" s="108">
        <f>VLOOKUP(C43,Bolts!A:L,5,0)</f>
        <v>0</v>
      </c>
      <c r="G43" s="108">
        <f>VLOOKUP(C43,Bolts!A:L,6,0)</f>
        <v>0</v>
      </c>
      <c r="H43" s="108">
        <f>VLOOKUP(C43,Bolts!A:L,7,0)</f>
        <v>0</v>
      </c>
      <c r="I43" s="109"/>
      <c r="J43" s="46">
        <f>VLOOKUP(C43,Bolts!A:L,8,0)</f>
        <v>0</v>
      </c>
      <c r="K43" s="46">
        <f>VLOOKUP(C43,Bolts!A:L,9,0)</f>
        <v>0</v>
      </c>
      <c r="L43" s="46">
        <f>VLOOKUP(C43,Bolts!A:L,10,0)</f>
        <v>0</v>
      </c>
      <c r="M43" s="46">
        <f>VLOOKUP(C43,Bolts!A:L,11,0)</f>
        <v>0</v>
      </c>
      <c r="N43" s="130">
        <f>VLOOKUP(C43,Bolts!A:L,12,0)</f>
        <v>0</v>
      </c>
      <c r="O43" s="47">
        <f t="shared" ca="1" si="8"/>
        <v>2</v>
      </c>
      <c r="P43" s="51">
        <f>VLOOKUP(C43,Bolts!A:B,2,FALSE)</f>
        <v>0</v>
      </c>
      <c r="Q43" s="52">
        <f t="shared" si="9"/>
        <v>0</v>
      </c>
    </row>
    <row r="44" spans="1:17" s="2" customFormat="1" ht="12" customHeight="1" x14ac:dyDescent="0.25">
      <c r="A44" s="4">
        <v>511</v>
      </c>
      <c r="B44" s="2">
        <v>4</v>
      </c>
      <c r="C44" s="122" t="s">
        <v>1385</v>
      </c>
      <c r="D44" s="325"/>
      <c r="E44" s="326"/>
      <c r="F44" s="108">
        <f>VLOOKUP(C44,Bolts!A:L,5,0)</f>
        <v>0</v>
      </c>
      <c r="G44" s="108">
        <f>VLOOKUP(C44,Bolts!A:L,6,0)</f>
        <v>0</v>
      </c>
      <c r="H44" s="108">
        <f>VLOOKUP(C44,Bolts!A:L,7,0)</f>
        <v>0</v>
      </c>
      <c r="I44" s="109"/>
      <c r="J44" s="46">
        <f>VLOOKUP(C44,Bolts!A:L,8,0)</f>
        <v>0</v>
      </c>
      <c r="K44" s="46">
        <f>VLOOKUP(C44,Bolts!A:L,9,0)</f>
        <v>0</v>
      </c>
      <c r="L44" s="46">
        <f>VLOOKUP(C44,Bolts!A:L,10,0)</f>
        <v>0</v>
      </c>
      <c r="M44" s="46">
        <f>VLOOKUP(C44,Bolts!A:L,11,0)</f>
        <v>0</v>
      </c>
      <c r="N44" s="130">
        <f>VLOOKUP(C44,Bolts!A:L,12,0)</f>
        <v>0</v>
      </c>
      <c r="O44" s="47">
        <f ca="1">B44*$L$2</f>
        <v>4</v>
      </c>
      <c r="P44" s="51">
        <f>VLOOKUP(C44,Bolts!A:B,2,FALSE)</f>
        <v>2</v>
      </c>
      <c r="Q44" s="52">
        <f>B44*P44</f>
        <v>8</v>
      </c>
    </row>
    <row r="45" spans="1:17" s="2" customFormat="1" ht="12" customHeight="1" thickBot="1" x14ac:dyDescent="0.3">
      <c r="A45" s="4">
        <v>512</v>
      </c>
      <c r="B45" s="2">
        <v>8</v>
      </c>
      <c r="C45" s="122" t="s">
        <v>1356</v>
      </c>
      <c r="D45" s="325"/>
      <c r="E45" s="326"/>
      <c r="F45" s="108">
        <f>VLOOKUP(C45,Bolts!A:L,5,0)</f>
        <v>0</v>
      </c>
      <c r="G45" s="108">
        <f>VLOOKUP(C45,Bolts!A:L,6,0)</f>
        <v>0</v>
      </c>
      <c r="H45" s="108">
        <f>VLOOKUP(C45,Bolts!A:L,7,0)</f>
        <v>0</v>
      </c>
      <c r="I45" s="109"/>
      <c r="J45" s="46">
        <f>VLOOKUP(C45,Bolts!A:L,8,0)</f>
        <v>0</v>
      </c>
      <c r="K45" s="46">
        <f>VLOOKUP(C45,Bolts!A:L,9,0)</f>
        <v>0</v>
      </c>
      <c r="L45" s="46">
        <f>VLOOKUP(C45,Bolts!A:L,10,0)</f>
        <v>0</v>
      </c>
      <c r="M45" s="46">
        <f>VLOOKUP(C45,Bolts!A:L,11,0)</f>
        <v>0</v>
      </c>
      <c r="N45" s="130">
        <f>VLOOKUP(C45,Bolts!A:L,12,0)</f>
        <v>0</v>
      </c>
      <c r="O45" s="47">
        <f t="shared" ref="O45" ca="1" si="10">B45*$L$2</f>
        <v>8</v>
      </c>
      <c r="P45" s="51">
        <f>VLOOKUP(C45,Bolts!A:B,2,FALSE)</f>
        <v>1</v>
      </c>
      <c r="Q45" s="52">
        <f t="shared" ref="Q45" si="11">B45*P45</f>
        <v>8</v>
      </c>
    </row>
    <row r="46" spans="1:17" s="2" customFormat="1" ht="12" customHeight="1" thickBot="1" x14ac:dyDescent="0.3">
      <c r="A46" s="34"/>
      <c r="B46" s="35"/>
      <c r="C46" s="35"/>
      <c r="D46" s="316"/>
      <c r="E46" s="317"/>
      <c r="F46" s="35"/>
      <c r="G46" s="35"/>
      <c r="H46" s="309"/>
      <c r="I46" s="310"/>
      <c r="J46" s="36"/>
      <c r="K46" s="36"/>
      <c r="L46" s="36"/>
      <c r="M46" s="37"/>
      <c r="N46" s="132"/>
      <c r="O46" s="38"/>
      <c r="P46" s="99" t="s">
        <v>43</v>
      </c>
      <c r="Q46" s="104">
        <f>SUM(Q5:Q45)</f>
        <v>24366.784600000003</v>
      </c>
    </row>
  </sheetData>
  <mergeCells count="73">
    <mergeCell ref="D34:E34"/>
    <mergeCell ref="D35:E35"/>
    <mergeCell ref="D45:E45"/>
    <mergeCell ref="D32:E32"/>
    <mergeCell ref="H32:I32"/>
    <mergeCell ref="D38:E38"/>
    <mergeCell ref="D39:E39"/>
    <mergeCell ref="D33:E33"/>
    <mergeCell ref="H33:I33"/>
    <mergeCell ref="D36:E36"/>
    <mergeCell ref="D37:E37"/>
    <mergeCell ref="D46:E46"/>
    <mergeCell ref="H46:I46"/>
    <mergeCell ref="D40:E40"/>
    <mergeCell ref="D41:E41"/>
    <mergeCell ref="D42:E42"/>
    <mergeCell ref="D43:E43"/>
    <mergeCell ref="D44:E44"/>
    <mergeCell ref="D26:E26"/>
    <mergeCell ref="H26:I26"/>
    <mergeCell ref="D27:E27"/>
    <mergeCell ref="H27:I27"/>
    <mergeCell ref="D28:E28"/>
    <mergeCell ref="H28:I28"/>
    <mergeCell ref="D31:E31"/>
    <mergeCell ref="H31:I31"/>
    <mergeCell ref="D29:E29"/>
    <mergeCell ref="H29:I29"/>
    <mergeCell ref="D30:E30"/>
    <mergeCell ref="H30:I30"/>
    <mergeCell ref="D25:E25"/>
    <mergeCell ref="H25:I25"/>
    <mergeCell ref="D19:E19"/>
    <mergeCell ref="H19:I19"/>
    <mergeCell ref="D22:E22"/>
    <mergeCell ref="H22:I22"/>
    <mergeCell ref="D23:E23"/>
    <mergeCell ref="H23:I23"/>
    <mergeCell ref="D20:E20"/>
    <mergeCell ref="H20:I20"/>
    <mergeCell ref="D21:E21"/>
    <mergeCell ref="H21:I21"/>
    <mergeCell ref="D17:E17"/>
    <mergeCell ref="H17:I17"/>
    <mergeCell ref="D18:E18"/>
    <mergeCell ref="H18:I18"/>
    <mergeCell ref="D24:E24"/>
    <mergeCell ref="H24:I24"/>
    <mergeCell ref="D16:E16"/>
    <mergeCell ref="H16:I16"/>
    <mergeCell ref="H11:I11"/>
    <mergeCell ref="D12:E12"/>
    <mergeCell ref="D13:E13"/>
    <mergeCell ref="H13:I13"/>
    <mergeCell ref="D14:E14"/>
    <mergeCell ref="H14:I14"/>
    <mergeCell ref="D15:E15"/>
    <mergeCell ref="H15:I15"/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11:E11"/>
    <mergeCell ref="D9:E9"/>
    <mergeCell ref="H9:I9"/>
    <mergeCell ref="D10:E10"/>
  </mergeCells>
  <conditionalFormatting sqref="M13 M24 M33:M45">
    <cfRule type="cellIs" dxfId="416" priority="15" stopIfTrue="1" operator="lessThanOrEqual">
      <formula>$L13</formula>
    </cfRule>
    <cfRule type="cellIs" dxfId="415" priority="16" operator="greaterThan">
      <formula>L13</formula>
    </cfRule>
  </conditionalFormatting>
  <conditionalFormatting sqref="M25:M32">
    <cfRule type="cellIs" dxfId="414" priority="1" stopIfTrue="1" operator="lessThanOrEqual">
      <formula>$L25</formula>
    </cfRule>
    <cfRule type="cellIs" dxfId="413" priority="2" operator="greaterThan">
      <formula>L25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8EE795-FA20-494C-BFDD-153EE7E19195}">
          <x14:formula1>
            <xm:f>Bolts!$A:$A</xm:f>
          </x14:formula1>
          <xm:sqref>C33:C45</xm:sqref>
        </x14:dataValidation>
        <x14:dataValidation type="list" allowBlank="1" showInputMessage="1" showErrorMessage="1" xr:uid="{478899C7-BC6A-405E-9CB0-E2548804A842}">
          <x14:formula1>
            <xm:f>Assemblies!$E:$E</xm:f>
          </x14:formula1>
          <xm:sqref>C5:C12</xm:sqref>
        </x14:dataValidation>
        <x14:dataValidation type="list" allowBlank="1" showInputMessage="1" showErrorMessage="1" xr:uid="{25503C44-E134-48A3-B617-629F35250A48}">
          <x14:formula1>
            <xm:f>Machined!$C:$C</xm:f>
          </x14:formula1>
          <xm:sqref>C13:C23</xm:sqref>
        </x14:dataValidation>
        <x14:dataValidation type="list" allowBlank="1" showInputMessage="1" showErrorMessage="1" xr:uid="{6C141A0F-C0B3-4F8A-B28F-311B0C35A426}">
          <x14:formula1>
            <xm:f>Purchased!$A:$A</xm:f>
          </x14:formula1>
          <xm:sqref>C24:C32</xm:sqref>
        </x14:dataValidation>
      </x14:dataValidations>
    </ext>
  </extLst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C1A62-D45E-4A28-9164-70D141203025}">
  <sheetPr codeName="Sheet225">
    <tabColor theme="6" tint="0.59999389629810485"/>
  </sheetPr>
  <dimension ref="A1:Q16"/>
  <sheetViews>
    <sheetView zoomScale="116" zoomScaleNormal="116" workbookViewId="0">
      <selection activeCell="G22" sqref="G2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'10.2'!C5</f>
        <v>PG10.10.2.1.0.A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'10.2'!D5</f>
        <v>Driven Roller Assy</v>
      </c>
      <c r="D3" s="85" t="s">
        <v>50</v>
      </c>
      <c r="E3" s="86" t="str">
        <f ca="1">MID(CELL("filename",A1),FIND("]",CELL("filename",A1))+1,256)</f>
        <v>10.2.1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1386</v>
      </c>
      <c r="D5" s="314" t="str">
        <f>VLOOKUP(C5,Machined!C:X,2,0)</f>
        <v>Driven Conveyor Roller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45497</v>
      </c>
      <c r="K5" s="44">
        <f>IF(VLOOKUP($C5,Machined!C:Z,19,0) = 0, " ", VLOOKUP($C5,Machined!C:Z,19,0))</f>
        <v>45497</v>
      </c>
      <c r="L5" s="44">
        <f>IF(VLOOKUP($C5,Machined!C:Z,20,0) = 0, " ", VLOOKUP($C5,Machined!C:Z,20,0))</f>
        <v>45532</v>
      </c>
      <c r="M5" s="44">
        <f>IF(VLOOKUP($C5,Machined!C:Z,21,0) = 0, " ", VLOOKUP($C5,Machined!C:Z,21,0))</f>
        <v>45532</v>
      </c>
      <c r="N5" s="129">
        <f>IF(VLOOKUP($C5,Machined!C:Z,22,0) = 0, " ", VLOOKUP($C5,Machined!C:Z,22,0))</f>
        <v>55631</v>
      </c>
      <c r="O5" s="45">
        <f t="shared" ref="O5:O7" ca="1" si="0">B5*$L$2</f>
        <v>1</v>
      </c>
      <c r="P5" s="49">
        <f>VLOOKUP(C5,Machined!C:F,3,0)</f>
        <v>538.88</v>
      </c>
      <c r="Q5" s="50">
        <f t="shared" ref="Q5:Q7" si="1">B5*P5</f>
        <v>538.88</v>
      </c>
    </row>
    <row r="6" spans="1:17" s="2" customFormat="1" ht="12.75" customHeight="1" x14ac:dyDescent="0.25">
      <c r="A6" s="77">
        <v>2</v>
      </c>
      <c r="B6" s="20">
        <v>2</v>
      </c>
      <c r="C6" s="121" t="s">
        <v>1387</v>
      </c>
      <c r="D6" s="314" t="str">
        <f>VLOOKUP(C6,Machined!C:X,2,0)</f>
        <v>Driven Roller Stub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Frontier Mach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45495</v>
      </c>
      <c r="K6" s="44">
        <f>IF(VLOOKUP($C6,Machined!C:Z,19,0) = 0, " ", VLOOKUP($C6,Machined!C:Z,19,0))</f>
        <v>45504</v>
      </c>
      <c r="L6" s="44">
        <f>IF(VLOOKUP($C6,Machined!C:Z,20,0) = 0, " ", VLOOKUP($C6,Machined!C:Z,20,0))</f>
        <v>45534</v>
      </c>
      <c r="M6" s="44">
        <f>IF(VLOOKUP($C6,Machined!C:Z,21,0) = 0, " ", VLOOKUP($C6,Machined!C:Z,21,0))</f>
        <v>45534</v>
      </c>
      <c r="N6" s="129">
        <f>IF(VLOOKUP($C6,Machined!C:Z,22,0) = 0, " ", VLOOKUP($C6,Machined!C:Z,22,0))</f>
        <v>55641</v>
      </c>
      <c r="O6" s="45">
        <f t="shared" ref="O6" ca="1" si="2">B6*$L$2</f>
        <v>2</v>
      </c>
      <c r="P6" s="49">
        <f>VLOOKUP(C6,Machined!C:F,3,0)</f>
        <v>91.85</v>
      </c>
      <c r="Q6" s="50">
        <f t="shared" ref="Q6" si="3">B6*P6</f>
        <v>183.7</v>
      </c>
    </row>
    <row r="7" spans="1:17" s="2" customFormat="1" ht="12.75" customHeight="1" x14ac:dyDescent="0.25">
      <c r="A7" s="77" t="s">
        <v>626</v>
      </c>
      <c r="B7" s="20">
        <v>8</v>
      </c>
      <c r="C7" s="121" t="s">
        <v>1388</v>
      </c>
      <c r="D7" s="314" t="str">
        <f>VLOOKUP(C7,Machined!C:X,2,0)</f>
        <v>Modified MCM 90510A245_Fully Threaded T-Slot Nut</v>
      </c>
      <c r="E7" s="329"/>
      <c r="F7" s="107" t="str">
        <f>VLOOKUP($C7,Machined!C:Z,13,0)</f>
        <v>PURCHASED</v>
      </c>
      <c r="G7" s="44" t="str">
        <f>IF(VLOOKUP($C7,Machined!C:Z,16,0) = 0, " ", VLOOKUP($C7,Machined!C:Z,16,0))</f>
        <v>NULINE</v>
      </c>
      <c r="H7" s="320" t="str">
        <f>IF(VLOOKUP($C7,Machined!C:Z,17,0) = 0, " ", VLOOKUP($C7,Machined!C:Z,17,0))</f>
        <v>Mat'l PO 55765</v>
      </c>
      <c r="I7" s="321" t="str">
        <f>IF(VLOOKUP($C7,Machined!$C:$Y,13,0) = 0, " ", VLOOKUP($C7,Machined!$C:$Y,13,0))</f>
        <v>PURCHASED</v>
      </c>
      <c r="J7" s="44" t="str">
        <f>IF(VLOOKUP($C7,Machined!C:Z,18,0) = 0, " ", VLOOKUP($C7,Machined!C:Z,18,0))</f>
        <v xml:space="preserve"> </v>
      </c>
      <c r="K7" s="44" t="str">
        <f>IF(VLOOKUP($C7,Machined!C:Z,19,0) = 0, " ", VLOOKUP($C7,Machined!C:Z,19,0))</f>
        <v xml:space="preserve"> </v>
      </c>
      <c r="L7" s="44" t="str">
        <f>IF(VLOOKUP($C7,Machined!C:Z,20,0) = 0, " ", VLOOKUP($C7,Machined!C:Z,20,0))</f>
        <v xml:space="preserve"> </v>
      </c>
      <c r="M7" s="44" t="str">
        <f>IF(VLOOKUP($C7,Machined!C:Z,21,0) = 0, " ", VLOOKUP($C7,Machined!C:Z,21,0))</f>
        <v xml:space="preserve"> </v>
      </c>
      <c r="N7" s="129" t="str">
        <f>IF(VLOOKUP($C7,Machined!C:Z,22,0) = 0, " ", VLOOKUP($C7,Machined!C:Z,22,0))</f>
        <v xml:space="preserve"> </v>
      </c>
      <c r="O7" s="45">
        <f t="shared" ca="1" si="0"/>
        <v>8</v>
      </c>
      <c r="P7" s="49">
        <f>VLOOKUP(C7,Machined!C:F,3,0)</f>
        <v>0</v>
      </c>
      <c r="Q7" s="50">
        <f t="shared" si="1"/>
        <v>0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317</v>
      </c>
      <c r="D9" s="325" t="str">
        <f>VLOOKUP(C9,Purchased!A:B,2,0)</f>
        <v>Prod Num 77083035 30mm width sprocket</v>
      </c>
      <c r="E9" s="326"/>
      <c r="F9" s="108" t="str">
        <f>IF(VLOOKUP($C9,Purchased!A:Z,11,0) = 0, " ", VLOOKUP($C9,Purchased!A:Z,11,0))</f>
        <v>Gates</v>
      </c>
      <c r="G9" s="108" t="str">
        <f>IF(VLOOKUP($C9,Purchased!A:Z,12,0)=0, " ", VLOOKUP($C9,Purchased!A:Z,12,0))</f>
        <v>BDI</v>
      </c>
      <c r="H9" s="327" t="str">
        <f>IF(VLOOKUP($C9,Purchased!A:Z,13,0)=0, " ", VLOOKUP($C9,Purchased!A:Z,13,0))</f>
        <v>6 more PO 55766, Part #  1125656</v>
      </c>
      <c r="I9" s="328"/>
      <c r="J9" s="46">
        <f>IF(VLOOKUP($C9,Purchased!A:Z,14,0)=0, " ", VLOOKUP($C9,Purchased!A:Z,14,0))</f>
        <v>45456</v>
      </c>
      <c r="K9" s="46">
        <f>IF(VLOOKUP(C9,Purchased!A:R,14,0)=0, " ", VLOOKUP(C9,Purchased!A:R,14,0))</f>
        <v>45456</v>
      </c>
      <c r="L9" s="46">
        <f>IF(VLOOKUP(C9,Purchased!A:R,15,0)=0, " ", VLOOKUP(C9,Purchased!A:R,15,0))</f>
        <v>45456</v>
      </c>
      <c r="M9" s="46">
        <f>IF(VLOOKUP(C9,Purchased!A:R,16,0)=0, " ",VLOOKUP(C9,Purchased!A:R,16,0))</f>
        <v>45468</v>
      </c>
      <c r="N9" s="130">
        <f>IF(VLOOKUP(C9,Purchased!A:R,17,0)=0, " ", VLOOKUP(C9,Purchased!A:R,17,0))</f>
        <v>45468</v>
      </c>
      <c r="O9" s="47">
        <f t="shared" ref="O9:O13" ca="1" si="4">B9*$L$2</f>
        <v>1</v>
      </c>
      <c r="P9" s="51">
        <f>VLOOKUP(C9,Purchased!A:D,3,FALSE)</f>
        <v>93.8</v>
      </c>
      <c r="Q9" s="52">
        <f t="shared" ref="Q9:Q13" si="5">B9*P9</f>
        <v>93.8</v>
      </c>
    </row>
    <row r="10" spans="1:17" s="2" customFormat="1" ht="12" customHeight="1" x14ac:dyDescent="0.25">
      <c r="A10" s="4">
        <v>302</v>
      </c>
      <c r="B10" s="2">
        <v>1</v>
      </c>
      <c r="C10" s="135" t="s">
        <v>316</v>
      </c>
      <c r="D10" s="325" t="str">
        <f>VLOOKUP(C10,Purchased!A:B,2,0)</f>
        <v>Prod Num 95790014 80 tooth belt 30mm width</v>
      </c>
      <c r="E10" s="326"/>
      <c r="F10" s="108" t="str">
        <f>IF(VLOOKUP($C10,Purchased!A:Z,11,0) = 0, " ", VLOOKUP($C10,Purchased!A:Z,11,0))</f>
        <v>Gates</v>
      </c>
      <c r="G10" s="108" t="str">
        <f>IF(VLOOKUP($C10,Purchased!A:Z,12,0)=0, " ", VLOOKUP($C10,Purchased!A:Z,12,0))</f>
        <v>BDI</v>
      </c>
      <c r="H10" s="327" t="str">
        <f>IF(VLOOKUP($C10,Purchased!A:Z,13,0)=0, " ", VLOOKUP($C10,Purchased!A:Z,13,0))</f>
        <v>1 More PO 55766, Part #  20102497</v>
      </c>
      <c r="I10" s="328"/>
      <c r="J10" s="46">
        <f>IF(VLOOKUP($C10,Purchased!A:Z,14,0)=0, " ", VLOOKUP($C10,Purchased!A:Z,14,0))</f>
        <v>45456</v>
      </c>
      <c r="K10" s="46">
        <f>IF(VLOOKUP(C10,Purchased!A:R,14,0)=0, " ", VLOOKUP(C10,Purchased!A:R,14,0))</f>
        <v>45456</v>
      </c>
      <c r="L10" s="46">
        <f>IF(VLOOKUP(C10,Purchased!A:R,15,0)=0, " ", VLOOKUP(C10,Purchased!A:R,15,0))</f>
        <v>45456</v>
      </c>
      <c r="M10" s="46">
        <f>IF(VLOOKUP(C10,Purchased!A:R,16,0)=0, " ",VLOOKUP(C10,Purchased!A:R,16,0))</f>
        <v>45468</v>
      </c>
      <c r="N10" s="130">
        <f>IF(VLOOKUP(C10,Purchased!A:R,17,0)=0, " ", VLOOKUP(C10,Purchased!A:R,17,0))</f>
        <v>45468</v>
      </c>
      <c r="O10" s="47">
        <f t="shared" ca="1" si="4"/>
        <v>1</v>
      </c>
      <c r="P10" s="51">
        <f>VLOOKUP(C10,Purchased!A:D,3,FALSE)</f>
        <v>40.83</v>
      </c>
      <c r="Q10" s="52">
        <f t="shared" si="5"/>
        <v>40.83</v>
      </c>
    </row>
    <row r="11" spans="1:17" s="2" customFormat="1" ht="12" customHeight="1" x14ac:dyDescent="0.25">
      <c r="A11" s="4">
        <v>303</v>
      </c>
      <c r="B11" s="2">
        <v>0</v>
      </c>
      <c r="C11" s="135" t="s">
        <v>1389</v>
      </c>
      <c r="D11" s="325" t="str">
        <f>VLOOKUP(C11,Purchased!A:B,2,0)</f>
        <v>M10 Fully Threaded T-Slot Nut</v>
      </c>
      <c r="E11" s="326"/>
      <c r="F11" s="108" t="str">
        <f>IF(VLOOKUP($C11,Purchased!A:Z,11,0) = 0, " ", VLOOKUP($C11,Purchased!A:Z,11,0))</f>
        <v>Modified 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>This should have a NuLine PN GH</v>
      </c>
      <c r="I11" s="328"/>
      <c r="J11" s="46" t="str">
        <f>IF(VLOOKUP($C11,Purchased!A:Z,14,0)=0, " ", VLOOKUP($C11,Purchased!A:Z,14,0))</f>
        <v>N/A</v>
      </c>
      <c r="K11" s="46" t="str">
        <f>IF(VLOOKUP(C11,Purchased!A:R,14,0)=0, " ", VLOOKUP(C11,Purchased!A:R,14,0))</f>
        <v>N/A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4"/>
        <v>0</v>
      </c>
      <c r="P11" s="51">
        <f>VLOOKUP(C11,Purchased!A:D,3,FALSE)</f>
        <v>6.56</v>
      </c>
      <c r="Q11" s="52">
        <f t="shared" si="5"/>
        <v>0</v>
      </c>
    </row>
    <row r="12" spans="1:17" s="2" customFormat="1" ht="12" customHeight="1" x14ac:dyDescent="0.25">
      <c r="A12" s="4">
        <v>304</v>
      </c>
      <c r="B12" s="2">
        <v>1</v>
      </c>
      <c r="C12" s="135" t="s">
        <v>1390</v>
      </c>
      <c r="D12" s="325" t="str">
        <f>VLOOKUP(C12,Purchased!A:B,2,0)</f>
        <v>1" SHAFT 1610 Taper-Lock Bushing</v>
      </c>
      <c r="E12" s="326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45526</v>
      </c>
      <c r="K12" s="46">
        <f>IF(VLOOKUP(C12,Purchased!A:R,14,0)=0, " ", VLOOKUP(C12,Purchased!A:R,14,0))</f>
        <v>45526</v>
      </c>
      <c r="L12" s="46">
        <f>IF(VLOOKUP(C12,Purchased!A:R,15,0)=0, " ", VLOOKUP(C12,Purchased!A:R,15,0))</f>
        <v>45526</v>
      </c>
      <c r="M12" s="46" t="str">
        <f>IF(VLOOKUP(C12,Purchased!A:R,16,0)=0, " ",VLOOKUP(C12,Purchased!A:R,16,0))</f>
        <v xml:space="preserve"> </v>
      </c>
      <c r="N12" s="130" t="str">
        <f>IF(VLOOKUP(C12,Purchased!A:R,17,0)=0, " ", VLOOKUP(C12,Purchased!A:R,17,0))</f>
        <v xml:space="preserve"> </v>
      </c>
      <c r="O12" s="47">
        <f t="shared" ca="1" si="4"/>
        <v>1</v>
      </c>
      <c r="P12" s="51">
        <f>VLOOKUP(C12,Purchased!A:D,3,FALSE)</f>
        <v>36.5</v>
      </c>
      <c r="Q12" s="52">
        <f t="shared" si="5"/>
        <v>36.5</v>
      </c>
    </row>
    <row r="13" spans="1:17" s="2" customFormat="1" ht="12" customHeight="1" x14ac:dyDescent="0.25">
      <c r="A13" s="4">
        <v>305</v>
      </c>
      <c r="B13" s="2">
        <v>2</v>
      </c>
      <c r="C13" s="135" t="s">
        <v>1391</v>
      </c>
      <c r="D13" s="325" t="str">
        <f>VLOOKUP(C13,Purchased!A:B,2,0)</f>
        <v>Mounted Ball Bearing with Nickel-Plated Iron Housing</v>
      </c>
      <c r="E13" s="326"/>
      <c r="F13" s="108" t="str">
        <f>IF(VLOOKUP($C13,Purchased!A:Z,11,0) = 0, " ", VLOOKUP($C13,Purchased!A:Z,11,0))</f>
        <v>MCM</v>
      </c>
      <c r="G13" s="108" t="str">
        <f>IF(VLOOKUP($C13,Purchased!A:Z,12,0)=0, " ", VLOOKUP($C13,Purchased!A:Z,12,0))</f>
        <v>MCM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45526</v>
      </c>
      <c r="K13" s="46">
        <f>IF(VLOOKUP(C13,Purchased!A:R,14,0)=0, " ", VLOOKUP(C13,Purchased!A:R,14,0))</f>
        <v>45526</v>
      </c>
      <c r="L13" s="46">
        <f>IF(VLOOKUP(C13,Purchased!A:R,15,0)=0, " ", VLOOKUP(C13,Purchased!A:R,15,0))</f>
        <v>45526</v>
      </c>
      <c r="M13" s="46" t="str">
        <f>IF(VLOOKUP(C13,Purchased!A:R,16,0)=0, " ",VLOOKUP(C13,Purchased!A:R,16,0))</f>
        <v xml:space="preserve"> </v>
      </c>
      <c r="N13" s="130" t="str">
        <f>IF(VLOOKUP(C13,Purchased!A:R,17,0)=0, " ", VLOOKUP(C13,Purchased!A:R,17,0))</f>
        <v xml:space="preserve"> </v>
      </c>
      <c r="O13" s="47">
        <f t="shared" ca="1" si="4"/>
        <v>2</v>
      </c>
      <c r="P13" s="51">
        <f>VLOOKUP(C13,Purchased!A:D,3,FALSE)</f>
        <v>47.97</v>
      </c>
      <c r="Q13" s="52">
        <f t="shared" si="5"/>
        <v>95.94</v>
      </c>
    </row>
    <row r="14" spans="1:17" s="2" customFormat="1" ht="12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" customHeight="1" thickBot="1" x14ac:dyDescent="0.3">
      <c r="A15" s="4">
        <v>501</v>
      </c>
      <c r="B15" s="2">
        <v>8</v>
      </c>
      <c r="C15" s="122" t="s">
        <v>1392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ref="O15" ca="1" si="6">B15*$L$2</f>
        <v>8</v>
      </c>
      <c r="P15" s="51">
        <f>VLOOKUP(C15,Bolts!A:B,2,FALSE)</f>
        <v>0</v>
      </c>
      <c r="Q15" s="52">
        <f t="shared" ref="Q15" si="7">B15*P15</f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989.64999999999986</v>
      </c>
    </row>
  </sheetData>
  <mergeCells count="26">
    <mergeCell ref="D6:E6"/>
    <mergeCell ref="H6:I6"/>
    <mergeCell ref="D13:E13"/>
    <mergeCell ref="H13:I13"/>
    <mergeCell ref="D16:E16"/>
    <mergeCell ref="H16:I16"/>
    <mergeCell ref="D14:E14"/>
    <mergeCell ref="H14:I14"/>
    <mergeCell ref="D15:E15"/>
    <mergeCell ref="D10:E10"/>
    <mergeCell ref="H10:I10"/>
    <mergeCell ref="D11:E11"/>
    <mergeCell ref="H11:I11"/>
    <mergeCell ref="D12:E12"/>
    <mergeCell ref="H12:I12"/>
    <mergeCell ref="D8:E8"/>
    <mergeCell ref="H8:I8"/>
    <mergeCell ref="D9:E9"/>
    <mergeCell ref="H9:I9"/>
    <mergeCell ref="D7:E7"/>
    <mergeCell ref="H7:I7"/>
    <mergeCell ref="D5:E5"/>
    <mergeCell ref="H5:I5"/>
    <mergeCell ref="D1:E1"/>
    <mergeCell ref="D4:E4"/>
    <mergeCell ref="H4:I4"/>
  </mergeCells>
  <conditionalFormatting sqref="M8 M14:M15">
    <cfRule type="cellIs" dxfId="412" priority="11" stopIfTrue="1" operator="lessThanOrEqual">
      <formula>$L8</formula>
    </cfRule>
    <cfRule type="cellIs" dxfId="411" priority="12" operator="greaterThan">
      <formula>L8</formula>
    </cfRule>
  </conditionalFormatting>
  <conditionalFormatting sqref="M9">
    <cfRule type="cellIs" dxfId="410" priority="9" stopIfTrue="1" operator="lessThanOrEqual">
      <formula>$L9</formula>
    </cfRule>
    <cfRule type="cellIs" dxfId="409" priority="10" operator="greaterThan">
      <formula>L9</formula>
    </cfRule>
  </conditionalFormatting>
  <conditionalFormatting sqref="M10">
    <cfRule type="cellIs" dxfId="408" priority="7" stopIfTrue="1" operator="lessThanOrEqual">
      <formula>$L10</formula>
    </cfRule>
    <cfRule type="cellIs" dxfId="407" priority="8" operator="greaterThan">
      <formula>L10</formula>
    </cfRule>
  </conditionalFormatting>
  <conditionalFormatting sqref="M11">
    <cfRule type="cellIs" dxfId="406" priority="5" stopIfTrue="1" operator="lessThanOrEqual">
      <formula>$L11</formula>
    </cfRule>
    <cfRule type="cellIs" dxfId="405" priority="6" operator="greaterThan">
      <formula>L11</formula>
    </cfRule>
  </conditionalFormatting>
  <conditionalFormatting sqref="M12">
    <cfRule type="cellIs" dxfId="404" priority="3" stopIfTrue="1" operator="lessThanOrEqual">
      <formula>$L12</formula>
    </cfRule>
    <cfRule type="cellIs" dxfId="403" priority="4" operator="greaterThan">
      <formula>L12</formula>
    </cfRule>
  </conditionalFormatting>
  <conditionalFormatting sqref="M13">
    <cfRule type="cellIs" dxfId="402" priority="1" stopIfTrue="1" operator="lessThanOrEqual">
      <formula>$L13</formula>
    </cfRule>
    <cfRule type="cellIs" dxfId="401" priority="2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FC5BB3-74C2-46E2-9925-892DC4674510}">
          <x14:formula1>
            <xm:f>Bolts!$A:$A</xm:f>
          </x14:formula1>
          <xm:sqref>C14:C15</xm:sqref>
        </x14:dataValidation>
        <x14:dataValidation type="list" allowBlank="1" showInputMessage="1" showErrorMessage="1" xr:uid="{422EBDB7-170D-482B-B02C-7CD33B5D51A2}">
          <x14:formula1>
            <xm:f>Machined!$C:$C</xm:f>
          </x14:formula1>
          <xm:sqref>C5:C7</xm:sqref>
        </x14:dataValidation>
        <x14:dataValidation type="list" allowBlank="1" showInputMessage="1" showErrorMessage="1" xr:uid="{2D3CDC89-DCC6-4919-A4E7-BEA6C198AC3A}">
          <x14:formula1>
            <xm:f>Purchased!$A:$A</xm:f>
          </x14:formula1>
          <xm:sqref>C8:C13</xm:sqref>
        </x14:dataValidation>
      </x14:dataValidations>
    </ext>
  </extLst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5768B-31E8-4603-9303-DA5B937BDFDE}">
  <sheetPr codeName="Sheet226">
    <tabColor theme="6" tint="0.59999389629810485"/>
  </sheetPr>
  <dimension ref="A1:Q17"/>
  <sheetViews>
    <sheetView zoomScale="115" zoomScaleNormal="115" workbookViewId="0">
      <selection activeCell="E21" sqref="E2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0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'10.2'!C6</f>
        <v>PG10.10.2.2.0.A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'10.2'!D6</f>
        <v>Conveyor Drive Motor Assem</v>
      </c>
      <c r="D3" s="85" t="s">
        <v>50</v>
      </c>
      <c r="E3" s="86" t="str">
        <f ca="1">MID(CELL("filename",A1),FIND("]",CELL("filename",A1))+1,256)</f>
        <v>10.2.2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25">
      <c r="A4" s="90" t="s">
        <v>13</v>
      </c>
      <c r="B4" s="91" t="s">
        <v>14</v>
      </c>
      <c r="C4" s="91" t="s">
        <v>15</v>
      </c>
      <c r="D4" s="338" t="s">
        <v>16</v>
      </c>
      <c r="E4" s="338"/>
      <c r="F4" s="119" t="s">
        <v>17</v>
      </c>
      <c r="G4" s="91" t="s">
        <v>18</v>
      </c>
      <c r="H4" s="340" t="s">
        <v>19</v>
      </c>
      <c r="I4" s="340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1393</v>
      </c>
      <c r="D5" s="314" t="str">
        <f>VLOOKUP(C5,Machined!C:X,2,0)</f>
        <v>Conveyor Motor mount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45489</v>
      </c>
      <c r="K5" s="44">
        <f>IF(VLOOKUP($C5,Machined!C:Z,19,0) = 0, " ", VLOOKUP($C5,Machined!C:Z,19,0))</f>
        <v>45490</v>
      </c>
      <c r="L5" s="44">
        <f>IF(VLOOKUP($C5,Machined!C:Z,20,0) = 0, " ", VLOOKUP($C5,Machined!C:Z,20,0))</f>
        <v>45522</v>
      </c>
      <c r="M5" s="44">
        <f>IF(VLOOKUP($C5,Machined!C:Z,21,0) = 0, " ", VLOOKUP($C5,Machined!C:Z,21,0))</f>
        <v>45522</v>
      </c>
      <c r="N5" s="129">
        <f>IF(VLOOKUP($C5,Machined!C:Z,22,0) = 0, " ", VLOOKUP($C5,Machined!C:Z,22,0))</f>
        <v>55609</v>
      </c>
      <c r="O5" s="45">
        <f ca="1">B5*$L$2</f>
        <v>1</v>
      </c>
      <c r="P5" s="49">
        <f>VLOOKUP(C5,Machined!C:F,3,0)</f>
        <v>104</v>
      </c>
      <c r="Q5" s="50">
        <f>B5*P5</f>
        <v>104</v>
      </c>
    </row>
    <row r="6" spans="1:17" s="2" customFormat="1" ht="12.75" customHeight="1" x14ac:dyDescent="0.25">
      <c r="A6" s="77">
        <v>2</v>
      </c>
      <c r="B6" s="20">
        <v>2</v>
      </c>
      <c r="C6" s="121" t="s">
        <v>1394</v>
      </c>
      <c r="D6" s="314" t="str">
        <f>VLOOKUP(C6,Machined!C:X,2,0)</f>
        <v>Conveyor Motor Spacer</v>
      </c>
      <c r="E6" s="329"/>
      <c r="F6" s="107" t="str">
        <f>VLOOKUP($C6,Machined!C:Z,13,0)</f>
        <v>1018 COLD ROLLED STEEL</v>
      </c>
      <c r="G6" s="44" t="str">
        <f>IF(VLOOKUP($C6,Machined!C:Z,16,0) = 0, " ", VLOOKUP($C6,Machined!C:Z,16,0))</f>
        <v>Craig Miller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1018 COLD ROLLED STEEL</v>
      </c>
      <c r="J6" s="44">
        <f>IF(VLOOKUP($C6,Machined!C:Z,18,0) = 0, " ", VLOOKUP($C6,Machined!C:Z,18,0))</f>
        <v>45489</v>
      </c>
      <c r="K6" s="44">
        <f>IF(VLOOKUP($C6,Machined!C:Z,19,0) = 0, " ", VLOOKUP($C6,Machined!C:Z,19,0))</f>
        <v>45490</v>
      </c>
      <c r="L6" s="44">
        <f>IF(VLOOKUP($C6,Machined!C:Z,20,0) = 0, " ", VLOOKUP($C6,Machined!C:Z,20,0))</f>
        <v>45522</v>
      </c>
      <c r="M6" s="44">
        <f>IF(VLOOKUP($C6,Machined!C:Z,21,0) = 0, " ", VLOOKUP($C6,Machined!C:Z,21,0))</f>
        <v>45522</v>
      </c>
      <c r="N6" s="129">
        <f>IF(VLOOKUP($C6,Machined!C:Z,22,0) = 0, " ", VLOOKUP($C6,Machined!C:Z,22,0))</f>
        <v>55609</v>
      </c>
      <c r="O6" s="45">
        <f ca="1">B6*$L$2</f>
        <v>2</v>
      </c>
      <c r="P6" s="49">
        <f>VLOOKUP(C6,Machined!C:F,3,0)</f>
        <v>87.75</v>
      </c>
      <c r="Q6" s="50">
        <f>B6*P6</f>
        <v>175.5</v>
      </c>
    </row>
    <row r="7" spans="1:17" s="2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x14ac:dyDescent="0.25">
      <c r="A8" s="4">
        <v>301</v>
      </c>
      <c r="B8" s="2">
        <v>1</v>
      </c>
      <c r="C8" s="135" t="s">
        <v>317</v>
      </c>
      <c r="D8" s="325" t="str">
        <f>VLOOKUP(C8,Purchased!A:B,2,0)</f>
        <v>Prod Num 77083035 30mm width sprocket</v>
      </c>
      <c r="E8" s="326"/>
      <c r="F8" s="108" t="str">
        <f>IF(VLOOKUP($C8,Purchased!A:Z,11,0) = 0, " ", VLOOKUP($C8,Purchased!A:Z,11,0))</f>
        <v>Gates</v>
      </c>
      <c r="G8" s="108" t="str">
        <f>IF(VLOOKUP($C8,Purchased!A:Z,12,0)=0, " ", VLOOKUP($C8,Purchased!A:Z,12,0))</f>
        <v>BDI</v>
      </c>
      <c r="H8" s="327" t="str">
        <f>IF(VLOOKUP($C8,Purchased!A:Z,13,0)=0, " ", VLOOKUP($C8,Purchased!A:Z,13,0))</f>
        <v>6 more PO 55766, Part #  1125656</v>
      </c>
      <c r="I8" s="328"/>
      <c r="J8" s="46">
        <f>IF(VLOOKUP($C8,Purchased!A:Z,14,0)=0, " ", VLOOKUP($C8,Purchased!A:Z,14,0))</f>
        <v>45456</v>
      </c>
      <c r="K8" s="46">
        <f>IF(VLOOKUP(C8,Purchased!A:R,14,0)=0, " ", VLOOKUP(C8,Purchased!A:R,14,0))</f>
        <v>45456</v>
      </c>
      <c r="L8" s="46">
        <f>IF(VLOOKUP(C8,Purchased!A:R,15,0)=0, " ", VLOOKUP(C8,Purchased!A:R,15,0))</f>
        <v>45456</v>
      </c>
      <c r="M8" s="46">
        <f>IF(VLOOKUP(C8,Purchased!A:R,16,0)=0, " ",VLOOKUP(C8,Purchased!A:R,16,0))</f>
        <v>45468</v>
      </c>
      <c r="N8" s="130">
        <f>IF(VLOOKUP(C8,Purchased!A:R,17,0)=0, " ", VLOOKUP(C8,Purchased!A:R,17,0))</f>
        <v>45468</v>
      </c>
      <c r="O8" s="47">
        <f t="shared" ref="O8:O11" ca="1" si="0">B8*$L$2</f>
        <v>1</v>
      </c>
      <c r="P8" s="51">
        <f>VLOOKUP(C8,Purchased!A:D,3,FALSE)</f>
        <v>93.8</v>
      </c>
      <c r="Q8" s="52">
        <f t="shared" ref="Q8:Q11" si="1">B8*P8</f>
        <v>93.8</v>
      </c>
    </row>
    <row r="9" spans="1:17" s="2" customFormat="1" ht="12" customHeight="1" x14ac:dyDescent="0.25">
      <c r="A9" s="4">
        <v>302</v>
      </c>
      <c r="B9" s="2">
        <v>1</v>
      </c>
      <c r="C9" s="135" t="s">
        <v>1395</v>
      </c>
      <c r="D9" s="325" t="str">
        <f>VLOOKUP(C9,Purchased!A:B,2,0)</f>
        <v>P431SPSS0080EZ502U Gearmotor, Retracting Belt Drive</v>
      </c>
      <c r="E9" s="326"/>
      <c r="F9" s="108" t="str">
        <f>IF(VLOOKUP($C9,Purchased!A:Z,11,0) = 0, " ", VLOOKUP($C9,Purchased!A:Z,11,0))</f>
        <v>Stober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45426</v>
      </c>
      <c r="K9" s="46">
        <f>IF(VLOOKUP(C9,Purchased!A:R,14,0)=0, " ", VLOOKUP(C9,Purchased!A:R,14,0))</f>
        <v>45426</v>
      </c>
      <c r="L9" s="46">
        <f>IF(VLOOKUP(C9,Purchased!A:R,15,0)=0, " ", VLOOKUP(C9,Purchased!A:R,15,0))</f>
        <v>45426</v>
      </c>
      <c r="M9" s="46">
        <f>IF(VLOOKUP(C9,Purchased!A:R,16,0)=0, " ",VLOOKUP(C9,Purchased!A:R,16,0))</f>
        <v>45524</v>
      </c>
      <c r="N9" s="130">
        <f>IF(VLOOKUP(C9,Purchased!A:R,17,0)=0, " ", VLOOKUP(C9,Purchased!A:R,17,0))</f>
        <v>45524</v>
      </c>
      <c r="O9" s="47">
        <f t="shared" ca="1" si="0"/>
        <v>1</v>
      </c>
      <c r="P9" s="51">
        <f>VLOOKUP(C9,Purchased!A:D,3,FALSE)</f>
        <v>3063.0720000000001</v>
      </c>
      <c r="Q9" s="52">
        <f t="shared" si="1"/>
        <v>3063.0720000000001</v>
      </c>
    </row>
    <row r="10" spans="1:17" s="2" customFormat="1" ht="12" customHeight="1" x14ac:dyDescent="0.25">
      <c r="A10" s="4">
        <v>303</v>
      </c>
      <c r="B10" s="2">
        <v>1</v>
      </c>
      <c r="C10" s="135" t="s">
        <v>1396</v>
      </c>
      <c r="D10" s="325" t="str">
        <f>VLOOKUP(C10,Purchased!A:B,2,0)</f>
        <v>22mm Shaft 1610 Taper-Lock Bushing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45526</v>
      </c>
      <c r="K10" s="46">
        <f>IF(VLOOKUP(C10,Purchased!A:R,14,0)=0, " ", VLOOKUP(C10,Purchased!A:R,14,0))</f>
        <v>45526</v>
      </c>
      <c r="L10" s="46">
        <f>IF(VLOOKUP(C10,Purchased!A:R,15,0)=0, " ", VLOOKUP(C10,Purchased!A:R,15,0))</f>
        <v>45526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t="shared" ca="1" si="0"/>
        <v>1</v>
      </c>
      <c r="P10" s="51">
        <f>VLOOKUP(C10,Purchased!A:D,3,FALSE)</f>
        <v>38.36</v>
      </c>
      <c r="Q10" s="52">
        <f t="shared" si="1"/>
        <v>38.36</v>
      </c>
    </row>
    <row r="11" spans="1:17" s="2" customFormat="1" ht="12" customHeight="1" x14ac:dyDescent="0.25">
      <c r="A11" s="4">
        <v>304</v>
      </c>
      <c r="B11" s="2">
        <v>4</v>
      </c>
      <c r="C11" s="135" t="s">
        <v>1198</v>
      </c>
      <c r="D11" s="325" t="str">
        <f>VLOOKUP(C11,Purchased!A:B,2,0)</f>
        <v>Zinc-Plated Steel Oversized Washer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45526</v>
      </c>
      <c r="K11" s="46">
        <f>IF(VLOOKUP(C11,Purchased!A:R,14,0)=0, " ", VLOOKUP(C11,Purchased!A:R,14,0))</f>
        <v>45526</v>
      </c>
      <c r="L11" s="46">
        <f>IF(VLOOKUP(C11,Purchased!A:R,15,0)=0, " ", VLOOKUP(C11,Purchased!A:R,15,0))</f>
        <v>45526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0"/>
        <v>4</v>
      </c>
      <c r="P11" s="51">
        <f>VLOOKUP(C11,Purchased!A:D,3,FALSE)</f>
        <v>13.66</v>
      </c>
      <c r="Q11" s="52">
        <f t="shared" si="1"/>
        <v>54.64</v>
      </c>
    </row>
    <row r="12" spans="1:17" s="2" customFormat="1" ht="12" customHeight="1" x14ac:dyDescent="0.25">
      <c r="A12" s="4">
        <v>305</v>
      </c>
      <c r="B12" s="2">
        <v>1</v>
      </c>
      <c r="C12" s="135" t="s">
        <v>307</v>
      </c>
      <c r="D12" s="325" t="str">
        <f>VLOOKUP(C12,Purchased!A:B,2,0)</f>
        <v>STOBER - Power cable -56876, 15MTR</v>
      </c>
      <c r="E12" s="326"/>
      <c r="F12" s="108" t="str">
        <f>IF(VLOOKUP($C12,Purchased!A:Z,11,0) = 0, " ", VLOOKUP($C12,Purchased!A:Z,11,0))</f>
        <v>STOBER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45463</v>
      </c>
      <c r="K12" s="46">
        <f>IF(VLOOKUP(C12,Purchased!A:R,14,0)=0, " ", VLOOKUP(C12,Purchased!A:R,14,0))</f>
        <v>45463</v>
      </c>
      <c r="L12" s="46">
        <f>IF(VLOOKUP(C12,Purchased!A:R,15,0)=0, " ", VLOOKUP(C12,Purchased!A:R,15,0))</f>
        <v>45464</v>
      </c>
      <c r="M12" s="46">
        <f>IF(VLOOKUP(C12,Purchased!A:R,16,0)=0, " ",VLOOKUP(C12,Purchased!A:R,16,0))</f>
        <v>45532</v>
      </c>
      <c r="N12" s="130">
        <f>IF(VLOOKUP(C12,Purchased!A:R,17,0)=0, " ", VLOOKUP(C12,Purchased!A:R,17,0))</f>
        <v>45532</v>
      </c>
      <c r="O12" s="47">
        <f t="shared" ref="O12:O13" ca="1" si="2">B12*$L$2</f>
        <v>1</v>
      </c>
      <c r="P12" s="51">
        <f>VLOOKUP(C12,Purchased!A:D,3,FALSE)</f>
        <v>325.7473</v>
      </c>
      <c r="Q12" s="52">
        <f t="shared" ref="Q12:Q13" si="3">B12*P12</f>
        <v>325.7473</v>
      </c>
    </row>
    <row r="13" spans="1:17" s="2" customFormat="1" ht="12" customHeight="1" x14ac:dyDescent="0.25">
      <c r="A13" s="4">
        <v>306</v>
      </c>
      <c r="B13" s="2">
        <v>1</v>
      </c>
      <c r="C13" s="135" t="s">
        <v>308</v>
      </c>
      <c r="D13" s="325" t="str">
        <f>VLOOKUP(C13,Purchased!A:B,2,0)</f>
        <v>STOBER - Encoder cable -57815, 15MTR</v>
      </c>
      <c r="E13" s="326"/>
      <c r="F13" s="108" t="str">
        <f>IF(VLOOKUP($C13,Purchased!A:Z,11,0) = 0, " ", VLOOKUP($C13,Purchased!A:Z,11,0))</f>
        <v>STOBER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45463</v>
      </c>
      <c r="K13" s="46">
        <f>IF(VLOOKUP(C13,Purchased!A:R,14,0)=0, " ", VLOOKUP(C13,Purchased!A:R,14,0))</f>
        <v>45463</v>
      </c>
      <c r="L13" s="46">
        <f>IF(VLOOKUP(C13,Purchased!A:R,15,0)=0, " ", VLOOKUP(C13,Purchased!A:R,15,0))</f>
        <v>45464</v>
      </c>
      <c r="M13" s="46">
        <f>IF(VLOOKUP(C13,Purchased!A:R,16,0)=0, " ",VLOOKUP(C13,Purchased!A:R,16,0))</f>
        <v>45532</v>
      </c>
      <c r="N13" s="130">
        <f>IF(VLOOKUP(C13,Purchased!A:R,17,0)=0, " ", VLOOKUP(C13,Purchased!A:R,17,0))</f>
        <v>45532</v>
      </c>
      <c r="O13" s="47">
        <f t="shared" ca="1" si="2"/>
        <v>1</v>
      </c>
      <c r="P13" s="51">
        <f>VLOOKUP(C13,Purchased!A:D,3,FALSE)</f>
        <v>340.1893</v>
      </c>
      <c r="Q13" s="52">
        <f t="shared" si="3"/>
        <v>340.1893</v>
      </c>
    </row>
    <row r="14" spans="1:17" s="2" customFormat="1" ht="12" customHeight="1" x14ac:dyDescent="0.25">
      <c r="A14" s="25"/>
      <c r="B14" s="26"/>
      <c r="C14" s="26"/>
      <c r="D14" s="332"/>
      <c r="E14" s="333"/>
      <c r="F14" s="26"/>
      <c r="G14" s="26"/>
      <c r="H14" s="322"/>
      <c r="I14" s="323"/>
      <c r="J14" s="27"/>
      <c r="K14" s="27"/>
      <c r="L14" s="27"/>
      <c r="M14" s="28"/>
      <c r="N14" s="29"/>
      <c r="O14" s="29"/>
      <c r="P14" s="148"/>
      <c r="Q14" s="149"/>
    </row>
    <row r="15" spans="1:17" s="2" customFormat="1" ht="12" customHeight="1" x14ac:dyDescent="0.25">
      <c r="A15" s="4">
        <v>501</v>
      </c>
      <c r="B15" s="2">
        <v>4</v>
      </c>
      <c r="C15" s="122" t="s">
        <v>180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ca="1">B15*$L$2</f>
        <v>4</v>
      </c>
      <c r="P15" s="51">
        <f>VLOOKUP(C15,Bolts!A:B,2,FALSE)</f>
        <v>0</v>
      </c>
      <c r="Q15" s="52">
        <f>B15*P15</f>
        <v>0</v>
      </c>
    </row>
    <row r="16" spans="1:17" s="2" customFormat="1" ht="12" customHeight="1" thickBot="1" x14ac:dyDescent="0.3">
      <c r="A16" s="4">
        <v>502</v>
      </c>
      <c r="B16" s="2">
        <v>8</v>
      </c>
      <c r="C16" s="122" t="s">
        <v>872</v>
      </c>
      <c r="D16" s="325"/>
      <c r="E16" s="326"/>
      <c r="F16" s="108">
        <f>VLOOKUP(C16,Bolts!A:L,5,0)</f>
        <v>0</v>
      </c>
      <c r="G16" s="108">
        <f>VLOOKUP(C16,Bolts!A:L,6,0)</f>
        <v>0</v>
      </c>
      <c r="H16" s="108">
        <f>VLOOKUP(C16,Bolts!A:L,7,0)</f>
        <v>0</v>
      </c>
      <c r="I16" s="109"/>
      <c r="J16" s="46">
        <f>VLOOKUP(C16,Bolts!A:L,8,0)</f>
        <v>0</v>
      </c>
      <c r="K16" s="46">
        <f>VLOOKUP(C16,Bolts!A:L,9,0)</f>
        <v>0</v>
      </c>
      <c r="L16" s="46">
        <f>VLOOKUP(C16,Bolts!A:L,10,0)</f>
        <v>0</v>
      </c>
      <c r="M16" s="46">
        <f>VLOOKUP(C16,Bolts!A:L,11,0)</f>
        <v>0</v>
      </c>
      <c r="N16" s="130">
        <f>VLOOKUP(C16,Bolts!A:L,12,0)</f>
        <v>0</v>
      </c>
      <c r="O16" s="47">
        <f t="shared" ref="O16" ca="1" si="4">B16*$L$2</f>
        <v>8</v>
      </c>
      <c r="P16" s="51">
        <f>VLOOKUP(C16,Bolts!A:B,2,FALSE)</f>
        <v>0</v>
      </c>
      <c r="Q16" s="52">
        <f t="shared" ref="Q16" si="5">B16*P16</f>
        <v>0</v>
      </c>
    </row>
    <row r="17" spans="1:17" s="2" customFormat="1" ht="12" customHeight="1" thickBot="1" x14ac:dyDescent="0.3">
      <c r="A17" s="34"/>
      <c r="B17" s="35"/>
      <c r="C17" s="35"/>
      <c r="D17" s="316"/>
      <c r="E17" s="317"/>
      <c r="F17" s="35"/>
      <c r="G17" s="35"/>
      <c r="H17" s="309"/>
      <c r="I17" s="310"/>
      <c r="J17" s="36"/>
      <c r="K17" s="36"/>
      <c r="L17" s="36"/>
      <c r="M17" s="37"/>
      <c r="N17" s="132"/>
      <c r="O17" s="38"/>
      <c r="P17" s="99" t="s">
        <v>43</v>
      </c>
      <c r="Q17" s="104">
        <f>SUM(Q5:Q16)</f>
        <v>4195.3086000000003</v>
      </c>
    </row>
  </sheetData>
  <mergeCells count="27">
    <mergeCell ref="D12:E12"/>
    <mergeCell ref="H12:I12"/>
    <mergeCell ref="D13:E13"/>
    <mergeCell ref="H13:I13"/>
    <mergeCell ref="D17:E17"/>
    <mergeCell ref="H17:I17"/>
    <mergeCell ref="D14:E14"/>
    <mergeCell ref="H14:I14"/>
    <mergeCell ref="D16:E16"/>
    <mergeCell ref="D15:E15"/>
    <mergeCell ref="D9:E9"/>
    <mergeCell ref="H9:I9"/>
    <mergeCell ref="D10:E10"/>
    <mergeCell ref="H10:I10"/>
    <mergeCell ref="D11:E11"/>
    <mergeCell ref="H11:I11"/>
    <mergeCell ref="D7:E7"/>
    <mergeCell ref="H7:I7"/>
    <mergeCell ref="D8:E8"/>
    <mergeCell ref="H8:I8"/>
    <mergeCell ref="D6:E6"/>
    <mergeCell ref="H6:I6"/>
    <mergeCell ref="D5:E5"/>
    <mergeCell ref="H5:I5"/>
    <mergeCell ref="D1:E1"/>
    <mergeCell ref="D4:E4"/>
    <mergeCell ref="H4:I4"/>
  </mergeCells>
  <conditionalFormatting sqref="M7 M14:M16">
    <cfRule type="cellIs" dxfId="400" priority="9" stopIfTrue="1" operator="lessThanOrEqual">
      <formula>$L7</formula>
    </cfRule>
    <cfRule type="cellIs" dxfId="399" priority="10" operator="greaterThan">
      <formula>L7</formula>
    </cfRule>
  </conditionalFormatting>
  <conditionalFormatting sqref="M8:M13">
    <cfRule type="cellIs" dxfId="398" priority="1" stopIfTrue="1" operator="lessThanOrEqual">
      <formula>$L8</formula>
    </cfRule>
    <cfRule type="cellIs" dxfId="397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52A9821-AFC5-4CDC-9E4E-E46A3B47DB8A}">
          <x14:formula1>
            <xm:f>Bolts!$A:$A</xm:f>
          </x14:formula1>
          <xm:sqref>C14:C16</xm:sqref>
        </x14:dataValidation>
        <x14:dataValidation type="list" allowBlank="1" showInputMessage="1" showErrorMessage="1" xr:uid="{63E190EF-B2CE-42D3-87C7-010248F2E2CC}">
          <x14:formula1>
            <xm:f>Machined!$C:$C</xm:f>
          </x14:formula1>
          <xm:sqref>C5:C6</xm:sqref>
        </x14:dataValidation>
        <x14:dataValidation type="list" allowBlank="1" showInputMessage="1" showErrorMessage="1" xr:uid="{6A79157C-9233-412B-8E6B-554CCB95B892}">
          <x14:formula1>
            <xm:f>Purchased!$A:$A</xm:f>
          </x14:formula1>
          <xm:sqref>C7:C13</xm:sqref>
        </x14:dataValidation>
      </x14:dataValidations>
    </ext>
  </extLst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61801-1D7D-48DF-A43C-515F8FF14FCF}">
  <sheetPr codeName="Sheet227">
    <tabColor theme="6" tint="0.59999389629810485"/>
  </sheetPr>
  <dimension ref="A1:Q16"/>
  <sheetViews>
    <sheetView zoomScale="107" zoomScaleNormal="107" workbookViewId="0">
      <selection activeCell="C22" sqref="C2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'10.2'!C7</f>
        <v>PG10.10.2.3.0.A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'10.2'!D7</f>
        <v>Retracting Motor Assem</v>
      </c>
      <c r="D3" s="85" t="s">
        <v>50</v>
      </c>
      <c r="E3" s="86" t="str">
        <f ca="1">MID(CELL("filename",A1),FIND("]",CELL("filename",A1))+1,256)</f>
        <v>10.2.3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1397</v>
      </c>
      <c r="D5" s="314" t="str">
        <f>VLOOKUP(C5,Machined!C:X,2,0)</f>
        <v>Retraction Motor Mount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45489</v>
      </c>
      <c r="K5" s="44">
        <f>IF(VLOOKUP($C5,Machined!C:Z,19,0) = 0, " ", VLOOKUP($C5,Machined!C:Z,19,0))</f>
        <v>45490</v>
      </c>
      <c r="L5" s="44">
        <f>IF(VLOOKUP($C5,Machined!C:Z,20,0) = 0, " ", VLOOKUP($C5,Machined!C:Z,20,0))</f>
        <v>45522</v>
      </c>
      <c r="M5" s="44">
        <f>IF(VLOOKUP($C5,Machined!C:Z,21,0) = 0, " ", VLOOKUP($C5,Machined!C:Z,21,0))</f>
        <v>45522</v>
      </c>
      <c r="N5" s="129">
        <f>IF(VLOOKUP($C5,Machined!C:Z,22,0) = 0, " ", VLOOKUP($C5,Machined!C:Z,22,0))</f>
        <v>55609</v>
      </c>
      <c r="O5" s="45">
        <f t="shared" ref="O5" ca="1" si="0">B5*$L$2</f>
        <v>1</v>
      </c>
      <c r="P5" s="49">
        <f>VLOOKUP(C5,Machined!C:F,3,0)</f>
        <v>375</v>
      </c>
      <c r="Q5" s="50">
        <f t="shared" ref="Q5" si="1">B5*P5</f>
        <v>375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1398</v>
      </c>
      <c r="D7" s="325" t="str">
        <f>VLOOKUP(C7,Purchased!A:B,2,0)</f>
        <v>1/4NPT Low-Pressure Pipe Fitting</v>
      </c>
      <c r="E7" s="326"/>
      <c r="F7" s="108" t="str">
        <f>IF(VLOOKUP($C7,Purchased!A:Z,11,0) = 0, " ", VLOOKUP($C7,Purchased!A:Z,11,0))</f>
        <v>MCM</v>
      </c>
      <c r="G7" s="108" t="str">
        <f>IF(VLOOKUP($C7,Purchased!A:Z,12,0)=0, " ", VLOOKUP($C7,Purchased!A:Z,12,0))</f>
        <v>MCM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45526</v>
      </c>
      <c r="K7" s="46">
        <f>IF(VLOOKUP(C7,Purchased!A:R,14,0)=0, " ", VLOOKUP(C7,Purchased!A:R,14,0))</f>
        <v>45526</v>
      </c>
      <c r="L7" s="46">
        <f>IF(VLOOKUP(C7,Purchased!A:R,15,0)=0, " ", VLOOKUP(C7,Purchased!A:R,15,0))</f>
        <v>45526</v>
      </c>
      <c r="M7" s="46" t="str">
        <f>IF(VLOOKUP(C7,Purchased!A:R,16,0)=0, " ",VLOOKUP(C7,Purchased!A:R,16,0))</f>
        <v xml:space="preserve"> </v>
      </c>
      <c r="N7" s="130" t="str">
        <f>IF(VLOOKUP(C7,Purchased!A:R,17,0)=0, " ", VLOOKUP(C7,Purchased!A:R,17,0))</f>
        <v xml:space="preserve"> </v>
      </c>
      <c r="O7" s="47">
        <f t="shared" ref="O7:O12" ca="1" si="2">B7*$L$2</f>
        <v>2</v>
      </c>
      <c r="P7" s="51">
        <f>VLOOKUP(C7,Purchased!A:D,3,FALSE)</f>
        <v>0.26</v>
      </c>
      <c r="Q7" s="52">
        <f t="shared" ref="Q7:Q12" si="3">B7*P7</f>
        <v>0.52</v>
      </c>
    </row>
    <row r="8" spans="1:17" s="2" customFormat="1" ht="12" customHeight="1" x14ac:dyDescent="0.25">
      <c r="A8" s="4">
        <v>302</v>
      </c>
      <c r="B8" s="2">
        <v>2</v>
      </c>
      <c r="C8" s="135" t="s">
        <v>1399</v>
      </c>
      <c r="D8" s="325" t="str">
        <f>VLOOKUP(C8,Purchased!A:B,2,0)</f>
        <v>Metal-Detectable Flexible Shaft Coupling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ca="1" si="2"/>
        <v>2</v>
      </c>
      <c r="P8" s="51">
        <f>VLOOKUP(C8,Purchased!A:D,3,FALSE)</f>
        <v>138.21</v>
      </c>
      <c r="Q8" s="52">
        <f t="shared" si="3"/>
        <v>276.42</v>
      </c>
    </row>
    <row r="9" spans="1:17" s="2" customFormat="1" ht="12" customHeight="1" x14ac:dyDescent="0.25">
      <c r="A9" s="4">
        <v>303</v>
      </c>
      <c r="B9" s="2">
        <v>1</v>
      </c>
      <c r="C9" s="135" t="s">
        <v>1400</v>
      </c>
      <c r="D9" s="325" t="str">
        <f>VLOOKUP(C9,Purchased!A:B,2,0)</f>
        <v>Hytrel Rubber Spider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45526</v>
      </c>
      <c r="K9" s="46">
        <f>IF(VLOOKUP(C9,Purchased!A:R,14,0)=0, " ", VLOOKUP(C9,Purchased!A:R,14,0))</f>
        <v>45526</v>
      </c>
      <c r="L9" s="46">
        <f>IF(VLOOKUP(C9,Purchased!A:R,15,0)=0, " ", VLOOKUP(C9,Purchased!A:R,15,0))</f>
        <v>45526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t="shared" ca="1" si="2"/>
        <v>1</v>
      </c>
      <c r="P9" s="51">
        <f>VLOOKUP(C9,Purchased!A:D,3,FALSE)</f>
        <v>114.58</v>
      </c>
      <c r="Q9" s="52">
        <f t="shared" si="3"/>
        <v>114.58</v>
      </c>
    </row>
    <row r="10" spans="1:17" s="2" customFormat="1" ht="12" customHeight="1" x14ac:dyDescent="0.25">
      <c r="A10" s="4">
        <v>304</v>
      </c>
      <c r="B10" s="2">
        <v>1</v>
      </c>
      <c r="C10" s="135" t="s">
        <v>1401</v>
      </c>
      <c r="D10" s="325" t="str">
        <f>VLOOKUP(C10,Purchased!A:B,2,0)</f>
        <v>Stober P431SPSS0070EZ501U Gearmotor, Delivery Retractor</v>
      </c>
      <c r="E10" s="326"/>
      <c r="F10" s="108" t="str">
        <f>IF(VLOOKUP($C10,Purchased!A:Z,11,0) = 0, " ", VLOOKUP($C10,Purchased!A:Z,11,0))</f>
        <v>Stober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45426</v>
      </c>
      <c r="K10" s="46">
        <f>IF(VLOOKUP(C10,Purchased!A:R,14,0)=0, " ", VLOOKUP(C10,Purchased!A:R,14,0))</f>
        <v>45426</v>
      </c>
      <c r="L10" s="46">
        <f>IF(VLOOKUP(C10,Purchased!A:R,15,0)=0, " ", VLOOKUP(C10,Purchased!A:R,15,0))</f>
        <v>45426</v>
      </c>
      <c r="M10" s="46">
        <f>IF(VLOOKUP(C10,Purchased!A:R,16,0)=0, " ",VLOOKUP(C10,Purchased!A:R,16,0))</f>
        <v>45524</v>
      </c>
      <c r="N10" s="130">
        <f>IF(VLOOKUP(C10,Purchased!A:R,17,0)=0, " ", VLOOKUP(C10,Purchased!A:R,17,0))</f>
        <v>45524</v>
      </c>
      <c r="O10" s="47">
        <f t="shared" ca="1" si="2"/>
        <v>1</v>
      </c>
      <c r="P10" s="51">
        <f>VLOOKUP(C10,Purchased!A:D,3,FALSE)</f>
        <v>2887.2514000000001</v>
      </c>
      <c r="Q10" s="52">
        <f t="shared" si="3"/>
        <v>2887.2514000000001</v>
      </c>
    </row>
    <row r="11" spans="1:17" s="2" customFormat="1" ht="12" customHeight="1" x14ac:dyDescent="0.25">
      <c r="A11" s="4">
        <v>305</v>
      </c>
      <c r="B11" s="2">
        <v>1</v>
      </c>
      <c r="C11" s="135" t="s">
        <v>307</v>
      </c>
      <c r="D11" s="325" t="str">
        <f>VLOOKUP(C11,Purchased!A:B,2,0)</f>
        <v>STOBER - Power cable -56876, 15MTR</v>
      </c>
      <c r="E11" s="326"/>
      <c r="F11" s="108" t="str">
        <f>IF(VLOOKUP($C11,Purchased!A:Z,11,0) = 0, " ", VLOOKUP($C11,Purchased!A:Z,11,0))</f>
        <v>STOBER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45463</v>
      </c>
      <c r="K11" s="46">
        <f>IF(VLOOKUP(C11,Purchased!A:R,14,0)=0, " ", VLOOKUP(C11,Purchased!A:R,14,0))</f>
        <v>45463</v>
      </c>
      <c r="L11" s="46">
        <f>IF(VLOOKUP(C11,Purchased!A:R,15,0)=0, " ", VLOOKUP(C11,Purchased!A:R,15,0))</f>
        <v>45464</v>
      </c>
      <c r="M11" s="46">
        <f>IF(VLOOKUP(C11,Purchased!A:R,16,0)=0, " ",VLOOKUP(C11,Purchased!A:R,16,0))</f>
        <v>45532</v>
      </c>
      <c r="N11" s="130">
        <f>IF(VLOOKUP(C11,Purchased!A:R,17,0)=0, " ", VLOOKUP(C11,Purchased!A:R,17,0))</f>
        <v>45532</v>
      </c>
      <c r="O11" s="47">
        <f t="shared" ca="1" si="2"/>
        <v>1</v>
      </c>
      <c r="P11" s="51">
        <f>VLOOKUP(C11,Purchased!A:D,3,FALSE)</f>
        <v>325.7473</v>
      </c>
      <c r="Q11" s="52">
        <f t="shared" si="3"/>
        <v>325.7473</v>
      </c>
    </row>
    <row r="12" spans="1:17" s="2" customFormat="1" ht="12" customHeight="1" x14ac:dyDescent="0.25">
      <c r="A12" s="4">
        <v>306</v>
      </c>
      <c r="B12" s="2">
        <v>1</v>
      </c>
      <c r="C12" s="135" t="s">
        <v>308</v>
      </c>
      <c r="D12" s="325" t="str">
        <f>VLOOKUP(C12,Purchased!A:B,2,0)</f>
        <v>STOBER - Encoder cable -57815, 15MTR</v>
      </c>
      <c r="E12" s="326"/>
      <c r="F12" s="108" t="str">
        <f>IF(VLOOKUP($C12,Purchased!A:Z,11,0) = 0, " ", VLOOKUP($C12,Purchased!A:Z,11,0))</f>
        <v>STOBER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45463</v>
      </c>
      <c r="K12" s="46">
        <f>IF(VLOOKUP(C12,Purchased!A:R,14,0)=0, " ", VLOOKUP(C12,Purchased!A:R,14,0))</f>
        <v>45463</v>
      </c>
      <c r="L12" s="46">
        <f>IF(VLOOKUP(C12,Purchased!A:R,15,0)=0, " ", VLOOKUP(C12,Purchased!A:R,15,0))</f>
        <v>45464</v>
      </c>
      <c r="M12" s="46">
        <f>IF(VLOOKUP(C12,Purchased!A:R,16,0)=0, " ",VLOOKUP(C12,Purchased!A:R,16,0))</f>
        <v>45532</v>
      </c>
      <c r="N12" s="130">
        <f>IF(VLOOKUP(C12,Purchased!A:R,17,0)=0, " ", VLOOKUP(C12,Purchased!A:R,17,0))</f>
        <v>45532</v>
      </c>
      <c r="O12" s="47">
        <f t="shared" ca="1" si="2"/>
        <v>1</v>
      </c>
      <c r="P12" s="51">
        <f>VLOOKUP(C12,Purchased!A:D,3,FALSE)</f>
        <v>340.1893</v>
      </c>
      <c r="Q12" s="52">
        <f t="shared" si="3"/>
        <v>340.1893</v>
      </c>
    </row>
    <row r="13" spans="1:17" s="2" customFormat="1" ht="12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" customHeight="1" x14ac:dyDescent="0.25">
      <c r="A14" s="4">
        <v>501</v>
      </c>
      <c r="B14" s="2">
        <v>4</v>
      </c>
      <c r="C14" s="122" t="s">
        <v>660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t="shared" ref="O14:O15" ca="1" si="4">B14*$L$2</f>
        <v>4</v>
      </c>
      <c r="P14" s="51">
        <f>VLOOKUP(C14,Bolts!A:B,2,FALSE)</f>
        <v>0</v>
      </c>
      <c r="Q14" s="52">
        <f t="shared" ref="Q14:Q15" si="5">B14*P14</f>
        <v>0</v>
      </c>
    </row>
    <row r="15" spans="1:17" s="2" customFormat="1" ht="12" customHeight="1" thickBot="1" x14ac:dyDescent="0.3">
      <c r="A15" s="4">
        <v>502</v>
      </c>
      <c r="B15" s="2">
        <v>4</v>
      </c>
      <c r="C15" s="122" t="s">
        <v>1402</v>
      </c>
      <c r="D15" s="325"/>
      <c r="E15" s="326"/>
      <c r="F15" s="108">
        <f>VLOOKUP(C15,Bolts!A:L,5,0)</f>
        <v>0</v>
      </c>
      <c r="G15" s="108">
        <f>VLOOKUP(C15,Bolts!A:L,6,0)</f>
        <v>0</v>
      </c>
      <c r="H15" s="108">
        <f>VLOOKUP(C15,Bolts!A:L,7,0)</f>
        <v>0</v>
      </c>
      <c r="I15" s="109"/>
      <c r="J15" s="46">
        <f>VLOOKUP(C15,Bolts!A:L,8,0)</f>
        <v>0</v>
      </c>
      <c r="K15" s="46">
        <f>VLOOKUP(C15,Bolts!A:L,9,0)</f>
        <v>0</v>
      </c>
      <c r="L15" s="46">
        <f>VLOOKUP(C15,Bolts!A:L,10,0)</f>
        <v>0</v>
      </c>
      <c r="M15" s="46">
        <f>VLOOKUP(C15,Bolts!A:L,11,0)</f>
        <v>0</v>
      </c>
      <c r="N15" s="130">
        <f>VLOOKUP(C15,Bolts!A:L,12,0)</f>
        <v>0</v>
      </c>
      <c r="O15" s="47">
        <f t="shared" ca="1" si="4"/>
        <v>4</v>
      </c>
      <c r="P15" s="51">
        <f>VLOOKUP(C15,Bolts!A:B,2,FALSE)</f>
        <v>0</v>
      </c>
      <c r="Q15" s="52">
        <f t="shared" si="5"/>
        <v>0</v>
      </c>
    </row>
    <row r="16" spans="1:17" s="2" customFormat="1" ht="12" customHeight="1" thickBot="1" x14ac:dyDescent="0.3">
      <c r="A16" s="34"/>
      <c r="B16" s="35"/>
      <c r="C16" s="35"/>
      <c r="D16" s="316"/>
      <c r="E16" s="317"/>
      <c r="F16" s="35"/>
      <c r="G16" s="35"/>
      <c r="H16" s="309"/>
      <c r="I16" s="310"/>
      <c r="J16" s="36"/>
      <c r="K16" s="36"/>
      <c r="L16" s="36"/>
      <c r="M16" s="37"/>
      <c r="N16" s="132"/>
      <c r="O16" s="38"/>
      <c r="P16" s="99" t="s">
        <v>43</v>
      </c>
      <c r="Q16" s="104">
        <f>SUM(Q5:Q15)</f>
        <v>4319.7080000000005</v>
      </c>
    </row>
  </sheetData>
  <mergeCells count="25">
    <mergeCell ref="D9:E9"/>
    <mergeCell ref="H9:I9"/>
    <mergeCell ref="D10:E10"/>
    <mergeCell ref="H10:I10"/>
    <mergeCell ref="D16:E16"/>
    <mergeCell ref="H16:I16"/>
    <mergeCell ref="D13:E13"/>
    <mergeCell ref="H13:I13"/>
    <mergeCell ref="D14:E14"/>
    <mergeCell ref="D15:E15"/>
    <mergeCell ref="D11:E11"/>
    <mergeCell ref="H11:I11"/>
    <mergeCell ref="D12:E12"/>
    <mergeCell ref="H12:I12"/>
    <mergeCell ref="D7:E7"/>
    <mergeCell ref="H7:I7"/>
    <mergeCell ref="D5:E5"/>
    <mergeCell ref="H5:I5"/>
    <mergeCell ref="D8:E8"/>
    <mergeCell ref="H8:I8"/>
    <mergeCell ref="D1:E1"/>
    <mergeCell ref="D4:E4"/>
    <mergeCell ref="H4:I4"/>
    <mergeCell ref="D6:E6"/>
    <mergeCell ref="H6:I6"/>
  </mergeCells>
  <conditionalFormatting sqref="M6 M13:M15">
    <cfRule type="cellIs" dxfId="396" priority="11" stopIfTrue="1" operator="lessThanOrEqual">
      <formula>$L6</formula>
    </cfRule>
    <cfRule type="cellIs" dxfId="395" priority="12" operator="greaterThan">
      <formula>L6</formula>
    </cfRule>
  </conditionalFormatting>
  <conditionalFormatting sqref="M7">
    <cfRule type="cellIs" dxfId="394" priority="9" stopIfTrue="1" operator="lessThanOrEqual">
      <formula>$L7</formula>
    </cfRule>
    <cfRule type="cellIs" dxfId="393" priority="10" operator="greaterThan">
      <formula>L7</formula>
    </cfRule>
  </conditionalFormatting>
  <conditionalFormatting sqref="M8">
    <cfRule type="cellIs" dxfId="392" priority="7" stopIfTrue="1" operator="lessThanOrEqual">
      <formula>$L8</formula>
    </cfRule>
    <cfRule type="cellIs" dxfId="391" priority="8" operator="greaterThan">
      <formula>L8</formula>
    </cfRule>
  </conditionalFormatting>
  <conditionalFormatting sqref="M9">
    <cfRule type="cellIs" dxfId="390" priority="5" stopIfTrue="1" operator="lessThanOrEqual">
      <formula>$L9</formula>
    </cfRule>
    <cfRule type="cellIs" dxfId="389" priority="6" operator="greaterThan">
      <formula>L9</formula>
    </cfRule>
  </conditionalFormatting>
  <conditionalFormatting sqref="M10">
    <cfRule type="cellIs" dxfId="388" priority="3" stopIfTrue="1" operator="lessThanOrEqual">
      <formula>$L10</formula>
    </cfRule>
    <cfRule type="cellIs" dxfId="387" priority="4" operator="greaterThan">
      <formula>L10</formula>
    </cfRule>
  </conditionalFormatting>
  <conditionalFormatting sqref="M11:M12">
    <cfRule type="cellIs" dxfId="386" priority="1" stopIfTrue="1" operator="lessThanOrEqual">
      <formula>$L11</formula>
    </cfRule>
    <cfRule type="cellIs" dxfId="385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4F38CFD-63F3-4DBA-B1A1-AA224EAEF2E5}">
          <x14:formula1>
            <xm:f>Bolts!$A:$A</xm:f>
          </x14:formula1>
          <xm:sqref>C13:C15</xm:sqref>
        </x14:dataValidation>
        <x14:dataValidation type="list" allowBlank="1" showInputMessage="1" showErrorMessage="1" xr:uid="{8D7D3A3C-6986-4449-B107-D0BAE4B425E9}">
          <x14:formula1>
            <xm:f>Machined!$C:$C</xm:f>
          </x14:formula1>
          <xm:sqref>C5</xm:sqref>
        </x14:dataValidation>
        <x14:dataValidation type="list" allowBlank="1" showInputMessage="1" showErrorMessage="1" xr:uid="{229D7B22-031C-420D-A534-65DC9E0C29B3}">
          <x14:formula1>
            <xm:f>Purchased!$A:$A</xm:f>
          </x14:formula1>
          <xm:sqref>C6:C12</xm:sqref>
        </x14:dataValidation>
      </x14:dataValidations>
    </ext>
  </extLst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6A6E1-D246-4BCD-B0CE-6792DA299C93}">
  <sheetPr codeName="Sheet228">
    <tabColor theme="6" tint="0.59999389629810485"/>
  </sheetPr>
  <dimension ref="A1:Q14"/>
  <sheetViews>
    <sheetView zoomScale="115" zoomScaleNormal="115" workbookViewId="0">
      <selection activeCell="C18" sqref="C18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'10.2'!C8</f>
        <v>PG10.10.2.4.0.A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'10.2'!D8</f>
        <v>Retracting Belt Tensioner</v>
      </c>
      <c r="D3" s="85" t="s">
        <v>50</v>
      </c>
      <c r="E3" s="86" t="str">
        <f ca="1">MID(CELL("filename",A1),FIND("]",CELL("filename",A1))+1,256)</f>
        <v>10.2.4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77">
        <v>1</v>
      </c>
      <c r="B5" s="20">
        <v>1</v>
      </c>
      <c r="C5" s="121" t="s">
        <v>3822</v>
      </c>
      <c r="D5" s="314" t="str">
        <f>VLOOKUP(C5,Machined!C:X,2,0)</f>
        <v>Retracting Belt Tensioner Rotary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Nuline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303 TG&amp;P, Round Stock, -0.0005</v>
      </c>
      <c r="J5" s="44" t="str">
        <f>IF(VLOOKUP($C5,Machined!C:Z,18,0) = 0, " ", VLOOKUP($C5,Machined!C:Z,18,0))</f>
        <v xml:space="preserve"> </v>
      </c>
      <c r="K5" s="44" t="str">
        <f>IF(VLOOKUP($C5,Machined!C:Z,19,0) = 0, " ", VLOOKUP($C5,Machined!C:Z,19,0))</f>
        <v xml:space="preserve"> </v>
      </c>
      <c r="L5" s="44" t="str">
        <f>IF(VLOOKUP($C5,Machined!C:Z,20,0) = 0, " ", VLOOKUP($C5,Machined!C:Z,20,0))</f>
        <v xml:space="preserve"> </v>
      </c>
      <c r="M5" s="44" t="str">
        <f>IF(VLOOKUP($C5,Machined!C:Z,21,0) = 0, " ", VLOOKUP($C5,Machined!C:Z,21,0))</f>
        <v xml:space="preserve"> </v>
      </c>
      <c r="N5" s="129" t="str">
        <f>IF(VLOOKUP($C5,Machined!C:Z,22,0) = 0, " ", VLOOKUP($C5,Machined!C:Z,22,0))</f>
        <v xml:space="preserve"> </v>
      </c>
      <c r="O5" s="45">
        <f ca="1">B5*$L$2</f>
        <v>1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317</v>
      </c>
      <c r="D7" s="325" t="str">
        <f>VLOOKUP(C7,Purchased!A:B,2,0)</f>
        <v>Prod Num 77083035 30mm width sprocket</v>
      </c>
      <c r="E7" s="326"/>
      <c r="F7" s="108" t="str">
        <f>IF(VLOOKUP($C7,Purchased!A:Z,11,0) = 0, " ", VLOOKUP($C7,Purchased!A:Z,11,0))</f>
        <v>Gates</v>
      </c>
      <c r="G7" s="108" t="str">
        <f>IF(VLOOKUP($C7,Purchased!A:Z,12,0)=0, " ", VLOOKUP($C7,Purchased!A:Z,12,0))</f>
        <v>BDI</v>
      </c>
      <c r="H7" s="327" t="str">
        <f>IF(VLOOKUP($C7,Purchased!A:Z,13,0)=0, " ", VLOOKUP($C7,Purchased!A:Z,13,0))</f>
        <v>6 more PO 55766, Part #  1125656</v>
      </c>
      <c r="I7" s="328"/>
      <c r="J7" s="46">
        <f>IF(VLOOKUP($C7,Purchased!A:Z,14,0)=0, " ", VLOOKUP($C7,Purchased!A:Z,14,0))</f>
        <v>45456</v>
      </c>
      <c r="K7" s="46">
        <f>IF(VLOOKUP(C7,Purchased!A:R,14,0)=0, " ", VLOOKUP(C7,Purchased!A:R,14,0))</f>
        <v>45456</v>
      </c>
      <c r="L7" s="46">
        <f>IF(VLOOKUP(C7,Purchased!A:R,15,0)=0, " ", VLOOKUP(C7,Purchased!A:R,15,0))</f>
        <v>45456</v>
      </c>
      <c r="M7" s="46">
        <f>IF(VLOOKUP(C7,Purchased!A:R,16,0)=0, " ",VLOOKUP(C7,Purchased!A:R,16,0))</f>
        <v>45468</v>
      </c>
      <c r="N7" s="130">
        <f>IF(VLOOKUP(C7,Purchased!A:R,17,0)=0, " ", VLOOKUP(C7,Purchased!A:R,17,0))</f>
        <v>45468</v>
      </c>
      <c r="O7" s="47">
        <f t="shared" ref="O7:O11" ca="1" si="0">B7*$L$2</f>
        <v>2</v>
      </c>
      <c r="P7" s="51">
        <f>VLOOKUP(C7,Purchased!A:D,3,FALSE)</f>
        <v>93.8</v>
      </c>
      <c r="Q7" s="52">
        <f t="shared" ref="Q7:Q11" si="1">B7*P7</f>
        <v>187.6</v>
      </c>
    </row>
    <row r="8" spans="1:17" s="2" customFormat="1" ht="12" customHeight="1" x14ac:dyDescent="0.25">
      <c r="A8" s="4">
        <v>302</v>
      </c>
      <c r="B8" s="2">
        <v>2</v>
      </c>
      <c r="C8" s="135" t="s">
        <v>1390</v>
      </c>
      <c r="D8" s="325" t="str">
        <f>VLOOKUP(C8,Purchased!A:B,2,0)</f>
        <v>1" SHAFT 1610 Taper-Lock Bushing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ca="1" si="0"/>
        <v>2</v>
      </c>
      <c r="P8" s="51">
        <f>VLOOKUP(C8,Purchased!A:D,3,FALSE)</f>
        <v>36.5</v>
      </c>
      <c r="Q8" s="52">
        <f t="shared" si="1"/>
        <v>73</v>
      </c>
    </row>
    <row r="9" spans="1:17" s="2" customFormat="1" ht="12" customHeight="1" x14ac:dyDescent="0.25">
      <c r="A9" s="4">
        <v>303</v>
      </c>
      <c r="B9" s="2">
        <v>2</v>
      </c>
      <c r="C9" s="135" t="s">
        <v>1391</v>
      </c>
      <c r="D9" s="325" t="str">
        <f>VLOOKUP(C9,Purchased!A:B,2,0)</f>
        <v>Mounted Ball Bearing with Nickel-Plated Iron Housing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45526</v>
      </c>
      <c r="K9" s="46">
        <f>IF(VLOOKUP(C9,Purchased!A:R,14,0)=0, " ", VLOOKUP(C9,Purchased!A:R,14,0))</f>
        <v>45526</v>
      </c>
      <c r="L9" s="46">
        <f>IF(VLOOKUP(C9,Purchased!A:R,15,0)=0, " ", VLOOKUP(C9,Purchased!A:R,15,0))</f>
        <v>45526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t="shared" ca="1" si="0"/>
        <v>2</v>
      </c>
      <c r="P9" s="51">
        <f>VLOOKUP(C9,Purchased!A:D,3,FALSE)</f>
        <v>47.97</v>
      </c>
      <c r="Q9" s="52">
        <f t="shared" si="1"/>
        <v>95.94</v>
      </c>
    </row>
    <row r="10" spans="1:17" s="2" customFormat="1" ht="12" customHeight="1" x14ac:dyDescent="0.25">
      <c r="A10" s="4">
        <v>304</v>
      </c>
      <c r="B10" s="2">
        <v>0</v>
      </c>
      <c r="C10" s="135" t="s">
        <v>1389</v>
      </c>
      <c r="D10" s="325" t="str">
        <f>VLOOKUP(C10,Purchased!A:B,2,0)</f>
        <v>M10 Fully Threaded T-Slot Nut</v>
      </c>
      <c r="E10" s="326"/>
      <c r="F10" s="108" t="str">
        <f>IF(VLOOKUP($C10,Purchased!A:Z,11,0) = 0, " ", VLOOKUP($C10,Purchased!A:Z,11,0))</f>
        <v>Modified 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>This should have a NuLine PN GH</v>
      </c>
      <c r="I10" s="328"/>
      <c r="J10" s="46" t="str">
        <f>IF(VLOOKUP($C10,Purchased!A:Z,14,0)=0, " ", VLOOKUP($C10,Purchased!A:Z,14,0))</f>
        <v>N/A</v>
      </c>
      <c r="K10" s="46" t="str">
        <f>IF(VLOOKUP(C10,Purchased!A:R,14,0)=0, " ", VLOOKUP(C10,Purchased!A:R,14,0))</f>
        <v>N/A</v>
      </c>
      <c r="L10" s="46" t="str">
        <f>IF(VLOOKUP(C10,Purchased!A:R,15,0)=0, " ", VLOOKUP(C10,Purchased!A:R,15,0))</f>
        <v xml:space="preserve"> 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ca="1">B10*$L$2</f>
        <v>0</v>
      </c>
      <c r="P10" s="51">
        <f>VLOOKUP(C10,Purchased!A:D,3,FALSE)</f>
        <v>6.56</v>
      </c>
      <c r="Q10" s="52">
        <f>B10*P10</f>
        <v>0</v>
      </c>
    </row>
    <row r="11" spans="1:17" s="2" customFormat="1" ht="12" customHeight="1" x14ac:dyDescent="0.25">
      <c r="A11" s="4">
        <v>305</v>
      </c>
      <c r="B11" s="2">
        <v>1</v>
      </c>
      <c r="C11" s="135" t="s">
        <v>3818</v>
      </c>
      <c r="D11" s="325" t="str">
        <f>VLOOKUP(C11,Purchased!A:B,2,0)</f>
        <v>Rounded Machine Key 1/4IN X 1.25IN OVERSIZED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 t="str">
        <f>IF(VLOOKUP($C11,Purchased!A:Z,14,0)=0, " ", VLOOKUP($C11,Purchased!A:Z,14,0))</f>
        <v xml:space="preserve"> </v>
      </c>
      <c r="K11" s="46" t="str">
        <f>IF(VLOOKUP(C11,Purchased!A:R,14,0)=0, " ", VLOOKUP(C11,Purchased!A:R,14,0))</f>
        <v xml:space="preserve"> </v>
      </c>
      <c r="L11" s="46" t="str">
        <f>IF(VLOOKUP(C11,Purchased!A:R,15,0)=0, " ", VLOOKUP(C11,Purchased!A:R,15,0))</f>
        <v xml:space="preserve"> 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t="shared" ca="1" si="0"/>
        <v>1</v>
      </c>
      <c r="P11" s="51">
        <f>VLOOKUP(C11,Purchased!A:D,3,FALSE)</f>
        <v>13.93</v>
      </c>
      <c r="Q11" s="52">
        <f t="shared" si="1"/>
        <v>13.93</v>
      </c>
    </row>
    <row r="12" spans="1:17" s="2" customFormat="1" ht="12" customHeight="1" x14ac:dyDescent="0.25">
      <c r="A12" s="25"/>
      <c r="B12" s="26"/>
      <c r="C12" s="26"/>
      <c r="D12" s="332"/>
      <c r="E12" s="333"/>
      <c r="F12" s="26"/>
      <c r="G12" s="26"/>
      <c r="H12" s="322"/>
      <c r="I12" s="323"/>
      <c r="J12" s="27"/>
      <c r="K12" s="27"/>
      <c r="L12" s="27"/>
      <c r="M12" s="28"/>
      <c r="N12" s="29"/>
      <c r="O12" s="29"/>
      <c r="P12" s="148"/>
      <c r="Q12" s="149"/>
    </row>
    <row r="13" spans="1:17" s="2" customFormat="1" ht="12" customHeight="1" thickBot="1" x14ac:dyDescent="0.3">
      <c r="A13" s="4">
        <v>501</v>
      </c>
      <c r="B13" s="2">
        <v>8</v>
      </c>
      <c r="C13" s="122" t="s">
        <v>1392</v>
      </c>
      <c r="D13" s="325"/>
      <c r="E13" s="326"/>
      <c r="F13" s="108">
        <f>VLOOKUP(C13,Bolts!A:L,5,0)</f>
        <v>0</v>
      </c>
      <c r="G13" s="108">
        <f>VLOOKUP(C13,Bolts!A:L,6,0)</f>
        <v>0</v>
      </c>
      <c r="H13" s="108">
        <f>VLOOKUP(C13,Bolts!A:L,7,0)</f>
        <v>0</v>
      </c>
      <c r="I13" s="109"/>
      <c r="J13" s="46">
        <f>VLOOKUP(C13,Bolts!A:L,8,0)</f>
        <v>0</v>
      </c>
      <c r="K13" s="46">
        <f>VLOOKUP(C13,Bolts!A:L,9,0)</f>
        <v>0</v>
      </c>
      <c r="L13" s="46">
        <f>VLOOKUP(C13,Bolts!A:L,10,0)</f>
        <v>0</v>
      </c>
      <c r="M13" s="46">
        <f>VLOOKUP(C13,Bolts!A:L,11,0)</f>
        <v>0</v>
      </c>
      <c r="N13" s="130">
        <f>VLOOKUP(C13,Bolts!A:L,12,0)</f>
        <v>0</v>
      </c>
      <c r="O13" s="47">
        <f t="shared" ref="O13" ca="1" si="2">B13*$L$2</f>
        <v>8</v>
      </c>
      <c r="P13" s="51">
        <f>VLOOKUP(C13,Bolts!A:B,2,FALSE)</f>
        <v>0</v>
      </c>
      <c r="Q13" s="52">
        <f t="shared" ref="Q13" si="3">B13*P13</f>
        <v>0</v>
      </c>
    </row>
    <row r="14" spans="1:17" s="2" customFormat="1" ht="12" customHeight="1" thickBot="1" x14ac:dyDescent="0.3">
      <c r="A14" s="34"/>
      <c r="B14" s="35"/>
      <c r="C14" s="35"/>
      <c r="D14" s="316"/>
      <c r="E14" s="317"/>
      <c r="F14" s="35"/>
      <c r="G14" s="35"/>
      <c r="H14" s="309"/>
      <c r="I14" s="310"/>
      <c r="J14" s="36"/>
      <c r="K14" s="36"/>
      <c r="L14" s="36"/>
      <c r="M14" s="37"/>
      <c r="N14" s="132"/>
      <c r="O14" s="38"/>
      <c r="P14" s="99" t="s">
        <v>43</v>
      </c>
      <c r="Q14" s="104">
        <f>SUM(Q5:Q13)</f>
        <v>370.47</v>
      </c>
    </row>
  </sheetData>
  <mergeCells count="22">
    <mergeCell ref="D14:E14"/>
    <mergeCell ref="H14:I14"/>
    <mergeCell ref="D12:E12"/>
    <mergeCell ref="H12:I12"/>
    <mergeCell ref="D13:E13"/>
    <mergeCell ref="D8:E8"/>
    <mergeCell ref="H8:I8"/>
    <mergeCell ref="D9:E9"/>
    <mergeCell ref="H9:I9"/>
    <mergeCell ref="D11:E11"/>
    <mergeCell ref="H11:I11"/>
    <mergeCell ref="D10:E10"/>
    <mergeCell ref="H10:I10"/>
    <mergeCell ref="D7:E7"/>
    <mergeCell ref="H7:I7"/>
    <mergeCell ref="D1:E1"/>
    <mergeCell ref="D4:E4"/>
    <mergeCell ref="H4:I4"/>
    <mergeCell ref="D5:E5"/>
    <mergeCell ref="H5:I5"/>
    <mergeCell ref="D6:E6"/>
    <mergeCell ref="H6:I6"/>
  </mergeCells>
  <conditionalFormatting sqref="M6 M12:M13">
    <cfRule type="cellIs" dxfId="384" priority="9" stopIfTrue="1" operator="lessThanOrEqual">
      <formula>$L6</formula>
    </cfRule>
    <cfRule type="cellIs" dxfId="383" priority="10" operator="greaterThan">
      <formula>L6</formula>
    </cfRule>
  </conditionalFormatting>
  <conditionalFormatting sqref="M7">
    <cfRule type="cellIs" dxfId="382" priority="7" stopIfTrue="1" operator="lessThanOrEqual">
      <formula>$L7</formula>
    </cfRule>
    <cfRule type="cellIs" dxfId="381" priority="8" operator="greaterThan">
      <formula>L7</formula>
    </cfRule>
  </conditionalFormatting>
  <conditionalFormatting sqref="M8">
    <cfRule type="cellIs" dxfId="380" priority="5" stopIfTrue="1" operator="lessThanOrEqual">
      <formula>$L8</formula>
    </cfRule>
    <cfRule type="cellIs" dxfId="379" priority="6" operator="greaterThan">
      <formula>L8</formula>
    </cfRule>
  </conditionalFormatting>
  <conditionalFormatting sqref="M9">
    <cfRule type="cellIs" dxfId="378" priority="3" stopIfTrue="1" operator="lessThanOrEqual">
      <formula>$L9</formula>
    </cfRule>
    <cfRule type="cellIs" dxfId="377" priority="4" operator="greaterThan">
      <formula>L9</formula>
    </cfRule>
  </conditionalFormatting>
  <conditionalFormatting sqref="M10:M11">
    <cfRule type="cellIs" dxfId="376" priority="1" stopIfTrue="1" operator="lessThanOrEqual">
      <formula>$L10</formula>
    </cfRule>
    <cfRule type="cellIs" dxfId="375" priority="2" operator="greaterThan">
      <formula>L10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D6EBEEB-B85A-49CD-A1B4-C4DB9F3A5E09}">
          <x14:formula1>
            <xm:f>Bolts!$A:$A</xm:f>
          </x14:formula1>
          <xm:sqref>C12:C13</xm:sqref>
        </x14:dataValidation>
        <x14:dataValidation type="list" allowBlank="1" showInputMessage="1" showErrorMessage="1" xr:uid="{FA18887C-1625-46E7-9D14-349511822302}">
          <x14:formula1>
            <xm:f>Machined!$C:$C</xm:f>
          </x14:formula1>
          <xm:sqref>C5</xm:sqref>
        </x14:dataValidation>
        <x14:dataValidation type="list" allowBlank="1" showInputMessage="1" showErrorMessage="1" xr:uid="{B106424F-3BB1-41DC-8C38-AE8C694431EE}">
          <x14:formula1>
            <xm:f>Purchased!$A:$A</xm:f>
          </x14:formula1>
          <xm:sqref>C6:C11</xm:sqref>
        </x14:dataValidation>
      </x14:dataValidations>
    </ext>
  </extLst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D55E1-E9AA-4B3F-91E4-A06119E7A9DE}">
  <sheetPr codeName="Sheet229">
    <tabColor theme="6" tint="0.59999389629810485"/>
  </sheetPr>
  <dimension ref="A1:Q9"/>
  <sheetViews>
    <sheetView zoomScale="114" zoomScaleNormal="115" workbookViewId="0">
      <selection activeCell="N5" sqref="N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'10.2'!C9</f>
        <v>PG10.10.2.5.0.A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'10.2'!D9</f>
        <v>Idler Conveyor Roller Unguided Assy</v>
      </c>
      <c r="D3" s="85" t="s">
        <v>50</v>
      </c>
      <c r="E3" s="86" t="str">
        <f ca="1">MID(CELL("filename",A1),FIND("]",CELL("filename",A1))+1,256)</f>
        <v>10.2.5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1403</v>
      </c>
      <c r="D5" s="314" t="str">
        <f>VLOOKUP(C5,Machined!C:X,2,0)</f>
        <v>Idler Conveyor Roller Unguided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>NEED TO UPDATE P/N IN QB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45497</v>
      </c>
      <c r="K5" s="44">
        <f>IF(VLOOKUP($C5,Machined!C:Z,19,0) = 0, " ", VLOOKUP($C5,Machined!C:Z,19,0))</f>
        <v>45497</v>
      </c>
      <c r="L5" s="44">
        <f>IF(VLOOKUP($C5,Machined!C:Z,20,0) = 0, " ", VLOOKUP($C5,Machined!C:Z,20,0))</f>
        <v>45532</v>
      </c>
      <c r="M5" s="44">
        <f>IF(VLOOKUP($C5,Machined!C:Z,21,0) = 0, " ", VLOOKUP($C5,Machined!C:Z,21,0))</f>
        <v>45532</v>
      </c>
      <c r="N5" s="129">
        <f>IF(VLOOKUP($C5,Machined!C:Z,22,0) = 0, " ", VLOOKUP($C5,Machined!C:Z,22,0))</f>
        <v>55631</v>
      </c>
      <c r="O5" s="45">
        <f t="shared" ref="O5:O6" ca="1" si="0">B5*$L$2</f>
        <v>1</v>
      </c>
      <c r="P5" s="49">
        <f>VLOOKUP(C5,Machined!C:F,3,0)</f>
        <v>538.88</v>
      </c>
      <c r="Q5" s="50">
        <f t="shared" ref="Q5:Q6" si="1">B5*P5</f>
        <v>538.88</v>
      </c>
    </row>
    <row r="6" spans="1:17" s="2" customFormat="1" ht="12.75" customHeight="1" x14ac:dyDescent="0.25">
      <c r="A6" s="77">
        <v>2</v>
      </c>
      <c r="B6" s="20">
        <v>1</v>
      </c>
      <c r="C6" s="121" t="s">
        <v>1404</v>
      </c>
      <c r="D6" s="314" t="str">
        <f>VLOOKUP(C6,Machined!C:X,2,0)</f>
        <v>Retracted Idler Conveyor Roller Shaft</v>
      </c>
      <c r="E6" s="329"/>
      <c r="F6" s="107" t="str">
        <f>VLOOKUP($C6,Machined!C:Z,13,0)</f>
        <v>PURCHASED PART</v>
      </c>
      <c r="G6" s="44" t="str">
        <f>IF(VLOOKUP($C6,Machined!C:Z,16,0) = 0, " ", VLOOKUP($C6,Machined!C:Z,16,0))</f>
        <v xml:space="preserve"> </v>
      </c>
      <c r="H6" s="320" t="str">
        <f>IF(VLOOKUP($C6,Machined!C:Z,17,0) = 0, " ", VLOOKUP($C6,Machined!C:Z,17,0))</f>
        <v>Material P.O. 55627</v>
      </c>
      <c r="I6" s="321" t="str">
        <f>IF(VLOOKUP($C6,Machined!$C:$Y,13,0) = 0, " ", VLOOKUP($C6,Machined!$C:$Y,13,0))</f>
        <v>PURCHASED PART</v>
      </c>
      <c r="J6" s="44" t="str">
        <f>IF(VLOOKUP($C6,Machined!C:Z,18,0) = 0, " ", VLOOKUP($C6,Machined!C:Z,18,0))</f>
        <v xml:space="preserve"> </v>
      </c>
      <c r="K6" s="44" t="str">
        <f>IF(VLOOKUP($C6,Machined!C:Z,19,0) = 0, " ", VLOOKUP($C6,Machined!C:Z,19,0))</f>
        <v xml:space="preserve"> </v>
      </c>
      <c r="L6" s="44" t="str">
        <f>IF(VLOOKUP($C6,Machined!C:Z,20,0) = 0, " ", VLOOKUP($C6,Machined!C:Z,20,0))</f>
        <v xml:space="preserve"> </v>
      </c>
      <c r="M6" s="44">
        <f>IF(VLOOKUP($C6,Machined!C:Z,21,0) = 0, " ", VLOOKUP($C6,Machined!C:Z,21,0))</f>
        <v>45520</v>
      </c>
      <c r="N6" s="129">
        <f>IF(VLOOKUP($C6,Machined!C:Z,22,0) = 0, " ", VLOOKUP($C6,Machined!C:Z,22,0))</f>
        <v>55627</v>
      </c>
      <c r="O6" s="45">
        <f t="shared" ca="1" si="0"/>
        <v>1</v>
      </c>
      <c r="P6" s="49">
        <f>VLOOKUP(C6,Machined!C:F,3,0)</f>
        <v>0</v>
      </c>
      <c r="Q6" s="50">
        <f t="shared" si="1"/>
        <v>0</v>
      </c>
    </row>
    <row r="7" spans="1:17" s="2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thickBot="1" x14ac:dyDescent="0.3">
      <c r="A8" s="4">
        <v>301</v>
      </c>
      <c r="B8" s="2">
        <v>2</v>
      </c>
      <c r="C8" s="135" t="s">
        <v>1405</v>
      </c>
      <c r="D8" s="325" t="str">
        <f>VLOOKUP(C8,Purchased!A:B,2,0)</f>
        <v>1in ID Set Screw Flanged Ball Bearing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ref="O8" ca="1" si="2">B8*$L$2</f>
        <v>2</v>
      </c>
      <c r="P8" s="51">
        <f>VLOOKUP(C8,Purchased!A:D,3,FALSE)</f>
        <v>71.8</v>
      </c>
      <c r="Q8" s="52">
        <f t="shared" ref="Q8" si="3">B8*P8</f>
        <v>143.6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682.48</v>
      </c>
    </row>
  </sheetData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5:E5"/>
    <mergeCell ref="H5:I5"/>
    <mergeCell ref="D1:E1"/>
    <mergeCell ref="D4:E4"/>
    <mergeCell ref="H4:I4"/>
  </mergeCells>
  <conditionalFormatting sqref="M7">
    <cfRule type="cellIs" dxfId="374" priority="3" stopIfTrue="1" operator="lessThanOrEqual">
      <formula>$L7</formula>
    </cfRule>
    <cfRule type="cellIs" dxfId="373" priority="4" operator="greaterThan">
      <formula>L7</formula>
    </cfRule>
  </conditionalFormatting>
  <conditionalFormatting sqref="M8">
    <cfRule type="cellIs" dxfId="372" priority="1" stopIfTrue="1" operator="lessThanOrEqual">
      <formula>$L8</formula>
    </cfRule>
    <cfRule type="cellIs" dxfId="371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474862-4789-4BB8-9844-83AE7B85DC0F}">
          <x14:formula1>
            <xm:f>Machined!$C:$C</xm:f>
          </x14:formula1>
          <xm:sqref>C5:C6</xm:sqref>
        </x14:dataValidation>
        <x14:dataValidation type="list" allowBlank="1" showInputMessage="1" showErrorMessage="1" xr:uid="{DFD43586-C679-47F8-BC71-C5B93EF7B6D3}">
          <x14:formula1>
            <xm:f>Purchased!$A:$A</xm:f>
          </x14:formula1>
          <xm:sqref>C7:C8</xm:sqref>
        </x14:dataValidation>
      </x14:dataValidations>
    </ext>
  </extLst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68B54-9534-4D3C-93E5-B352B8A0A26B}">
  <sheetPr codeName="Sheet230">
    <tabColor theme="6" tint="0.59999389629810485"/>
  </sheetPr>
  <dimension ref="A1:Q9"/>
  <sheetViews>
    <sheetView zoomScale="115" zoomScaleNormal="115" workbookViewId="0">
      <selection activeCell="C53" sqref="C5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'10.2'!C10</f>
        <v>PG10.10.2.6.0.A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'10.2'!D10</f>
        <v>Idler Conveyor Roller Guided Assy</v>
      </c>
      <c r="D3" s="85" t="s">
        <v>50</v>
      </c>
      <c r="E3" s="86" t="str">
        <f ca="1">MID(CELL("filename",A1),FIND("]",CELL("filename",A1))+1,256)</f>
        <v>10.2.6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1406</v>
      </c>
      <c r="D5" s="314" t="str">
        <f>VLOOKUP(C5,Machined!C:X,2,0)</f>
        <v>Idler Conveyor Roller Guided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Bemox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45497</v>
      </c>
      <c r="K5" s="44">
        <f>IF(VLOOKUP($C5,Machined!C:Z,19,0) = 0, " ", VLOOKUP($C5,Machined!C:Z,19,0))</f>
        <v>45497</v>
      </c>
      <c r="L5" s="44">
        <f>IF(VLOOKUP($C5,Machined!C:Z,20,0) = 0, " ", VLOOKUP($C5,Machined!C:Z,20,0))</f>
        <v>45532</v>
      </c>
      <c r="M5" s="44">
        <f>IF(VLOOKUP($C5,Machined!C:Z,21,0) = 0, " ", VLOOKUP($C5,Machined!C:Z,21,0))</f>
        <v>45532</v>
      </c>
      <c r="N5" s="129">
        <f>IF(VLOOKUP($C5,Machined!C:Z,22,0) = 0, " ", VLOOKUP($C5,Machined!C:Z,22,0))</f>
        <v>55631</v>
      </c>
      <c r="O5" s="45">
        <f t="shared" ref="O5:O6" ca="1" si="0">B5*$L$2</f>
        <v>2</v>
      </c>
      <c r="P5" s="49">
        <f>VLOOKUP(C5,Machined!C:F,3,0)</f>
        <v>465</v>
      </c>
      <c r="Q5" s="50">
        <f t="shared" ref="Q5:Q6" si="1">B5*P5</f>
        <v>465</v>
      </c>
    </row>
    <row r="6" spans="1:17" s="2" customFormat="1" ht="12.75" customHeight="1" x14ac:dyDescent="0.25">
      <c r="A6" s="77">
        <v>2</v>
      </c>
      <c r="B6" s="20">
        <v>1</v>
      </c>
      <c r="C6" s="121" t="s">
        <v>1407</v>
      </c>
      <c r="D6" s="314" t="str">
        <f>VLOOKUP(C6,Machined!C:X,2,0)</f>
        <v>Stationary Idler Conveyor Roller Shaft</v>
      </c>
      <c r="E6" s="329"/>
      <c r="F6" s="107" t="str">
        <f>VLOOKUP($C6,Machined!C:Z,13,0)</f>
        <v>PURCHASED PART</v>
      </c>
      <c r="G6" s="44" t="str">
        <f>IF(VLOOKUP($C6,Machined!C:Z,16,0) = 0, " ", VLOOKUP($C6,Machined!C:Z,16,0))</f>
        <v>Nuline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PURCHASED PART</v>
      </c>
      <c r="J6" s="44" t="str">
        <f>IF(VLOOKUP($C6,Machined!C:Z,18,0) = 0, " ", VLOOKUP($C6,Machined!C:Z,18,0))</f>
        <v xml:space="preserve"> </v>
      </c>
      <c r="K6" s="44" t="str">
        <f>IF(VLOOKUP($C6,Machined!C:Z,19,0) = 0, " ", VLOOKUP($C6,Machined!C:Z,19,0))</f>
        <v xml:space="preserve"> </v>
      </c>
      <c r="L6" s="44" t="str">
        <f>IF(VLOOKUP($C6,Machined!C:Z,20,0) = 0, " ", VLOOKUP($C6,Machined!C:Z,20,0))</f>
        <v xml:space="preserve"> </v>
      </c>
      <c r="M6" s="44" t="str">
        <f>IF(VLOOKUP($C6,Machined!C:Z,21,0) = 0, " ", VLOOKUP($C6,Machined!C:Z,21,0))</f>
        <v xml:space="preserve"> </v>
      </c>
      <c r="N6" s="129" t="str">
        <f>IF(VLOOKUP($C6,Machined!C:Z,22,0) = 0, " ", VLOOKUP($C6,Machined!C:Z,22,0))</f>
        <v xml:space="preserve"> </v>
      </c>
      <c r="O6" s="45">
        <f t="shared" ca="1" si="0"/>
        <v>2</v>
      </c>
      <c r="P6" s="49">
        <f>VLOOKUP(C6,Machined!C:F,3,0)</f>
        <v>0</v>
      </c>
      <c r="Q6" s="50">
        <f t="shared" si="1"/>
        <v>0</v>
      </c>
    </row>
    <row r="7" spans="1:17" s="2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thickBot="1" x14ac:dyDescent="0.3">
      <c r="A8" s="4">
        <v>301</v>
      </c>
      <c r="B8" s="2">
        <v>2</v>
      </c>
      <c r="C8" s="135" t="s">
        <v>1405</v>
      </c>
      <c r="D8" s="325" t="str">
        <f>VLOOKUP(C8,Purchased!A:B,2,0)</f>
        <v>1in ID Set Screw Flanged Ball Bearing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ref="O8" ca="1" si="2">B8*$L$2</f>
        <v>4</v>
      </c>
      <c r="P8" s="51">
        <f>VLOOKUP(C8,Purchased!A:D,3,FALSE)</f>
        <v>71.8</v>
      </c>
      <c r="Q8" s="52">
        <f t="shared" ref="Q8" si="3">B8*P8</f>
        <v>143.6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608.6</v>
      </c>
    </row>
  </sheetData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5:E5"/>
    <mergeCell ref="H5:I5"/>
    <mergeCell ref="D1:E1"/>
    <mergeCell ref="D4:E4"/>
    <mergeCell ref="H4:I4"/>
  </mergeCells>
  <conditionalFormatting sqref="M7">
    <cfRule type="cellIs" dxfId="370" priority="3" stopIfTrue="1" operator="lessThanOrEqual">
      <formula>$L7</formula>
    </cfRule>
    <cfRule type="cellIs" dxfId="369" priority="4" operator="greaterThan">
      <formula>L7</formula>
    </cfRule>
  </conditionalFormatting>
  <conditionalFormatting sqref="M8">
    <cfRule type="cellIs" dxfId="368" priority="1" stopIfTrue="1" operator="lessThanOrEqual">
      <formula>$L8</formula>
    </cfRule>
    <cfRule type="cellIs" dxfId="367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B5D34D-A153-44DD-80CD-1CC8FF8BAA9F}">
          <x14:formula1>
            <xm:f>Machined!$C:$C</xm:f>
          </x14:formula1>
          <xm:sqref>C5:C6</xm:sqref>
        </x14:dataValidation>
        <x14:dataValidation type="list" allowBlank="1" showInputMessage="1" showErrorMessage="1" xr:uid="{E976139E-440C-4072-9884-46F6819783B3}">
          <x14:formula1>
            <xm:f>Purchased!$A:$A</xm:f>
          </x14:formula1>
          <xm:sqref>C7:C8</xm:sqref>
        </x14:dataValidation>
      </x14:dataValidations>
    </ext>
  </extLst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E0010-0034-4771-85E5-E78B8AD318D8}">
  <sheetPr codeName="Sheet231">
    <tabColor theme="6" tint="0.59999389629810485"/>
  </sheetPr>
  <dimension ref="A1:Q9"/>
  <sheetViews>
    <sheetView view="pageBreakPreview" zoomScale="60" zoomScaleNormal="115" workbookViewId="0">
      <selection activeCell="L20" sqref="L2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'10.2'!C11</f>
        <v>PG10.10.2.7.0.A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'10.2'!D11</f>
        <v>Idler Conveyor Roller Guided Assy Short Shaft</v>
      </c>
      <c r="D3" s="85" t="s">
        <v>50</v>
      </c>
      <c r="E3" s="86" t="str">
        <f ca="1">MID(CELL("filename",A1),FIND("]",CELL("filename",A1))+1,256)</f>
        <v>10.2.7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1404</v>
      </c>
      <c r="D5" s="314" t="str">
        <f>VLOOKUP(C5,Machined!C:X,2,0)</f>
        <v>Retracted Idler Conveyor Roller Shaft</v>
      </c>
      <c r="E5" s="329"/>
      <c r="F5" s="107" t="str">
        <f>VLOOKUP($C5,Machined!C:Z,13,0)</f>
        <v>PURCHASED PART</v>
      </c>
      <c r="G5" s="44" t="str">
        <f>IF(VLOOKUP($C5,Machined!C:Z,16,0) = 0, " ", VLOOKUP($C5,Machined!C:Z,16,0))</f>
        <v xml:space="preserve"> </v>
      </c>
      <c r="H5" s="320" t="str">
        <f>IF(VLOOKUP($C5,Machined!C:Z,17,0) = 0, " ", VLOOKUP($C5,Machined!C:Z,17,0))</f>
        <v>Material P.O. 55627</v>
      </c>
      <c r="I5" s="321" t="str">
        <f>IF(VLOOKUP($C5,Machined!$C:$Y,13,0) = 0, " ", VLOOKUP($C5,Machined!$C:$Y,13,0))</f>
        <v>PURCHASED PART</v>
      </c>
      <c r="J5" s="44" t="str">
        <f>IF(VLOOKUP($C5,Machined!C:Z,18,0) = 0, " ", VLOOKUP($C5,Machined!C:Z,18,0))</f>
        <v xml:space="preserve"> </v>
      </c>
      <c r="K5" s="44" t="str">
        <f>IF(VLOOKUP($C5,Machined!C:Z,19,0) = 0, " ", VLOOKUP($C5,Machined!C:Z,19,0))</f>
        <v xml:space="preserve"> </v>
      </c>
      <c r="L5" s="44" t="str">
        <f>IF(VLOOKUP($C5,Machined!C:Z,20,0) = 0, " ", VLOOKUP($C5,Machined!C:Z,20,0))</f>
        <v xml:space="preserve"> </v>
      </c>
      <c r="M5" s="44">
        <f>IF(VLOOKUP($C5,Machined!C:Z,21,0) = 0, " ", VLOOKUP($C5,Machined!C:Z,21,0))</f>
        <v>45520</v>
      </c>
      <c r="N5" s="129">
        <f>IF(VLOOKUP($C5,Machined!C:Z,22,0) = 0, " ", VLOOKUP($C5,Machined!C:Z,22,0))</f>
        <v>55627</v>
      </c>
      <c r="O5" s="45">
        <f t="shared" ref="O5:O6" ca="1" si="0">B5*$L$2</f>
        <v>1</v>
      </c>
      <c r="P5" s="49">
        <f>VLOOKUP(C5,Machined!C:F,3,0)</f>
        <v>0</v>
      </c>
      <c r="Q5" s="50">
        <f t="shared" ref="Q5:Q6" si="1">B5*P5</f>
        <v>0</v>
      </c>
    </row>
    <row r="6" spans="1:17" s="2" customFormat="1" ht="12.75" customHeight="1" x14ac:dyDescent="0.25">
      <c r="A6" s="77">
        <v>2</v>
      </c>
      <c r="B6" s="20">
        <v>1</v>
      </c>
      <c r="C6" s="121" t="s">
        <v>1406</v>
      </c>
      <c r="D6" s="314" t="str">
        <f>VLOOKUP(C6,Machined!C:X,2,0)</f>
        <v>Idler Conveyor Roller Guided</v>
      </c>
      <c r="E6" s="329"/>
      <c r="F6" s="107" t="str">
        <f>VLOOKUP($C6,Machined!C:Z,13,0)</f>
        <v>6061-T6 ALUMINUM</v>
      </c>
      <c r="G6" s="44" t="str">
        <f>IF(VLOOKUP($C6,Machined!C:Z,16,0) = 0, " ", VLOOKUP($C6,Machined!C:Z,16,0))</f>
        <v>Bemox</v>
      </c>
      <c r="H6" s="320" t="str">
        <f>IF(VLOOKUP($C6,Machined!C:Z,17,0) = 0, " ", VLOOKUP($C6,Machined!C:Z,17,0))</f>
        <v xml:space="preserve"> </v>
      </c>
      <c r="I6" s="321" t="str">
        <f>IF(VLOOKUP($C6,Machined!$C:$Y,13,0) = 0, " ", VLOOKUP($C6,Machined!$C:$Y,13,0))</f>
        <v>6061-T6 ALUMINUM</v>
      </c>
      <c r="J6" s="44">
        <f>IF(VLOOKUP($C6,Machined!C:Z,18,0) = 0, " ", VLOOKUP($C6,Machined!C:Z,18,0))</f>
        <v>45497</v>
      </c>
      <c r="K6" s="44">
        <f>IF(VLOOKUP($C6,Machined!C:Z,19,0) = 0, " ", VLOOKUP($C6,Machined!C:Z,19,0))</f>
        <v>45497</v>
      </c>
      <c r="L6" s="44">
        <f>IF(VLOOKUP($C6,Machined!C:Z,20,0) = 0, " ", VLOOKUP($C6,Machined!C:Z,20,0))</f>
        <v>45532</v>
      </c>
      <c r="M6" s="44">
        <f>IF(VLOOKUP($C6,Machined!C:Z,21,0) = 0, " ", VLOOKUP($C6,Machined!C:Z,21,0))</f>
        <v>45532</v>
      </c>
      <c r="N6" s="129">
        <f>IF(VLOOKUP($C6,Machined!C:Z,22,0) = 0, " ", VLOOKUP($C6,Machined!C:Z,22,0))</f>
        <v>55631</v>
      </c>
      <c r="O6" s="45">
        <f t="shared" ca="1" si="0"/>
        <v>1</v>
      </c>
      <c r="P6" s="49">
        <f>VLOOKUP(C6,Machined!C:F,3,0)</f>
        <v>465</v>
      </c>
      <c r="Q6" s="50">
        <f t="shared" si="1"/>
        <v>465</v>
      </c>
    </row>
    <row r="7" spans="1:17" s="2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thickBot="1" x14ac:dyDescent="0.3">
      <c r="A8" s="4">
        <v>301</v>
      </c>
      <c r="B8" s="2">
        <v>2</v>
      </c>
      <c r="C8" s="135" t="s">
        <v>1405</v>
      </c>
      <c r="D8" s="325" t="str">
        <f>VLOOKUP(C8,Purchased!A:B,2,0)</f>
        <v>1in ID Set Screw Flanged Ball Bearing</v>
      </c>
      <c r="E8" s="326"/>
      <c r="F8" s="108" t="str">
        <f>IF(VLOOKUP($C8,Purchased!A:Z,11,0) = 0, " ", VLOOKUP($C8,Purchased!A:Z,11,0))</f>
        <v>MCM</v>
      </c>
      <c r="G8" s="108" t="str">
        <f>IF(VLOOKUP($C8,Purchased!A:Z,12,0)=0, " ", VLOOKUP($C8,Purchased!A:Z,12,0))</f>
        <v>MCM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45526</v>
      </c>
      <c r="K8" s="46">
        <f>IF(VLOOKUP(C8,Purchased!A:R,14,0)=0, " ", VLOOKUP(C8,Purchased!A:R,14,0))</f>
        <v>45526</v>
      </c>
      <c r="L8" s="46">
        <f>IF(VLOOKUP(C8,Purchased!A:R,15,0)=0, " ", VLOOKUP(C8,Purchased!A:R,15,0))</f>
        <v>45526</v>
      </c>
      <c r="M8" s="46" t="str">
        <f>IF(VLOOKUP(C8,Purchased!A:R,16,0)=0, " ",VLOOKUP(C8,Purchased!A:R,16,0))</f>
        <v xml:space="preserve"> </v>
      </c>
      <c r="N8" s="130" t="str">
        <f>IF(VLOOKUP(C8,Purchased!A:R,17,0)=0, " ", VLOOKUP(C8,Purchased!A:R,17,0))</f>
        <v xml:space="preserve"> </v>
      </c>
      <c r="O8" s="47">
        <f t="shared" ref="O8" ca="1" si="2">B8*$L$2</f>
        <v>2</v>
      </c>
      <c r="P8" s="51">
        <f>VLOOKUP(C8,Purchased!A:D,3,FALSE)</f>
        <v>71.8</v>
      </c>
      <c r="Q8" s="52">
        <f t="shared" ref="Q8" si="3">B8*P8</f>
        <v>143.6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608.6</v>
      </c>
    </row>
  </sheetData>
  <mergeCells count="13">
    <mergeCell ref="D9:E9"/>
    <mergeCell ref="H9:I9"/>
    <mergeCell ref="D7:E7"/>
    <mergeCell ref="H7:I7"/>
    <mergeCell ref="D8:E8"/>
    <mergeCell ref="H8:I8"/>
    <mergeCell ref="D6:E6"/>
    <mergeCell ref="H6:I6"/>
    <mergeCell ref="D5:E5"/>
    <mergeCell ref="H5:I5"/>
    <mergeCell ref="D1:E1"/>
    <mergeCell ref="D4:E4"/>
    <mergeCell ref="H4:I4"/>
  </mergeCells>
  <conditionalFormatting sqref="M7">
    <cfRule type="cellIs" dxfId="366" priority="3" stopIfTrue="1" operator="lessThanOrEqual">
      <formula>$L7</formula>
    </cfRule>
    <cfRule type="cellIs" dxfId="365" priority="4" operator="greaterThan">
      <formula>L7</formula>
    </cfRule>
  </conditionalFormatting>
  <conditionalFormatting sqref="M8">
    <cfRule type="cellIs" dxfId="364" priority="1" stopIfTrue="1" operator="lessThanOrEqual">
      <formula>$L8</formula>
    </cfRule>
    <cfRule type="cellIs" dxfId="363" priority="2" operator="greaterThan">
      <formula>L8</formula>
    </cfRule>
  </conditionalFormatting>
  <pageMargins left="0.7" right="0.7" top="0.75" bottom="0.75" header="0.3" footer="0.3"/>
  <pageSetup paperSize="17" scale="62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8ECD61F-BF79-4B91-8E78-3455AFC0FCE9}">
          <x14:formula1>
            <xm:f>Machined!$C:$C</xm:f>
          </x14:formula1>
          <xm:sqref>C5:C6</xm:sqref>
        </x14:dataValidation>
        <x14:dataValidation type="list" allowBlank="1" showInputMessage="1" showErrorMessage="1" xr:uid="{F6DDEC19-D306-4EC1-A8B6-BD262EAC8795}">
          <x14:formula1>
            <xm:f>Purchased!$A:$A</xm:f>
          </x14:formula1>
          <xm:sqref>C7:C8</xm:sqref>
        </x14:dataValidation>
      </x14:dataValidations>
    </ext>
  </extLst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964D-1E63-4A9C-8E0D-109CE49108D6}">
  <sheetPr codeName="Sheet232">
    <tabColor theme="6" tint="0.59999389629810485"/>
  </sheetPr>
  <dimension ref="A1:Q15"/>
  <sheetViews>
    <sheetView zoomScale="115" zoomScaleNormal="115" workbookViewId="0">
      <selection activeCell="D19" sqref="D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'10.2'!C12</f>
        <v>PG10.10.2.8.0.A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'10.2'!D12</f>
        <v>Retraction Action Driven Axle Assembly</v>
      </c>
      <c r="D3" s="85" t="s">
        <v>50</v>
      </c>
      <c r="E3" s="86" t="str">
        <f ca="1">MID(CELL("filename",A1),FIND("]",CELL("filename",A1))+1,256)</f>
        <v>10.2.8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3821</v>
      </c>
      <c r="D5" s="314" t="str">
        <f>VLOOKUP(C5,Machined!C:X,2,0)</f>
        <v>Retraction Action Drive Shaft</v>
      </c>
      <c r="E5" s="329"/>
      <c r="F5" s="107" t="str">
        <f>VLOOKUP($C5,Machined!C:Z,13,0)</f>
        <v>303 TG&amp;P, Round Stock, -0.0005</v>
      </c>
      <c r="G5" s="44" t="str">
        <f>IF(VLOOKUP($C5,Machined!C:Z,16,0) = 0, " ", VLOOKUP($C5,Machined!C:Z,16,0))</f>
        <v>Frontier Mach</v>
      </c>
      <c r="H5" s="320" t="str">
        <f>IF(VLOOKUP($C5,Machined!C:Z,17,0) = 0, " ", VLOOKUP($C5,Machined!C:Z,17,0))</f>
        <v>Material by Nuline</v>
      </c>
      <c r="I5" s="321" t="str">
        <f>IF(VLOOKUP($C5,Machined!$C:$Y,13,0) = 0, " ", VLOOKUP($C5,Machined!$C:$Y,13,0))</f>
        <v>303 TG&amp;P, Round Stock, -0.0005</v>
      </c>
      <c r="J5" s="44" t="str">
        <f>IF(VLOOKUP($C5,Machined!C:Z,18,0) = 0, " ", VLOOKUP($C5,Machined!C:Z,18,0))</f>
        <v xml:space="preserve"> </v>
      </c>
      <c r="K5" s="44">
        <f>IF(VLOOKUP($C5,Machined!C:Z,19,0) = 0, " ", VLOOKUP($C5,Machined!C:Z,19,0))</f>
        <v>45540</v>
      </c>
      <c r="L5" s="44">
        <f>IF(VLOOKUP($C5,Machined!C:Z,20,0) = 0, " ", VLOOKUP($C5,Machined!C:Z,20,0))</f>
        <v>45555</v>
      </c>
      <c r="M5" s="44">
        <f>IF(VLOOKUP($C5,Machined!C:Z,21,0) = 0, " ", VLOOKUP($C5,Machined!C:Z,21,0))</f>
        <v>45555</v>
      </c>
      <c r="N5" s="129">
        <f>IF(VLOOKUP($C5,Machined!C:Z,22,0) = 0, " ", VLOOKUP($C5,Machined!C:Z,22,0))</f>
        <v>55720</v>
      </c>
      <c r="O5" s="45">
        <f t="shared" ref="O5" ca="1" si="0">B5*$L$2</f>
        <v>1</v>
      </c>
      <c r="P5" s="49">
        <f>VLOOKUP(C5,Machined!C:F,3,0)</f>
        <v>0</v>
      </c>
      <c r="Q5" s="50">
        <f t="shared" ref="Q5" si="1"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2</v>
      </c>
      <c r="C7" s="135" t="s">
        <v>1408</v>
      </c>
      <c r="D7" s="325" t="str">
        <f>VLOOKUP(C7,Purchased!A:B,2,0)</f>
        <v>2200-8MGT-30 Pulley Belt 30mm width</v>
      </c>
      <c r="E7" s="326"/>
      <c r="F7" s="108" t="str">
        <f>IF(VLOOKUP($C7,Purchased!A:Z,11,0) = 0, " ", VLOOKUP($C7,Purchased!A:Z,11,0))</f>
        <v>Gates</v>
      </c>
      <c r="G7" s="108" t="str">
        <f>IF(VLOOKUP($C7,Purchased!A:Z,12,0)=0, " ", VLOOKUP($C7,Purchased!A:Z,12,0))</f>
        <v>BDI</v>
      </c>
      <c r="H7" s="327" t="str">
        <f>IF(VLOOKUP($C7,Purchased!A:Z,13,0)=0, " ", VLOOKUP($C7,Purchased!A:Z,13,0))</f>
        <v>Part # 1100336</v>
      </c>
      <c r="I7" s="328"/>
      <c r="J7" s="46">
        <f>IF(VLOOKUP($C7,Purchased!A:Z,14,0)=0, " ", VLOOKUP($C7,Purchased!A:Z,14,0))</f>
        <v>45506</v>
      </c>
      <c r="K7" s="46">
        <f>IF(VLOOKUP(C7,Purchased!A:R,14,0)=0, " ", VLOOKUP(C7,Purchased!A:R,14,0))</f>
        <v>45506</v>
      </c>
      <c r="L7" s="46" t="str">
        <f>IF(VLOOKUP(C7,Purchased!A:R,15,0)=0, " ", VLOOKUP(C7,Purchased!A:R,15,0))</f>
        <v xml:space="preserve"> </v>
      </c>
      <c r="M7" s="46" t="str">
        <f>IF(VLOOKUP(C7,Purchased!A:R,16,0)=0, " ",VLOOKUP(C7,Purchased!A:R,16,0))</f>
        <v xml:space="preserve"> </v>
      </c>
      <c r="N7" s="130" t="str">
        <f>IF(VLOOKUP(C7,Purchased!A:R,17,0)=0, " ", VLOOKUP(C7,Purchased!A:R,17,0))</f>
        <v xml:space="preserve"> </v>
      </c>
      <c r="O7" s="47">
        <f t="shared" ref="O7:O12" ca="1" si="2">B7*$L$2</f>
        <v>2</v>
      </c>
      <c r="P7" s="51">
        <f>VLOOKUP(C7,Purchased!A:D,3,FALSE)</f>
        <v>104.8</v>
      </c>
      <c r="Q7" s="52">
        <f t="shared" ref="Q7:Q12" si="3">B7*P7</f>
        <v>209.6</v>
      </c>
    </row>
    <row r="8" spans="1:17" s="2" customFormat="1" ht="12" customHeight="1" x14ac:dyDescent="0.25">
      <c r="A8" s="4">
        <v>302</v>
      </c>
      <c r="B8" s="2">
        <v>2</v>
      </c>
      <c r="C8" s="135" t="s">
        <v>317</v>
      </c>
      <c r="D8" s="325" t="str">
        <f>VLOOKUP(C8,Purchased!A:B,2,0)</f>
        <v>Prod Num 77083035 30mm width sprocket</v>
      </c>
      <c r="E8" s="326"/>
      <c r="F8" s="108" t="str">
        <f>IF(VLOOKUP($C8,Purchased!A:Z,11,0) = 0, " ", VLOOKUP($C8,Purchased!A:Z,11,0))</f>
        <v>Gates</v>
      </c>
      <c r="G8" s="108" t="str">
        <f>IF(VLOOKUP($C8,Purchased!A:Z,12,0)=0, " ", VLOOKUP($C8,Purchased!A:Z,12,0))</f>
        <v>BDI</v>
      </c>
      <c r="H8" s="327" t="str">
        <f>IF(VLOOKUP($C8,Purchased!A:Z,13,0)=0, " ", VLOOKUP($C8,Purchased!A:Z,13,0))</f>
        <v>6 more PO 55766, Part #  1125656</v>
      </c>
      <c r="I8" s="328"/>
      <c r="J8" s="46">
        <f>IF(VLOOKUP($C8,Purchased!A:Z,14,0)=0, " ", VLOOKUP($C8,Purchased!A:Z,14,0))</f>
        <v>45456</v>
      </c>
      <c r="K8" s="46">
        <f>IF(VLOOKUP(C8,Purchased!A:R,14,0)=0, " ", VLOOKUP(C8,Purchased!A:R,14,0))</f>
        <v>45456</v>
      </c>
      <c r="L8" s="46">
        <f>IF(VLOOKUP(C8,Purchased!A:R,15,0)=0, " ", VLOOKUP(C8,Purchased!A:R,15,0))</f>
        <v>45456</v>
      </c>
      <c r="M8" s="46">
        <f>IF(VLOOKUP(C8,Purchased!A:R,16,0)=0, " ",VLOOKUP(C8,Purchased!A:R,16,0))</f>
        <v>45468</v>
      </c>
      <c r="N8" s="130">
        <f>IF(VLOOKUP(C8,Purchased!A:R,17,0)=0, " ", VLOOKUP(C8,Purchased!A:R,17,0))</f>
        <v>45468</v>
      </c>
      <c r="O8" s="47">
        <f t="shared" ca="1" si="2"/>
        <v>2</v>
      </c>
      <c r="P8" s="51">
        <f>VLOOKUP(C8,Purchased!A:D,3,FALSE)</f>
        <v>93.8</v>
      </c>
      <c r="Q8" s="52">
        <f t="shared" si="3"/>
        <v>187.6</v>
      </c>
    </row>
    <row r="9" spans="1:17" s="2" customFormat="1" ht="12" customHeight="1" x14ac:dyDescent="0.25">
      <c r="A9" s="4">
        <v>303</v>
      </c>
      <c r="B9" s="2">
        <v>2</v>
      </c>
      <c r="C9" s="135" t="s">
        <v>1390</v>
      </c>
      <c r="D9" s="325" t="str">
        <f>VLOOKUP(C9,Purchased!A:B,2,0)</f>
        <v>1" SHAFT 1610 Taper-Lock Bushing</v>
      </c>
      <c r="E9" s="326"/>
      <c r="F9" s="108" t="str">
        <f>IF(VLOOKUP($C9,Purchased!A:Z,11,0) = 0, " ", VLOOKUP($C9,Purchased!A:Z,11,0))</f>
        <v>MCM</v>
      </c>
      <c r="G9" s="108" t="str">
        <f>IF(VLOOKUP($C9,Purchased!A:Z,12,0)=0, " ", VLOOKUP($C9,Purchased!A:Z,12,0))</f>
        <v>MCM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45526</v>
      </c>
      <c r="K9" s="46">
        <f>IF(VLOOKUP(C9,Purchased!A:R,14,0)=0, " ", VLOOKUP(C9,Purchased!A:R,14,0))</f>
        <v>45526</v>
      </c>
      <c r="L9" s="46">
        <f>IF(VLOOKUP(C9,Purchased!A:R,15,0)=0, " ", VLOOKUP(C9,Purchased!A:R,15,0))</f>
        <v>45526</v>
      </c>
      <c r="M9" s="46" t="str">
        <f>IF(VLOOKUP(C9,Purchased!A:R,16,0)=0, " ",VLOOKUP(C9,Purchased!A:R,16,0))</f>
        <v xml:space="preserve"> </v>
      </c>
      <c r="N9" s="130" t="str">
        <f>IF(VLOOKUP(C9,Purchased!A:R,17,0)=0, " ", VLOOKUP(C9,Purchased!A:R,17,0))</f>
        <v xml:space="preserve"> </v>
      </c>
      <c r="O9" s="47">
        <f t="shared" ca="1" si="2"/>
        <v>2</v>
      </c>
      <c r="P9" s="51">
        <f>VLOOKUP(C9,Purchased!A:D,3,FALSE)</f>
        <v>36.5</v>
      </c>
      <c r="Q9" s="52">
        <f t="shared" si="3"/>
        <v>73</v>
      </c>
    </row>
    <row r="10" spans="1:17" s="2" customFormat="1" ht="12" customHeight="1" x14ac:dyDescent="0.25">
      <c r="A10" s="4">
        <v>304</v>
      </c>
      <c r="B10" s="2">
        <v>2</v>
      </c>
      <c r="C10" s="135" t="s">
        <v>1391</v>
      </c>
      <c r="D10" s="325" t="str">
        <f>VLOOKUP(C10,Purchased!A:B,2,0)</f>
        <v>Mounted Ball Bearing with Nickel-Plated Iron Housing</v>
      </c>
      <c r="E10" s="326"/>
      <c r="F10" s="108" t="str">
        <f>IF(VLOOKUP($C10,Purchased!A:Z,11,0) = 0, " ", VLOOKUP($C10,Purchased!A:Z,11,0))</f>
        <v>MCM</v>
      </c>
      <c r="G10" s="108" t="str">
        <f>IF(VLOOKUP($C10,Purchased!A:Z,12,0)=0, " ", VLOOKUP($C10,Purchased!A:Z,12,0))</f>
        <v>MCM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45526</v>
      </c>
      <c r="K10" s="46">
        <f>IF(VLOOKUP(C10,Purchased!A:R,14,0)=0, " ", VLOOKUP(C10,Purchased!A:R,14,0))</f>
        <v>45526</v>
      </c>
      <c r="L10" s="46">
        <f>IF(VLOOKUP(C10,Purchased!A:R,15,0)=0, " ", VLOOKUP(C10,Purchased!A:R,15,0))</f>
        <v>45526</v>
      </c>
      <c r="M10" s="46" t="str">
        <f>IF(VLOOKUP(C10,Purchased!A:R,16,0)=0, " ",VLOOKUP(C10,Purchased!A:R,16,0))</f>
        <v xml:space="preserve"> </v>
      </c>
      <c r="N10" s="130" t="str">
        <f>IF(VLOOKUP(C10,Purchased!A:R,17,0)=0, " ", VLOOKUP(C10,Purchased!A:R,17,0))</f>
        <v xml:space="preserve"> </v>
      </c>
      <c r="O10" s="47">
        <f t="shared" ca="1" si="2"/>
        <v>2</v>
      </c>
      <c r="P10" s="51">
        <f>VLOOKUP(C10,Purchased!A:D,3,FALSE)</f>
        <v>47.97</v>
      </c>
      <c r="Q10" s="52">
        <f t="shared" si="3"/>
        <v>95.94</v>
      </c>
    </row>
    <row r="11" spans="1:17" s="2" customFormat="1" ht="12" customHeight="1" x14ac:dyDescent="0.25">
      <c r="A11" s="4">
        <v>305</v>
      </c>
      <c r="B11" s="2">
        <v>1</v>
      </c>
      <c r="C11" s="135" t="s">
        <v>1409</v>
      </c>
      <c r="D11" s="325" t="str">
        <f>VLOOKUP(C11,Purchased!A:B,2,0)</f>
        <v>Rounded Machine Key 1045 Carbon Steel, 6mm x 6mm, 20mm Long, Undersized</v>
      </c>
      <c r="E11" s="326"/>
      <c r="F11" s="108" t="str">
        <f>IF(VLOOKUP($C11,Purchased!A:Z,11,0) = 0, " ", VLOOKUP($C11,Purchased!A:Z,11,0))</f>
        <v>MCM</v>
      </c>
      <c r="G11" s="108" t="str">
        <f>IF(VLOOKUP($C11,Purchased!A:Z,12,0)=0, " ", VLOOKUP($C11,Purchased!A:Z,12,0))</f>
        <v>MCM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45526</v>
      </c>
      <c r="K11" s="46">
        <f>IF(VLOOKUP(C11,Purchased!A:R,14,0)=0, " ", VLOOKUP(C11,Purchased!A:R,14,0))</f>
        <v>45526</v>
      </c>
      <c r="L11" s="46">
        <f>IF(VLOOKUP(C11,Purchased!A:R,15,0)=0, " ", VLOOKUP(C11,Purchased!A:R,15,0))</f>
        <v>45526</v>
      </c>
      <c r="M11" s="46" t="str">
        <f>IF(VLOOKUP(C11,Purchased!A:R,16,0)=0, " ",VLOOKUP(C11,Purchased!A:R,16,0))</f>
        <v xml:space="preserve"> </v>
      </c>
      <c r="N11" s="130" t="str">
        <f>IF(VLOOKUP(C11,Purchased!A:R,17,0)=0, " ", VLOOKUP(C11,Purchased!A:R,17,0))</f>
        <v xml:space="preserve"> </v>
      </c>
      <c r="O11" s="47">
        <f ca="1">B11*$L$2</f>
        <v>1</v>
      </c>
      <c r="P11" s="51">
        <f>VLOOKUP(C11,Purchased!A:D,3,FALSE)</f>
        <v>8.39</v>
      </c>
      <c r="Q11" s="52">
        <f>B11*P11</f>
        <v>8.39</v>
      </c>
    </row>
    <row r="12" spans="1:17" s="2" customFormat="1" ht="12" customHeight="1" x14ac:dyDescent="0.25">
      <c r="A12" s="4">
        <v>306</v>
      </c>
      <c r="B12" s="2">
        <v>1</v>
      </c>
      <c r="C12" s="135" t="s">
        <v>3818</v>
      </c>
      <c r="D12" s="325" t="str">
        <f>VLOOKUP(C12,Purchased!A:B,2,0)</f>
        <v>Rounded Machine Key 1/4IN X 1.25IN OVERSIZED</v>
      </c>
      <c r="E12" s="326"/>
      <c r="F12" s="108" t="str">
        <f>IF(VLOOKUP($C12,Purchased!A:Z,11,0) = 0, " ", VLOOKUP($C12,Purchased!A:Z,11,0))</f>
        <v>MCM</v>
      </c>
      <c r="G12" s="108" t="str">
        <f>IF(VLOOKUP($C12,Purchased!A:Z,12,0)=0, " ", VLOOKUP($C12,Purchased!A:Z,12,0))</f>
        <v>MCM</v>
      </c>
      <c r="H12" s="327" t="str">
        <f>IF(VLOOKUP($C12,Purchased!A:Z,13,0)=0, " ", VLOOKUP($C12,Purchased!A:Z,13,0))</f>
        <v xml:space="preserve"> </v>
      </c>
      <c r="I12" s="328"/>
      <c r="J12" s="46" t="str">
        <f>IF(VLOOKUP($C12,Purchased!A:Z,14,0)=0, " ", VLOOKUP($C12,Purchased!A:Z,14,0))</f>
        <v xml:space="preserve"> </v>
      </c>
      <c r="K12" s="46" t="str">
        <f>IF(VLOOKUP(C12,Purchased!A:R,14,0)=0, " ", VLOOKUP(C12,Purchased!A:R,14,0))</f>
        <v xml:space="preserve"> </v>
      </c>
      <c r="L12" s="46" t="str">
        <f>IF(VLOOKUP(C12,Purchased!A:R,15,0)=0, " ", VLOOKUP(C12,Purchased!A:R,15,0))</f>
        <v xml:space="preserve"> </v>
      </c>
      <c r="M12" s="46" t="str">
        <f>IF(VLOOKUP(C12,Purchased!A:R,16,0)=0, " ",VLOOKUP(C12,Purchased!A:R,16,0))</f>
        <v xml:space="preserve"> </v>
      </c>
      <c r="N12" s="130" t="str">
        <f>IF(VLOOKUP(C12,Purchased!A:R,17,0)=0, " ", VLOOKUP(C12,Purchased!A:R,17,0))</f>
        <v xml:space="preserve"> </v>
      </c>
      <c r="O12" s="47">
        <f t="shared" ca="1" si="2"/>
        <v>1</v>
      </c>
      <c r="P12" s="51">
        <f>VLOOKUP(C12,Purchased!A:D,3,FALSE)</f>
        <v>13.93</v>
      </c>
      <c r="Q12" s="52">
        <f t="shared" si="3"/>
        <v>13.93</v>
      </c>
    </row>
    <row r="13" spans="1:17" s="2" customFormat="1" ht="12" customHeight="1" x14ac:dyDescent="0.25">
      <c r="A13" s="25"/>
      <c r="B13" s="26"/>
      <c r="C13" s="26"/>
      <c r="D13" s="332"/>
      <c r="E13" s="333"/>
      <c r="F13" s="26"/>
      <c r="G13" s="26"/>
      <c r="H13" s="322"/>
      <c r="I13" s="323"/>
      <c r="J13" s="27"/>
      <c r="K13" s="27"/>
      <c r="L13" s="27"/>
      <c r="M13" s="28"/>
      <c r="N13" s="29"/>
      <c r="O13" s="29"/>
      <c r="P13" s="148"/>
      <c r="Q13" s="149"/>
    </row>
    <row r="14" spans="1:17" s="2" customFormat="1" ht="12" customHeight="1" thickBot="1" x14ac:dyDescent="0.3">
      <c r="A14" s="4">
        <v>501</v>
      </c>
      <c r="B14" s="2">
        <v>8</v>
      </c>
      <c r="C14" s="122" t="s">
        <v>1392</v>
      </c>
      <c r="D14" s="325"/>
      <c r="E14" s="326"/>
      <c r="F14" s="108">
        <f>VLOOKUP(C14,Bolts!A:L,5,0)</f>
        <v>0</v>
      </c>
      <c r="G14" s="108">
        <f>VLOOKUP(C14,Bolts!A:L,6,0)</f>
        <v>0</v>
      </c>
      <c r="H14" s="108">
        <f>VLOOKUP(C14,Bolts!A:L,7,0)</f>
        <v>0</v>
      </c>
      <c r="I14" s="109"/>
      <c r="J14" s="46">
        <f>VLOOKUP(C14,Bolts!A:L,8,0)</f>
        <v>0</v>
      </c>
      <c r="K14" s="46">
        <f>VLOOKUP(C14,Bolts!A:L,9,0)</f>
        <v>0</v>
      </c>
      <c r="L14" s="46">
        <f>VLOOKUP(C14,Bolts!A:L,10,0)</f>
        <v>0</v>
      </c>
      <c r="M14" s="46">
        <f>VLOOKUP(C14,Bolts!A:L,11,0)</f>
        <v>0</v>
      </c>
      <c r="N14" s="130">
        <f>VLOOKUP(C14,Bolts!A:L,12,0)</f>
        <v>0</v>
      </c>
      <c r="O14" s="47">
        <f t="shared" ref="O14" ca="1" si="4">B14*$L$2</f>
        <v>8</v>
      </c>
      <c r="P14" s="51">
        <f>VLOOKUP(C14,Bolts!A:B,2,FALSE)</f>
        <v>0</v>
      </c>
      <c r="Q14" s="52">
        <f t="shared" ref="Q14" si="5">B14*P14</f>
        <v>0</v>
      </c>
    </row>
    <row r="15" spans="1:17" s="2" customFormat="1" ht="12" customHeight="1" thickBot="1" x14ac:dyDescent="0.3">
      <c r="A15" s="34"/>
      <c r="B15" s="35"/>
      <c r="C15" s="35"/>
      <c r="D15" s="316"/>
      <c r="E15" s="317"/>
      <c r="F15" s="35"/>
      <c r="G15" s="35"/>
      <c r="H15" s="309"/>
      <c r="I15" s="310"/>
      <c r="J15" s="36"/>
      <c r="K15" s="36"/>
      <c r="L15" s="36"/>
      <c r="M15" s="37"/>
      <c r="N15" s="132"/>
      <c r="O15" s="38"/>
      <c r="P15" s="99" t="s">
        <v>43</v>
      </c>
      <c r="Q15" s="104">
        <f>SUM(Q5:Q14)</f>
        <v>588.45999999999992</v>
      </c>
    </row>
  </sheetData>
  <mergeCells count="24">
    <mergeCell ref="D15:E15"/>
    <mergeCell ref="H15:I15"/>
    <mergeCell ref="D13:E13"/>
    <mergeCell ref="H13:I13"/>
    <mergeCell ref="D14:E14"/>
    <mergeCell ref="D9:E9"/>
    <mergeCell ref="H9:I9"/>
    <mergeCell ref="D10:E10"/>
    <mergeCell ref="H10:I10"/>
    <mergeCell ref="D12:E12"/>
    <mergeCell ref="H12:I12"/>
    <mergeCell ref="D11:E11"/>
    <mergeCell ref="H11:I11"/>
    <mergeCell ref="D7:E7"/>
    <mergeCell ref="H7:I7"/>
    <mergeCell ref="D5:E5"/>
    <mergeCell ref="H5:I5"/>
    <mergeCell ref="D8:E8"/>
    <mergeCell ref="H8:I8"/>
    <mergeCell ref="D1:E1"/>
    <mergeCell ref="D4:E4"/>
    <mergeCell ref="H4:I4"/>
    <mergeCell ref="D6:E6"/>
    <mergeCell ref="H6:I6"/>
  </mergeCells>
  <conditionalFormatting sqref="M6 M13:M14">
    <cfRule type="cellIs" dxfId="362" priority="11" stopIfTrue="1" operator="lessThanOrEqual">
      <formula>$L6</formula>
    </cfRule>
    <cfRule type="cellIs" dxfId="361" priority="12" operator="greaterThan">
      <formula>L6</formula>
    </cfRule>
  </conditionalFormatting>
  <conditionalFormatting sqref="M7">
    <cfRule type="cellIs" dxfId="360" priority="9" stopIfTrue="1" operator="lessThanOrEqual">
      <formula>$L7</formula>
    </cfRule>
    <cfRule type="cellIs" dxfId="359" priority="10" operator="greaterThan">
      <formula>L7</formula>
    </cfRule>
  </conditionalFormatting>
  <conditionalFormatting sqref="M8">
    <cfRule type="cellIs" dxfId="358" priority="7" stopIfTrue="1" operator="lessThanOrEqual">
      <formula>$L8</formula>
    </cfRule>
    <cfRule type="cellIs" dxfId="357" priority="8" operator="greaterThan">
      <formula>L8</formula>
    </cfRule>
  </conditionalFormatting>
  <conditionalFormatting sqref="M9">
    <cfRule type="cellIs" dxfId="356" priority="5" stopIfTrue="1" operator="lessThanOrEqual">
      <formula>$L9</formula>
    </cfRule>
    <cfRule type="cellIs" dxfId="355" priority="6" operator="greaterThan">
      <formula>L9</formula>
    </cfRule>
  </conditionalFormatting>
  <conditionalFormatting sqref="M10">
    <cfRule type="cellIs" dxfId="354" priority="3" stopIfTrue="1" operator="lessThanOrEqual">
      <formula>$L10</formula>
    </cfRule>
    <cfRule type="cellIs" dxfId="353" priority="4" operator="greaterThan">
      <formula>L10</formula>
    </cfRule>
  </conditionalFormatting>
  <conditionalFormatting sqref="M11:M12">
    <cfRule type="cellIs" dxfId="352" priority="1" stopIfTrue="1" operator="lessThanOrEqual">
      <formula>$L11</formula>
    </cfRule>
    <cfRule type="cellIs" dxfId="351" priority="2" operator="greaterThan">
      <formula>L11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2497D16-E92E-4506-A854-A325843B9F8D}">
          <x14:formula1>
            <xm:f>Bolts!$A:$A</xm:f>
          </x14:formula1>
          <xm:sqref>C13:C14</xm:sqref>
        </x14:dataValidation>
        <x14:dataValidation type="list" allowBlank="1" showInputMessage="1" showErrorMessage="1" xr:uid="{F2972FFA-1321-447B-99AE-CD0D00FB4887}">
          <x14:formula1>
            <xm:f>Machined!$C:$C</xm:f>
          </x14:formula1>
          <xm:sqref>C5</xm:sqref>
        </x14:dataValidation>
        <x14:dataValidation type="list" allowBlank="1" showInputMessage="1" showErrorMessage="1" xr:uid="{C03BF6BE-87BF-458B-A436-262F0FDEC9DF}">
          <x14:formula1>
            <xm:f>Purchased!$A:$A</xm:f>
          </x14:formula1>
          <xm:sqref>C6:C12</xm:sqref>
        </x14:dataValidation>
      </x14:dataValidations>
    </ext>
  </extLst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41734-E815-4743-A829-A2D99903854C}">
  <sheetPr codeName="Sheet233">
    <tabColor theme="9" tint="0.59999389629810485"/>
  </sheetPr>
  <dimension ref="A1:Q27"/>
  <sheetViews>
    <sheetView zoomScale="115" zoomScaleNormal="115" workbookViewId="0">
      <selection activeCell="C30" sqref="C30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'10'!C7</f>
        <v>PG10.10.3.0.A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'10'!D7</f>
        <v>Indexing Conveyor Assemb</v>
      </c>
      <c r="D3" s="85" t="s">
        <v>50</v>
      </c>
      <c r="E3" s="86" t="str">
        <f ca="1">MID(CELL("filename",A1),FIND("]",CELL("filename",A1))+1,256)</f>
        <v>10.3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>
        <v>4</v>
      </c>
      <c r="C5" s="112" t="s">
        <v>1410</v>
      </c>
      <c r="D5" s="336" t="str">
        <f ca="1">VLOOKUP(C5,Assemblies!E:P,2,0)</f>
        <v>CONVEYOR L BRACKET ASSY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>
        <f ca="1">B5*$L$2</f>
        <v>4</v>
      </c>
      <c r="P5" s="117">
        <f>'10.3.1'!Q13</f>
        <v>147.8775</v>
      </c>
      <c r="Q5" s="118">
        <f>B5*P5</f>
        <v>591.51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77">
        <v>1</v>
      </c>
      <c r="B7" s="20">
        <v>1</v>
      </c>
      <c r="C7" s="121" t="s">
        <v>1411</v>
      </c>
      <c r="D7" s="314" t="str">
        <f>VLOOKUP(C7,Machined!C:X,2,0)</f>
        <v>Cleat Sensor Mount</v>
      </c>
      <c r="E7" s="329"/>
      <c r="F7" s="107" t="str">
        <f>VLOOKUP($C7,Machined!C:Z,13,0)</f>
        <v>304 STAINLESS STEEL</v>
      </c>
      <c r="G7" s="44" t="str">
        <f>IF(VLOOKUP($C7,Machined!C:Z,16,0) = 0, " ", VLOOKUP($C7,Machined!C:Z,16,0))</f>
        <v>Proto</v>
      </c>
      <c r="H7" s="320" t="str">
        <f>IF(VLOOKUP($C7,Machined!C:Z,17,0) = 0, " ", VLOOKUP($C7,Machined!C:Z,17,0))</f>
        <v xml:space="preserve"> </v>
      </c>
      <c r="I7" s="321" t="str">
        <f>IF(VLOOKUP($C7,Machined!$C:$Y,13,0) = 0, " ", VLOOKUP($C7,Machined!$C:$Y,13,0))</f>
        <v>304 STAINLESS STEEL</v>
      </c>
      <c r="J7" s="44">
        <f>IF(VLOOKUP($C7,Machined!C:Z,18,0) = 0, " ", VLOOKUP($C7,Machined!C:Z,18,0))</f>
        <v>45526</v>
      </c>
      <c r="K7" s="44">
        <f>IF(VLOOKUP($C7,Machined!C:Z,19,0) = 0, " ", VLOOKUP($C7,Machined!C:Z,19,0))</f>
        <v>45527</v>
      </c>
      <c r="L7" s="44">
        <f>IF(VLOOKUP($C7,Machined!C:Z,20,0) = 0, " ", VLOOKUP($C7,Machined!C:Z,20,0))</f>
        <v>45548</v>
      </c>
      <c r="M7" s="44">
        <f>IF(VLOOKUP($C7,Machined!C:Z,21,0) = 0, " ", VLOOKUP($C7,Machined!C:Z,21,0))</f>
        <v>45548</v>
      </c>
      <c r="N7" s="129">
        <f>IF(VLOOKUP($C7,Machined!C:Z,22,0) = 0, " ", VLOOKUP($C7,Machined!C:Z,22,0))</f>
        <v>55702</v>
      </c>
      <c r="O7" s="45">
        <f ca="1">B7*$L$2</f>
        <v>1</v>
      </c>
      <c r="P7" s="49">
        <f>VLOOKUP(C7,Machined!C:F,3,0)</f>
        <v>0</v>
      </c>
      <c r="Q7" s="50">
        <f>B7*P7</f>
        <v>0</v>
      </c>
    </row>
    <row r="8" spans="1:17" s="2" customFormat="1" ht="12" customHeight="1" x14ac:dyDescent="0.25">
      <c r="A8" s="77" t="s">
        <v>624</v>
      </c>
      <c r="B8" s="20">
        <v>2</v>
      </c>
      <c r="C8" s="121" t="s">
        <v>1412</v>
      </c>
      <c r="D8" s="314" t="str">
        <f>VLOOKUP(C8,Machined!C:X,2,0)</f>
        <v>SIDE BAG FENCE</v>
      </c>
      <c r="E8" s="329"/>
      <c r="F8" s="107" t="str">
        <f>VLOOKUP($C8,Machined!C:Z,13,0)</f>
        <v>304 STAINLESS STEEL</v>
      </c>
      <c r="G8" s="44" t="str">
        <f>IF(VLOOKUP($C8,Machined!C:Z,16,0) = 0, " ", VLOOKUP($C8,Machined!C:Z,16,0))</f>
        <v>Proto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304 STAINLESS STEEL</v>
      </c>
      <c r="J8" s="44">
        <f>IF(VLOOKUP($C8,Machined!C:Z,18,0) = 0, " ", VLOOKUP($C8,Machined!C:Z,18,0))</f>
        <v>45526</v>
      </c>
      <c r="K8" s="44">
        <f>IF(VLOOKUP($C8,Machined!C:Z,19,0) = 0, " ", VLOOKUP($C8,Machined!C:Z,19,0))</f>
        <v>45527</v>
      </c>
      <c r="L8" s="44">
        <f>IF(VLOOKUP($C8,Machined!C:Z,20,0) = 0, " ", VLOOKUP($C8,Machined!C:Z,20,0))</f>
        <v>45548</v>
      </c>
      <c r="M8" s="44">
        <f>IF(VLOOKUP($C8,Machined!C:Z,21,0) = 0, " ", VLOOKUP($C8,Machined!C:Z,21,0))</f>
        <v>45548</v>
      </c>
      <c r="N8" s="129">
        <f>IF(VLOOKUP($C8,Machined!C:Z,22,0) = 0, " ", VLOOKUP($C8,Machined!C:Z,22,0))</f>
        <v>55702</v>
      </c>
      <c r="O8" s="45">
        <f ca="1">B8*$L$2</f>
        <v>2</v>
      </c>
      <c r="P8" s="49">
        <f>VLOOKUP(C8,Machined!C:F,3,0)</f>
        <v>0</v>
      </c>
      <c r="Q8" s="50">
        <f>B8*P8</f>
        <v>0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301</v>
      </c>
      <c r="B10" s="2">
        <v>1</v>
      </c>
      <c r="C10" s="135" t="s">
        <v>1413</v>
      </c>
      <c r="D10" s="325" t="str">
        <f>VLOOKUP(C10,Purchased!A:B,2,0)</f>
        <v>Lower Cleated Delivery Conveyor D1134619132V2 32CTM48-0569600AC02797</v>
      </c>
      <c r="E10" s="326"/>
      <c r="F10" s="108" t="str">
        <f>IF(VLOOKUP($C10,Purchased!A:Z,11,0) = 0, " ", VLOOKUP($C10,Purchased!A:Z,11,0))</f>
        <v>DORNER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45491</v>
      </c>
      <c r="K10" s="46">
        <f>IF(VLOOKUP(C10,Purchased!A:R,14,0)=0, " ", VLOOKUP(C10,Purchased!A:R,14,0))</f>
        <v>45491</v>
      </c>
      <c r="L10" s="46">
        <f>IF(VLOOKUP(C10,Purchased!A:R,15,0)=0, " ", VLOOKUP(C10,Purchased!A:R,15,0))</f>
        <v>45491</v>
      </c>
      <c r="M10" s="46">
        <f>IF(VLOOKUP(C10,Purchased!A:R,16,0)=0, " ",VLOOKUP(C10,Purchased!A:R,16,0))</f>
        <v>45533</v>
      </c>
      <c r="N10" s="130">
        <f>IF(VLOOKUP(C10,Purchased!A:R,17,0)=0, " ", VLOOKUP(C10,Purchased!A:R,17,0))</f>
        <v>45533</v>
      </c>
      <c r="O10" s="47">
        <f t="shared" ref="O10:O20" ca="1" si="0">B10*$L$2</f>
        <v>1</v>
      </c>
      <c r="P10" s="51">
        <f>VLOOKUP(C10,Purchased!A:D,3,FALSE)</f>
        <v>7090.2749999999996</v>
      </c>
      <c r="Q10" s="52">
        <f t="shared" ref="Q10:Q20" si="1">B10*P10</f>
        <v>7090.2749999999996</v>
      </c>
    </row>
    <row r="11" spans="1:17" s="2" customFormat="1" ht="12" customHeight="1" x14ac:dyDescent="0.25">
      <c r="A11" s="4">
        <v>302</v>
      </c>
      <c r="B11" s="2">
        <v>1</v>
      </c>
      <c r="C11" s="135" t="s">
        <v>1414</v>
      </c>
      <c r="D11" s="325" t="str">
        <f>VLOOKUP(C11,Purchased!A:B,2,0)</f>
        <v>Bottom Mounting Pkg</v>
      </c>
      <c r="E11" s="326"/>
      <c r="F11" s="108" t="str">
        <f>IF(VLOOKUP($C11,Purchased!A:Z,11,0) = 0, " ", VLOOKUP($C11,Purchased!A:Z,11,0))</f>
        <v>DORNER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45491</v>
      </c>
      <c r="K11" s="46">
        <f>IF(VLOOKUP(C11,Purchased!A:R,14,0)=0, " ", VLOOKUP(C11,Purchased!A:R,14,0))</f>
        <v>45491</v>
      </c>
      <c r="L11" s="46">
        <f>IF(VLOOKUP(C11,Purchased!A:R,15,0)=0, " ", VLOOKUP(C11,Purchased!A:R,15,0))</f>
        <v>45491</v>
      </c>
      <c r="M11" s="46">
        <f>IF(VLOOKUP(C11,Purchased!A:R,16,0)=0, " ",VLOOKUP(C11,Purchased!A:R,16,0))</f>
        <v>45533</v>
      </c>
      <c r="N11" s="130">
        <f>IF(VLOOKUP(C11,Purchased!A:R,17,0)=0, " ", VLOOKUP(C11,Purchased!A:R,17,0))</f>
        <v>45533</v>
      </c>
      <c r="O11" s="47">
        <f t="shared" ca="1" si="0"/>
        <v>1</v>
      </c>
      <c r="P11" s="51">
        <f>VLOOKUP(C11,Purchased!A:D,3,FALSE)</f>
        <v>679.5625</v>
      </c>
      <c r="Q11" s="52">
        <f t="shared" si="1"/>
        <v>679.5625</v>
      </c>
    </row>
    <row r="12" spans="1:17" s="2" customFormat="1" ht="12" customHeight="1" x14ac:dyDescent="0.25">
      <c r="A12" s="4">
        <v>303</v>
      </c>
      <c r="B12" s="2">
        <v>1</v>
      </c>
      <c r="C12" s="135" t="s">
        <v>1415</v>
      </c>
      <c r="D12" s="325" t="str">
        <f>VLOOKUP(C12,Purchased!A:B,2,0)</f>
        <v>P331SPSS0070EZ402U Gearmotor, Cleated Delivery</v>
      </c>
      <c r="E12" s="326"/>
      <c r="F12" s="108" t="str">
        <f>IF(VLOOKUP($C12,Purchased!A:Z,11,0) = 0, " ", VLOOKUP($C12,Purchased!A:Z,11,0))</f>
        <v>Stober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45426</v>
      </c>
      <c r="K12" s="46">
        <f>IF(VLOOKUP(C12,Purchased!A:R,14,0)=0, " ", VLOOKUP(C12,Purchased!A:R,14,0))</f>
        <v>45426</v>
      </c>
      <c r="L12" s="46">
        <f>IF(VLOOKUP(C12,Purchased!A:R,15,0)=0, " ", VLOOKUP(C12,Purchased!A:R,15,0))</f>
        <v>45426</v>
      </c>
      <c r="M12" s="46">
        <f>IF(VLOOKUP(C12,Purchased!A:R,16,0)=0, " ",VLOOKUP(C12,Purchased!A:R,16,0))</f>
        <v>45524</v>
      </c>
      <c r="N12" s="130">
        <f>IF(VLOOKUP(C12,Purchased!A:R,17,0)=0, " ", VLOOKUP(C12,Purchased!A:R,17,0))</f>
        <v>45524</v>
      </c>
      <c r="O12" s="47">
        <f t="shared" ca="1" si="0"/>
        <v>1</v>
      </c>
      <c r="P12" s="51">
        <f>VLOOKUP(C12,Purchased!A:D,3,FALSE)</f>
        <v>2436.2986999999998</v>
      </c>
      <c r="Q12" s="52">
        <f t="shared" si="1"/>
        <v>2436.2986999999998</v>
      </c>
    </row>
    <row r="13" spans="1:17" s="2" customFormat="1" ht="12" customHeight="1" x14ac:dyDescent="0.25">
      <c r="A13" s="4">
        <v>304</v>
      </c>
      <c r="B13" s="2">
        <v>1</v>
      </c>
      <c r="C13" s="135" t="s">
        <v>820</v>
      </c>
      <c r="D13" s="325" t="str">
        <f>VLOOKUP(C13,Purchased!A:B,2,0)</f>
        <v>Keyence COMPACT LASER SENSOR, M8 CONNECTOR, 100MM RANGE</v>
      </c>
      <c r="E13" s="326"/>
      <c r="F13" s="108" t="str">
        <f>IF(VLOOKUP($C13,Purchased!A:Z,11,0) = 0, " ", VLOOKUP($C13,Purchased!A:Z,11,0))</f>
        <v>KEYENCE</v>
      </c>
      <c r="G13" s="108" t="str">
        <f>IF(VLOOKUP($C13,Purchased!A:Z,12,0)=0, " ", VLOOKUP($C13,Purchased!A:Z,12,0))</f>
        <v>KEYENCE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45516</v>
      </c>
      <c r="K13" s="46">
        <f>IF(VLOOKUP(C13,Purchased!A:R,14,0)=0, " ", VLOOKUP(C13,Purchased!A:R,14,0))</f>
        <v>45516</v>
      </c>
      <c r="L13" s="46">
        <f>IF(VLOOKUP(C13,Purchased!A:R,15,0)=0, " ", VLOOKUP(C13,Purchased!A:R,15,0))</f>
        <v>45518</v>
      </c>
      <c r="M13" s="46">
        <f>IF(VLOOKUP(C13,Purchased!A:R,16,0)=0, " ",VLOOKUP(C13,Purchased!A:R,16,0))</f>
        <v>45526</v>
      </c>
      <c r="N13" s="130">
        <f>IF(VLOOKUP(C13,Purchased!A:R,17,0)=0, " ", VLOOKUP(C13,Purchased!A:R,17,0))</f>
        <v>45526</v>
      </c>
      <c r="O13" s="47">
        <f t="shared" ca="1" si="0"/>
        <v>1</v>
      </c>
      <c r="P13" s="51">
        <f>VLOOKUP(C13,Purchased!A:D,3,FALSE)</f>
        <v>575</v>
      </c>
      <c r="Q13" s="52">
        <f t="shared" si="1"/>
        <v>575</v>
      </c>
    </row>
    <row r="14" spans="1:17" s="2" customFormat="1" ht="12" customHeight="1" x14ac:dyDescent="0.25">
      <c r="A14" s="4">
        <v>305</v>
      </c>
      <c r="B14" s="2">
        <v>1</v>
      </c>
      <c r="C14" s="135" t="s">
        <v>796</v>
      </c>
      <c r="D14" s="325" t="str">
        <f>VLOOKUP(C14,Purchased!A:B,2,0)</f>
        <v>Keyence AMPLIFIER BRACKET FOR LR-X100C SENSOR</v>
      </c>
      <c r="E14" s="326"/>
      <c r="F14" s="108" t="str">
        <f>IF(VLOOKUP($C14,Purchased!A:Z,11,0) = 0, " ", VLOOKUP($C14,Purchased!A:Z,11,0))</f>
        <v>KEYENCE</v>
      </c>
      <c r="G14" s="108" t="str">
        <f>IF(VLOOKUP($C14,Purchased!A:Z,12,0)=0, " ", VLOOKUP($C14,Purchased!A:Z,12,0))</f>
        <v>KEYENCE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45516</v>
      </c>
      <c r="K14" s="46">
        <f>IF(VLOOKUP(C14,Purchased!A:R,14,0)=0, " ", VLOOKUP(C14,Purchased!A:R,14,0))</f>
        <v>45516</v>
      </c>
      <c r="L14" s="46">
        <f>IF(VLOOKUP(C14,Purchased!A:R,15,0)=0, " ", VLOOKUP(C14,Purchased!A:R,15,0))</f>
        <v>45518</v>
      </c>
      <c r="M14" s="46">
        <f>IF(VLOOKUP(C14,Purchased!A:R,16,0)=0, " ",VLOOKUP(C14,Purchased!A:R,16,0))</f>
        <v>45526</v>
      </c>
      <c r="N14" s="130">
        <f>IF(VLOOKUP(C14,Purchased!A:R,17,0)=0, " ", VLOOKUP(C14,Purchased!A:R,17,0))</f>
        <v>45526</v>
      </c>
      <c r="O14" s="47">
        <f t="shared" ca="1" si="0"/>
        <v>1</v>
      </c>
      <c r="P14" s="51">
        <f>VLOOKUP(C14,Purchased!A:D,3,FALSE)</f>
        <v>12</v>
      </c>
      <c r="Q14" s="52">
        <f t="shared" si="1"/>
        <v>12</v>
      </c>
    </row>
    <row r="15" spans="1:17" s="2" customFormat="1" ht="12" customHeight="1" x14ac:dyDescent="0.25">
      <c r="A15" s="4">
        <v>306</v>
      </c>
      <c r="B15" s="2">
        <v>1</v>
      </c>
      <c r="C15" s="135" t="s">
        <v>1416</v>
      </c>
      <c r="D15" s="325" t="str">
        <f>VLOOKUP(C15,Purchased!A:B,2,0)</f>
        <v>1210 Taper Lock Bushing 16mm ID</v>
      </c>
      <c r="E15" s="326"/>
      <c r="F15" s="108" t="str">
        <f>IF(VLOOKUP($C15,Purchased!A:Z,11,0) = 0, " ", VLOOKUP($C15,Purchased!A:Z,11,0))</f>
        <v>MCM</v>
      </c>
      <c r="G15" s="108" t="str">
        <f>IF(VLOOKUP($C15,Purchased!A:Z,12,0)=0, " ", VLOOKUP($C15,Purchased!A:Z,12,0))</f>
        <v>MCM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45526</v>
      </c>
      <c r="K15" s="46">
        <f>IF(VLOOKUP(C15,Purchased!A:R,14,0)=0, " ", VLOOKUP(C15,Purchased!A:R,14,0))</f>
        <v>45526</v>
      </c>
      <c r="L15" s="46">
        <f>IF(VLOOKUP(C15,Purchased!A:R,15,0)=0, " ", VLOOKUP(C15,Purchased!A:R,15,0))</f>
        <v>45526</v>
      </c>
      <c r="M15" s="46" t="str">
        <f>IF(VLOOKUP(C15,Purchased!A:R,16,0)=0, " ",VLOOKUP(C15,Purchased!A:R,16,0))</f>
        <v xml:space="preserve"> </v>
      </c>
      <c r="N15" s="130" t="str">
        <f>IF(VLOOKUP(C15,Purchased!A:R,17,0)=0, " ", VLOOKUP(C15,Purchased!A:R,17,0))</f>
        <v xml:space="preserve"> </v>
      </c>
      <c r="O15" s="47">
        <f t="shared" ca="1" si="0"/>
        <v>1</v>
      </c>
      <c r="P15" s="51">
        <f>VLOOKUP(C15,Purchased!A:D,3,FALSE)</f>
        <v>33.17</v>
      </c>
      <c r="Q15" s="52">
        <f t="shared" si="1"/>
        <v>33.17</v>
      </c>
    </row>
    <row r="16" spans="1:17" s="2" customFormat="1" ht="12" customHeight="1" x14ac:dyDescent="0.25">
      <c r="A16" s="4">
        <v>307</v>
      </c>
      <c r="B16" s="2">
        <v>1</v>
      </c>
      <c r="C16" s="135" t="s">
        <v>1358</v>
      </c>
      <c r="D16" s="325" t="str">
        <f>VLOOKUP(C16,Purchased!A:B,2,0)</f>
        <v>M8 4PIN TO FLYING LEAD 10M CABLE, Gray</v>
      </c>
      <c r="E16" s="326"/>
      <c r="F16" s="108" t="str">
        <f>IF(VLOOKUP($C16,Purchased!A:Z,11,0) = 0, " ", VLOOKUP($C16,Purchased!A:Z,11,0))</f>
        <v>MURR</v>
      </c>
      <c r="G16" s="108" t="str">
        <f>IF(VLOOKUP($C16,Purchased!A:Z,12,0)=0, " ", VLOOKUP($C16,Purchased!A:Z,12,0))</f>
        <v>MURR</v>
      </c>
      <c r="H16" s="327" t="str">
        <f>IF(VLOOKUP($C16,Purchased!A:Z,13,0)=0, " ", VLOOKUP($C16,Purchased!A:Z,13,0))</f>
        <v xml:space="preserve"> </v>
      </c>
      <c r="I16" s="328"/>
      <c r="J16" s="46">
        <f>IF(VLOOKUP($C16,Purchased!A:Z,14,0)=0, " ", VLOOKUP($C16,Purchased!A:Z,14,0))</f>
        <v>45506</v>
      </c>
      <c r="K16" s="46">
        <f>IF(VLOOKUP(C16,Purchased!A:R,14,0)=0, " ", VLOOKUP(C16,Purchased!A:R,14,0))</f>
        <v>45506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str">
        <f>IF(VLOOKUP(C16,Purchased!A:R,17,0)=0, " ", VLOOKUP(C16,Purchased!A:R,17,0))</f>
        <v xml:space="preserve"> </v>
      </c>
      <c r="O16" s="47">
        <f t="shared" ca="1" si="0"/>
        <v>1</v>
      </c>
      <c r="P16" s="51">
        <f>VLOOKUP(C16,Purchased!A:D,3,FALSE)</f>
        <v>0</v>
      </c>
      <c r="Q16" s="52">
        <f t="shared" si="1"/>
        <v>0</v>
      </c>
    </row>
    <row r="17" spans="1:17" s="2" customFormat="1" ht="12" customHeight="1" x14ac:dyDescent="0.25">
      <c r="A17" s="4">
        <v>308</v>
      </c>
      <c r="B17" s="2">
        <v>1</v>
      </c>
      <c r="C17" s="135" t="s">
        <v>307</v>
      </c>
      <c r="D17" s="325" t="str">
        <f>VLOOKUP(C17,Purchased!A:B,2,0)</f>
        <v>STOBER - Power cable -56876, 15MTR</v>
      </c>
      <c r="E17" s="326"/>
      <c r="F17" s="108" t="str">
        <f>IF(VLOOKUP($C17,Purchased!A:Z,11,0) = 0, " ", VLOOKUP($C17,Purchased!A:Z,11,0))</f>
        <v>STOBER</v>
      </c>
      <c r="G17" s="108" t="str">
        <f>IF(VLOOKUP($C17,Purchased!A:Z,12,0)=0, " ", VLOOKUP($C17,Purchased!A:Z,12,0))</f>
        <v>AAP</v>
      </c>
      <c r="H17" s="327" t="str">
        <f>IF(VLOOKUP($C17,Purchased!A:Z,13,0)=0, " ", VLOOKUP($C17,Purchased!A:Z,13,0))</f>
        <v xml:space="preserve"> </v>
      </c>
      <c r="I17" s="328"/>
      <c r="J17" s="46">
        <f>IF(VLOOKUP($C17,Purchased!A:Z,14,0)=0, " ", VLOOKUP($C17,Purchased!A:Z,14,0))</f>
        <v>45463</v>
      </c>
      <c r="K17" s="46">
        <f>IF(VLOOKUP(C17,Purchased!A:R,14,0)=0, " ", VLOOKUP(C17,Purchased!A:R,14,0))</f>
        <v>45463</v>
      </c>
      <c r="L17" s="46">
        <f>IF(VLOOKUP(C17,Purchased!A:R,15,0)=0, " ", VLOOKUP(C17,Purchased!A:R,15,0))</f>
        <v>45464</v>
      </c>
      <c r="M17" s="46">
        <f>IF(VLOOKUP(C17,Purchased!A:R,16,0)=0, " ",VLOOKUP(C17,Purchased!A:R,16,0))</f>
        <v>45532</v>
      </c>
      <c r="N17" s="130">
        <f>IF(VLOOKUP(C17,Purchased!A:R,17,0)=0, " ", VLOOKUP(C17,Purchased!A:R,17,0))</f>
        <v>45532</v>
      </c>
      <c r="O17" s="47">
        <f t="shared" ca="1" si="0"/>
        <v>1</v>
      </c>
      <c r="P17" s="51">
        <f>VLOOKUP(C17,Purchased!A:D,3,FALSE)</f>
        <v>325.7473</v>
      </c>
      <c r="Q17" s="52">
        <f t="shared" si="1"/>
        <v>325.7473</v>
      </c>
    </row>
    <row r="18" spans="1:17" s="2" customFormat="1" ht="12" customHeight="1" x14ac:dyDescent="0.25">
      <c r="A18" s="4">
        <v>309</v>
      </c>
      <c r="B18" s="2">
        <v>1</v>
      </c>
      <c r="C18" s="135" t="s">
        <v>308</v>
      </c>
      <c r="D18" s="325" t="str">
        <f>VLOOKUP(C18,Purchased!A:B,2,0)</f>
        <v>STOBER - Encoder cable -57815, 15MTR</v>
      </c>
      <c r="E18" s="326"/>
      <c r="F18" s="108" t="str">
        <f>IF(VLOOKUP($C18,Purchased!A:Z,11,0) = 0, " ", VLOOKUP($C18,Purchased!A:Z,11,0))</f>
        <v>STOBER</v>
      </c>
      <c r="G18" s="108" t="str">
        <f>IF(VLOOKUP($C18,Purchased!A:Z,12,0)=0, " ", VLOOKUP($C18,Purchased!A:Z,12,0))</f>
        <v>AAP</v>
      </c>
      <c r="H18" s="327" t="str">
        <f>IF(VLOOKUP($C18,Purchased!A:Z,13,0)=0, " ", VLOOKUP($C18,Purchased!A:Z,13,0))</f>
        <v xml:space="preserve"> </v>
      </c>
      <c r="I18" s="328"/>
      <c r="J18" s="46">
        <f>IF(VLOOKUP($C18,Purchased!A:Z,14,0)=0, " ", VLOOKUP($C18,Purchased!A:Z,14,0))</f>
        <v>45463</v>
      </c>
      <c r="K18" s="46">
        <f>IF(VLOOKUP(C18,Purchased!A:R,14,0)=0, " ", VLOOKUP(C18,Purchased!A:R,14,0))</f>
        <v>45463</v>
      </c>
      <c r="L18" s="46">
        <f>IF(VLOOKUP(C18,Purchased!A:R,15,0)=0, " ", VLOOKUP(C18,Purchased!A:R,15,0))</f>
        <v>45464</v>
      </c>
      <c r="M18" s="46">
        <f>IF(VLOOKUP(C18,Purchased!A:R,16,0)=0, " ",VLOOKUP(C18,Purchased!A:R,16,0))</f>
        <v>45532</v>
      </c>
      <c r="N18" s="130">
        <f>IF(VLOOKUP(C18,Purchased!A:R,17,0)=0, " ", VLOOKUP(C18,Purchased!A:R,17,0))</f>
        <v>45532</v>
      </c>
      <c r="O18" s="47">
        <f t="shared" ref="O18:O19" ca="1" si="2">B18*$L$2</f>
        <v>1</v>
      </c>
      <c r="P18" s="51">
        <f>VLOOKUP(C18,Purchased!A:D,3,FALSE)</f>
        <v>340.1893</v>
      </c>
      <c r="Q18" s="52">
        <f t="shared" ref="Q18:Q19" si="3">B18*P18</f>
        <v>340.1893</v>
      </c>
    </row>
    <row r="19" spans="1:17" s="2" customFormat="1" ht="12" customHeight="1" x14ac:dyDescent="0.25">
      <c r="A19" s="4">
        <v>309</v>
      </c>
      <c r="B19" s="2">
        <v>1</v>
      </c>
      <c r="C19" s="135" t="s">
        <v>763</v>
      </c>
      <c r="D19" s="325" t="str">
        <f>VLOOKUP(C19,Purchased!A:B,2,0)</f>
        <v>M6X1.0 SINGLE HOLE T-BAR</v>
      </c>
      <c r="E19" s="326"/>
      <c r="F19" s="108" t="str">
        <f>IF(VLOOKUP($C19,Purchased!A:Z,11,0) = 0, " ", VLOOKUP($C19,Purchased!A:Z,11,0))</f>
        <v>DORNER</v>
      </c>
      <c r="G19" s="108" t="str">
        <f>IF(VLOOKUP($C19,Purchased!A:Z,12,0)=0, " ", VLOOKUP($C19,Purchased!A:Z,12,0))</f>
        <v>AAP</v>
      </c>
      <c r="H19" s="327" t="str">
        <f>IF(VLOOKUP($C19,Purchased!A:Z,13,0)=0, " ", VLOOKUP($C19,Purchased!A:Z,13,0))</f>
        <v xml:space="preserve"> </v>
      </c>
      <c r="I19" s="328"/>
      <c r="J19" s="46" t="str">
        <f>IF(VLOOKUP($C19,Purchased!A:Z,14,0)=0, " ", VLOOKUP($C19,Purchased!A:Z,14,0))</f>
        <v>N/A</v>
      </c>
      <c r="K19" s="46" t="str">
        <f>IF(VLOOKUP(C19,Purchased!A:R,14,0)=0, " ", VLOOKUP(C19,Purchased!A:R,14,0))</f>
        <v>N/A</v>
      </c>
      <c r="L19" s="46">
        <f>IF(VLOOKUP(C19,Purchased!A:R,15,0)=0, " ", VLOOKUP(C19,Purchased!A:R,15,0))</f>
        <v>45524</v>
      </c>
      <c r="M19" s="46">
        <f>IF(VLOOKUP(C19,Purchased!A:R,16,0)=0, " ",VLOOKUP(C19,Purchased!A:R,16,0))</f>
        <v>45547</v>
      </c>
      <c r="N19" s="130" t="str">
        <f>IF(VLOOKUP(C19,Purchased!A:R,17,0)=0, " ", VLOOKUP(C19,Purchased!A:R,17,0))</f>
        <v xml:space="preserve"> </v>
      </c>
      <c r="O19" s="47">
        <f t="shared" ca="1" si="2"/>
        <v>1</v>
      </c>
      <c r="P19" s="51">
        <f>VLOOKUP(C19,Purchased!A:D,3,FALSE)</f>
        <v>3.01</v>
      </c>
      <c r="Q19" s="52">
        <f t="shared" si="3"/>
        <v>3.01</v>
      </c>
    </row>
    <row r="20" spans="1:17" s="2" customFormat="1" ht="12" customHeight="1" x14ac:dyDescent="0.25">
      <c r="A20" s="4">
        <v>310</v>
      </c>
      <c r="B20" s="2">
        <v>8</v>
      </c>
      <c r="C20" s="135" t="s">
        <v>1417</v>
      </c>
      <c r="D20" s="325" t="str">
        <f>VLOOKUP(C20,Purchased!A:B,2,0)</f>
        <v>8507K15_Neoprene Rubber Trim 1/16INCH</v>
      </c>
      <c r="E20" s="326"/>
      <c r="F20" s="108" t="str">
        <f>IF(VLOOKUP($C20,Purchased!A:Z,11,0) = 0, " ", VLOOKUP($C20,Purchased!A:Z,11,0))</f>
        <v>MCM</v>
      </c>
      <c r="G20" s="108" t="str">
        <f>IF(VLOOKUP($C20,Purchased!A:Z,12,0)=0, " ", VLOOKUP($C20,Purchased!A:Z,12,0))</f>
        <v>MCM</v>
      </c>
      <c r="H20" s="327" t="str">
        <f>IF(VLOOKUP($C20,Purchased!A:Z,13,0)=0, " ", VLOOKUP($C20,Purchased!A:Z,13,0))</f>
        <v>10ft packs, need 8 ft</v>
      </c>
      <c r="I20" s="328"/>
      <c r="J20" s="46" t="str">
        <f>IF(VLOOKUP($C20,Purchased!A:Z,14,0)=0, " ", VLOOKUP($C20,Purchased!A:Z,14,0))</f>
        <v xml:space="preserve"> </v>
      </c>
      <c r="K20" s="46" t="str">
        <f>IF(VLOOKUP(C20,Purchased!A:R,14,0)=0, " ", VLOOKUP(C20,Purchased!A:R,14,0))</f>
        <v xml:space="preserve"> </v>
      </c>
      <c r="L20" s="46" t="str">
        <f>IF(VLOOKUP(C20,Purchased!A:R,15,0)=0, " ", VLOOKUP(C20,Purchased!A:R,15,0))</f>
        <v xml:space="preserve"> </v>
      </c>
      <c r="M20" s="46" t="str">
        <f>IF(VLOOKUP(C20,Purchased!A:R,16,0)=0, " ",VLOOKUP(C20,Purchased!A:R,16,0))</f>
        <v xml:space="preserve"> </v>
      </c>
      <c r="N20" s="130" t="str">
        <f>IF(VLOOKUP(C20,Purchased!A:R,17,0)=0, " ", VLOOKUP(C20,Purchased!A:R,17,0))</f>
        <v xml:space="preserve"> </v>
      </c>
      <c r="O20" s="47">
        <f t="shared" ca="1" si="0"/>
        <v>8</v>
      </c>
      <c r="P20" s="51">
        <f>VLOOKUP(C20,Purchased!A:D,3,FALSE)</f>
        <v>1.69</v>
      </c>
      <c r="Q20" s="52">
        <f t="shared" si="1"/>
        <v>13.52</v>
      </c>
    </row>
    <row r="21" spans="1:17" s="2" customFormat="1" ht="12" customHeight="1" x14ac:dyDescent="0.25">
      <c r="A21" s="25"/>
      <c r="B21" s="26"/>
      <c r="C21" s="26"/>
      <c r="D21" s="332"/>
      <c r="E21" s="333"/>
      <c r="F21" s="26"/>
      <c r="G21" s="26"/>
      <c r="H21" s="322"/>
      <c r="I21" s="323"/>
      <c r="J21" s="27"/>
      <c r="K21" s="27"/>
      <c r="L21" s="27"/>
      <c r="M21" s="28"/>
      <c r="N21" s="29"/>
      <c r="O21" s="29"/>
      <c r="P21" s="148"/>
      <c r="Q21" s="149"/>
    </row>
    <row r="22" spans="1:17" s="2" customFormat="1" ht="12" customHeight="1" x14ac:dyDescent="0.25">
      <c r="A22" s="4">
        <v>501</v>
      </c>
      <c r="B22" s="2">
        <v>2</v>
      </c>
      <c r="C22" s="122" t="s">
        <v>777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>
        <f>VLOOKUP(C22,Bolts!A:L,12,0)</f>
        <v>0</v>
      </c>
      <c r="O22" s="47">
        <f t="shared" ref="O22:O23" ca="1" si="4">B22*$L$2</f>
        <v>2</v>
      </c>
      <c r="P22" s="51">
        <f>VLOOKUP(C22,Bolts!A:B,2,FALSE)</f>
        <v>0</v>
      </c>
      <c r="Q22" s="52">
        <f t="shared" ref="Q22:Q23" si="5">B22*P22</f>
        <v>0</v>
      </c>
    </row>
    <row r="23" spans="1:17" s="2" customFormat="1" ht="12" customHeight="1" x14ac:dyDescent="0.25">
      <c r="A23" s="4">
        <v>502</v>
      </c>
      <c r="B23" s="2">
        <v>6</v>
      </c>
      <c r="C23" s="122" t="s">
        <v>95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>
        <f>VLOOKUP(C23,Bolts!A:L,12,0)</f>
        <v>0</v>
      </c>
      <c r="O23" s="47">
        <f t="shared" ca="1" si="4"/>
        <v>6</v>
      </c>
      <c r="P23" s="51">
        <f>VLOOKUP(C23,Bolts!A:B,2,FALSE)</f>
        <v>0</v>
      </c>
      <c r="Q23" s="52">
        <f t="shared" si="5"/>
        <v>0</v>
      </c>
    </row>
    <row r="24" spans="1:17" s="2" customFormat="1" ht="12" customHeight="1" x14ac:dyDescent="0.25">
      <c r="A24" s="4">
        <v>503</v>
      </c>
      <c r="B24" s="2">
        <v>8</v>
      </c>
      <c r="C24" s="122" t="s">
        <v>174</v>
      </c>
      <c r="D24" s="325"/>
      <c r="E24" s="326"/>
      <c r="F24" s="108">
        <f>VLOOKUP(C24,Bolts!A:L,5,0)</f>
        <v>0</v>
      </c>
      <c r="G24" s="108">
        <f>VLOOKUP(C24,Bolts!A:L,6,0)</f>
        <v>0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>
        <f>VLOOKUP(C24,Bolts!A:L,12,0)</f>
        <v>0</v>
      </c>
      <c r="O24" s="47">
        <f t="shared" ref="O24:O25" ca="1" si="6">B24*$L$2</f>
        <v>8</v>
      </c>
      <c r="P24" s="51">
        <f>VLOOKUP(C24,Bolts!A:B,2,FALSE)</f>
        <v>0</v>
      </c>
      <c r="Q24" s="52">
        <f t="shared" ref="Q24:Q25" si="7">B24*P24</f>
        <v>0</v>
      </c>
    </row>
    <row r="25" spans="1:17" s="2" customFormat="1" ht="12" customHeight="1" x14ac:dyDescent="0.25">
      <c r="A25" s="4">
        <v>504</v>
      </c>
      <c r="B25" s="2">
        <v>2</v>
      </c>
      <c r="C25" s="122" t="s">
        <v>1418</v>
      </c>
      <c r="D25" s="325"/>
      <c r="E25" s="326"/>
      <c r="F25" s="108">
        <f>VLOOKUP(C25,Bolts!A:L,5,0)</f>
        <v>0</v>
      </c>
      <c r="G25" s="108">
        <f>VLOOKUP(C25,Bolts!A:L,6,0)</f>
        <v>0</v>
      </c>
      <c r="H25" s="108">
        <f>VLOOKUP(C25,Bolts!A:L,7,0)</f>
        <v>0</v>
      </c>
      <c r="I25" s="109"/>
      <c r="J25" s="46">
        <f>VLOOKUP(C25,Bolts!A:L,8,0)</f>
        <v>0</v>
      </c>
      <c r="K25" s="46">
        <f>VLOOKUP(C25,Bolts!A:L,9,0)</f>
        <v>0</v>
      </c>
      <c r="L25" s="46">
        <f>VLOOKUP(C25,Bolts!A:L,10,0)</f>
        <v>0</v>
      </c>
      <c r="M25" s="46">
        <f>VLOOKUP(C25,Bolts!A:L,11,0)</f>
        <v>0</v>
      </c>
      <c r="N25" s="130">
        <f>VLOOKUP(C25,Bolts!A:L,12,0)</f>
        <v>0</v>
      </c>
      <c r="O25" s="47">
        <f t="shared" ca="1" si="6"/>
        <v>2</v>
      </c>
      <c r="P25" s="51">
        <f>VLOOKUP(C25,Bolts!A:B,2,FALSE)</f>
        <v>0</v>
      </c>
      <c r="Q25" s="52">
        <f t="shared" si="7"/>
        <v>0</v>
      </c>
    </row>
    <row r="26" spans="1:17" s="2" customFormat="1" ht="12" customHeight="1" thickBot="1" x14ac:dyDescent="0.3">
      <c r="A26" s="4">
        <v>505</v>
      </c>
      <c r="B26" s="2">
        <v>8</v>
      </c>
      <c r="C26" s="122" t="s">
        <v>241</v>
      </c>
      <c r="D26" s="325"/>
      <c r="E26" s="326"/>
      <c r="F26" s="108">
        <f>VLOOKUP(C26,Bolts!A:L,5,0)</f>
        <v>0</v>
      </c>
      <c r="G26" s="108">
        <f>VLOOKUP(C26,Bolts!A:L,6,0)</f>
        <v>0</v>
      </c>
      <c r="H26" s="108">
        <f>VLOOKUP(C26,Bolts!A:L,7,0)</f>
        <v>0</v>
      </c>
      <c r="I26" s="109"/>
      <c r="J26" s="46">
        <f>VLOOKUP(C26,Bolts!A:L,8,0)</f>
        <v>0</v>
      </c>
      <c r="K26" s="46">
        <f>VLOOKUP(C26,Bolts!A:L,9,0)</f>
        <v>0</v>
      </c>
      <c r="L26" s="46">
        <f>VLOOKUP(C26,Bolts!A:L,10,0)</f>
        <v>0</v>
      </c>
      <c r="M26" s="46">
        <f>VLOOKUP(C26,Bolts!A:L,11,0)</f>
        <v>0</v>
      </c>
      <c r="N26" s="130">
        <f>VLOOKUP(C26,Bolts!A:L,12,0)</f>
        <v>0</v>
      </c>
      <c r="O26" s="47">
        <f t="shared" ref="O26" ca="1" si="8">B26*$L$2</f>
        <v>8</v>
      </c>
      <c r="P26" s="51">
        <f>VLOOKUP(C26,Bolts!A:B,2,FALSE)</f>
        <v>0</v>
      </c>
      <c r="Q26" s="52">
        <f t="shared" ref="Q26" si="9">B26*P26</f>
        <v>0</v>
      </c>
    </row>
    <row r="27" spans="1:17" s="2" customFormat="1" ht="12" customHeight="1" thickBot="1" x14ac:dyDescent="0.3">
      <c r="A27" s="34"/>
      <c r="B27" s="35"/>
      <c r="C27" s="35"/>
      <c r="D27" s="316"/>
      <c r="E27" s="317"/>
      <c r="F27" s="35"/>
      <c r="G27" s="35"/>
      <c r="H27" s="309"/>
      <c r="I27" s="310"/>
      <c r="J27" s="36"/>
      <c r="K27" s="36"/>
      <c r="L27" s="36"/>
      <c r="M27" s="37"/>
      <c r="N27" s="132"/>
      <c r="O27" s="38"/>
      <c r="P27" s="99" t="s">
        <v>43</v>
      </c>
      <c r="Q27" s="104">
        <f>SUM(Q5:Q20)</f>
        <v>12100.282800000001</v>
      </c>
    </row>
  </sheetData>
  <mergeCells count="44">
    <mergeCell ref="D18:E18"/>
    <mergeCell ref="H18:I18"/>
    <mergeCell ref="D21:E21"/>
    <mergeCell ref="H21:I21"/>
    <mergeCell ref="D26:E26"/>
    <mergeCell ref="D24:E24"/>
    <mergeCell ref="D22:E22"/>
    <mergeCell ref="D23:E23"/>
    <mergeCell ref="D25:E25"/>
    <mergeCell ref="D19:E19"/>
    <mergeCell ref="H19:I19"/>
    <mergeCell ref="D27:E27"/>
    <mergeCell ref="H27:I27"/>
    <mergeCell ref="D12:E12"/>
    <mergeCell ref="H12:I12"/>
    <mergeCell ref="D13:E13"/>
    <mergeCell ref="H13:I13"/>
    <mergeCell ref="D16:E16"/>
    <mergeCell ref="H16:I16"/>
    <mergeCell ref="D14:E14"/>
    <mergeCell ref="H14:I14"/>
    <mergeCell ref="D15:E15"/>
    <mergeCell ref="H15:I15"/>
    <mergeCell ref="D17:E17"/>
    <mergeCell ref="H17:I17"/>
    <mergeCell ref="D20:E20"/>
    <mergeCell ref="H20:I20"/>
    <mergeCell ref="D1:E1"/>
    <mergeCell ref="D4:E4"/>
    <mergeCell ref="H4:I4"/>
    <mergeCell ref="D5:E5"/>
    <mergeCell ref="H5:I5"/>
    <mergeCell ref="D11:E11"/>
    <mergeCell ref="H11:I11"/>
    <mergeCell ref="D6:E6"/>
    <mergeCell ref="H6:I6"/>
    <mergeCell ref="D10:E10"/>
    <mergeCell ref="H10:I10"/>
    <mergeCell ref="D7:E7"/>
    <mergeCell ref="H7:I7"/>
    <mergeCell ref="D9:E9"/>
    <mergeCell ref="H9:I9"/>
    <mergeCell ref="D8:E8"/>
    <mergeCell ref="H8:I8"/>
  </mergeCells>
  <conditionalFormatting sqref="M6">
    <cfRule type="cellIs" dxfId="350" priority="21" stopIfTrue="1" operator="lessThanOrEqual">
      <formula>$L6</formula>
    </cfRule>
    <cfRule type="cellIs" dxfId="349" priority="22" operator="greaterThan">
      <formula>L6</formula>
    </cfRule>
  </conditionalFormatting>
  <conditionalFormatting sqref="M9">
    <cfRule type="cellIs" dxfId="348" priority="19" stopIfTrue="1" operator="lessThanOrEqual">
      <formula>$L9</formula>
    </cfRule>
    <cfRule type="cellIs" dxfId="347" priority="20" operator="greaterThan">
      <formula>L9</formula>
    </cfRule>
  </conditionalFormatting>
  <conditionalFormatting sqref="M10">
    <cfRule type="cellIs" dxfId="346" priority="17" stopIfTrue="1" operator="lessThanOrEqual">
      <formula>$L10</formula>
    </cfRule>
    <cfRule type="cellIs" dxfId="345" priority="18" operator="greaterThan">
      <formula>L10</formula>
    </cfRule>
  </conditionalFormatting>
  <conditionalFormatting sqref="M11">
    <cfRule type="cellIs" dxfId="344" priority="15" stopIfTrue="1" operator="lessThanOrEqual">
      <formula>$L11</formula>
    </cfRule>
    <cfRule type="cellIs" dxfId="343" priority="16" operator="greaterThan">
      <formula>L11</formula>
    </cfRule>
  </conditionalFormatting>
  <conditionalFormatting sqref="M12">
    <cfRule type="cellIs" dxfId="342" priority="13" stopIfTrue="1" operator="lessThanOrEqual">
      <formula>$L12</formula>
    </cfRule>
    <cfRule type="cellIs" dxfId="341" priority="14" operator="greaterThan">
      <formula>L12</formula>
    </cfRule>
  </conditionalFormatting>
  <conditionalFormatting sqref="M13">
    <cfRule type="cellIs" dxfId="340" priority="11" stopIfTrue="1" operator="lessThanOrEqual">
      <formula>$L13</formula>
    </cfRule>
    <cfRule type="cellIs" dxfId="339" priority="12" operator="greaterThan">
      <formula>L13</formula>
    </cfRule>
  </conditionalFormatting>
  <conditionalFormatting sqref="M14">
    <cfRule type="cellIs" dxfId="338" priority="9" stopIfTrue="1" operator="lessThanOrEqual">
      <formula>$L14</formula>
    </cfRule>
    <cfRule type="cellIs" dxfId="337" priority="10" operator="greaterThan">
      <formula>L14</formula>
    </cfRule>
  </conditionalFormatting>
  <conditionalFormatting sqref="M15">
    <cfRule type="cellIs" dxfId="336" priority="7" stopIfTrue="1" operator="lessThanOrEqual">
      <formula>$L15</formula>
    </cfRule>
    <cfRule type="cellIs" dxfId="335" priority="8" operator="greaterThan">
      <formula>L15</formula>
    </cfRule>
  </conditionalFormatting>
  <conditionalFormatting sqref="M16">
    <cfRule type="cellIs" dxfId="334" priority="5" stopIfTrue="1" operator="lessThanOrEqual">
      <formula>$L16</formula>
    </cfRule>
    <cfRule type="cellIs" dxfId="333" priority="6" operator="greaterThan">
      <formula>L16</formula>
    </cfRule>
  </conditionalFormatting>
  <conditionalFormatting sqref="M17:M20">
    <cfRule type="cellIs" dxfId="332" priority="3" stopIfTrue="1" operator="lessThanOrEqual">
      <formula>$L17</formula>
    </cfRule>
    <cfRule type="cellIs" dxfId="331" priority="4" operator="greaterThan">
      <formula>L17</formula>
    </cfRule>
  </conditionalFormatting>
  <conditionalFormatting sqref="M21:M26">
    <cfRule type="cellIs" dxfId="330" priority="1" stopIfTrue="1" operator="lessThanOrEqual">
      <formula>$L21</formula>
    </cfRule>
    <cfRule type="cellIs" dxfId="329" priority="2" operator="greaterThan">
      <formula>L21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4B77820-09DD-4BB9-BCD2-42C9D0FFDC71}">
          <x14:formula1>
            <xm:f>Bolts!$A:$A</xm:f>
          </x14:formula1>
          <xm:sqref>C21:C26</xm:sqref>
        </x14:dataValidation>
        <x14:dataValidation type="list" allowBlank="1" showInputMessage="1" showErrorMessage="1" xr:uid="{CF2D508B-AC6B-4FB1-B576-229AD8E619C0}">
          <x14:formula1>
            <xm:f>Assemblies!$E:$E</xm:f>
          </x14:formula1>
          <xm:sqref>C5</xm:sqref>
        </x14:dataValidation>
        <x14:dataValidation type="list" allowBlank="1" showInputMessage="1" showErrorMessage="1" xr:uid="{A975B702-0C88-4E49-BAB2-1CAD7A22A21E}">
          <x14:formula1>
            <xm:f>Machined!$C:$C</xm:f>
          </x14:formula1>
          <xm:sqref>C7:C8</xm:sqref>
        </x14:dataValidation>
        <x14:dataValidation type="list" allowBlank="1" showInputMessage="1" showErrorMessage="1" xr:uid="{C06A3A45-B795-464D-868A-1A121B7D104E}">
          <x14:formula1>
            <xm:f>Purchased!$A:$A</xm:f>
          </x14:formula1>
          <xm:sqref>C6 C9:C20</xm:sqref>
        </x14:dataValidation>
      </x14:dataValidations>
    </ext>
  </extLst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690F-5774-487E-9029-9808C2882582}">
  <sheetPr codeName="Sheet234">
    <tabColor theme="6" tint="0.59999389629810485"/>
  </sheetPr>
  <dimension ref="A1:Q13"/>
  <sheetViews>
    <sheetView zoomScale="112" zoomScaleNormal="112" workbookViewId="0">
      <selection activeCell="H19" sqref="H19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'10.3'!C5</f>
        <v>PG10.10.3.1.0.A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'10.3'!D5</f>
        <v>CONVEYOR L BRACKET ASSY</v>
      </c>
      <c r="D3" s="85" t="s">
        <v>50</v>
      </c>
      <c r="E3" s="86" t="str">
        <f ca="1">MID(CELL("filename",A1),FIND("]",CELL("filename",A1))+1,256)</f>
        <v>10.3.1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1419</v>
      </c>
      <c r="D5" s="314" t="str">
        <f>VLOOKUP(C5,Machined!C:X,2,0)</f>
        <v>DELIV CONVEYOR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Dodd Mfg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45489</v>
      </c>
      <c r="K5" s="44">
        <f>IF(VLOOKUP($C5,Machined!C:Z,19,0) = 0, " ", VLOOKUP($C5,Machined!C:Z,19,0))</f>
        <v>45490</v>
      </c>
      <c r="L5" s="44">
        <f>IF(VLOOKUP($C5,Machined!C:Z,20,0) = 0, " ", VLOOKUP($C5,Machined!C:Z,20,0))</f>
        <v>45522</v>
      </c>
      <c r="M5" s="44">
        <f>IF(VLOOKUP($C5,Machined!C:Z,21,0) = 0, " ", VLOOKUP($C5,Machined!C:Z,21,0))</f>
        <v>45522</v>
      </c>
      <c r="N5" s="129">
        <f>IF(VLOOKUP($C5,Machined!C:Z,22,0) = 0, " ", VLOOKUP($C5,Machined!C:Z,22,0))</f>
        <v>55608</v>
      </c>
      <c r="O5" s="45">
        <f t="shared" ref="O5" ca="1" si="0">B5*$L$2</f>
        <v>4</v>
      </c>
      <c r="P5" s="49">
        <f>VLOOKUP(C5,Machined!C:F,3,0)</f>
        <v>45</v>
      </c>
      <c r="Q5" s="50">
        <f t="shared" ref="Q5" si="1">B5*P5</f>
        <v>45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/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>
        <v>201558</v>
      </c>
      <c r="D7" s="325" t="str">
        <f>VLOOKUP(C7,Purchased!A:B,2,0)</f>
        <v>Conveyor Bracket</v>
      </c>
      <c r="E7" s="326"/>
      <c r="F7" s="108" t="str">
        <f>IF(VLOOKUP($C7,Purchased!A:Z,11,0) = 0, " ", VLOOKUP($C7,Purchased!A:Z,11,0))</f>
        <v>DORNER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>IN NULINE STOCK, DON’T ORDER</v>
      </c>
      <c r="I7" s="328"/>
      <c r="J7" s="46" t="str">
        <f>IF(VLOOKUP($C7,Purchased!A:Z,14,0)=0, " ", VLOOKUP($C7,Purchased!A:Z,14,0))</f>
        <v>N/A</v>
      </c>
      <c r="K7" s="46" t="str">
        <f>IF(VLOOKUP(C7,Purchased!A:R,14,0)=0, " ", VLOOKUP(C7,Purchased!A:R,14,0))</f>
        <v>N/A</v>
      </c>
      <c r="L7" s="46" t="str">
        <f>IF(VLOOKUP(C7,Purchased!A:R,15,0)=0, " ", VLOOKUP(C7,Purchased!A:R,15,0))</f>
        <v>N/A</v>
      </c>
      <c r="M7" s="46" t="str">
        <f>IF(VLOOKUP(C7,Purchased!A:R,16,0)=0, " ",VLOOKUP(C7,Purchased!A:R,16,0))</f>
        <v>N/A</v>
      </c>
      <c r="N7" s="130" t="str">
        <f>IF(VLOOKUP(C7,Purchased!A:R,17,0)=0, " ", VLOOKUP(C7,Purchased!A:R,17,0))</f>
        <v>N/A</v>
      </c>
      <c r="O7" s="47">
        <f t="shared" ref="O7:O8" ca="1" si="2">B7*$L$2</f>
        <v>4</v>
      </c>
      <c r="P7" s="51">
        <f>VLOOKUP(C7,Purchased!A:D,3,FALSE)</f>
        <v>100.6375</v>
      </c>
      <c r="Q7" s="52">
        <f t="shared" ref="Q7:Q8" si="3">B7*P7</f>
        <v>100.6375</v>
      </c>
    </row>
    <row r="8" spans="1:17" s="2" customFormat="1" ht="12" customHeight="1" x14ac:dyDescent="0.25">
      <c r="A8" s="4">
        <v>302</v>
      </c>
      <c r="B8" s="2">
        <v>4</v>
      </c>
      <c r="C8" s="135" t="s">
        <v>172</v>
      </c>
      <c r="D8" s="325" t="str">
        <f>VLOOKUP(C8,Purchased!A:B,2,0)</f>
        <v>BRX GOTO T-NUT 10 M6</v>
      </c>
      <c r="E8" s="326"/>
      <c r="F8" s="108" t="str">
        <f>IF(VLOOKUP($C8,Purchased!A:Z,11,0) = 0, " ", VLOOKUP($C8,Purchased!A:Z,11,0))</f>
        <v>BRX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45463</v>
      </c>
      <c r="K8" s="46">
        <f>IF(VLOOKUP(C8,Purchased!A:R,14,0)=0, " ", VLOOKUP(C8,Purchased!A:R,14,0))</f>
        <v>45463</v>
      </c>
      <c r="L8" s="46">
        <f>IF(VLOOKUP(C8,Purchased!A:R,15,0)=0, " ", VLOOKUP(C8,Purchased!A:R,15,0))</f>
        <v>45463</v>
      </c>
      <c r="M8" s="46">
        <f>IF(VLOOKUP(C8,Purchased!A:R,16,0)=0, " ",VLOOKUP(C8,Purchased!A:R,16,0))</f>
        <v>45481</v>
      </c>
      <c r="N8" s="130">
        <f>IF(VLOOKUP(C8,Purchased!A:R,17,0)=0, " ", VLOOKUP(C8,Purchased!A:R,17,0))</f>
        <v>45481</v>
      </c>
      <c r="O8" s="47">
        <f t="shared" ca="1" si="2"/>
        <v>16</v>
      </c>
      <c r="P8" s="51">
        <f>VLOOKUP(C8,Purchased!A:D,3,FALSE)</f>
        <v>0.56000000000000005</v>
      </c>
      <c r="Q8" s="52">
        <f t="shared" si="3"/>
        <v>2.2400000000000002</v>
      </c>
    </row>
    <row r="9" spans="1:17" s="2" customFormat="1" ht="12" customHeight="1" x14ac:dyDescent="0.25">
      <c r="A9" s="25"/>
      <c r="B9" s="26"/>
      <c r="C9" s="26"/>
      <c r="D9" s="332"/>
      <c r="E9" s="333"/>
      <c r="F9" s="26"/>
      <c r="G9" s="26"/>
      <c r="H9" s="322"/>
      <c r="I9" s="323"/>
      <c r="J9" s="27"/>
      <c r="K9" s="27"/>
      <c r="L9" s="27"/>
      <c r="M9" s="28"/>
      <c r="N9" s="29"/>
      <c r="O9" s="29"/>
      <c r="P9" s="148"/>
      <c r="Q9" s="149"/>
    </row>
    <row r="10" spans="1:17" s="2" customFormat="1" ht="12" customHeight="1" x14ac:dyDescent="0.25">
      <c r="A10" s="4">
        <v>501</v>
      </c>
      <c r="B10" s="2">
        <v>2</v>
      </c>
      <c r="C10" s="122" t="s">
        <v>174</v>
      </c>
      <c r="D10" s="325"/>
      <c r="E10" s="326"/>
      <c r="F10" s="108">
        <f>VLOOKUP(C10,Bolts!A:L,5,0)</f>
        <v>0</v>
      </c>
      <c r="G10" s="108">
        <f>VLOOKUP(C10,Bolts!A:L,6,0)</f>
        <v>0</v>
      </c>
      <c r="H10" s="108">
        <f>VLOOKUP(C10,Bolts!A:L,7,0)</f>
        <v>0</v>
      </c>
      <c r="I10" s="109"/>
      <c r="J10" s="46">
        <f>VLOOKUP(C10,Bolts!A:L,8,0)</f>
        <v>0</v>
      </c>
      <c r="K10" s="46">
        <f>VLOOKUP(C10,Bolts!A:L,9,0)</f>
        <v>0</v>
      </c>
      <c r="L10" s="46">
        <f>VLOOKUP(C10,Bolts!A:L,10,0)</f>
        <v>0</v>
      </c>
      <c r="M10" s="46">
        <f>VLOOKUP(C10,Bolts!A:L,11,0)</f>
        <v>0</v>
      </c>
      <c r="N10" s="130">
        <f>VLOOKUP(C10,Bolts!A:L,12,0)</f>
        <v>0</v>
      </c>
      <c r="O10" s="47">
        <f t="shared" ref="O10:O12" ca="1" si="4">B10*$L$2</f>
        <v>8</v>
      </c>
      <c r="P10" s="51">
        <f>VLOOKUP(C10,Bolts!A:B,2,FALSE)</f>
        <v>0</v>
      </c>
      <c r="Q10" s="52">
        <f t="shared" ref="Q10:Q12" si="5">B10*P10</f>
        <v>0</v>
      </c>
    </row>
    <row r="11" spans="1:17" s="2" customFormat="1" ht="12" customHeight="1" x14ac:dyDescent="0.25">
      <c r="A11" s="4">
        <v>502</v>
      </c>
      <c r="B11" s="2">
        <v>4</v>
      </c>
      <c r="C11" s="122" t="s">
        <v>382</v>
      </c>
      <c r="D11" s="325"/>
      <c r="E11" s="326"/>
      <c r="F11" s="108">
        <f>VLOOKUP(C11,Bolts!A:L,5,0)</f>
        <v>0</v>
      </c>
      <c r="G11" s="108">
        <f>VLOOKUP(C11,Bolts!A:L,6,0)</f>
        <v>0</v>
      </c>
      <c r="H11" s="108">
        <f>VLOOKUP(C11,Bolts!A:L,7,0)</f>
        <v>0</v>
      </c>
      <c r="I11" s="109"/>
      <c r="J11" s="46">
        <f>VLOOKUP(C11,Bolts!A:L,8,0)</f>
        <v>0</v>
      </c>
      <c r="K11" s="46">
        <f>VLOOKUP(C11,Bolts!A:L,9,0)</f>
        <v>0</v>
      </c>
      <c r="L11" s="46">
        <f>VLOOKUP(C11,Bolts!A:L,10,0)</f>
        <v>0</v>
      </c>
      <c r="M11" s="46">
        <f>VLOOKUP(C11,Bolts!A:L,11,0)</f>
        <v>0</v>
      </c>
      <c r="N11" s="130">
        <f>VLOOKUP(C11,Bolts!A:L,12,0)</f>
        <v>0</v>
      </c>
      <c r="O11" s="47">
        <f t="shared" ca="1" si="4"/>
        <v>16</v>
      </c>
      <c r="P11" s="51">
        <f>VLOOKUP(C11,Bolts!A:B,2,FALSE)</f>
        <v>0</v>
      </c>
      <c r="Q11" s="52">
        <f t="shared" si="5"/>
        <v>0</v>
      </c>
    </row>
    <row r="12" spans="1:17" s="2" customFormat="1" ht="12" customHeight="1" thickBot="1" x14ac:dyDescent="0.3">
      <c r="A12" s="4">
        <v>503</v>
      </c>
      <c r="B12" s="2">
        <v>6</v>
      </c>
      <c r="C12" s="122" t="s">
        <v>199</v>
      </c>
      <c r="D12" s="325"/>
      <c r="E12" s="326"/>
      <c r="F12" s="108">
        <f>VLOOKUP(C12,Bolts!A:L,5,0)</f>
        <v>0</v>
      </c>
      <c r="G12" s="108">
        <f>VLOOKUP(C12,Bolts!A:L,6,0)</f>
        <v>0</v>
      </c>
      <c r="H12" s="108">
        <f>VLOOKUP(C12,Bolts!A:L,7,0)</f>
        <v>0</v>
      </c>
      <c r="I12" s="109"/>
      <c r="J12" s="46">
        <f>VLOOKUP(C12,Bolts!A:L,8,0)</f>
        <v>0</v>
      </c>
      <c r="K12" s="46">
        <f>VLOOKUP(C12,Bolts!A:L,9,0)</f>
        <v>0</v>
      </c>
      <c r="L12" s="46">
        <f>VLOOKUP(C12,Bolts!A:L,10,0)</f>
        <v>0</v>
      </c>
      <c r="M12" s="46">
        <f>VLOOKUP(C12,Bolts!A:L,11,0)</f>
        <v>0</v>
      </c>
      <c r="N12" s="130">
        <f>VLOOKUP(C12,Bolts!A:L,12,0)</f>
        <v>0</v>
      </c>
      <c r="O12" s="47">
        <f t="shared" ca="1" si="4"/>
        <v>24</v>
      </c>
      <c r="P12" s="51">
        <f>VLOOKUP(C12,Bolts!A:B,2,FALSE)</f>
        <v>0</v>
      </c>
      <c r="Q12" s="52">
        <f t="shared" si="5"/>
        <v>0</v>
      </c>
    </row>
    <row r="13" spans="1:17" s="2" customFormat="1" ht="12" customHeight="1" thickBot="1" x14ac:dyDescent="0.3">
      <c r="A13" s="34"/>
      <c r="B13" s="35"/>
      <c r="C13" s="35"/>
      <c r="D13" s="316"/>
      <c r="E13" s="317"/>
      <c r="F13" s="35"/>
      <c r="G13" s="35"/>
      <c r="H13" s="309"/>
      <c r="I13" s="310"/>
      <c r="J13" s="36"/>
      <c r="K13" s="36"/>
      <c r="L13" s="36"/>
      <c r="M13" s="37"/>
      <c r="N13" s="132"/>
      <c r="O13" s="38"/>
      <c r="P13" s="99" t="s">
        <v>43</v>
      </c>
      <c r="Q13" s="104">
        <f>SUM(Q5:Q12)</f>
        <v>147.8775</v>
      </c>
    </row>
  </sheetData>
  <mergeCells count="18">
    <mergeCell ref="D13:E13"/>
    <mergeCell ref="H13:I13"/>
    <mergeCell ref="D9:E9"/>
    <mergeCell ref="H9:I9"/>
    <mergeCell ref="D10:E10"/>
    <mergeCell ref="D11:E11"/>
    <mergeCell ref="D12:E12"/>
    <mergeCell ref="D7:E7"/>
    <mergeCell ref="H7:I7"/>
    <mergeCell ref="D5:E5"/>
    <mergeCell ref="H5:I5"/>
    <mergeCell ref="D8:E8"/>
    <mergeCell ref="H8:I8"/>
    <mergeCell ref="D1:E1"/>
    <mergeCell ref="D4:E4"/>
    <mergeCell ref="H4:I4"/>
    <mergeCell ref="D6:E6"/>
    <mergeCell ref="H6:I6"/>
  </mergeCells>
  <conditionalFormatting sqref="M6 M9:M12">
    <cfRule type="cellIs" dxfId="328" priority="5" stopIfTrue="1" operator="lessThanOrEqual">
      <formula>$L6</formula>
    </cfRule>
    <cfRule type="cellIs" dxfId="327" priority="6" operator="greaterThan">
      <formula>L6</formula>
    </cfRule>
  </conditionalFormatting>
  <conditionalFormatting sqref="M7">
    <cfRule type="cellIs" dxfId="326" priority="3" stopIfTrue="1" operator="lessThanOrEqual">
      <formula>$L7</formula>
    </cfRule>
    <cfRule type="cellIs" dxfId="325" priority="4" operator="greaterThan">
      <formula>L7</formula>
    </cfRule>
  </conditionalFormatting>
  <conditionalFormatting sqref="M8">
    <cfRule type="cellIs" dxfId="324" priority="1" stopIfTrue="1" operator="lessThanOrEqual">
      <formula>$L8</formula>
    </cfRule>
    <cfRule type="cellIs" dxfId="323" priority="2" operator="greaterThan">
      <formula>L8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B4B4C9C-3C0A-45E5-80FF-C17B2A82B91C}">
          <x14:formula1>
            <xm:f>Bolts!$A:$A</xm:f>
          </x14:formula1>
          <xm:sqref>C9:C12</xm:sqref>
        </x14:dataValidation>
        <x14:dataValidation type="list" allowBlank="1" showInputMessage="1" showErrorMessage="1" xr:uid="{55D6BB68-BAA9-4746-A14F-9FFF556E9A0E}">
          <x14:formula1>
            <xm:f>Machined!$C:$C</xm:f>
          </x14:formula1>
          <xm:sqref>C5</xm:sqref>
        </x14:dataValidation>
        <x14:dataValidation type="list" allowBlank="1" showInputMessage="1" showErrorMessage="1" xr:uid="{3AA9337C-A58C-4658-B766-182F136BF69B}">
          <x14:formula1>
            <xm:f>Purchased!$A:$A</xm:f>
          </x14:formula1>
          <xm:sqref>C6:C8</xm:sqref>
        </x14:dataValidation>
      </x14:dataValidations>
    </ext>
  </extLst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31A20-E2CF-4D73-B189-7391C55A9845}">
  <sheetPr codeName="Sheet235">
    <tabColor theme="5" tint="0.39997558519241921"/>
  </sheetPr>
  <dimension ref="A1:Q20"/>
  <sheetViews>
    <sheetView zoomScale="115" zoomScaleNormal="115" workbookViewId="0">
      <selection activeCell="A5" sqref="A5:Q6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'0'!C15</f>
        <v>PG10.11.0.A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'0'!D15</f>
        <v>Air Prep Assy</v>
      </c>
      <c r="D3" s="85" t="s">
        <v>50</v>
      </c>
      <c r="E3" s="86" t="str">
        <f ca="1">MID(CELL("filename",A1),FIND("]",CELL("filename",A1))+1,256)</f>
        <v>11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63" customFormat="1" ht="12" customHeight="1" x14ac:dyDescent="0.2">
      <c r="A5" s="150" t="s">
        <v>54</v>
      </c>
      <c r="B5" s="1">
        <v>1</v>
      </c>
      <c r="C5" s="145" t="s">
        <v>1420</v>
      </c>
      <c r="D5" s="314" t="str">
        <f ca="1">VLOOKUP(C5,Assemblies!E:P,2,0)</f>
        <v>Air Prep Station</v>
      </c>
      <c r="E5" s="314"/>
      <c r="F5" s="17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'11.1'!Q25</f>
        <v>781.56490000000008</v>
      </c>
      <c r="Q5" s="118">
        <f>B5*P5</f>
        <v>781.56490000000008</v>
      </c>
    </row>
    <row r="6" spans="1:17" s="63" customFormat="1" ht="12" customHeight="1" x14ac:dyDescent="0.2">
      <c r="A6" s="150" t="s">
        <v>56</v>
      </c>
      <c r="B6" s="1">
        <v>10</v>
      </c>
      <c r="C6" s="145" t="s">
        <v>1421</v>
      </c>
      <c r="D6" s="314" t="str">
        <f ca="1">VLOOKUP(C6,Assemblies!E:P,2,0)</f>
        <v>Air Supply Pipe Mount Assy</v>
      </c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ca="1">B6*$L$2</f>
        <v>10</v>
      </c>
      <c r="P6" s="147">
        <f>'11.2'!Q9</f>
        <v>46.56</v>
      </c>
      <c r="Q6" s="103">
        <f>B6*P6</f>
        <v>465.6</v>
      </c>
    </row>
    <row r="7" spans="1:17" s="63" customFormat="1" ht="12" customHeight="1" x14ac:dyDescent="0.2">
      <c r="A7" s="150" t="s">
        <v>58</v>
      </c>
      <c r="B7" s="1">
        <v>24</v>
      </c>
      <c r="C7" s="145" t="s">
        <v>1422</v>
      </c>
      <c r="D7" s="314" t="str">
        <f ca="1">VLOOKUP(C7,Assemblies!E:P,2,0)</f>
        <v>Air Supply Pipe Tie Off</v>
      </c>
      <c r="E7" s="314"/>
      <c r="F7" s="31"/>
      <c r="G7" s="32"/>
      <c r="H7" s="303"/>
      <c r="I7" s="303"/>
      <c r="J7" s="28"/>
      <c r="K7" s="28"/>
      <c r="L7" s="28"/>
      <c r="M7" s="28"/>
      <c r="N7" s="33"/>
      <c r="O7" s="146">
        <f ca="1">B7*$L$2</f>
        <v>24</v>
      </c>
      <c r="P7" s="147">
        <f>'11.3'!Q7</f>
        <v>7</v>
      </c>
      <c r="Q7" s="103">
        <f>B7*P7</f>
        <v>168</v>
      </c>
    </row>
    <row r="8" spans="1:17" s="2" customFormat="1" ht="12" customHeight="1" x14ac:dyDescent="0.25">
      <c r="A8" s="25"/>
      <c r="B8" s="26"/>
      <c r="C8" s="26"/>
      <c r="D8" s="332"/>
      <c r="E8" s="333"/>
      <c r="F8" s="26"/>
      <c r="G8" s="26"/>
      <c r="H8" s="322"/>
      <c r="I8" s="323"/>
      <c r="J8" s="27"/>
      <c r="K8" s="27"/>
      <c r="L8" s="27"/>
      <c r="M8" s="28"/>
      <c r="N8" s="29"/>
      <c r="O8" s="29"/>
      <c r="P8" s="148"/>
      <c r="Q8" s="149"/>
    </row>
    <row r="9" spans="1:17" s="2" customFormat="1" ht="12" customHeight="1" x14ac:dyDescent="0.25">
      <c r="A9" s="4">
        <v>301</v>
      </c>
      <c r="B9" s="2">
        <v>1</v>
      </c>
      <c r="C9" s="135" t="s">
        <v>1423</v>
      </c>
      <c r="D9" s="325" t="str">
        <f>VLOOKUP(C9,Purchased!A:B,2,0)</f>
        <v>2in FNPT to 2.5in pipe</v>
      </c>
      <c r="E9" s="326"/>
      <c r="F9" s="108" t="str">
        <f>IF(VLOOKUP($C9,Purchased!A:Z,11,0) = 0, " ", VLOOKUP($C9,Purchased!A:Z,11,0))</f>
        <v>PREVOST</v>
      </c>
      <c r="G9" s="108" t="str">
        <f>IF(VLOOKUP($C9,Purchased!A:Z,12,0)=0, " ", VLOOKUP($C9,Purchased!A:Z,12,0))</f>
        <v xml:space="preserve">Compression Leasing Services 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45530</v>
      </c>
      <c r="K9" s="46">
        <f>IF(VLOOKUP(C9,Purchased!A:R,14,0)=0, " ", VLOOKUP(C9,Purchased!A:R,14,0))</f>
        <v>45530</v>
      </c>
      <c r="L9" s="46">
        <f>IF(VLOOKUP(C9,Purchased!A:R,15,0)=0, " ", VLOOKUP(C9,Purchased!A:R,15,0))</f>
        <v>45532</v>
      </c>
      <c r="M9" s="46">
        <f>IF(VLOOKUP(C9,Purchased!A:R,16,0)=0, " ",VLOOKUP(C9,Purchased!A:R,16,0))</f>
        <v>45546</v>
      </c>
      <c r="N9" s="130" t="str">
        <f>IF(VLOOKUP(C9,Purchased!A:R,17,0)=0, " ", VLOOKUP(C9,Purchased!A:R,17,0))</f>
        <v xml:space="preserve"> </v>
      </c>
      <c r="O9" s="47">
        <f t="shared" ref="O9:O14" ca="1" si="0">B9*$L$2</f>
        <v>1</v>
      </c>
      <c r="P9" s="51">
        <f>VLOOKUP(C9,Purchased!A:D,3,FALSE)</f>
        <v>51</v>
      </c>
      <c r="Q9" s="52">
        <f t="shared" ref="Q9:Q14" si="1">B9*P9</f>
        <v>51</v>
      </c>
    </row>
    <row r="10" spans="1:17" s="2" customFormat="1" ht="12" customHeight="1" x14ac:dyDescent="0.25">
      <c r="A10" s="4">
        <v>302</v>
      </c>
      <c r="B10" s="2">
        <v>1</v>
      </c>
      <c r="C10" s="135" t="s">
        <v>1424</v>
      </c>
      <c r="D10" s="325" t="str">
        <f>VLOOKUP(C10,Purchased!A:B,2,0)</f>
        <v>2.5in pipe T Union</v>
      </c>
      <c r="E10" s="326"/>
      <c r="F10" s="108" t="str">
        <f>IF(VLOOKUP($C10,Purchased!A:Z,11,0) = 0, " ", VLOOKUP($C10,Purchased!A:Z,11,0))</f>
        <v>PREVOST</v>
      </c>
      <c r="G10" s="108" t="str">
        <f>IF(VLOOKUP($C10,Purchased!A:Z,12,0)=0, " ", VLOOKUP($C10,Purchased!A:Z,12,0))</f>
        <v xml:space="preserve">Compression Leasing Services 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45530</v>
      </c>
      <c r="K10" s="46">
        <f>IF(VLOOKUP(C10,Purchased!A:R,14,0)=0, " ", VLOOKUP(C10,Purchased!A:R,14,0))</f>
        <v>45530</v>
      </c>
      <c r="L10" s="46">
        <f>IF(VLOOKUP(C10,Purchased!A:R,15,0)=0, " ", VLOOKUP(C10,Purchased!A:R,15,0))</f>
        <v>45532</v>
      </c>
      <c r="M10" s="46">
        <f>IF(VLOOKUP(C10,Purchased!A:R,16,0)=0, " ",VLOOKUP(C10,Purchased!A:R,16,0))</f>
        <v>45546</v>
      </c>
      <c r="N10" s="130" t="str">
        <f>IF(VLOOKUP(C10,Purchased!A:R,17,0)=0, " ", VLOOKUP(C10,Purchased!A:R,17,0))</f>
        <v xml:space="preserve"> </v>
      </c>
      <c r="O10" s="47">
        <f t="shared" ca="1" si="0"/>
        <v>1</v>
      </c>
      <c r="P10" s="51">
        <f>VLOOKUP(C10,Purchased!A:D,3,FALSE)</f>
        <v>100</v>
      </c>
      <c r="Q10" s="52">
        <f t="shared" si="1"/>
        <v>100</v>
      </c>
    </row>
    <row r="11" spans="1:17" s="2" customFormat="1" ht="12" customHeight="1" x14ac:dyDescent="0.25">
      <c r="A11" s="4">
        <v>303</v>
      </c>
      <c r="B11" s="2">
        <v>2</v>
      </c>
      <c r="C11" s="135" t="s">
        <v>1425</v>
      </c>
      <c r="D11" s="325" t="str">
        <f>VLOOKUP(C11,Purchased!A:B,2,0)</f>
        <v>2.5in pipe Cap</v>
      </c>
      <c r="E11" s="326"/>
      <c r="F11" s="108" t="str">
        <f>IF(VLOOKUP($C11,Purchased!A:Z,11,0) = 0, " ", VLOOKUP($C11,Purchased!A:Z,11,0))</f>
        <v>PREVOST</v>
      </c>
      <c r="G11" s="108" t="str">
        <f>IF(VLOOKUP($C11,Purchased!A:Z,12,0)=0, " ", VLOOKUP($C11,Purchased!A:Z,12,0))</f>
        <v xml:space="preserve">Compression Leasing Services 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45530</v>
      </c>
      <c r="K11" s="46">
        <f>IF(VLOOKUP(C11,Purchased!A:R,14,0)=0, " ", VLOOKUP(C11,Purchased!A:R,14,0))</f>
        <v>45530</v>
      </c>
      <c r="L11" s="46">
        <f>IF(VLOOKUP(C11,Purchased!A:R,15,0)=0, " ", VLOOKUP(C11,Purchased!A:R,15,0))</f>
        <v>45532</v>
      </c>
      <c r="M11" s="46">
        <f>IF(VLOOKUP(C11,Purchased!A:R,16,0)=0, " ",VLOOKUP(C11,Purchased!A:R,16,0))</f>
        <v>45546</v>
      </c>
      <c r="N11" s="130" t="str">
        <f>IF(VLOOKUP(C11,Purchased!A:R,17,0)=0, " ", VLOOKUP(C11,Purchased!A:R,17,0))</f>
        <v xml:space="preserve"> </v>
      </c>
      <c r="O11" s="47">
        <f t="shared" ca="1" si="0"/>
        <v>2</v>
      </c>
      <c r="P11" s="51">
        <f>VLOOKUP(C11,Purchased!A:D,3,FALSE)</f>
        <v>45</v>
      </c>
      <c r="Q11" s="52">
        <f t="shared" si="1"/>
        <v>90</v>
      </c>
    </row>
    <row r="12" spans="1:17" s="2" customFormat="1" ht="12" customHeight="1" x14ac:dyDescent="0.25">
      <c r="A12" s="4">
        <v>304</v>
      </c>
      <c r="B12" s="2">
        <v>4</v>
      </c>
      <c r="C12" s="135" t="s">
        <v>1426</v>
      </c>
      <c r="D12" s="325" t="str">
        <f>VLOOKUP(C12,Purchased!A:B,2,0)</f>
        <v>2.5 in pipe</v>
      </c>
      <c r="E12" s="326"/>
      <c r="F12" s="108" t="str">
        <f>IF(VLOOKUP($C12,Purchased!A:Z,11,0) = 0, " ", VLOOKUP($C12,Purchased!A:Z,11,0))</f>
        <v>PREVOST</v>
      </c>
      <c r="G12" s="108" t="str">
        <f>IF(VLOOKUP($C12,Purchased!A:Z,12,0)=0, " ", VLOOKUP($C12,Purchased!A:Z,12,0))</f>
        <v xml:space="preserve">Compression Leasing Services 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45530</v>
      </c>
      <c r="K12" s="46">
        <f>IF(VLOOKUP(C12,Purchased!A:R,14,0)=0, " ", VLOOKUP(C12,Purchased!A:R,14,0))</f>
        <v>45530</v>
      </c>
      <c r="L12" s="46">
        <f>IF(VLOOKUP(C12,Purchased!A:R,15,0)=0, " ", VLOOKUP(C12,Purchased!A:R,15,0))</f>
        <v>45532</v>
      </c>
      <c r="M12" s="46">
        <f>IF(VLOOKUP(C12,Purchased!A:R,16,0)=0, " ",VLOOKUP(C12,Purchased!A:R,16,0))</f>
        <v>45546</v>
      </c>
      <c r="N12" s="130" t="str">
        <f>IF(VLOOKUP(C12,Purchased!A:R,17,0)=0, " ", VLOOKUP(C12,Purchased!A:R,17,0))</f>
        <v xml:space="preserve"> </v>
      </c>
      <c r="O12" s="47">
        <f t="shared" ca="1" si="0"/>
        <v>4</v>
      </c>
      <c r="P12" s="51">
        <f>VLOOKUP(C12,Purchased!A:D,3,FALSE)</f>
        <v>174</v>
      </c>
      <c r="Q12" s="52">
        <f t="shared" si="1"/>
        <v>696</v>
      </c>
    </row>
    <row r="13" spans="1:17" s="2" customFormat="1" ht="12" customHeight="1" x14ac:dyDescent="0.25">
      <c r="A13" s="4">
        <v>305</v>
      </c>
      <c r="B13" s="2">
        <v>4</v>
      </c>
      <c r="C13" s="135" t="s">
        <v>1427</v>
      </c>
      <c r="D13" s="325" t="str">
        <f>VLOOKUP(C13,Purchased!A:B,2,0)</f>
        <v>2.5in female elbow</v>
      </c>
      <c r="E13" s="326"/>
      <c r="F13" s="108" t="str">
        <f>IF(VLOOKUP($C13,Purchased!A:Z,11,0) = 0, " ", VLOOKUP($C13,Purchased!A:Z,11,0))</f>
        <v>PREVOST</v>
      </c>
      <c r="G13" s="108" t="str">
        <f>IF(VLOOKUP($C13,Purchased!A:Z,12,0)=0, " ", VLOOKUP($C13,Purchased!A:Z,12,0))</f>
        <v xml:space="preserve">Compression Leasing Services 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45530</v>
      </c>
      <c r="K13" s="46">
        <f>IF(VLOOKUP(C13,Purchased!A:R,14,0)=0, " ", VLOOKUP(C13,Purchased!A:R,14,0))</f>
        <v>45530</v>
      </c>
      <c r="L13" s="46">
        <f>IF(VLOOKUP(C13,Purchased!A:R,15,0)=0, " ", VLOOKUP(C13,Purchased!A:R,15,0))</f>
        <v>45532</v>
      </c>
      <c r="M13" s="46">
        <f>IF(VLOOKUP(C13,Purchased!A:R,16,0)=0, " ",VLOOKUP(C13,Purchased!A:R,16,0))</f>
        <v>45546</v>
      </c>
      <c r="N13" s="130" t="str">
        <f>IF(VLOOKUP(C13,Purchased!A:R,17,0)=0, " ", VLOOKUP(C13,Purchased!A:R,17,0))</f>
        <v xml:space="preserve"> </v>
      </c>
      <c r="O13" s="47">
        <f t="shared" ca="1" si="0"/>
        <v>4</v>
      </c>
      <c r="P13" s="51">
        <f>VLOOKUP(C13,Purchased!A:D,3,FALSE)</f>
        <v>73</v>
      </c>
      <c r="Q13" s="52">
        <f t="shared" si="1"/>
        <v>292</v>
      </c>
    </row>
    <row r="14" spans="1:17" s="2" customFormat="1" ht="12" customHeight="1" x14ac:dyDescent="0.25">
      <c r="A14" s="4">
        <v>306</v>
      </c>
      <c r="B14" s="2">
        <v>1</v>
      </c>
      <c r="C14" s="135" t="s">
        <v>1428</v>
      </c>
      <c r="D14" s="325" t="str">
        <f>VLOOKUP(C14,Purchased!A:B,2,0)</f>
        <v>2.5in pipe Clamp</v>
      </c>
      <c r="E14" s="326"/>
      <c r="F14" s="108" t="str">
        <f>IF(VLOOKUP($C14,Purchased!A:Z,11,0) = 0, " ", VLOOKUP($C14,Purchased!A:Z,11,0))</f>
        <v>PREVOST</v>
      </c>
      <c r="G14" s="108" t="str">
        <f>IF(VLOOKUP($C14,Purchased!A:Z,12,0)=0, " ", VLOOKUP($C14,Purchased!A:Z,12,0))</f>
        <v xml:space="preserve">Compression Leasing Services 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45530</v>
      </c>
      <c r="K14" s="46">
        <f>IF(VLOOKUP(C14,Purchased!A:R,14,0)=0, " ", VLOOKUP(C14,Purchased!A:R,14,0))</f>
        <v>45530</v>
      </c>
      <c r="L14" s="46">
        <f>IF(VLOOKUP(C14,Purchased!A:R,15,0)=0, " ", VLOOKUP(C14,Purchased!A:R,15,0))</f>
        <v>45532</v>
      </c>
      <c r="M14" s="46">
        <f>IF(VLOOKUP(C14,Purchased!A:R,16,0)=0, " ",VLOOKUP(C14,Purchased!A:R,16,0))</f>
        <v>45546</v>
      </c>
      <c r="N14" s="130" t="str">
        <f>IF(VLOOKUP(C14,Purchased!A:R,17,0)=0, " ", VLOOKUP(C14,Purchased!A:R,17,0))</f>
        <v xml:space="preserve"> </v>
      </c>
      <c r="O14" s="47">
        <f t="shared" ca="1" si="0"/>
        <v>1</v>
      </c>
      <c r="P14" s="51">
        <f>VLOOKUP(C14,Purchased!A:D,3,FALSE)</f>
        <v>7</v>
      </c>
      <c r="Q14" s="52">
        <f t="shared" si="1"/>
        <v>7</v>
      </c>
    </row>
    <row r="15" spans="1:17" s="2" customFormat="1" ht="12" customHeight="1" x14ac:dyDescent="0.25">
      <c r="A15" s="4">
        <v>307</v>
      </c>
      <c r="B15" s="2">
        <v>2</v>
      </c>
      <c r="C15" s="135" t="s">
        <v>3663</v>
      </c>
      <c r="D15" s="325" t="str">
        <f>VLOOKUP(C15,Purchased!A:B,2,0)</f>
        <v>PREVOST 2.5in straight connector</v>
      </c>
      <c r="E15" s="326"/>
      <c r="F15" s="108" t="str">
        <f>IF(VLOOKUP($C15,Purchased!A:Z,11,0) = 0, " ", VLOOKUP($C15,Purchased!A:Z,11,0))</f>
        <v>PREVOST</v>
      </c>
      <c r="G15" s="108" t="str">
        <f>IF(VLOOKUP($C15,Purchased!A:Z,12,0)=0, " ", VLOOKUP($C15,Purchased!A:Z,12,0))</f>
        <v xml:space="preserve">Compression Leasing Services 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45530</v>
      </c>
      <c r="K15" s="46">
        <f>IF(VLOOKUP(C15,Purchased!A:R,14,0)=0, " ", VLOOKUP(C15,Purchased!A:R,14,0))</f>
        <v>45530</v>
      </c>
      <c r="L15" s="46">
        <f>IF(VLOOKUP(C15,Purchased!A:R,15,0)=0, " ", VLOOKUP(C15,Purchased!A:R,15,0))</f>
        <v>45532</v>
      </c>
      <c r="M15" s="46">
        <f>IF(VLOOKUP(C15,Purchased!A:R,16,0)=0, " ",VLOOKUP(C15,Purchased!A:R,16,0))</f>
        <v>45546</v>
      </c>
      <c r="N15" s="130" t="str">
        <f>IF(VLOOKUP(C15,Purchased!A:R,17,0)=0, " ", VLOOKUP(C15,Purchased!A:R,17,0))</f>
        <v xml:space="preserve"> </v>
      </c>
      <c r="O15" s="47">
        <f ca="1">B15*$L$2</f>
        <v>2</v>
      </c>
      <c r="P15" s="51">
        <f>VLOOKUP(C15,Purchased!A:D,3,FALSE)</f>
        <v>74</v>
      </c>
      <c r="Q15" s="52">
        <f>B15*P15</f>
        <v>148</v>
      </c>
    </row>
    <row r="16" spans="1:17" s="2" customFormat="1" ht="12" customHeight="1" x14ac:dyDescent="0.25">
      <c r="A16" s="25"/>
      <c r="B16" s="26"/>
      <c r="C16" s="26"/>
      <c r="D16" s="332"/>
      <c r="E16" s="333"/>
      <c r="F16" s="26"/>
      <c r="G16" s="26"/>
      <c r="H16" s="322"/>
      <c r="I16" s="323"/>
      <c r="J16" s="27"/>
      <c r="K16" s="27"/>
      <c r="L16" s="27"/>
      <c r="M16" s="28"/>
      <c r="N16" s="29"/>
      <c r="O16" s="29"/>
      <c r="P16" s="148"/>
      <c r="Q16" s="149"/>
    </row>
    <row r="17" spans="1:17" s="2" customFormat="1" ht="12" customHeight="1" x14ac:dyDescent="0.25">
      <c r="A17" s="4">
        <v>501</v>
      </c>
      <c r="B17" s="2">
        <v>1</v>
      </c>
      <c r="C17" s="122" t="s">
        <v>264</v>
      </c>
      <c r="D17" s="325"/>
      <c r="E17" s="326"/>
      <c r="F17" s="108">
        <f>VLOOKUP(C17,Bolts!A:L,5,0)</f>
        <v>0</v>
      </c>
      <c r="G17" s="108">
        <f>VLOOKUP(C17,Bolts!A:L,6,0)</f>
        <v>0</v>
      </c>
      <c r="H17" s="108">
        <f>VLOOKUP(C17,Bolts!A:L,7,0)</f>
        <v>0</v>
      </c>
      <c r="I17" s="109"/>
      <c r="J17" s="46">
        <f>VLOOKUP(C17,Bolts!A:L,8,0)</f>
        <v>0</v>
      </c>
      <c r="K17" s="46">
        <f>VLOOKUP(C17,Bolts!A:L,9,0)</f>
        <v>0</v>
      </c>
      <c r="L17" s="46">
        <f>VLOOKUP(C17,Bolts!A:L,10,0)</f>
        <v>0</v>
      </c>
      <c r="M17" s="46">
        <f>VLOOKUP(C17,Bolts!A:L,11,0)</f>
        <v>0</v>
      </c>
      <c r="N17" s="130">
        <f>VLOOKUP(C17,Bolts!A:L,12,0)</f>
        <v>0</v>
      </c>
      <c r="O17" s="47">
        <f t="shared" ref="O17:O18" ca="1" si="2">B17*$L$2</f>
        <v>1</v>
      </c>
      <c r="P17" s="51">
        <f>VLOOKUP(C17,Bolts!A:B,2,FALSE)</f>
        <v>0</v>
      </c>
      <c r="Q17" s="52">
        <f t="shared" ref="Q17:Q18" si="3">B17*P17</f>
        <v>0</v>
      </c>
    </row>
    <row r="18" spans="1:17" s="2" customFormat="1" ht="12" customHeight="1" x14ac:dyDescent="0.25">
      <c r="A18" s="4">
        <v>502</v>
      </c>
      <c r="B18" s="2">
        <v>1</v>
      </c>
      <c r="C18" s="122" t="s">
        <v>176</v>
      </c>
      <c r="D18" s="325"/>
      <c r="E18" s="326"/>
      <c r="F18" s="108" t="str">
        <f>VLOOKUP(C18,Bolts!A:L,5,0)</f>
        <v xml:space="preserve"> </v>
      </c>
      <c r="G18" s="108" t="str">
        <f>VLOOKUP(C18,Bolts!A:L,6,0)</f>
        <v xml:space="preserve"> </v>
      </c>
      <c r="H18" s="108">
        <f>VLOOKUP(C18,Bolts!A:L,7,0)</f>
        <v>0</v>
      </c>
      <c r="I18" s="109"/>
      <c r="J18" s="46">
        <f>VLOOKUP(C18,Bolts!A:L,8,0)</f>
        <v>0</v>
      </c>
      <c r="K18" s="46">
        <f>VLOOKUP(C18,Bolts!A:L,9,0)</f>
        <v>0</v>
      </c>
      <c r="L18" s="46">
        <f>VLOOKUP(C18,Bolts!A:L,10,0)</f>
        <v>0</v>
      </c>
      <c r="M18" s="46">
        <f>VLOOKUP(C18,Bolts!A:L,11,0)</f>
        <v>0</v>
      </c>
      <c r="N18" s="130">
        <f>VLOOKUP(C18,Bolts!A:L,12,0)</f>
        <v>0</v>
      </c>
      <c r="O18" s="47">
        <f t="shared" ca="1" si="2"/>
        <v>1</v>
      </c>
      <c r="P18" s="51">
        <f>VLOOKUP(C18,Bolts!A:B,2,FALSE)</f>
        <v>0</v>
      </c>
      <c r="Q18" s="52">
        <f t="shared" si="3"/>
        <v>0</v>
      </c>
    </row>
    <row r="19" spans="1:17" s="2" customFormat="1" ht="12" customHeight="1" thickBot="1" x14ac:dyDescent="0.3">
      <c r="A19" s="4">
        <v>503</v>
      </c>
      <c r="B19" s="2">
        <v>1</v>
      </c>
      <c r="C19" s="122" t="s">
        <v>441</v>
      </c>
      <c r="D19" s="325"/>
      <c r="E19" s="326"/>
      <c r="F19" s="108">
        <f>VLOOKUP(C19,Bolts!A:L,5,0)</f>
        <v>0</v>
      </c>
      <c r="G19" s="108">
        <f>VLOOKUP(C19,Bolts!A:L,6,0)</f>
        <v>0</v>
      </c>
      <c r="H19" s="108">
        <f>VLOOKUP(C19,Bolts!A:L,7,0)</f>
        <v>0</v>
      </c>
      <c r="I19" s="109"/>
      <c r="J19" s="46">
        <f>VLOOKUP(C19,Bolts!A:L,8,0)</f>
        <v>0</v>
      </c>
      <c r="K19" s="46">
        <f>VLOOKUP(C19,Bolts!A:L,9,0)</f>
        <v>0</v>
      </c>
      <c r="L19" s="46">
        <f>VLOOKUP(C19,Bolts!A:L,10,0)</f>
        <v>0</v>
      </c>
      <c r="M19" s="46">
        <f>VLOOKUP(C19,Bolts!A:L,11,0)</f>
        <v>0</v>
      </c>
      <c r="N19" s="130">
        <f>VLOOKUP(C19,Bolts!A:L,12,0)</f>
        <v>0</v>
      </c>
      <c r="O19" s="47">
        <f ca="1">B19*$L$2</f>
        <v>1</v>
      </c>
      <c r="P19" s="51">
        <f>VLOOKUP(C19,Bolts!A:B,2,FALSE)</f>
        <v>0</v>
      </c>
      <c r="Q19" s="52">
        <f>B19*P19</f>
        <v>0</v>
      </c>
    </row>
    <row r="20" spans="1:17" s="2" customFormat="1" ht="12" customHeight="1" thickBot="1" x14ac:dyDescent="0.3">
      <c r="A20" s="34"/>
      <c r="B20" s="35"/>
      <c r="C20" s="35"/>
      <c r="D20" s="316"/>
      <c r="E20" s="317"/>
      <c r="F20" s="35"/>
      <c r="G20" s="35"/>
      <c r="H20" s="309"/>
      <c r="I20" s="310"/>
      <c r="J20" s="36"/>
      <c r="K20" s="36"/>
      <c r="L20" s="36"/>
      <c r="M20" s="37"/>
      <c r="N20" s="132"/>
      <c r="O20" s="38"/>
      <c r="P20" s="99" t="s">
        <v>43</v>
      </c>
      <c r="Q20" s="104">
        <f>SUM(Q5:Q19)</f>
        <v>2799.1649000000002</v>
      </c>
    </row>
  </sheetData>
  <sheetProtection selectLockedCells="1"/>
  <mergeCells count="32">
    <mergeCell ref="H14:I14"/>
    <mergeCell ref="D20:E20"/>
    <mergeCell ref="H20:I20"/>
    <mergeCell ref="D14:E14"/>
    <mergeCell ref="D16:E16"/>
    <mergeCell ref="H16:I16"/>
    <mergeCell ref="D17:E17"/>
    <mergeCell ref="D18:E18"/>
    <mergeCell ref="D15:E15"/>
    <mergeCell ref="H15:I15"/>
    <mergeCell ref="D19:E19"/>
    <mergeCell ref="D11:E11"/>
    <mergeCell ref="H11:I11"/>
    <mergeCell ref="D12:E12"/>
    <mergeCell ref="H12:I12"/>
    <mergeCell ref="D13:E13"/>
    <mergeCell ref="H13:I13"/>
    <mergeCell ref="D9:E9"/>
    <mergeCell ref="H9:I9"/>
    <mergeCell ref="D10:E10"/>
    <mergeCell ref="H10:I10"/>
    <mergeCell ref="D1:E1"/>
    <mergeCell ref="D4:E4"/>
    <mergeCell ref="H4:I4"/>
    <mergeCell ref="D8:E8"/>
    <mergeCell ref="H8:I8"/>
    <mergeCell ref="D7:E7"/>
    <mergeCell ref="H7:I7"/>
    <mergeCell ref="D5:E5"/>
    <mergeCell ref="H5:I5"/>
    <mergeCell ref="D6:E6"/>
    <mergeCell ref="H6:I6"/>
  </mergeCells>
  <conditionalFormatting sqref="M8 M16:M19">
    <cfRule type="cellIs" dxfId="322" priority="15" stopIfTrue="1" operator="lessThanOrEqual">
      <formula>$L8</formula>
    </cfRule>
    <cfRule type="cellIs" dxfId="321" priority="16" operator="greaterThan">
      <formula>L8</formula>
    </cfRule>
  </conditionalFormatting>
  <conditionalFormatting sqref="M9 M14:M15">
    <cfRule type="cellIs" dxfId="320" priority="11" stopIfTrue="1" operator="lessThanOrEqual">
      <formula>$L9</formula>
    </cfRule>
    <cfRule type="cellIs" dxfId="319" priority="12" operator="greaterThan">
      <formula>L9</formula>
    </cfRule>
  </conditionalFormatting>
  <conditionalFormatting sqref="M10">
    <cfRule type="cellIs" dxfId="318" priority="9" stopIfTrue="1" operator="lessThanOrEqual">
      <formula>$L10</formula>
    </cfRule>
    <cfRule type="cellIs" dxfId="317" priority="10" operator="greaterThan">
      <formula>L10</formula>
    </cfRule>
  </conditionalFormatting>
  <conditionalFormatting sqref="M11">
    <cfRule type="cellIs" dxfId="316" priority="7" stopIfTrue="1" operator="lessThanOrEqual">
      <formula>$L11</formula>
    </cfRule>
    <cfRule type="cellIs" dxfId="315" priority="8" operator="greaterThan">
      <formula>L11</formula>
    </cfRule>
  </conditionalFormatting>
  <conditionalFormatting sqref="M12">
    <cfRule type="cellIs" dxfId="314" priority="5" stopIfTrue="1" operator="lessThanOrEqual">
      <formula>$L12</formula>
    </cfRule>
    <cfRule type="cellIs" dxfId="313" priority="6" operator="greaterThan">
      <formula>L12</formula>
    </cfRule>
  </conditionalFormatting>
  <conditionalFormatting sqref="M13">
    <cfRule type="cellIs" dxfId="312" priority="3" stopIfTrue="1" operator="lessThanOrEqual">
      <formula>$L13</formula>
    </cfRule>
    <cfRule type="cellIs" dxfId="311" priority="4" operator="greaterThan">
      <formula>L13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78A5A18-40D6-4C96-B012-1B6AD99D5787}">
          <x14:formula1>
            <xm:f>Bolts!$A:$A</xm:f>
          </x14:formula1>
          <xm:sqref>C16:C19</xm:sqref>
        </x14:dataValidation>
        <x14:dataValidation type="list" allowBlank="1" showInputMessage="1" showErrorMessage="1" xr:uid="{2F4C1F16-399F-4232-B5AA-C73400603C00}">
          <x14:formula1>
            <xm:f>Assemblies!$E:$E</xm:f>
          </x14:formula1>
          <xm:sqref>C5:C7</xm:sqref>
        </x14:dataValidation>
        <x14:dataValidation type="list" allowBlank="1" showInputMessage="1" showErrorMessage="1" xr:uid="{681DC838-B918-4C8E-A789-001903CC5469}">
          <x14:formula1>
            <xm:f>Purchased!$A:$A</xm:f>
          </x14:formula1>
          <xm:sqref>C8:C15</xm:sqref>
        </x14:dataValidation>
      </x14:dataValidations>
    </ext>
  </extLst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6154-4219-4641-AC24-66A0F8385958}">
  <sheetPr codeName="Sheet236">
    <tabColor theme="9" tint="0.59999389629810485"/>
    <pageSetUpPr fitToPage="1"/>
  </sheetPr>
  <dimension ref="A1:Q25"/>
  <sheetViews>
    <sheetView zoomScale="115" zoomScaleNormal="115" workbookViewId="0">
      <selection sqref="A1:O35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'11'!C5</f>
        <v>PG10.11.1.0.A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'11'!D5</f>
        <v>Air Prep Station</v>
      </c>
      <c r="D3" s="85" t="s">
        <v>50</v>
      </c>
      <c r="E3" s="86" t="str">
        <f ca="1">MID(CELL("filename",A1),FIND("]",CELL("filename",A1))+1,256)</f>
        <v>11.1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.75" customHeight="1" x14ac:dyDescent="0.25">
      <c r="A5" s="77">
        <v>1</v>
      </c>
      <c r="B5" s="20">
        <v>1</v>
      </c>
      <c r="C5" s="121" t="s">
        <v>3811</v>
      </c>
      <c r="D5" s="314" t="str">
        <f>VLOOKUP(C5,Machined!C:X,2,0)</f>
        <v>Air Prep Mount Plate</v>
      </c>
      <c r="E5" s="329"/>
      <c r="F5" s="107" t="str">
        <f>VLOOKUP($C5,Machined!C:Z,13,0)</f>
        <v>6061-T6 ALUMINUM</v>
      </c>
      <c r="G5" s="44" t="str">
        <f>IF(VLOOKUP($C5,Machined!C:Z,16,0) = 0, " ", VLOOKUP($C5,Machined!C:Z,16,0))</f>
        <v>Craig Miller</v>
      </c>
      <c r="H5" s="320" t="str">
        <f>IF(VLOOKUP($C5,Machined!C:Z,17,0) = 0, " ", VLOOKUP($C5,Machined!C:Z,17,0))</f>
        <v xml:space="preserve"> </v>
      </c>
      <c r="I5" s="321" t="str">
        <f>IF(VLOOKUP($C5,Machined!$C:$Y,13,0) = 0, " ", VLOOKUP($C5,Machined!$C:$Y,13,0))</f>
        <v>6061-T6 ALUMINUM</v>
      </c>
      <c r="J5" s="44">
        <f>IF(VLOOKUP($C5,Machined!C:Z,18,0) = 0, " ", VLOOKUP($C5,Machined!C:Z,18,0))</f>
        <v>45503</v>
      </c>
      <c r="K5" s="44">
        <f>IF(VLOOKUP($C5,Machined!C:Z,19,0) = 0, " ", VLOOKUP($C5,Machined!C:Z,19,0))</f>
        <v>45509</v>
      </c>
      <c r="L5" s="44">
        <f>IF(VLOOKUP($C5,Machined!C:Z,20,0) = 0, " ", VLOOKUP($C5,Machined!C:Z,20,0))</f>
        <v>45540</v>
      </c>
      <c r="M5" s="44">
        <f>IF(VLOOKUP($C5,Machined!C:Z,21,0) = 0, " ", VLOOKUP($C5,Machined!C:Z,21,0))</f>
        <v>45540</v>
      </c>
      <c r="N5" s="129">
        <f>IF(VLOOKUP($C5,Machined!C:Z,22,0) = 0, " ", VLOOKUP($C5,Machined!C:Z,22,0))</f>
        <v>55656</v>
      </c>
      <c r="O5" s="45">
        <f ca="1">B5*$L$2</f>
        <v>1</v>
      </c>
      <c r="P5" s="49">
        <f>VLOOKUP(C5,Machined!C:F,3,0)</f>
        <v>0</v>
      </c>
      <c r="Q5" s="50">
        <f>B5*P5</f>
        <v>0</v>
      </c>
    </row>
    <row r="6" spans="1:17" s="2" customFormat="1" ht="12" customHeight="1" x14ac:dyDescent="0.25">
      <c r="A6" s="25"/>
      <c r="B6" s="26"/>
      <c r="C6" s="26"/>
      <c r="D6" s="332"/>
      <c r="E6" s="333"/>
      <c r="F6" s="26"/>
      <c r="G6" s="26"/>
      <c r="H6" s="322"/>
      <c r="I6" s="323"/>
      <c r="J6" s="27"/>
      <c r="K6" s="27"/>
      <c r="L6" s="27"/>
      <c r="M6" s="28"/>
      <c r="N6" s="29" t="e">
        <f>IF(VLOOKUP($C6,Machined!C:Z,22,0) = 0, " ", VLOOKUP($C6,Machined!C:Z,22,0))</f>
        <v>#N/A</v>
      </c>
      <c r="O6" s="29"/>
      <c r="P6" s="148"/>
      <c r="Q6" s="149"/>
    </row>
    <row r="7" spans="1:17" s="2" customFormat="1" ht="12" customHeight="1" x14ac:dyDescent="0.25">
      <c r="A7" s="4">
        <v>301</v>
      </c>
      <c r="B7" s="2">
        <v>1</v>
      </c>
      <c r="C7" s="135" t="s">
        <v>1429</v>
      </c>
      <c r="D7" s="325" t="str">
        <f>VLOOKUP(C7,Purchased!A:B,2,0)</f>
        <v>SMC Silencer</v>
      </c>
      <c r="E7" s="326"/>
      <c r="F7" s="108" t="str">
        <f>IF(VLOOKUP($C7,Purchased!A:Z,11,0) = 0, " ", VLOOKUP($C7,Purchased!A:Z,11,0))</f>
        <v>SMC</v>
      </c>
      <c r="G7" s="108" t="str">
        <f>IF(VLOOKUP($C7,Purchased!A:Z,12,0)=0, " ", VLOOKUP($C7,Purchased!A:Z,12,0))</f>
        <v>AAP</v>
      </c>
      <c r="H7" s="327" t="str">
        <f>IF(VLOOKUP($C7,Purchased!A:Z,13,0)=0, " ", VLOOKUP($C7,Purchased!A:Z,13,0))</f>
        <v xml:space="preserve"> </v>
      </c>
      <c r="I7" s="328"/>
      <c r="J7" s="46">
        <f>IF(VLOOKUP($C7,Purchased!A:Z,14,0)=0, " ", VLOOKUP($C7,Purchased!A:Z,14,0))</f>
        <v>45530</v>
      </c>
      <c r="K7" s="46">
        <f>IF(VLOOKUP(C7,Purchased!A:R,14,0)=0, " ", VLOOKUP(C7,Purchased!A:R,14,0))</f>
        <v>45530</v>
      </c>
      <c r="L7" s="46">
        <f>IF(VLOOKUP(C7,Purchased!A:R,15,0)=0, " ", VLOOKUP(C7,Purchased!A:R,15,0))</f>
        <v>45531</v>
      </c>
      <c r="M7" s="46">
        <f>IF(VLOOKUP(C7,Purchased!A:R,16,0)=0, " ",VLOOKUP(C7,Purchased!A:R,16,0))</f>
        <v>45541</v>
      </c>
      <c r="N7" s="130" t="e">
        <f>IF(VLOOKUP($C7,Machined!C:Z,22,0) = 0, " ", VLOOKUP($C7,Machined!C:Z,22,0))</f>
        <v>#N/A</v>
      </c>
      <c r="O7" s="47">
        <f t="shared" ref="O7:O13" ca="1" si="0">B7*$L$2</f>
        <v>1</v>
      </c>
      <c r="P7" s="51">
        <f>VLOOKUP(C7,Purchased!A:D,3,FALSE)</f>
        <v>5.19</v>
      </c>
      <c r="Q7" s="52">
        <f t="shared" ref="Q7:Q13" si="1">B7*P7</f>
        <v>5.19</v>
      </c>
    </row>
    <row r="8" spans="1:17" s="2" customFormat="1" ht="12" customHeight="1" x14ac:dyDescent="0.25">
      <c r="A8" s="4">
        <v>302</v>
      </c>
      <c r="B8" s="2">
        <v>2</v>
      </c>
      <c r="C8" s="135" t="s">
        <v>1430</v>
      </c>
      <c r="D8" s="325" t="str">
        <f>VLOOKUP(C8,Purchased!A:B,2,0)</f>
        <v>Airprep Spacer with Bracket</v>
      </c>
      <c r="E8" s="326"/>
      <c r="F8" s="108" t="str">
        <f>IF(VLOOKUP($C8,Purchased!A:Z,11,0) = 0, " ", VLOOKUP($C8,Purchased!A:Z,11,0))</f>
        <v>SMC</v>
      </c>
      <c r="G8" s="108" t="str">
        <f>IF(VLOOKUP($C8,Purchased!A:Z,12,0)=0, " ", VLOOKUP($C8,Purchased!A:Z,12,0))</f>
        <v>AAP</v>
      </c>
      <c r="H8" s="327" t="str">
        <f>IF(VLOOKUP($C8,Purchased!A:Z,13,0)=0, " ", VLOOKUP($C8,Purchased!A:Z,13,0))</f>
        <v xml:space="preserve"> </v>
      </c>
      <c r="I8" s="328"/>
      <c r="J8" s="46">
        <f>IF(VLOOKUP($C8,Purchased!A:Z,14,0)=0, " ", VLOOKUP($C8,Purchased!A:Z,14,0))</f>
        <v>45530</v>
      </c>
      <c r="K8" s="46">
        <f>IF(VLOOKUP(C8,Purchased!A:R,14,0)=0, " ", VLOOKUP(C8,Purchased!A:R,14,0))</f>
        <v>45530</v>
      </c>
      <c r="L8" s="46">
        <f>IF(VLOOKUP(C8,Purchased!A:R,15,0)=0, " ", VLOOKUP(C8,Purchased!A:R,15,0))</f>
        <v>45531</v>
      </c>
      <c r="M8" s="46">
        <f>IF(VLOOKUP(C8,Purchased!A:R,16,0)=0, " ",VLOOKUP(C8,Purchased!A:R,16,0))</f>
        <v>45541</v>
      </c>
      <c r="N8" s="130" t="e">
        <f>IF(VLOOKUP($C8,Machined!C:Z,22,0) = 0, " ", VLOOKUP($C8,Machined!C:Z,22,0))</f>
        <v>#N/A</v>
      </c>
      <c r="O8" s="47">
        <f t="shared" ca="1" si="0"/>
        <v>2</v>
      </c>
      <c r="P8" s="51">
        <f>VLOOKUP(C8,Purchased!A:D,3,FALSE)</f>
        <v>9</v>
      </c>
      <c r="Q8" s="52">
        <f t="shared" si="1"/>
        <v>18</v>
      </c>
    </row>
    <row r="9" spans="1:17" s="2" customFormat="1" ht="12" customHeight="1" x14ac:dyDescent="0.25">
      <c r="A9" s="4">
        <v>303</v>
      </c>
      <c r="B9" s="2">
        <v>1</v>
      </c>
      <c r="C9" s="135" t="s">
        <v>1431</v>
      </c>
      <c r="D9" s="325" t="str">
        <f>VLOOKUP(C9,Purchased!A:B,2,0)</f>
        <v xml:space="preserve">Airprep Spacer </v>
      </c>
      <c r="E9" s="326"/>
      <c r="F9" s="108" t="str">
        <f>IF(VLOOKUP($C9,Purchased!A:Z,11,0) = 0, " ", VLOOKUP($C9,Purchased!A:Z,11,0))</f>
        <v>SMC</v>
      </c>
      <c r="G9" s="108" t="str">
        <f>IF(VLOOKUP($C9,Purchased!A:Z,12,0)=0, " ", VLOOKUP($C9,Purchased!A:Z,12,0))</f>
        <v>AAP</v>
      </c>
      <c r="H9" s="327" t="str">
        <f>IF(VLOOKUP($C9,Purchased!A:Z,13,0)=0, " ", VLOOKUP($C9,Purchased!A:Z,13,0))</f>
        <v xml:space="preserve"> </v>
      </c>
      <c r="I9" s="328"/>
      <c r="J9" s="46">
        <f>IF(VLOOKUP($C9,Purchased!A:Z,14,0)=0, " ", VLOOKUP($C9,Purchased!A:Z,14,0))</f>
        <v>45530</v>
      </c>
      <c r="K9" s="46">
        <f>IF(VLOOKUP(C9,Purchased!A:R,14,0)=0, " ", VLOOKUP(C9,Purchased!A:R,14,0))</f>
        <v>45530</v>
      </c>
      <c r="L9" s="46">
        <f>IF(VLOOKUP(C9,Purchased!A:R,15,0)=0, " ", VLOOKUP(C9,Purchased!A:R,15,0))</f>
        <v>45531</v>
      </c>
      <c r="M9" s="46">
        <f>IF(VLOOKUP(C9,Purchased!A:R,16,0)=0, " ",VLOOKUP(C9,Purchased!A:R,16,0))</f>
        <v>45541</v>
      </c>
      <c r="N9" s="130" t="e">
        <f>IF(VLOOKUP($C9,Machined!C:Z,22,0) = 0, " ", VLOOKUP($C9,Machined!C:Z,22,0))</f>
        <v>#N/A</v>
      </c>
      <c r="O9" s="47">
        <f t="shared" ca="1" si="0"/>
        <v>1</v>
      </c>
      <c r="P9" s="51">
        <f>VLOOKUP(C9,Purchased!A:D,3,FALSE)</f>
        <v>6.52</v>
      </c>
      <c r="Q9" s="52">
        <f t="shared" si="1"/>
        <v>6.52</v>
      </c>
    </row>
    <row r="10" spans="1:17" s="2" customFormat="1" ht="12" customHeight="1" x14ac:dyDescent="0.25">
      <c r="A10" s="4">
        <v>304</v>
      </c>
      <c r="B10" s="2">
        <v>1</v>
      </c>
      <c r="C10" s="135" t="s">
        <v>1432</v>
      </c>
      <c r="D10" s="325" t="str">
        <f>VLOOKUP(C10,Purchased!A:B,2,0)</f>
        <v>Pressure Reilief 3 Port Valve</v>
      </c>
      <c r="E10" s="326"/>
      <c r="F10" s="108" t="str">
        <f>IF(VLOOKUP($C10,Purchased!A:Z,11,0) = 0, " ", VLOOKUP($C10,Purchased!A:Z,11,0))</f>
        <v>SMC</v>
      </c>
      <c r="G10" s="108" t="str">
        <f>IF(VLOOKUP($C10,Purchased!A:Z,12,0)=0, " ", VLOOKUP($C10,Purchased!A:Z,12,0))</f>
        <v>AAP</v>
      </c>
      <c r="H10" s="327" t="str">
        <f>IF(VLOOKUP($C10,Purchased!A:Z,13,0)=0, " ", VLOOKUP($C10,Purchased!A:Z,13,0))</f>
        <v xml:space="preserve"> </v>
      </c>
      <c r="I10" s="328"/>
      <c r="J10" s="46">
        <f>IF(VLOOKUP($C10,Purchased!A:Z,14,0)=0, " ", VLOOKUP($C10,Purchased!A:Z,14,0))</f>
        <v>45530</v>
      </c>
      <c r="K10" s="46">
        <f>IF(VLOOKUP(C10,Purchased!A:R,14,0)=0, " ", VLOOKUP(C10,Purchased!A:R,14,0))</f>
        <v>45530</v>
      </c>
      <c r="L10" s="46">
        <f>IF(VLOOKUP(C10,Purchased!A:R,15,0)=0, " ", VLOOKUP(C10,Purchased!A:R,15,0))</f>
        <v>45531</v>
      </c>
      <c r="M10" s="46">
        <f>IF(VLOOKUP(C10,Purchased!A:R,16,0)=0, " ",VLOOKUP(C10,Purchased!A:R,16,0))</f>
        <v>45541</v>
      </c>
      <c r="N10" s="130" t="e">
        <f>IF(VLOOKUP($C10,Machined!C:Z,22,0) = 0, " ", VLOOKUP($C10,Machined!C:Z,22,0))</f>
        <v>#N/A</v>
      </c>
      <c r="O10" s="47">
        <f t="shared" ca="1" si="0"/>
        <v>1</v>
      </c>
      <c r="P10" s="51">
        <f>VLOOKUP(C10,Purchased!A:D,3,FALSE)</f>
        <v>66.343199999999996</v>
      </c>
      <c r="Q10" s="52">
        <f t="shared" si="1"/>
        <v>66.343199999999996</v>
      </c>
    </row>
    <row r="11" spans="1:17" s="2" customFormat="1" ht="12" customHeight="1" x14ac:dyDescent="0.25">
      <c r="A11" s="4">
        <v>305</v>
      </c>
      <c r="B11" s="2">
        <v>1</v>
      </c>
      <c r="C11" s="135" t="s">
        <v>1433</v>
      </c>
      <c r="D11" s="325" t="str">
        <f>VLOOKUP(C11,Purchased!A:B,2,0)</f>
        <v>Pressure Switch with Piping Adapter</v>
      </c>
      <c r="E11" s="326"/>
      <c r="F11" s="108" t="str">
        <f>IF(VLOOKUP($C11,Purchased!A:Z,11,0) = 0, " ", VLOOKUP($C11,Purchased!A:Z,11,0))</f>
        <v>SMC</v>
      </c>
      <c r="G11" s="108" t="str">
        <f>IF(VLOOKUP($C11,Purchased!A:Z,12,0)=0, " ", VLOOKUP($C11,Purchased!A:Z,12,0))</f>
        <v>AAP</v>
      </c>
      <c r="H11" s="327" t="str">
        <f>IF(VLOOKUP($C11,Purchased!A:Z,13,0)=0, " ", VLOOKUP($C11,Purchased!A:Z,13,0))</f>
        <v xml:space="preserve"> </v>
      </c>
      <c r="I11" s="328"/>
      <c r="J11" s="46">
        <f>IF(VLOOKUP($C11,Purchased!A:Z,14,0)=0, " ", VLOOKUP($C11,Purchased!A:Z,14,0))</f>
        <v>45530</v>
      </c>
      <c r="K11" s="46">
        <f>IF(VLOOKUP(C11,Purchased!A:R,14,0)=0, " ", VLOOKUP(C11,Purchased!A:R,14,0))</f>
        <v>45530</v>
      </c>
      <c r="L11" s="46">
        <f>IF(VLOOKUP(C11,Purchased!A:R,15,0)=0, " ", VLOOKUP(C11,Purchased!A:R,15,0))</f>
        <v>45531</v>
      </c>
      <c r="M11" s="46">
        <f>IF(VLOOKUP(C11,Purchased!A:R,16,0)=0, " ",VLOOKUP(C11,Purchased!A:R,16,0))</f>
        <v>45541</v>
      </c>
      <c r="N11" s="130" t="e">
        <f>IF(VLOOKUP($C11,Machined!C:Z,22,0) = 0, " ", VLOOKUP($C11,Machined!C:Z,22,0))</f>
        <v>#N/A</v>
      </c>
      <c r="O11" s="47">
        <f t="shared" ca="1" si="0"/>
        <v>1</v>
      </c>
      <c r="P11" s="51">
        <f>VLOOKUP(C11,Purchased!A:D,3,FALSE)</f>
        <v>59.8812</v>
      </c>
      <c r="Q11" s="52">
        <f t="shared" si="1"/>
        <v>59.8812</v>
      </c>
    </row>
    <row r="12" spans="1:17" s="2" customFormat="1" ht="12" customHeight="1" x14ac:dyDescent="0.25">
      <c r="A12" s="4">
        <v>306</v>
      </c>
      <c r="B12" s="2">
        <v>1</v>
      </c>
      <c r="C12" s="135" t="s">
        <v>1434</v>
      </c>
      <c r="D12" s="325" t="str">
        <f>VLOOKUP(C12,Purchased!A:B,2,0)</f>
        <v>Soft Startup Valve with Lock Out</v>
      </c>
      <c r="E12" s="326"/>
      <c r="F12" s="108" t="str">
        <f>IF(VLOOKUP($C12,Purchased!A:Z,11,0) = 0, " ", VLOOKUP($C12,Purchased!A:Z,11,0))</f>
        <v>SMC</v>
      </c>
      <c r="G12" s="108" t="str">
        <f>IF(VLOOKUP($C12,Purchased!A:Z,12,0)=0, " ", VLOOKUP($C12,Purchased!A:Z,12,0))</f>
        <v>AAP</v>
      </c>
      <c r="H12" s="327" t="str">
        <f>IF(VLOOKUP($C12,Purchased!A:Z,13,0)=0, " ", VLOOKUP($C12,Purchased!A:Z,13,0))</f>
        <v xml:space="preserve"> </v>
      </c>
      <c r="I12" s="328"/>
      <c r="J12" s="46">
        <f>IF(VLOOKUP($C12,Purchased!A:Z,14,0)=0, " ", VLOOKUP($C12,Purchased!A:Z,14,0))</f>
        <v>45530</v>
      </c>
      <c r="K12" s="46">
        <f>IF(VLOOKUP(C12,Purchased!A:R,14,0)=0, " ", VLOOKUP(C12,Purchased!A:R,14,0))</f>
        <v>45530</v>
      </c>
      <c r="L12" s="46">
        <f>IF(VLOOKUP(C12,Purchased!A:R,15,0)=0, " ", VLOOKUP(C12,Purchased!A:R,15,0))</f>
        <v>45531</v>
      </c>
      <c r="M12" s="46">
        <f>IF(VLOOKUP(C12,Purchased!A:R,16,0)=0, " ",VLOOKUP(C12,Purchased!A:R,16,0))</f>
        <v>45541</v>
      </c>
      <c r="N12" s="130" t="e">
        <f>IF(VLOOKUP($C12,Machined!C:Z,22,0) = 0, " ", VLOOKUP($C12,Machined!C:Z,22,0))</f>
        <v>#N/A</v>
      </c>
      <c r="O12" s="47">
        <f t="shared" ca="1" si="0"/>
        <v>1</v>
      </c>
      <c r="P12" s="51">
        <f>VLOOKUP(C12,Purchased!A:D,3,FALSE)</f>
        <v>295.85610000000003</v>
      </c>
      <c r="Q12" s="52">
        <f t="shared" si="1"/>
        <v>295.85610000000003</v>
      </c>
    </row>
    <row r="13" spans="1:17" s="2" customFormat="1" ht="12" customHeight="1" x14ac:dyDescent="0.25">
      <c r="A13" s="4">
        <v>307</v>
      </c>
      <c r="B13" s="2">
        <v>1</v>
      </c>
      <c r="C13" s="135" t="s">
        <v>1435</v>
      </c>
      <c r="D13" s="325" t="str">
        <f>VLOOKUP(C13,Purchased!A:B,2,0)</f>
        <v>Filter Regulator</v>
      </c>
      <c r="E13" s="326"/>
      <c r="F13" s="108" t="str">
        <f>IF(VLOOKUP($C13,Purchased!A:Z,11,0) = 0, " ", VLOOKUP($C13,Purchased!A:Z,11,0))</f>
        <v>SMC</v>
      </c>
      <c r="G13" s="108" t="str">
        <f>IF(VLOOKUP($C13,Purchased!A:Z,12,0)=0, " ", VLOOKUP($C13,Purchased!A:Z,12,0))</f>
        <v>AAP</v>
      </c>
      <c r="H13" s="327" t="str">
        <f>IF(VLOOKUP($C13,Purchased!A:Z,13,0)=0, " ", VLOOKUP($C13,Purchased!A:Z,13,0))</f>
        <v xml:space="preserve"> </v>
      </c>
      <c r="I13" s="328"/>
      <c r="J13" s="46">
        <f>IF(VLOOKUP($C13,Purchased!A:Z,14,0)=0, " ", VLOOKUP($C13,Purchased!A:Z,14,0))</f>
        <v>45530</v>
      </c>
      <c r="K13" s="46">
        <f>IF(VLOOKUP(C13,Purchased!A:R,14,0)=0, " ", VLOOKUP(C13,Purchased!A:R,14,0))</f>
        <v>45530</v>
      </c>
      <c r="L13" s="46">
        <f>IF(VLOOKUP(C13,Purchased!A:R,15,0)=0, " ", VLOOKUP(C13,Purchased!A:R,15,0))</f>
        <v>45531</v>
      </c>
      <c r="M13" s="46">
        <f>IF(VLOOKUP(C13,Purchased!A:R,16,0)=0, " ",VLOOKUP(C13,Purchased!A:R,16,0))</f>
        <v>45541</v>
      </c>
      <c r="N13" s="130" t="e">
        <f>IF(VLOOKUP($C13,Machined!C:Z,22,0) = 0, " ", VLOOKUP($C13,Machined!C:Z,22,0))</f>
        <v>#N/A</v>
      </c>
      <c r="O13" s="47">
        <f t="shared" ca="1" si="0"/>
        <v>1</v>
      </c>
      <c r="P13" s="51">
        <f>VLOOKUP(C13,Purchased!A:D,3,FALSE)</f>
        <v>109.88</v>
      </c>
      <c r="Q13" s="52">
        <f t="shared" si="1"/>
        <v>109.88</v>
      </c>
    </row>
    <row r="14" spans="1:17" s="2" customFormat="1" ht="12" customHeight="1" x14ac:dyDescent="0.25">
      <c r="A14" s="4">
        <v>308</v>
      </c>
      <c r="B14" s="2">
        <v>1</v>
      </c>
      <c r="C14" s="135" t="s">
        <v>1436</v>
      </c>
      <c r="D14" s="325" t="str">
        <f>VLOOKUP(C14,Purchased!A:B,2,0)</f>
        <v>Pressure Gauge</v>
      </c>
      <c r="E14" s="326"/>
      <c r="F14" s="108" t="str">
        <f>IF(VLOOKUP($C14,Purchased!A:Z,11,0) = 0, " ", VLOOKUP($C14,Purchased!A:Z,11,0))</f>
        <v>SMC</v>
      </c>
      <c r="G14" s="108" t="str">
        <f>IF(VLOOKUP($C14,Purchased!A:Z,12,0)=0, " ", VLOOKUP($C14,Purchased!A:Z,12,0))</f>
        <v>AAP</v>
      </c>
      <c r="H14" s="327" t="str">
        <f>IF(VLOOKUP($C14,Purchased!A:Z,13,0)=0, " ", VLOOKUP($C14,Purchased!A:Z,13,0))</f>
        <v xml:space="preserve"> </v>
      </c>
      <c r="I14" s="328"/>
      <c r="J14" s="46">
        <f>IF(VLOOKUP($C14,Purchased!A:Z,14,0)=0, " ", VLOOKUP($C14,Purchased!A:Z,14,0))</f>
        <v>45530</v>
      </c>
      <c r="K14" s="46">
        <f>IF(VLOOKUP(C14,Purchased!A:R,14,0)=0, " ", VLOOKUP(C14,Purchased!A:R,14,0))</f>
        <v>45530</v>
      </c>
      <c r="L14" s="46">
        <f>IF(VLOOKUP(C14,Purchased!A:R,15,0)=0, " ", VLOOKUP(C14,Purchased!A:R,15,0))</f>
        <v>45531</v>
      </c>
      <c r="M14" s="46">
        <f>IF(VLOOKUP(C14,Purchased!A:R,16,0)=0, " ",VLOOKUP(C14,Purchased!A:R,16,0))</f>
        <v>45541</v>
      </c>
      <c r="N14" s="130" t="e">
        <f>IF(VLOOKUP($C14,Machined!C:Z,22,0) = 0, " ", VLOOKUP($C14,Machined!C:Z,22,0))</f>
        <v>#N/A</v>
      </c>
      <c r="O14" s="47">
        <f ca="1">B14*$L$2</f>
        <v>1</v>
      </c>
      <c r="P14" s="51">
        <f>VLOOKUP(C14,Purchased!A:D,3,FALSE)</f>
        <v>10.2966</v>
      </c>
      <c r="Q14" s="52">
        <f>B14*P14</f>
        <v>10.2966</v>
      </c>
    </row>
    <row r="15" spans="1:17" s="2" customFormat="1" ht="12" customHeight="1" x14ac:dyDescent="0.25">
      <c r="A15" s="4">
        <v>309</v>
      </c>
      <c r="B15" s="2">
        <v>1</v>
      </c>
      <c r="C15" s="135" t="s">
        <v>1437</v>
      </c>
      <c r="D15" s="325" t="str">
        <f>VLOOKUP(C15,Purchased!A:B,2,0)</f>
        <v>Silencer 3/4 NPT</v>
      </c>
      <c r="E15" s="326"/>
      <c r="F15" s="108" t="str">
        <f>IF(VLOOKUP($C15,Purchased!A:Z,11,0) = 0, " ", VLOOKUP($C15,Purchased!A:Z,11,0))</f>
        <v>SMC</v>
      </c>
      <c r="G15" s="108" t="str">
        <f>IF(VLOOKUP($C15,Purchased!A:Z,12,0)=0, " ", VLOOKUP($C15,Purchased!A:Z,12,0))</f>
        <v>AAP</v>
      </c>
      <c r="H15" s="327" t="str">
        <f>IF(VLOOKUP($C15,Purchased!A:Z,13,0)=0, " ", VLOOKUP($C15,Purchased!A:Z,13,0))</f>
        <v xml:space="preserve"> </v>
      </c>
      <c r="I15" s="328"/>
      <c r="J15" s="46">
        <f>IF(VLOOKUP($C15,Purchased!A:Z,14,0)=0, " ", VLOOKUP($C15,Purchased!A:Z,14,0))</f>
        <v>45530</v>
      </c>
      <c r="K15" s="46">
        <f>IF(VLOOKUP(C15,Purchased!A:R,14,0)=0, " ", VLOOKUP(C15,Purchased!A:R,14,0))</f>
        <v>45530</v>
      </c>
      <c r="L15" s="46">
        <f>IF(VLOOKUP(C15,Purchased!A:R,15,0)=0, " ", VLOOKUP(C15,Purchased!A:R,15,0))</f>
        <v>45531</v>
      </c>
      <c r="M15" s="46">
        <f>IF(VLOOKUP(C15,Purchased!A:R,16,0)=0, " ",VLOOKUP(C15,Purchased!A:R,16,0))</f>
        <v>45541</v>
      </c>
      <c r="N15" s="130" t="e">
        <f>IF(VLOOKUP($C15,Machined!C:Z,22,0) = 0, " ", VLOOKUP($C15,Machined!C:Z,22,0))</f>
        <v>#N/A</v>
      </c>
      <c r="O15" s="47">
        <f ca="1">B15*$L$2</f>
        <v>1</v>
      </c>
      <c r="P15" s="51">
        <f>VLOOKUP(C15,Purchased!A:D,3,FALSE)</f>
        <v>13.277799999999999</v>
      </c>
      <c r="Q15" s="52">
        <f>B15*P15</f>
        <v>13.277799999999999</v>
      </c>
    </row>
    <row r="16" spans="1:17" s="2" customFormat="1" ht="12" customHeight="1" x14ac:dyDescent="0.25">
      <c r="A16" s="4">
        <v>310</v>
      </c>
      <c r="B16" s="2">
        <v>1</v>
      </c>
      <c r="C16" s="135" t="s">
        <v>1438</v>
      </c>
      <c r="D16" s="325" t="str">
        <f>VLOOKUP(C16,Purchased!A:B,2,0)</f>
        <v>304 Stainless Steel Threaded Pipe Fitting, Low Pressure, Straight Reducer, 2 x 1 NPT Male</v>
      </c>
      <c r="E16" s="326"/>
      <c r="F16" s="108" t="str">
        <f>IF(VLOOKUP($C16,Purchased!A:Z,11,0) = 0, " ", VLOOKUP($C16,Purchased!A:Z,11,0))</f>
        <v>MCM</v>
      </c>
      <c r="G16" s="108" t="str">
        <f>IF(VLOOKUP($C16,Purchased!A:Z,12,0)=0, " ", VLOOKUP($C16,Purchased!A:Z,12,0))</f>
        <v>MCM</v>
      </c>
      <c r="H16" s="327" t="str">
        <f>IF(VLOOKUP($C16,Purchased!A:Z,13,0)=0, " ", VLOOKUP($C16,Purchased!A:Z,13,0))</f>
        <v xml:space="preserve"> </v>
      </c>
      <c r="I16" s="328"/>
      <c r="J16" s="46" t="str">
        <f>IF(VLOOKUP($C16,Purchased!A:Z,14,0)=0, " ", VLOOKUP($C16,Purchased!A:Z,14,0))</f>
        <v>N/A</v>
      </c>
      <c r="K16" s="46" t="str">
        <f>IF(VLOOKUP(C16,Purchased!A:R,14,0)=0, " ", VLOOKUP(C16,Purchased!A:R,14,0))</f>
        <v>N/A</v>
      </c>
      <c r="L16" s="46" t="str">
        <f>IF(VLOOKUP(C16,Purchased!A:R,15,0)=0, " ", VLOOKUP(C16,Purchased!A:R,15,0))</f>
        <v xml:space="preserve"> </v>
      </c>
      <c r="M16" s="46" t="str">
        <f>IF(VLOOKUP(C16,Purchased!A:R,16,0)=0, " ",VLOOKUP(C16,Purchased!A:R,16,0))</f>
        <v xml:space="preserve"> </v>
      </c>
      <c r="N16" s="130" t="e">
        <f>IF(VLOOKUP($C16,Machined!C:Z,22,0) = 0, " ", VLOOKUP($C16,Machined!C:Z,22,0))</f>
        <v>#N/A</v>
      </c>
      <c r="O16" s="47">
        <f ca="1">B16*$L$2</f>
        <v>1</v>
      </c>
      <c r="P16" s="51">
        <f>VLOOKUP(C16,Purchased!A:D,3,FALSE)</f>
        <v>44.36</v>
      </c>
      <c r="Q16" s="52">
        <f>B16*P16</f>
        <v>44.36</v>
      </c>
    </row>
    <row r="17" spans="1:17" s="2" customFormat="1" ht="12" customHeight="1" x14ac:dyDescent="0.25">
      <c r="A17" s="4">
        <v>311</v>
      </c>
      <c r="B17" s="2">
        <v>1</v>
      </c>
      <c r="C17" s="135" t="s">
        <v>1439</v>
      </c>
      <c r="D17" s="325" t="str">
        <f>VLOOKUP(C17,Purchased!A:B,2,0)</f>
        <v>304 Stainless Steel Threaded Pipe Fitting, Low-Pressure, 90 Degree Elbow Adapter, 2 NPT Female x Male</v>
      </c>
      <c r="E17" s="326"/>
      <c r="F17" s="108" t="str">
        <f>IF(VLOOKUP($C17,Purchased!A:Z,11,0) = 0, " ", VLOOKUP($C17,Purchased!A:Z,11,0))</f>
        <v>MCM</v>
      </c>
      <c r="G17" s="108" t="str">
        <f>IF(VLOOKUP($C17,Purchased!A:Z,12,0)=0, " ", VLOOKUP($C17,Purchased!A:Z,12,0))</f>
        <v>MCM</v>
      </c>
      <c r="H17" s="327" t="str">
        <f>IF(VLOOKUP($C17,Purchased!A:Z,13,0)=0, " ", VLOOKUP($C17,Purchased!A:Z,13,0))</f>
        <v xml:space="preserve"> </v>
      </c>
      <c r="I17" s="328"/>
      <c r="J17" s="46" t="str">
        <f>IF(VLOOKUP($C17,Purchased!A:Z,14,0)=0, " ", VLOOKUP($C17,Purchased!A:Z,14,0))</f>
        <v xml:space="preserve"> </v>
      </c>
      <c r="K17" s="46" t="str">
        <f>IF(VLOOKUP(C17,Purchased!A:R,14,0)=0, " ", VLOOKUP(C17,Purchased!A:R,14,0))</f>
        <v xml:space="preserve"> </v>
      </c>
      <c r="L17" s="46" t="str">
        <f>IF(VLOOKUP(C17,Purchased!A:R,15,0)=0, " ", VLOOKUP(C17,Purchased!A:R,15,0))</f>
        <v xml:space="preserve"> </v>
      </c>
      <c r="M17" s="46" t="str">
        <f>IF(VLOOKUP(C17,Purchased!A:R,16,0)=0, " ",VLOOKUP(C17,Purchased!A:R,16,0))</f>
        <v xml:space="preserve"> </v>
      </c>
      <c r="N17" s="130" t="e">
        <f>IF(VLOOKUP($C17,Machined!C:Z,22,0) = 0, " ", VLOOKUP($C17,Machined!C:Z,22,0))</f>
        <v>#N/A</v>
      </c>
      <c r="O17" s="47">
        <f ca="1">B17*$L$2</f>
        <v>1</v>
      </c>
      <c r="P17" s="51">
        <f>VLOOKUP(C17,Purchased!A:D,3,FALSE)</f>
        <v>68.72</v>
      </c>
      <c r="Q17" s="52">
        <f>B17*P17</f>
        <v>68.72</v>
      </c>
    </row>
    <row r="18" spans="1:17" s="2" customFormat="1" ht="12" customHeight="1" x14ac:dyDescent="0.25">
      <c r="A18" s="4">
        <v>312</v>
      </c>
      <c r="B18" s="2">
        <v>4</v>
      </c>
      <c r="C18" s="135" t="s">
        <v>1440</v>
      </c>
      <c r="D18" s="325" t="str">
        <f>VLOOKUP(C18,Purchased!A:B,2,0)</f>
        <v>M10 8mm Spacer</v>
      </c>
      <c r="E18" s="326"/>
      <c r="F18" s="108" t="str">
        <f>IF(VLOOKUP($C18,Purchased!A:Z,11,0) = 0, " ", VLOOKUP($C18,Purchased!A:Z,11,0))</f>
        <v>MISUMI</v>
      </c>
      <c r="G18" s="108" t="str">
        <f>IF(VLOOKUP($C18,Purchased!A:Z,12,0)=0, " ", VLOOKUP($C18,Purchased!A:Z,12,0))</f>
        <v>MISUMI</v>
      </c>
      <c r="H18" s="327" t="str">
        <f>IF(VLOOKUP($C18,Purchased!A:Z,13,0)=0, " ", VLOOKUP($C18,Purchased!A:Z,13,0))</f>
        <v xml:space="preserve"> </v>
      </c>
      <c r="I18" s="328"/>
      <c r="J18" s="46" t="str">
        <f>IF(VLOOKUP($C18,Purchased!A:Z,14,0)=0, " ", VLOOKUP($C18,Purchased!A:Z,14,0))</f>
        <v xml:space="preserve"> </v>
      </c>
      <c r="K18" s="46" t="str">
        <f>IF(VLOOKUP(C18,Purchased!A:R,14,0)=0, " ", VLOOKUP(C18,Purchased!A:R,14,0))</f>
        <v xml:space="preserve"> </v>
      </c>
      <c r="L18" s="46" t="str">
        <f>IF(VLOOKUP(C18,Purchased!A:R,15,0)=0, " ", VLOOKUP(C18,Purchased!A:R,15,0))</f>
        <v xml:space="preserve"> </v>
      </c>
      <c r="M18" s="46" t="str">
        <f>IF(VLOOKUP(C18,Purchased!A:R,16,0)=0, " ",VLOOKUP(C18,Purchased!A:R,16,0))</f>
        <v xml:space="preserve"> </v>
      </c>
      <c r="N18" s="130" t="e">
        <f>IF(VLOOKUP($C18,Machined!C:Z,22,0) = 0, " ", VLOOKUP($C18,Machined!C:Z,22,0))</f>
        <v>#N/A</v>
      </c>
      <c r="O18" s="47">
        <f ca="1">B18*$L$2</f>
        <v>4</v>
      </c>
      <c r="P18" s="51">
        <f>VLOOKUP(C18,Purchased!A:D,3,FALSE)</f>
        <v>20.81</v>
      </c>
      <c r="Q18" s="52">
        <f>B18*P18</f>
        <v>83.24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501</v>
      </c>
      <c r="B20" s="2">
        <v>4</v>
      </c>
      <c r="C20" s="122" t="s">
        <v>265</v>
      </c>
      <c r="D20" s="325"/>
      <c r="E20" s="326"/>
      <c r="F20" s="108">
        <f>VLOOKUP(C20,Bolts!A:L,5,0)</f>
        <v>0</v>
      </c>
      <c r="G20" s="108">
        <f>VLOOKUP(C20,Bolts!A:L,6,0)</f>
        <v>0</v>
      </c>
      <c r="H20" s="108">
        <f>VLOOKUP(C20,Bolts!A:L,7,0)</f>
        <v>0</v>
      </c>
      <c r="I20" s="109"/>
      <c r="J20" s="46">
        <f>VLOOKUP(C20,Bolts!A:L,8,0)</f>
        <v>0</v>
      </c>
      <c r="K20" s="46">
        <f>VLOOKUP(C20,Bolts!A:L,9,0)</f>
        <v>0</v>
      </c>
      <c r="L20" s="46">
        <f>VLOOKUP(C20,Bolts!A:L,10,0)</f>
        <v>0</v>
      </c>
      <c r="M20" s="46">
        <f>VLOOKUP(C20,Bolts!A:L,11,0)</f>
        <v>0</v>
      </c>
      <c r="N20" s="130" t="e">
        <f>IF(VLOOKUP($C20,Machined!C:Z,22,0) = 0, " ", VLOOKUP($C20,Machined!C:Z,22,0))</f>
        <v>#N/A</v>
      </c>
      <c r="O20" s="47">
        <f t="shared" ref="O20:O21" ca="1" si="2">B20*$L$2</f>
        <v>4</v>
      </c>
      <c r="P20" s="51">
        <f>VLOOKUP(C20,Bolts!A:B,2,FALSE)</f>
        <v>0</v>
      </c>
      <c r="Q20" s="52">
        <f t="shared" ref="Q20:Q21" si="3">B20*P20</f>
        <v>0</v>
      </c>
    </row>
    <row r="21" spans="1:17" s="2" customFormat="1" ht="12" customHeight="1" x14ac:dyDescent="0.25">
      <c r="A21" s="4">
        <v>502</v>
      </c>
      <c r="B21" s="2">
        <v>4</v>
      </c>
      <c r="C21" s="122" t="s">
        <v>361</v>
      </c>
      <c r="D21" s="325"/>
      <c r="E21" s="326"/>
      <c r="F21" s="108">
        <f>VLOOKUP(C21,Bolts!A:L,5,0)</f>
        <v>0</v>
      </c>
      <c r="G21" s="108">
        <f>VLOOKUP(C21,Bolts!A:L,6,0)</f>
        <v>0</v>
      </c>
      <c r="H21" s="108">
        <f>VLOOKUP(C21,Bolts!A:L,7,0)</f>
        <v>0</v>
      </c>
      <c r="I21" s="109"/>
      <c r="J21" s="46">
        <f>VLOOKUP(C21,Bolts!A:L,8,0)</f>
        <v>0</v>
      </c>
      <c r="K21" s="46">
        <f>VLOOKUP(C21,Bolts!A:L,9,0)</f>
        <v>0</v>
      </c>
      <c r="L21" s="46">
        <f>VLOOKUP(C21,Bolts!A:L,10,0)</f>
        <v>0</v>
      </c>
      <c r="M21" s="46">
        <f>VLOOKUP(C21,Bolts!A:L,11,0)</f>
        <v>0</v>
      </c>
      <c r="N21" s="130" t="e">
        <f>IF(VLOOKUP($C21,Machined!C:Z,22,0) = 0, " ", VLOOKUP($C21,Machined!C:Z,22,0))</f>
        <v>#N/A</v>
      </c>
      <c r="O21" s="47">
        <f t="shared" ca="1" si="2"/>
        <v>4</v>
      </c>
      <c r="P21" s="51">
        <f>VLOOKUP(C21,Bolts!A:B,2,FALSE)</f>
        <v>0</v>
      </c>
      <c r="Q21" s="52">
        <f t="shared" si="3"/>
        <v>0</v>
      </c>
    </row>
    <row r="22" spans="1:17" s="2" customFormat="1" ht="12" customHeight="1" x14ac:dyDescent="0.25">
      <c r="A22" s="4">
        <v>503</v>
      </c>
      <c r="B22" s="2">
        <v>4</v>
      </c>
      <c r="C22" s="122" t="s">
        <v>264</v>
      </c>
      <c r="D22" s="325"/>
      <c r="E22" s="326"/>
      <c r="F22" s="108">
        <f>VLOOKUP(C22,Bolts!A:L,5,0)</f>
        <v>0</v>
      </c>
      <c r="G22" s="108">
        <f>VLOOKUP(C22,Bolts!A:L,6,0)</f>
        <v>0</v>
      </c>
      <c r="H22" s="108">
        <f>VLOOKUP(C22,Bolts!A:L,7,0)</f>
        <v>0</v>
      </c>
      <c r="I22" s="109"/>
      <c r="J22" s="46">
        <f>VLOOKUP(C22,Bolts!A:L,8,0)</f>
        <v>0</v>
      </c>
      <c r="K22" s="46">
        <f>VLOOKUP(C22,Bolts!A:L,9,0)</f>
        <v>0</v>
      </c>
      <c r="L22" s="46">
        <f>VLOOKUP(C22,Bolts!A:L,10,0)</f>
        <v>0</v>
      </c>
      <c r="M22" s="46">
        <f>VLOOKUP(C22,Bolts!A:L,11,0)</f>
        <v>0</v>
      </c>
      <c r="N22" s="130" t="e">
        <f>IF(VLOOKUP($C22,Machined!C:Z,22,0) = 0, " ", VLOOKUP($C22,Machined!C:Z,22,0))</f>
        <v>#N/A</v>
      </c>
      <c r="O22" s="47">
        <f ca="1">B22*$L$2</f>
        <v>4</v>
      </c>
      <c r="P22" s="51">
        <f>VLOOKUP(C22,Bolts!A:B,2,FALSE)</f>
        <v>0</v>
      </c>
      <c r="Q22" s="52">
        <f>B22*P22</f>
        <v>0</v>
      </c>
    </row>
    <row r="23" spans="1:17" s="2" customFormat="1" ht="12" customHeight="1" x14ac:dyDescent="0.25">
      <c r="A23" s="4">
        <v>504</v>
      </c>
      <c r="B23" s="2">
        <v>4</v>
      </c>
      <c r="C23" s="122" t="s">
        <v>441</v>
      </c>
      <c r="D23" s="325"/>
      <c r="E23" s="326"/>
      <c r="F23" s="108">
        <f>VLOOKUP(C23,Bolts!A:L,5,0)</f>
        <v>0</v>
      </c>
      <c r="G23" s="108">
        <f>VLOOKUP(C23,Bolts!A:L,6,0)</f>
        <v>0</v>
      </c>
      <c r="H23" s="108">
        <f>VLOOKUP(C23,Bolts!A:L,7,0)</f>
        <v>0</v>
      </c>
      <c r="I23" s="109"/>
      <c r="J23" s="46">
        <f>VLOOKUP(C23,Bolts!A:L,8,0)</f>
        <v>0</v>
      </c>
      <c r="K23" s="46">
        <f>VLOOKUP(C23,Bolts!A:L,9,0)</f>
        <v>0</v>
      </c>
      <c r="L23" s="46">
        <f>VLOOKUP(C23,Bolts!A:L,10,0)</f>
        <v>0</v>
      </c>
      <c r="M23" s="46">
        <f>VLOOKUP(C23,Bolts!A:L,11,0)</f>
        <v>0</v>
      </c>
      <c r="N23" s="130" t="e">
        <f>IF(VLOOKUP($C23,Machined!C:Z,22,0) = 0, " ", VLOOKUP($C23,Machined!C:Z,22,0))</f>
        <v>#N/A</v>
      </c>
      <c r="O23" s="47">
        <f ca="1">B23*$L$2</f>
        <v>4</v>
      </c>
      <c r="P23" s="51">
        <f>VLOOKUP(C23,Bolts!A:B,2,FALSE)</f>
        <v>0</v>
      </c>
      <c r="Q23" s="52">
        <f>B23*P23</f>
        <v>0</v>
      </c>
    </row>
    <row r="24" spans="1:17" s="2" customFormat="1" ht="12" customHeight="1" thickBot="1" x14ac:dyDescent="0.3">
      <c r="A24" s="4">
        <v>505</v>
      </c>
      <c r="B24" s="2">
        <v>4</v>
      </c>
      <c r="C24" s="122" t="s">
        <v>176</v>
      </c>
      <c r="D24" s="325"/>
      <c r="E24" s="326"/>
      <c r="F24" s="108" t="str">
        <f>VLOOKUP(C24,Bolts!A:L,5,0)</f>
        <v xml:space="preserve"> </v>
      </c>
      <c r="G24" s="108" t="str">
        <f>VLOOKUP(C24,Bolts!A:L,6,0)</f>
        <v xml:space="preserve"> </v>
      </c>
      <c r="H24" s="108">
        <f>VLOOKUP(C24,Bolts!A:L,7,0)</f>
        <v>0</v>
      </c>
      <c r="I24" s="109"/>
      <c r="J24" s="46">
        <f>VLOOKUP(C24,Bolts!A:L,8,0)</f>
        <v>0</v>
      </c>
      <c r="K24" s="46">
        <f>VLOOKUP(C24,Bolts!A:L,9,0)</f>
        <v>0</v>
      </c>
      <c r="L24" s="46">
        <f>VLOOKUP(C24,Bolts!A:L,10,0)</f>
        <v>0</v>
      </c>
      <c r="M24" s="46">
        <f>VLOOKUP(C24,Bolts!A:L,11,0)</f>
        <v>0</v>
      </c>
      <c r="N24" s="130" t="e">
        <f>IF(VLOOKUP($C24,Machined!C:Z,22,0) = 0, " ", VLOOKUP($C24,Machined!C:Z,22,0))</f>
        <v>#N/A</v>
      </c>
      <c r="O24" s="47">
        <f ca="1">B24*$L$2</f>
        <v>4</v>
      </c>
      <c r="P24" s="51">
        <f>VLOOKUP(C24,Bolts!A:B,2,FALSE)</f>
        <v>0</v>
      </c>
      <c r="Q24" s="52">
        <f>B24*P24</f>
        <v>0</v>
      </c>
    </row>
    <row r="25" spans="1:17" s="2" customFormat="1" ht="12" customHeight="1" thickBot="1" x14ac:dyDescent="0.3">
      <c r="A25" s="34"/>
      <c r="B25" s="35"/>
      <c r="C25" s="35"/>
      <c r="D25" s="316"/>
      <c r="E25" s="317"/>
      <c r="F25" s="35"/>
      <c r="G25" s="35"/>
      <c r="H25" s="309"/>
      <c r="I25" s="310"/>
      <c r="J25" s="36"/>
      <c r="K25" s="36"/>
      <c r="L25" s="36"/>
      <c r="M25" s="37"/>
      <c r="N25" s="132"/>
      <c r="O25" s="38"/>
      <c r="P25" s="99" t="s">
        <v>43</v>
      </c>
      <c r="Q25" s="104">
        <f>SUM(Q5:Q24)</f>
        <v>781.56490000000008</v>
      </c>
    </row>
  </sheetData>
  <sheetProtection selectLockedCells="1"/>
  <mergeCells count="40">
    <mergeCell ref="D25:E25"/>
    <mergeCell ref="H25:I25"/>
    <mergeCell ref="D20:E20"/>
    <mergeCell ref="D21:E21"/>
    <mergeCell ref="D22:E22"/>
    <mergeCell ref="D23:E23"/>
    <mergeCell ref="D24:E24"/>
    <mergeCell ref="D12:E12"/>
    <mergeCell ref="H12:I12"/>
    <mergeCell ref="D13:E13"/>
    <mergeCell ref="H13:I13"/>
    <mergeCell ref="D19:E19"/>
    <mergeCell ref="H19:I19"/>
    <mergeCell ref="D16:E16"/>
    <mergeCell ref="H16:I16"/>
    <mergeCell ref="D17:E17"/>
    <mergeCell ref="H17:I17"/>
    <mergeCell ref="D18:E18"/>
    <mergeCell ref="H18:I18"/>
    <mergeCell ref="D14:E14"/>
    <mergeCell ref="H14:I14"/>
    <mergeCell ref="D15:E15"/>
    <mergeCell ref="H15:I15"/>
    <mergeCell ref="D9:E9"/>
    <mergeCell ref="H9:I9"/>
    <mergeCell ref="D10:E10"/>
    <mergeCell ref="H10:I10"/>
    <mergeCell ref="D11:E11"/>
    <mergeCell ref="H11:I11"/>
    <mergeCell ref="D6:E6"/>
    <mergeCell ref="H6:I6"/>
    <mergeCell ref="D7:E7"/>
    <mergeCell ref="H7:I7"/>
    <mergeCell ref="D8:E8"/>
    <mergeCell ref="H8:I8"/>
    <mergeCell ref="D5:E5"/>
    <mergeCell ref="H5:I5"/>
    <mergeCell ref="D1:E1"/>
    <mergeCell ref="D4:E4"/>
    <mergeCell ref="H4:I4"/>
  </mergeCells>
  <conditionalFormatting sqref="M6 M19:M24">
    <cfRule type="cellIs" dxfId="310" priority="15" stopIfTrue="1" operator="lessThanOrEqual">
      <formula>$L6</formula>
    </cfRule>
    <cfRule type="cellIs" dxfId="309" priority="16" operator="greaterThan">
      <formula>L6</formula>
    </cfRule>
  </conditionalFormatting>
  <conditionalFormatting sqref="M7">
    <cfRule type="cellIs" dxfId="308" priority="13" stopIfTrue="1" operator="lessThanOrEqual">
      <formula>$L7</formula>
    </cfRule>
    <cfRule type="cellIs" dxfId="307" priority="14" operator="greaterThan">
      <formula>L7</formula>
    </cfRule>
  </conditionalFormatting>
  <conditionalFormatting sqref="M8">
    <cfRule type="cellIs" dxfId="306" priority="11" stopIfTrue="1" operator="lessThanOrEqual">
      <formula>$L8</formula>
    </cfRule>
    <cfRule type="cellIs" dxfId="305" priority="12" operator="greaterThan">
      <formula>L8</formula>
    </cfRule>
  </conditionalFormatting>
  <conditionalFormatting sqref="M9">
    <cfRule type="cellIs" dxfId="304" priority="9" stopIfTrue="1" operator="lessThanOrEqual">
      <formula>$L9</formula>
    </cfRule>
    <cfRule type="cellIs" dxfId="303" priority="10" operator="greaterThan">
      <formula>L9</formula>
    </cfRule>
  </conditionalFormatting>
  <conditionalFormatting sqref="M10">
    <cfRule type="cellIs" dxfId="302" priority="7" stopIfTrue="1" operator="lessThanOrEqual">
      <formula>$L10</formula>
    </cfRule>
    <cfRule type="cellIs" dxfId="301" priority="8" operator="greaterThan">
      <formula>L10</formula>
    </cfRule>
  </conditionalFormatting>
  <conditionalFormatting sqref="M11">
    <cfRule type="cellIs" dxfId="300" priority="5" stopIfTrue="1" operator="lessThanOrEqual">
      <formula>$L11</formula>
    </cfRule>
    <cfRule type="cellIs" dxfId="299" priority="6" operator="greaterThan">
      <formula>L11</formula>
    </cfRule>
  </conditionalFormatting>
  <conditionalFormatting sqref="M12:M18">
    <cfRule type="cellIs" dxfId="298" priority="1" stopIfTrue="1" operator="lessThanOrEqual">
      <formula>$L12</formula>
    </cfRule>
    <cfRule type="cellIs" dxfId="297" priority="2" operator="greaterThan">
      <formula>L12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8152847-271F-40ED-B87F-E24750DCDC7F}">
          <x14:formula1>
            <xm:f>Bolts!$A:$A</xm:f>
          </x14:formula1>
          <xm:sqref>C19:C24</xm:sqref>
        </x14:dataValidation>
        <x14:dataValidation type="list" allowBlank="1" showInputMessage="1" showErrorMessage="1" xr:uid="{E90D8481-CC0B-4546-AA6A-02C36BA0E593}">
          <x14:formula1>
            <xm:f>Machined!$C:$C</xm:f>
          </x14:formula1>
          <xm:sqref>C5</xm:sqref>
        </x14:dataValidation>
        <x14:dataValidation type="list" allowBlank="1" showInputMessage="1" showErrorMessage="1" xr:uid="{C8319771-759A-47E9-83F3-A3F693816E32}">
          <x14:formula1>
            <xm:f>Purchased!$A:$A</xm:f>
          </x14:formula1>
          <xm:sqref>C6:C18</xm:sqref>
        </x14:dataValidation>
      </x14:dataValidations>
    </ext>
  </extLst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492E2-5C65-440A-9BC5-04B9FB9092C8}">
  <sheetPr codeName="Sheet237">
    <tabColor theme="9" tint="0.59999389629810485"/>
  </sheetPr>
  <dimension ref="A1:Q21"/>
  <sheetViews>
    <sheetView zoomScale="115" zoomScaleNormal="115" workbookViewId="0">
      <selection activeCell="C13" sqref="C13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'11'!C6</f>
        <v>PG10.11.2.0.A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10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'11'!D6</f>
        <v>Air Supply Pipe Mount Assy</v>
      </c>
      <c r="D3" s="85" t="s">
        <v>50</v>
      </c>
      <c r="E3" s="86" t="str">
        <f ca="1">MID(CELL("filename",A1),FIND("]",CELL("filename",A1))+1,256)</f>
        <v>11.2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4">
        <v>301</v>
      </c>
      <c r="B5" s="2">
        <v>1</v>
      </c>
      <c r="C5" s="135" t="s">
        <v>1441</v>
      </c>
      <c r="D5" s="325" t="str">
        <f>VLOOKUP(C5,Purchased!A:B,2,0)</f>
        <v>2.5in pipe to 0.5in FNPT</v>
      </c>
      <c r="E5" s="326"/>
      <c r="F5" s="108" t="str">
        <f>IF(VLOOKUP($C5,Purchased!A:Z,11,0) = 0, " ", VLOOKUP($C5,Purchased!A:Z,11,0))</f>
        <v>PREVOST</v>
      </c>
      <c r="G5" s="108" t="str">
        <f>IF(VLOOKUP($C5,Purchased!A:Z,12,0)=0, " ", VLOOKUP($C5,Purchased!A:Z,12,0))</f>
        <v xml:space="preserve">Compression Leasing Services 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45530</v>
      </c>
      <c r="K5" s="46">
        <f>IF(VLOOKUP(C5,Purchased!A:R,14,0)=0, " ", VLOOKUP(C5,Purchased!A:R,14,0))</f>
        <v>45530</v>
      </c>
      <c r="L5" s="46">
        <f>IF(VLOOKUP(C5,Purchased!A:R,15,0)=0, " ", VLOOKUP(C5,Purchased!A:R,15,0))</f>
        <v>45532</v>
      </c>
      <c r="M5" s="46">
        <f>IF(VLOOKUP(C5,Purchased!A:R,16,0)=0, " ",VLOOKUP(C5,Purchased!A:R,16,0))</f>
        <v>45546</v>
      </c>
      <c r="N5" s="130" t="str">
        <f>IF(VLOOKUP(C5,Purchased!A:R,17,0)=0, " ", VLOOKUP(C5,Purchased!A:R,17,0))</f>
        <v xml:space="preserve"> </v>
      </c>
      <c r="O5" s="47">
        <f t="shared" ref="O5:O6" ca="1" si="0">B5*$L$2</f>
        <v>10</v>
      </c>
      <c r="P5" s="51">
        <f>VLOOKUP(C5,Purchased!A:D,3,FALSE)</f>
        <v>46</v>
      </c>
      <c r="Q5" s="52">
        <f t="shared" ref="Q5:Q6" si="1">B5*P5</f>
        <v>46</v>
      </c>
    </row>
    <row r="6" spans="1:17" s="2" customFormat="1" ht="12" customHeight="1" x14ac:dyDescent="0.25">
      <c r="A6" s="4">
        <v>302</v>
      </c>
      <c r="B6" s="2">
        <v>1</v>
      </c>
      <c r="C6" s="135" t="s">
        <v>104</v>
      </c>
      <c r="D6" s="325" t="str">
        <f>VLOOKUP(C6,Purchased!A:B,2,0)</f>
        <v>BRX GOTO T-NUT 10 M8</v>
      </c>
      <c r="E6" s="326"/>
      <c r="F6" s="108" t="str">
        <f>IF(VLOOKUP($C6,Purchased!A:Z,11,0) = 0, " ", VLOOKUP($C6,Purchased!A:Z,11,0))</f>
        <v>BRX</v>
      </c>
      <c r="G6" s="108" t="str">
        <f>IF(VLOOKUP($C6,Purchased!A:Z,12,0)=0, " ", VLOOKUP($C6,Purchased!A:Z,12,0))</f>
        <v>AAP</v>
      </c>
      <c r="H6" s="327" t="str">
        <f>IF(VLOOKUP($C6,Purchased!A:Z,13,0)=0, " ", VLOOKUP($C6,Purchased!A:Z,13,0))</f>
        <v>400 additional quantity added to 55710</v>
      </c>
      <c r="I6" s="328"/>
      <c r="J6" s="46">
        <f>IF(VLOOKUP($C6,Purchased!A:Z,14,0)=0, " ", VLOOKUP($C6,Purchased!A:Z,14,0))</f>
        <v>45463</v>
      </c>
      <c r="K6" s="46">
        <f>IF(VLOOKUP(C6,Purchased!A:R,14,0)=0, " ", VLOOKUP(C6,Purchased!A:R,14,0))</f>
        <v>45463</v>
      </c>
      <c r="L6" s="46">
        <f>IF(VLOOKUP(C6,Purchased!A:R,15,0)=0, " ", VLOOKUP(C6,Purchased!A:R,15,0))</f>
        <v>45463</v>
      </c>
      <c r="M6" s="46">
        <f>IF(VLOOKUP(C6,Purchased!A:R,16,0)=0, " ",VLOOKUP(C6,Purchased!A:R,16,0))</f>
        <v>45481</v>
      </c>
      <c r="N6" s="130">
        <f>IF(VLOOKUP(C6,Purchased!A:R,17,0)=0, " ", VLOOKUP(C6,Purchased!A:R,17,0))</f>
        <v>45481</v>
      </c>
      <c r="O6" s="47">
        <f t="shared" ca="1" si="0"/>
        <v>10</v>
      </c>
      <c r="P6" s="51">
        <f>VLOOKUP(C6,Purchased!A:D,3,FALSE)</f>
        <v>0.56000000000000005</v>
      </c>
      <c r="Q6" s="52">
        <f t="shared" si="1"/>
        <v>0.56000000000000005</v>
      </c>
    </row>
    <row r="7" spans="1:17" s="2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/>
      <c r="L7" s="27"/>
      <c r="M7" s="28"/>
      <c r="N7" s="29"/>
      <c r="O7" s="29"/>
      <c r="P7" s="148"/>
      <c r="Q7" s="149"/>
    </row>
    <row r="8" spans="1:17" s="2" customFormat="1" ht="12" customHeight="1" thickBot="1" x14ac:dyDescent="0.3">
      <c r="A8" s="4">
        <v>501</v>
      </c>
      <c r="B8" s="2">
        <v>1</v>
      </c>
      <c r="C8" s="122" t="s">
        <v>264</v>
      </c>
      <c r="D8" s="325"/>
      <c r="E8" s="326"/>
      <c r="F8" s="108">
        <f>VLOOKUP(C8,Bolts!A:L,5,0)</f>
        <v>0</v>
      </c>
      <c r="G8" s="108">
        <f>VLOOKUP(C8,Bolts!A:L,6,0)</f>
        <v>0</v>
      </c>
      <c r="H8" s="108">
        <f>VLOOKUP(C8,Bolts!A:L,7,0)</f>
        <v>0</v>
      </c>
      <c r="I8" s="109"/>
      <c r="J8" s="46">
        <f>VLOOKUP(C8,Bolts!A:L,8,0)</f>
        <v>0</v>
      </c>
      <c r="K8" s="46">
        <f>VLOOKUP(C8,Bolts!A:L,9,0)</f>
        <v>0</v>
      </c>
      <c r="L8" s="46">
        <f>VLOOKUP(C8,Bolts!A:L,10,0)</f>
        <v>0</v>
      </c>
      <c r="M8" s="46">
        <f>VLOOKUP(C8,Bolts!A:L,11,0)</f>
        <v>0</v>
      </c>
      <c r="N8" s="130">
        <f>VLOOKUP(C8,Bolts!A:L,12,0)</f>
        <v>0</v>
      </c>
      <c r="O8" s="47">
        <f t="shared" ref="O8" ca="1" si="2">B8*$L$2</f>
        <v>10</v>
      </c>
      <c r="P8" s="51">
        <f>VLOOKUP(C8,Bolts!A:B,2,FALSE)</f>
        <v>0</v>
      </c>
      <c r="Q8" s="52">
        <f t="shared" ref="Q8" si="3">B8*P8</f>
        <v>0</v>
      </c>
    </row>
    <row r="9" spans="1:17" s="2" customFormat="1" ht="12" customHeight="1" thickBot="1" x14ac:dyDescent="0.3">
      <c r="A9" s="34"/>
      <c r="B9" s="35"/>
      <c r="C9" s="35"/>
      <c r="D9" s="316"/>
      <c r="E9" s="317"/>
      <c r="F9" s="35"/>
      <c r="G9" s="35"/>
      <c r="H9" s="309"/>
      <c r="I9" s="310"/>
      <c r="J9" s="36"/>
      <c r="K9" s="36"/>
      <c r="L9" s="36"/>
      <c r="M9" s="37"/>
      <c r="N9" s="132"/>
      <c r="O9" s="38"/>
      <c r="P9" s="99" t="s">
        <v>43</v>
      </c>
      <c r="Q9" s="104">
        <f>SUM(Q5:Q8)</f>
        <v>46.56</v>
      </c>
    </row>
    <row r="19" spans="4:5" x14ac:dyDescent="0.25">
      <c r="D19"/>
      <c r="E19"/>
    </row>
    <row r="20" spans="4:5" x14ac:dyDescent="0.25">
      <c r="D20"/>
      <c r="E20"/>
    </row>
    <row r="21" spans="4:5" x14ac:dyDescent="0.25">
      <c r="D21"/>
      <c r="E21"/>
    </row>
  </sheetData>
  <sheetProtection selectLockedCells="1"/>
  <mergeCells count="12">
    <mergeCell ref="D9:E9"/>
    <mergeCell ref="H9:I9"/>
    <mergeCell ref="D7:E7"/>
    <mergeCell ref="H7:I7"/>
    <mergeCell ref="D8:E8"/>
    <mergeCell ref="D6:E6"/>
    <mergeCell ref="H6:I6"/>
    <mergeCell ref="D5:E5"/>
    <mergeCell ref="H5:I5"/>
    <mergeCell ref="D1:E1"/>
    <mergeCell ref="D4:E4"/>
    <mergeCell ref="H4:I4"/>
  </mergeCells>
  <conditionalFormatting sqref="M7:M8">
    <cfRule type="cellIs" dxfId="296" priority="7" stopIfTrue="1" operator="lessThanOrEqual">
      <formula>$L7</formula>
    </cfRule>
    <cfRule type="cellIs" dxfId="295" priority="8" operator="greaterThan">
      <formula>L7</formula>
    </cfRule>
  </conditionalFormatting>
  <conditionalFormatting sqref="M5">
    <cfRule type="cellIs" dxfId="294" priority="3" stopIfTrue="1" operator="lessThanOrEqual">
      <formula>$L5</formula>
    </cfRule>
    <cfRule type="cellIs" dxfId="293" priority="4" operator="greaterThan">
      <formula>L5</formula>
    </cfRule>
  </conditionalFormatting>
  <conditionalFormatting sqref="M6">
    <cfRule type="cellIs" dxfId="292" priority="1" stopIfTrue="1" operator="lessThanOrEqual">
      <formula>$L6</formula>
    </cfRule>
    <cfRule type="cellIs" dxfId="291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B810CFC-14D2-4B85-BC85-E95A1CEB306B}">
          <x14:formula1>
            <xm:f>Bolts!$A:$A</xm:f>
          </x14:formula1>
          <xm:sqref>C7:C8</xm:sqref>
        </x14:dataValidation>
        <x14:dataValidation type="list" allowBlank="1" showInputMessage="1" showErrorMessage="1" xr:uid="{A366BCC8-DDF1-479C-85FD-620B458337C9}">
          <x14:formula1>
            <xm:f>Purchased!$A:$A</xm:f>
          </x14:formula1>
          <xm:sqref>C5:C6</xm:sqref>
        </x14:dataValidation>
      </x14:dataValidations>
    </ext>
  </extLst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9D6B6-522D-49D4-8ACB-9498E7C09879}">
  <sheetPr codeName="Sheet238">
    <tabColor theme="9" tint="0.59999389629810485"/>
  </sheetPr>
  <dimension ref="A1:Q7"/>
  <sheetViews>
    <sheetView zoomScaleNormal="100" workbookViewId="0">
      <selection activeCell="C12" sqref="C12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'11'!C7</f>
        <v>PG10.11.3.0.A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24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'11'!D7</f>
        <v>Air Supply Pipe Tie Off</v>
      </c>
      <c r="D3" s="85" t="s">
        <v>50</v>
      </c>
      <c r="E3" s="86" t="str">
        <f ca="1">MID(CELL("filename",A1),FIND("]",CELL("filename",A1))+1,256)</f>
        <v>11.3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2" customFormat="1" ht="12" customHeight="1" x14ac:dyDescent="0.25">
      <c r="A5" s="4">
        <v>301</v>
      </c>
      <c r="B5" s="2">
        <v>1</v>
      </c>
      <c r="C5" s="135" t="s">
        <v>1428</v>
      </c>
      <c r="D5" s="325" t="str">
        <f>VLOOKUP(C5,Purchased!A:B,2,0)</f>
        <v>2.5in pipe Clamp</v>
      </c>
      <c r="E5" s="326"/>
      <c r="F5" s="108" t="str">
        <f>IF(VLOOKUP($C5,Purchased!A:Z,11,0) = 0, " ", VLOOKUP($C5,Purchased!A:Z,11,0))</f>
        <v>PREVOST</v>
      </c>
      <c r="G5" s="108" t="str">
        <f>IF(VLOOKUP($C5,Purchased!A:Z,12,0)=0, " ", VLOOKUP($C5,Purchased!A:Z,12,0))</f>
        <v xml:space="preserve">Compression Leasing Services </v>
      </c>
      <c r="H5" s="327" t="str">
        <f>IF(VLOOKUP($C5,Purchased!A:Z,13,0)=0, " ", VLOOKUP($C5,Purchased!A:Z,13,0))</f>
        <v xml:space="preserve"> </v>
      </c>
      <c r="I5" s="328"/>
      <c r="J5" s="46">
        <f>IF(VLOOKUP($C5,Purchased!A:Z,14,0)=0, " ", VLOOKUP($C5,Purchased!A:Z,14,0))</f>
        <v>45530</v>
      </c>
      <c r="K5" s="46">
        <f>IF(VLOOKUP(C5,Purchased!A:R,14,0)=0, " ", VLOOKUP(C5,Purchased!A:R,14,0))</f>
        <v>45530</v>
      </c>
      <c r="L5" s="46">
        <f>IF(VLOOKUP(C5,Purchased!A:R,15,0)=0, " ", VLOOKUP(C5,Purchased!A:R,15,0))</f>
        <v>45532</v>
      </c>
      <c r="M5" s="46">
        <f>IF(VLOOKUP(C5,Purchased!A:R,16,0)=0, " ",VLOOKUP(C5,Purchased!A:R,16,0))</f>
        <v>45546</v>
      </c>
      <c r="N5" s="130" t="str">
        <f>IF(VLOOKUP(C5,Purchased!A:R,17,0)=0, " ", VLOOKUP(C5,Purchased!A:R,17,0))</f>
        <v xml:space="preserve"> </v>
      </c>
      <c r="O5" s="47">
        <f t="shared" ref="O5:O6" ca="1" si="0">B5*$L$2</f>
        <v>24</v>
      </c>
      <c r="P5" s="51">
        <f>VLOOKUP(C5,Purchased!A:D,3,FALSE)</f>
        <v>7</v>
      </c>
      <c r="Q5" s="52">
        <f t="shared" ref="Q5:Q6" si="1">B5*P5</f>
        <v>7</v>
      </c>
    </row>
    <row r="6" spans="1:17" s="2" customFormat="1" ht="12" customHeight="1" thickBot="1" x14ac:dyDescent="0.3">
      <c r="A6" s="4">
        <v>302</v>
      </c>
      <c r="B6" s="2">
        <v>1</v>
      </c>
      <c r="C6" s="135" t="s">
        <v>1442</v>
      </c>
      <c r="D6" s="325" t="str">
        <f>VLOOKUP(C6,Purchased!A:B,2,0)</f>
        <v>KQ2 Unifit 1/2 in NPT to 10mm tubing</v>
      </c>
      <c r="E6" s="326"/>
      <c r="F6" s="108" t="str">
        <f>IF(VLOOKUP($C6,Purchased!A:Z,11,0) = 0, " ", VLOOKUP($C6,Purchased!A:Z,11,0))</f>
        <v>SMC</v>
      </c>
      <c r="G6" s="108" t="str">
        <f>IF(VLOOKUP($C6,Purchased!A:Z,12,0)=0, " ", VLOOKUP($C6,Purchased!A:Z,12,0))</f>
        <v>AAP</v>
      </c>
      <c r="H6" s="327" t="str">
        <f>IF(VLOOKUP($C6,Purchased!A:Z,13,0)=0, " ", VLOOKUP($C6,Purchased!A:Z,13,0))</f>
        <v>check nuline qty first</v>
      </c>
      <c r="I6" s="328"/>
      <c r="J6" s="46" t="str">
        <f>IF(VLOOKUP($C6,Purchased!A:Z,14,0)=0, " ", VLOOKUP($C6,Purchased!A:Z,14,0))</f>
        <v xml:space="preserve"> </v>
      </c>
      <c r="K6" s="46" t="str">
        <f>IF(VLOOKUP(C6,Purchased!A:R,14,0)=0, " ", VLOOKUP(C6,Purchased!A:R,14,0))</f>
        <v xml:space="preserve"> </v>
      </c>
      <c r="L6" s="46" t="str">
        <f>IF(VLOOKUP(C6,Purchased!A:R,15,0)=0, " ", VLOOKUP(C6,Purchased!A:R,15,0))</f>
        <v xml:space="preserve"> </v>
      </c>
      <c r="M6" s="46" t="str">
        <f>IF(VLOOKUP(C6,Purchased!A:R,16,0)=0, " ",VLOOKUP(C6,Purchased!A:R,16,0))</f>
        <v xml:space="preserve"> </v>
      </c>
      <c r="N6" s="130" t="str">
        <f>IF(VLOOKUP(C6,Purchased!A:R,17,0)=0, " ", VLOOKUP(C6,Purchased!A:R,17,0))</f>
        <v xml:space="preserve"> </v>
      </c>
      <c r="O6" s="47">
        <f t="shared" ca="1" si="0"/>
        <v>24</v>
      </c>
      <c r="P6" s="51">
        <f>VLOOKUP(C6,Purchased!A:D,3,FALSE)</f>
        <v>0</v>
      </c>
      <c r="Q6" s="52">
        <f t="shared" si="1"/>
        <v>0</v>
      </c>
    </row>
    <row r="7" spans="1:17" s="2" customFormat="1" ht="12" customHeight="1" thickBot="1" x14ac:dyDescent="0.3">
      <c r="A7" s="34"/>
      <c r="B7" s="35"/>
      <c r="C7" s="35"/>
      <c r="D7" s="316"/>
      <c r="E7" s="317"/>
      <c r="F7" s="35"/>
      <c r="G7" s="35"/>
      <c r="H7" s="309"/>
      <c r="I7" s="310"/>
      <c r="J7" s="36"/>
      <c r="K7" s="36"/>
      <c r="L7" s="36"/>
      <c r="M7" s="37"/>
      <c r="N7" s="132"/>
      <c r="O7" s="38"/>
      <c r="P7" s="99" t="s">
        <v>43</v>
      </c>
      <c r="Q7" s="104">
        <f>SUM(Q5:Q6)</f>
        <v>7</v>
      </c>
    </row>
  </sheetData>
  <sheetProtection selectLockedCells="1"/>
  <mergeCells count="9">
    <mergeCell ref="D1:E1"/>
    <mergeCell ref="D4:E4"/>
    <mergeCell ref="H4:I4"/>
    <mergeCell ref="D7:E7"/>
    <mergeCell ref="H7:I7"/>
    <mergeCell ref="D6:E6"/>
    <mergeCell ref="H6:I6"/>
    <mergeCell ref="D5:E5"/>
    <mergeCell ref="H5:I5"/>
  </mergeCells>
  <conditionalFormatting sqref="M5">
    <cfRule type="cellIs" dxfId="290" priority="3" stopIfTrue="1" operator="lessThanOrEqual">
      <formula>$L5</formula>
    </cfRule>
    <cfRule type="cellIs" dxfId="289" priority="4" operator="greaterThan">
      <formula>L5</formula>
    </cfRule>
  </conditionalFormatting>
  <conditionalFormatting sqref="M6">
    <cfRule type="cellIs" dxfId="288" priority="1" stopIfTrue="1" operator="lessThanOrEqual">
      <formula>$L6</formula>
    </cfRule>
    <cfRule type="cellIs" dxfId="287" priority="2" operator="greaterThan">
      <formula>L6</formula>
    </cfRule>
  </conditionalFormatting>
  <pageMargins left="0.7" right="0.7" top="0.75" bottom="0.75" header="0.3" footer="0.3"/>
  <pageSetup paperSize="17" orientation="landscape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72E4611-674A-4C2E-AF8C-B6FB7B29ED66}">
          <x14:formula1>
            <xm:f>Purchased!$A:$A</xm:f>
          </x14:formula1>
          <xm:sqref>C5:C6</xm:sqref>
        </x14:dataValidation>
      </x14:dataValidations>
    </ext>
  </extLst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1F3BF-222D-469F-BD8E-FCD304B03C3B}">
  <sheetPr codeName="Sheet250">
    <tabColor theme="5" tint="0.39997558519241921"/>
    <pageSetUpPr fitToPage="1"/>
  </sheetPr>
  <dimension ref="A1:Q52"/>
  <sheetViews>
    <sheetView zoomScale="115" zoomScaleNormal="115" workbookViewId="0">
      <selection activeCell="C11" sqref="C11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 t="str">
        <f>'0'!C16</f>
        <v>PG10.12.0.A</v>
      </c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>
        <f ca="1">VLOOKUP(C2,Assemblies!E:G,3,0)</f>
        <v>1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 t="str">
        <f ca="1">'0'!D16</f>
        <v>Plinth and Wireway Assy</v>
      </c>
      <c r="D3" s="85" t="s">
        <v>50</v>
      </c>
      <c r="E3" s="86" t="str">
        <f ca="1">MID(CELL("filename",A1),FIND("]",CELL("filename",A1))+1,256)</f>
        <v>12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63" customFormat="1" ht="12" customHeight="1" x14ac:dyDescent="0.2">
      <c r="A5" s="150" t="s">
        <v>54</v>
      </c>
      <c r="B5" s="1">
        <v>1</v>
      </c>
      <c r="C5" s="145" t="s">
        <v>77</v>
      </c>
      <c r="D5" s="314" t="str">
        <f ca="1">VLOOKUP(C5,Assemblies!E:P,2,0)</f>
        <v>Main Enclosure</v>
      </c>
      <c r="E5" s="314"/>
      <c r="F5" s="173"/>
      <c r="G5" s="113"/>
      <c r="H5" s="324"/>
      <c r="I5" s="324"/>
      <c r="J5" s="114"/>
      <c r="K5" s="114"/>
      <c r="L5" s="114"/>
      <c r="M5" s="114"/>
      <c r="N5" s="115"/>
      <c r="O5" s="116">
        <f ca="1">B5*$L$2</f>
        <v>1</v>
      </c>
      <c r="P5" s="117">
        <f>'11.1'!Q25</f>
        <v>781.56490000000008</v>
      </c>
      <c r="Q5" s="118">
        <f>B5*P5</f>
        <v>781.56490000000008</v>
      </c>
    </row>
    <row r="6" spans="1:17" s="63" customFormat="1" ht="12" customHeight="1" x14ac:dyDescent="0.2">
      <c r="A6" s="150"/>
      <c r="B6" s="1"/>
      <c r="C6" s="145"/>
      <c r="D6" s="314"/>
      <c r="E6" s="314"/>
      <c r="F6" s="31"/>
      <c r="G6" s="32"/>
      <c r="H6" s="303"/>
      <c r="I6" s="303"/>
      <c r="J6" s="28"/>
      <c r="K6" s="28"/>
      <c r="L6" s="28"/>
      <c r="M6" s="28"/>
      <c r="N6" s="33"/>
      <c r="O6" s="146">
        <f ca="1">B6*$L$2</f>
        <v>0</v>
      </c>
      <c r="P6" s="147">
        <f>'11.2'!Q9</f>
        <v>46.56</v>
      </c>
      <c r="Q6" s="103">
        <f>B6*P6</f>
        <v>0</v>
      </c>
    </row>
    <row r="7" spans="1:17" s="63" customFormat="1" ht="12" customHeight="1" x14ac:dyDescent="0.25">
      <c r="A7" s="25"/>
      <c r="B7" s="26"/>
      <c r="C7" s="26"/>
      <c r="D7" s="332"/>
      <c r="E7" s="333"/>
      <c r="F7" s="26"/>
      <c r="G7" s="26"/>
      <c r="H7" s="322"/>
      <c r="I7" s="323"/>
      <c r="J7" s="27"/>
      <c r="K7" s="27" t="e">
        <f>IF(VLOOKUP(C7,Purchased!A:Z,15,0)=0, " ", VLOOKUP(C7,Purchased!A:Z,15,0))</f>
        <v>#N/A</v>
      </c>
      <c r="L7" s="27" t="e">
        <f>IF(VLOOKUP(C7,Purchased!A:Z,16,0)=0, " ", VLOOKUP(C7,Purchased!A:Z,16,0))</f>
        <v>#N/A</v>
      </c>
      <c r="M7" s="28" t="e">
        <f>IF(VLOOKUP(C7,Purchased!A:Z,17,0)=0, " ",VLOOKUP(C7,Purchased!A:Z,17,0))</f>
        <v>#N/A</v>
      </c>
      <c r="N7" s="29" t="e">
        <f>IF(VLOOKUP(C7,Purchased!A:Z,18,0)=0, " ", VLOOKUP(C7,Purchased!A:Z,18,0))</f>
        <v>#N/A</v>
      </c>
      <c r="O7" s="29"/>
      <c r="P7" s="148"/>
      <c r="Q7" s="149"/>
    </row>
    <row r="8" spans="1:17" s="2" customFormat="1" ht="12.75" customHeight="1" x14ac:dyDescent="0.25">
      <c r="A8" s="77">
        <v>1</v>
      </c>
      <c r="B8" s="20">
        <v>2</v>
      </c>
      <c r="C8" s="121" t="s">
        <v>1443</v>
      </c>
      <c r="D8" s="314" t="str">
        <f>VLOOKUP(C8,Machined!C:X,2,0)</f>
        <v>Plinth Panel 1</v>
      </c>
      <c r="E8" s="329"/>
      <c r="F8" s="107" t="str">
        <f>VLOOKUP($C8,Machined!C:Z,13,0)</f>
        <v>5052 AL 16GA</v>
      </c>
      <c r="G8" s="44" t="str">
        <f>IF(VLOOKUP($C8,Machined!C:Z,16,0) = 0, " ", VLOOKUP($C8,Machined!C:Z,16,0))</f>
        <v>XOMETRY</v>
      </c>
      <c r="H8" s="320" t="str">
        <f>IF(VLOOKUP($C8,Machined!C:Z,17,0) = 0, " ", VLOOKUP($C8,Machined!C:Z,17,0))</f>
        <v xml:space="preserve"> </v>
      </c>
      <c r="I8" s="321" t="str">
        <f>IF(VLOOKUP($C8,Machined!$C:$Y,13,0) = 0, " ", VLOOKUP($C8,Machined!$C:$Y,13,0))</f>
        <v>5052 AL 16GA</v>
      </c>
      <c r="J8" s="44" t="str">
        <f>IF(VLOOKUP($C8,Machined!C:Z,18,0) = 0, " ", VLOOKUP($C8,Machined!C:Z,18,0))</f>
        <v xml:space="preserve"> </v>
      </c>
      <c r="K8" s="44" t="e">
        <f>IF(VLOOKUP(C8,Purchased!A:Z,15,0)=0, " ", VLOOKUP(C8,Purchased!A:Z,15,0))</f>
        <v>#N/A</v>
      </c>
      <c r="L8" s="44" t="e">
        <f>IF(VLOOKUP(C8,Purchased!A:Z,16,0)=0, " ", VLOOKUP(C8,Purchased!A:Z,16,0))</f>
        <v>#N/A</v>
      </c>
      <c r="M8" s="44" t="e">
        <f>IF(VLOOKUP(C8,Purchased!A:Z,17,0)=0, " ",VLOOKUP(C8,Purchased!A:Z,17,0))</f>
        <v>#N/A</v>
      </c>
      <c r="N8" s="129" t="e">
        <f>IF(VLOOKUP(C8,Purchased!A:Z,18,0)=0, " ", VLOOKUP(C8,Purchased!A:Z,18,0))</f>
        <v>#N/A</v>
      </c>
      <c r="O8" s="45">
        <f ca="1">B8*$L$2</f>
        <v>2</v>
      </c>
      <c r="P8" s="49">
        <f>VLOOKUP(C8,Machined!C:F,3,0)</f>
        <v>0</v>
      </c>
      <c r="Q8" s="50">
        <f>B8*P8</f>
        <v>0</v>
      </c>
    </row>
    <row r="9" spans="1:17" s="2" customFormat="1" ht="12.75" customHeight="1" x14ac:dyDescent="0.25">
      <c r="A9" s="77">
        <v>2</v>
      </c>
      <c r="B9" s="20">
        <v>2</v>
      </c>
      <c r="C9" s="121" t="s">
        <v>1444</v>
      </c>
      <c r="D9" s="314" t="str">
        <f>VLOOKUP(C9,Machined!C:X,2,0)</f>
        <v>Plinth Panel 2</v>
      </c>
      <c r="E9" s="329"/>
      <c r="F9" s="107" t="str">
        <f>VLOOKUP($C9,Machined!C:Z,13,0)</f>
        <v>5052 AL 16GA</v>
      </c>
      <c r="G9" s="44" t="str">
        <f>IF(VLOOKUP($C9,Machined!C:Z,16,0) = 0, " ", VLOOKUP($C9,Machined!C:Z,16,0))</f>
        <v>XOMETRY</v>
      </c>
      <c r="H9" s="320" t="str">
        <f>IF(VLOOKUP($C9,Machined!C:Z,17,0) = 0, " ", VLOOKUP($C9,Machined!C:Z,17,0))</f>
        <v xml:space="preserve"> </v>
      </c>
      <c r="I9" s="321" t="str">
        <f>IF(VLOOKUP($C9,Machined!$C:$Y,13,0) = 0, " ", VLOOKUP($C9,Machined!$C:$Y,13,0))</f>
        <v>5052 AL 16GA</v>
      </c>
      <c r="J9" s="44" t="str">
        <f>IF(VLOOKUP($C9,Machined!C:Z,18,0) = 0, " ", VLOOKUP($C9,Machined!C:Z,18,0))</f>
        <v xml:space="preserve"> </v>
      </c>
      <c r="K9" s="44" t="e">
        <f>IF(VLOOKUP(C9,Purchased!A:Z,15,0)=0, " ", VLOOKUP(C9,Purchased!A:Z,15,0))</f>
        <v>#N/A</v>
      </c>
      <c r="L9" s="44" t="e">
        <f>IF(VLOOKUP(C9,Purchased!A:Z,16,0)=0, " ", VLOOKUP(C9,Purchased!A:Z,16,0))</f>
        <v>#N/A</v>
      </c>
      <c r="M9" s="44" t="e">
        <f>IF(VLOOKUP(C9,Purchased!A:Z,17,0)=0, " ",VLOOKUP(C9,Purchased!A:Z,17,0))</f>
        <v>#N/A</v>
      </c>
      <c r="N9" s="129" t="e">
        <f>IF(VLOOKUP(C9,Purchased!A:Z,18,0)=0, " ", VLOOKUP(C9,Purchased!A:Z,18,0))</f>
        <v>#N/A</v>
      </c>
      <c r="O9" s="45">
        <f t="shared" ref="O9:O10" ca="1" si="0">B9*$L$2</f>
        <v>2</v>
      </c>
      <c r="P9" s="49">
        <f>VLOOKUP(C9,Machined!C:F,3,0)</f>
        <v>0</v>
      </c>
      <c r="Q9" s="50">
        <f t="shared" ref="Q9:Q10" si="1">B9*P9</f>
        <v>0</v>
      </c>
    </row>
    <row r="10" spans="1:17" s="2" customFormat="1" ht="12.75" customHeight="1" x14ac:dyDescent="0.25">
      <c r="A10" s="77">
        <v>3</v>
      </c>
      <c r="B10" s="20">
        <v>1</v>
      </c>
      <c r="C10" s="121" t="s">
        <v>1445</v>
      </c>
      <c r="D10" s="314" t="str">
        <f>VLOOKUP(C10,Machined!C:X,2,0)</f>
        <v>Plinth Panel 3</v>
      </c>
      <c r="E10" s="329"/>
      <c r="F10" s="107" t="str">
        <f>VLOOKUP($C10,Machined!C:Z,13,0)</f>
        <v>5052 AL 16GA</v>
      </c>
      <c r="G10" s="44" t="str">
        <f>IF(VLOOKUP($C10,Machined!C:Z,16,0) = 0, " ", VLOOKUP($C10,Machined!C:Z,16,0))</f>
        <v>XOMETRY</v>
      </c>
      <c r="H10" s="320" t="str">
        <f>IF(VLOOKUP($C10,Machined!C:Z,17,0) = 0, " ", VLOOKUP($C10,Machined!C:Z,17,0))</f>
        <v xml:space="preserve"> </v>
      </c>
      <c r="I10" s="321" t="str">
        <f>IF(VLOOKUP($C10,Machined!$C:$Y,13,0) = 0, " ", VLOOKUP($C10,Machined!$C:$Y,13,0))</f>
        <v>5052 AL 16GA</v>
      </c>
      <c r="J10" s="44" t="str">
        <f>IF(VLOOKUP($C10,Machined!C:Z,18,0) = 0, " ", VLOOKUP($C10,Machined!C:Z,18,0))</f>
        <v xml:space="preserve"> </v>
      </c>
      <c r="K10" s="44" t="e">
        <f>IF(VLOOKUP(C10,Purchased!A:Z,15,0)=0, " ", VLOOKUP(C10,Purchased!A:Z,15,0))</f>
        <v>#N/A</v>
      </c>
      <c r="L10" s="44" t="e">
        <f>IF(VLOOKUP(C10,Purchased!A:Z,16,0)=0, " ", VLOOKUP(C10,Purchased!A:Z,16,0))</f>
        <v>#N/A</v>
      </c>
      <c r="M10" s="44" t="e">
        <f>IF(VLOOKUP(C10,Purchased!A:Z,17,0)=0, " ",VLOOKUP(C10,Purchased!A:Z,17,0))</f>
        <v>#N/A</v>
      </c>
      <c r="N10" s="129" t="e">
        <f>IF(VLOOKUP(C10,Purchased!A:Z,18,0)=0, " ", VLOOKUP(C10,Purchased!A:Z,18,0))</f>
        <v>#N/A</v>
      </c>
      <c r="O10" s="45">
        <f t="shared" ca="1" si="0"/>
        <v>1</v>
      </c>
      <c r="P10" s="49">
        <f>VLOOKUP(C10,Machined!C:F,3,0)</f>
        <v>0</v>
      </c>
      <c r="Q10" s="50">
        <f t="shared" si="1"/>
        <v>0</v>
      </c>
    </row>
    <row r="11" spans="1:17" s="2" customFormat="1" ht="12.75" customHeight="1" x14ac:dyDescent="0.25">
      <c r="A11" s="77">
        <v>4</v>
      </c>
      <c r="B11" s="20">
        <v>1</v>
      </c>
      <c r="C11" s="121" t="s">
        <v>1446</v>
      </c>
      <c r="D11" s="314" t="str">
        <f>VLOOKUP(C11,Machined!C:X,2,0)</f>
        <v>Plinth Panel 4</v>
      </c>
      <c r="E11" s="329"/>
      <c r="F11" s="107" t="str">
        <f>VLOOKUP($C11,Machined!C:Z,13,0)</f>
        <v>5052 AL 16GA</v>
      </c>
      <c r="G11" s="44" t="str">
        <f>IF(VLOOKUP($C11,Machined!C:Z,16,0) = 0, " ", VLOOKUP($C11,Machined!C:Z,16,0))</f>
        <v>XOMETRY</v>
      </c>
      <c r="H11" s="320" t="str">
        <f>IF(VLOOKUP($C11,Machined!C:Z,17,0) = 0, " ", VLOOKUP($C11,Machined!C:Z,17,0))</f>
        <v xml:space="preserve"> </v>
      </c>
      <c r="I11" s="321" t="str">
        <f>IF(VLOOKUP($C11,Machined!$C:$Y,13,0) = 0, " ", VLOOKUP($C11,Machined!$C:$Y,13,0))</f>
        <v>5052 AL 16GA</v>
      </c>
      <c r="J11" s="44" t="str">
        <f>IF(VLOOKUP($C11,Machined!C:Z,18,0) = 0, " ", VLOOKUP($C11,Machined!C:Z,18,0))</f>
        <v xml:space="preserve"> </v>
      </c>
      <c r="K11" s="44" t="e">
        <f>IF(VLOOKUP(C11,Purchased!A:Z,15,0)=0, " ", VLOOKUP(C11,Purchased!A:Z,15,0))</f>
        <v>#N/A</v>
      </c>
      <c r="L11" s="44" t="e">
        <f>IF(VLOOKUP(C11,Purchased!A:Z,16,0)=0, " ", VLOOKUP(C11,Purchased!A:Z,16,0))</f>
        <v>#N/A</v>
      </c>
      <c r="M11" s="44" t="e">
        <f>IF(VLOOKUP(C11,Purchased!A:Z,17,0)=0, " ",VLOOKUP(C11,Purchased!A:Z,17,0))</f>
        <v>#N/A</v>
      </c>
      <c r="N11" s="129" t="e">
        <f>IF(VLOOKUP(C11,Purchased!A:Z,18,0)=0, " ", VLOOKUP(C11,Purchased!A:Z,18,0))</f>
        <v>#N/A</v>
      </c>
      <c r="O11" s="45">
        <f ca="1">B11*$L$2</f>
        <v>1</v>
      </c>
      <c r="P11" s="49">
        <f>VLOOKUP(C11,Machined!C:F,3,0)</f>
        <v>0</v>
      </c>
      <c r="Q11" s="50">
        <f>B11*P11</f>
        <v>0</v>
      </c>
    </row>
    <row r="12" spans="1:17" s="2" customFormat="1" ht="12.75" customHeight="1" x14ac:dyDescent="0.25">
      <c r="A12" s="77">
        <v>5</v>
      </c>
      <c r="B12" s="20">
        <v>1</v>
      </c>
      <c r="C12" s="121" t="s">
        <v>1447</v>
      </c>
      <c r="D12" s="314" t="str">
        <f>VLOOKUP(C12,Machined!C:X,2,0)</f>
        <v>Diamond Plate 1</v>
      </c>
      <c r="E12" s="329"/>
      <c r="F12" s="107" t="str">
        <f>VLOOKUP($C12,Machined!C:Z,13,0)</f>
        <v>6061 DIAMOND TREAD PLATE</v>
      </c>
      <c r="G12" s="44" t="str">
        <f>IF(VLOOKUP($C12,Machined!C:Z,16,0) = 0, " ", VLOOKUP($C12,Machined!C:Z,16,0))</f>
        <v>NULINE</v>
      </c>
      <c r="H12" s="320" t="str">
        <f>IF(VLOOKUP($C12,Machined!C:Z,17,0) = 0, " ", VLOOKUP($C12,Machined!C:Z,17,0))</f>
        <v>Alreco for mat'l</v>
      </c>
      <c r="I12" s="321" t="str">
        <f>IF(VLOOKUP($C12,Machined!$C:$Y,13,0) = 0, " ", VLOOKUP($C12,Machined!$C:$Y,13,0))</f>
        <v>6061 DIAMOND TREAD PLATE</v>
      </c>
      <c r="J12" s="44" t="str">
        <f>IF(VLOOKUP($C12,Machined!C:Z,18,0) = 0, " ", VLOOKUP($C12,Machined!C:Z,18,0))</f>
        <v>N/A</v>
      </c>
      <c r="K12" s="44" t="e">
        <f>IF(VLOOKUP(C12,Purchased!A:Z,15,0)=0, " ", VLOOKUP(C12,Purchased!A:Z,15,0))</f>
        <v>#N/A</v>
      </c>
      <c r="L12" s="44" t="e">
        <f>IF(VLOOKUP(C12,Purchased!A:Z,16,0)=0, " ", VLOOKUP(C12,Purchased!A:Z,16,0))</f>
        <v>#N/A</v>
      </c>
      <c r="M12" s="44" t="e">
        <f>IF(VLOOKUP(C12,Purchased!A:Z,17,0)=0, " ",VLOOKUP(C12,Purchased!A:Z,17,0))</f>
        <v>#N/A</v>
      </c>
      <c r="N12" s="129" t="e">
        <f>IF(VLOOKUP(C12,Purchased!A:Z,18,0)=0, " ", VLOOKUP(C12,Purchased!A:Z,18,0))</f>
        <v>#N/A</v>
      </c>
      <c r="O12" s="45">
        <f t="shared" ref="O12:O13" ca="1" si="2">B12*$L$2</f>
        <v>1</v>
      </c>
      <c r="P12" s="49">
        <f>VLOOKUP(C12,Machined!C:F,3,0)</f>
        <v>0</v>
      </c>
      <c r="Q12" s="50">
        <f t="shared" ref="Q12:Q13" si="3">B12*P12</f>
        <v>0</v>
      </c>
    </row>
    <row r="13" spans="1:17" s="2" customFormat="1" ht="12.75" customHeight="1" x14ac:dyDescent="0.25">
      <c r="A13" s="77">
        <v>6</v>
      </c>
      <c r="B13" s="20">
        <v>1</v>
      </c>
      <c r="C13" s="121" t="s">
        <v>1448</v>
      </c>
      <c r="D13" s="314" t="str">
        <f>VLOOKUP(C13,Machined!C:X,2,0)</f>
        <v>Diamond Plate Door</v>
      </c>
      <c r="E13" s="329"/>
      <c r="F13" s="107" t="str">
        <f>VLOOKUP($C13,Machined!C:Z,13,0)</f>
        <v>6061 DIAMOND TREAD PLATE</v>
      </c>
      <c r="G13" s="44" t="str">
        <f>IF(VLOOKUP($C13,Machined!C:Z,16,0) = 0, " ", VLOOKUP($C13,Machined!C:Z,16,0))</f>
        <v>NULINE</v>
      </c>
      <c r="H13" s="320" t="str">
        <f>IF(VLOOKUP($C13,Machined!C:Z,17,0) = 0, " ", VLOOKUP($C13,Machined!C:Z,17,0))</f>
        <v>Alreco for mat'l</v>
      </c>
      <c r="I13" s="321" t="str">
        <f>IF(VLOOKUP($C13,Machined!$C:$Y,13,0) = 0, " ", VLOOKUP($C13,Machined!$C:$Y,13,0))</f>
        <v>6061 DIAMOND TREAD PLATE</v>
      </c>
      <c r="J13" s="44" t="str">
        <f>IF(VLOOKUP($C13,Machined!C:Z,18,0) = 0, " ", VLOOKUP($C13,Machined!C:Z,18,0))</f>
        <v>N/A</v>
      </c>
      <c r="K13" s="44" t="e">
        <f>IF(VLOOKUP(C13,Purchased!A:Z,15,0)=0, " ", VLOOKUP(C13,Purchased!A:Z,15,0))</f>
        <v>#N/A</v>
      </c>
      <c r="L13" s="44" t="e">
        <f>IF(VLOOKUP(C13,Purchased!A:Z,16,0)=0, " ", VLOOKUP(C13,Purchased!A:Z,16,0))</f>
        <v>#N/A</v>
      </c>
      <c r="M13" s="44" t="e">
        <f>IF(VLOOKUP(C13,Purchased!A:Z,17,0)=0, " ",VLOOKUP(C13,Purchased!A:Z,17,0))</f>
        <v>#N/A</v>
      </c>
      <c r="N13" s="129" t="e">
        <f>IF(VLOOKUP(C13,Purchased!A:Z,18,0)=0, " ", VLOOKUP(C13,Purchased!A:Z,18,0))</f>
        <v>#N/A</v>
      </c>
      <c r="O13" s="45">
        <f t="shared" ca="1" si="2"/>
        <v>1</v>
      </c>
      <c r="P13" s="49">
        <f>VLOOKUP(C13,Machined!C:F,3,0)</f>
        <v>0</v>
      </c>
      <c r="Q13" s="50">
        <f t="shared" si="3"/>
        <v>0</v>
      </c>
    </row>
    <row r="14" spans="1:17" s="2" customFormat="1" ht="12.75" customHeight="1" x14ac:dyDescent="0.25">
      <c r="A14" s="77">
        <v>7</v>
      </c>
      <c r="B14" s="20">
        <v>1</v>
      </c>
      <c r="C14" s="121" t="s">
        <v>3794</v>
      </c>
      <c r="D14" s="314" t="str">
        <f>VLOOKUP(C14,Machined!C:X,2,0)</f>
        <v>PLINTH FLOOR 1</v>
      </c>
      <c r="E14" s="329"/>
      <c r="F14" s="107" t="str">
        <f>VLOOKUP($C14,Machined!C:Z,13,0)</f>
        <v>6061-T6 AL</v>
      </c>
      <c r="G14" s="44" t="str">
        <f>IF(VLOOKUP($C14,Machined!C:Z,16,0) = 0, " ", VLOOKUP($C14,Machined!C:Z,16,0))</f>
        <v>NULINE</v>
      </c>
      <c r="H14" s="320" t="str">
        <f>IF(VLOOKUP($C14,Machined!C:Z,17,0) = 0, " ", VLOOKUP($C14,Machined!C:Z,17,0))</f>
        <v>Alreco for mat'l</v>
      </c>
      <c r="I14" s="321" t="str">
        <f>IF(VLOOKUP($C14,Machined!$C:$Y,13,0) = 0, " ", VLOOKUP($C14,Machined!$C:$Y,13,0))</f>
        <v>6061-T6 AL</v>
      </c>
      <c r="J14" s="44" t="str">
        <f>IF(VLOOKUP($C14,Machined!C:Z,18,0) = 0, " ", VLOOKUP($C14,Machined!C:Z,18,0))</f>
        <v>N/A</v>
      </c>
      <c r="K14" s="44" t="e">
        <f>IF(VLOOKUP(C14,Purchased!A:Z,15,0)=0, " ", VLOOKUP(C14,Purchased!A:Z,15,0))</f>
        <v>#N/A</v>
      </c>
      <c r="L14" s="44" t="e">
        <f>IF(VLOOKUP(C14,Purchased!A:Z,16,0)=0, " ", VLOOKUP(C14,Purchased!A:Z,16,0))</f>
        <v>#N/A</v>
      </c>
      <c r="M14" s="44" t="e">
        <f>IF(VLOOKUP(C14,Purchased!A:Z,17,0)=0, " ",VLOOKUP(C14,Purchased!A:Z,17,0))</f>
        <v>#N/A</v>
      </c>
      <c r="N14" s="129" t="e">
        <f>IF(VLOOKUP(C14,Purchased!A:Z,18,0)=0, " ", VLOOKUP(C14,Purchased!A:Z,18,0))</f>
        <v>#N/A</v>
      </c>
      <c r="O14" s="45">
        <f t="shared" ref="O14:O17" ca="1" si="4">B14*$L$2</f>
        <v>1</v>
      </c>
      <c r="P14" s="49">
        <f>VLOOKUP(C14,Machined!C:F,3,0)</f>
        <v>0</v>
      </c>
      <c r="Q14" s="50">
        <f t="shared" ref="Q14:Q17" si="5">B14*P14</f>
        <v>0</v>
      </c>
    </row>
    <row r="15" spans="1:17" s="2" customFormat="1" ht="12.75" customHeight="1" x14ac:dyDescent="0.25">
      <c r="A15" s="77">
        <v>8</v>
      </c>
      <c r="B15" s="20">
        <v>1</v>
      </c>
      <c r="C15" s="121" t="s">
        <v>3795</v>
      </c>
      <c r="D15" s="314" t="str">
        <f>VLOOKUP(C15,Machined!C:X,2,0)</f>
        <v>PLINTH FLOOR 2</v>
      </c>
      <c r="E15" s="329"/>
      <c r="F15" s="107" t="str">
        <f>VLOOKUP($C15,Machined!C:Z,13,0)</f>
        <v>6061-T6 AL</v>
      </c>
      <c r="G15" s="44" t="str">
        <f>IF(VLOOKUP($C15,Machined!C:Z,16,0) = 0, " ", VLOOKUP($C15,Machined!C:Z,16,0))</f>
        <v>NULINE</v>
      </c>
      <c r="H15" s="320" t="str">
        <f>IF(VLOOKUP($C15,Machined!C:Z,17,0) = 0, " ", VLOOKUP($C15,Machined!C:Z,17,0))</f>
        <v>Mat'l in stock!</v>
      </c>
      <c r="I15" s="321" t="str">
        <f>IF(VLOOKUP($C15,Machined!$C:$Y,13,0) = 0, " ", VLOOKUP($C15,Machined!$C:$Y,13,0))</f>
        <v>6061-T6 AL</v>
      </c>
      <c r="J15" s="44" t="str">
        <f>IF(VLOOKUP($C15,Machined!C:Z,18,0) = 0, " ", VLOOKUP($C15,Machined!C:Z,18,0))</f>
        <v>N/A</v>
      </c>
      <c r="K15" s="44" t="e">
        <f>IF(VLOOKUP(C15,Purchased!A:Z,15,0)=0, " ", VLOOKUP(C15,Purchased!A:Z,15,0))</f>
        <v>#N/A</v>
      </c>
      <c r="L15" s="44" t="e">
        <f>IF(VLOOKUP(C15,Purchased!A:Z,16,0)=0, " ", VLOOKUP(C15,Purchased!A:Z,16,0))</f>
        <v>#N/A</v>
      </c>
      <c r="M15" s="44" t="e">
        <f>IF(VLOOKUP(C15,Purchased!A:Z,17,0)=0, " ",VLOOKUP(C15,Purchased!A:Z,17,0))</f>
        <v>#N/A</v>
      </c>
      <c r="N15" s="129" t="e">
        <f>IF(VLOOKUP(C15,Purchased!A:Z,18,0)=0, " ", VLOOKUP(C15,Purchased!A:Z,18,0))</f>
        <v>#N/A</v>
      </c>
      <c r="O15" s="45">
        <f t="shared" ca="1" si="4"/>
        <v>1</v>
      </c>
      <c r="P15" s="49">
        <f>VLOOKUP(C15,Machined!C:F,3,0)</f>
        <v>0</v>
      </c>
      <c r="Q15" s="50">
        <f t="shared" si="5"/>
        <v>0</v>
      </c>
    </row>
    <row r="16" spans="1:17" s="2" customFormat="1" ht="12.75" customHeight="1" x14ac:dyDescent="0.25">
      <c r="A16" s="77">
        <v>9</v>
      </c>
      <c r="B16" s="20">
        <v>1</v>
      </c>
      <c r="C16" s="121" t="s">
        <v>3796</v>
      </c>
      <c r="D16" s="314" t="str">
        <f>VLOOKUP(C16,Machined!C:X,2,0)</f>
        <v>PLINTH FLOOR 3</v>
      </c>
      <c r="E16" s="329"/>
      <c r="F16" s="107" t="str">
        <f>VLOOKUP($C16,Machined!C:Z,13,0)</f>
        <v>6061-T6 AL</v>
      </c>
      <c r="G16" s="44" t="str">
        <f>IF(VLOOKUP($C16,Machined!C:Z,16,0) = 0, " ", VLOOKUP($C16,Machined!C:Z,16,0))</f>
        <v>NULINE</v>
      </c>
      <c r="H16" s="320" t="str">
        <f>IF(VLOOKUP($C16,Machined!C:Z,17,0) = 0, " ", VLOOKUP($C16,Machined!C:Z,17,0))</f>
        <v>Alreco for mat'l</v>
      </c>
      <c r="I16" s="321" t="str">
        <f>IF(VLOOKUP($C16,Machined!$C:$Y,13,0) = 0, " ", VLOOKUP($C16,Machined!$C:$Y,13,0))</f>
        <v>6061-T6 AL</v>
      </c>
      <c r="J16" s="44" t="str">
        <f>IF(VLOOKUP($C16,Machined!C:Z,18,0) = 0, " ", VLOOKUP($C16,Machined!C:Z,18,0))</f>
        <v>N/A</v>
      </c>
      <c r="K16" s="44" t="e">
        <f>IF(VLOOKUP(C16,Purchased!A:Z,15,0)=0, " ", VLOOKUP(C16,Purchased!A:Z,15,0))</f>
        <v>#N/A</v>
      </c>
      <c r="L16" s="44" t="e">
        <f>IF(VLOOKUP(C16,Purchased!A:Z,16,0)=0, " ", VLOOKUP(C16,Purchased!A:Z,16,0))</f>
        <v>#N/A</v>
      </c>
      <c r="M16" s="44" t="e">
        <f>IF(VLOOKUP(C16,Purchased!A:Z,17,0)=0, " ",VLOOKUP(C16,Purchased!A:Z,17,0))</f>
        <v>#N/A</v>
      </c>
      <c r="N16" s="129" t="e">
        <f>IF(VLOOKUP(C16,Purchased!A:Z,18,0)=0, " ", VLOOKUP(C16,Purchased!A:Z,18,0))</f>
        <v>#N/A</v>
      </c>
      <c r="O16" s="45">
        <f t="shared" ca="1" si="4"/>
        <v>1</v>
      </c>
      <c r="P16" s="49">
        <f>VLOOKUP(C16,Machined!C:F,3,0)</f>
        <v>0</v>
      </c>
      <c r="Q16" s="50">
        <f t="shared" si="5"/>
        <v>0</v>
      </c>
    </row>
    <row r="17" spans="1:17" s="2" customFormat="1" ht="12.75" customHeight="1" x14ac:dyDescent="0.25">
      <c r="A17" s="77">
        <v>10</v>
      </c>
      <c r="B17" s="20">
        <v>1</v>
      </c>
      <c r="C17" s="121" t="s">
        <v>3797</v>
      </c>
      <c r="D17" s="314" t="str">
        <f>VLOOKUP(C17,Machined!C:X,2,0)</f>
        <v>Diamond Plate 2</v>
      </c>
      <c r="E17" s="329"/>
      <c r="F17" s="107" t="str">
        <f>VLOOKUP($C17,Machined!C:Z,13,0)</f>
        <v>6061 DIAMOND TREAD PLATE</v>
      </c>
      <c r="G17" s="44" t="str">
        <f>IF(VLOOKUP($C17,Machined!C:Z,16,0) = 0, " ", VLOOKUP($C17,Machined!C:Z,16,0))</f>
        <v>NULINE</v>
      </c>
      <c r="H17" s="320" t="str">
        <f>IF(VLOOKUP($C17,Machined!C:Z,17,0) = 0, " ", VLOOKUP($C17,Machined!C:Z,17,0))</f>
        <v>Alreco for mat'l</v>
      </c>
      <c r="I17" s="321" t="str">
        <f>IF(VLOOKUP($C17,Machined!$C:$Y,13,0) = 0, " ", VLOOKUP($C17,Machined!$C:$Y,13,0))</f>
        <v>6061 DIAMOND TREAD PLATE</v>
      </c>
      <c r="J17" s="44" t="str">
        <f>IF(VLOOKUP($C17,Machined!C:Z,18,0) = 0, " ", VLOOKUP($C17,Machined!C:Z,18,0))</f>
        <v>N/A</v>
      </c>
      <c r="K17" s="44" t="e">
        <f>IF(VLOOKUP(C17,Purchased!A:Z,15,0)=0, " ", VLOOKUP(C17,Purchased!A:Z,15,0))</f>
        <v>#N/A</v>
      </c>
      <c r="L17" s="44" t="e">
        <f>IF(VLOOKUP(C17,Purchased!A:Z,16,0)=0, " ", VLOOKUP(C17,Purchased!A:Z,16,0))</f>
        <v>#N/A</v>
      </c>
      <c r="M17" s="44" t="e">
        <f>IF(VLOOKUP(C17,Purchased!A:Z,17,0)=0, " ",VLOOKUP(C17,Purchased!A:Z,17,0))</f>
        <v>#N/A</v>
      </c>
      <c r="N17" s="129" t="e">
        <f>IF(VLOOKUP(C17,Purchased!A:Z,18,0)=0, " ", VLOOKUP(C17,Purchased!A:Z,18,0))</f>
        <v>#N/A</v>
      </c>
      <c r="O17" s="45">
        <f t="shared" ca="1" si="4"/>
        <v>1</v>
      </c>
      <c r="P17" s="49">
        <f>VLOOKUP(C17,Machined!C:F,3,0)</f>
        <v>0</v>
      </c>
      <c r="Q17" s="50">
        <f t="shared" si="5"/>
        <v>0</v>
      </c>
    </row>
    <row r="18" spans="1:17" s="2" customFormat="1" ht="12" customHeight="1" x14ac:dyDescent="0.25">
      <c r="A18" s="25"/>
      <c r="B18" s="26"/>
      <c r="C18" s="26"/>
      <c r="D18" s="332"/>
      <c r="E18" s="333"/>
      <c r="F18" s="26"/>
      <c r="G18" s="26"/>
      <c r="H18" s="322"/>
      <c r="I18" s="323"/>
      <c r="J18" s="27"/>
      <c r="K18" s="27" t="e">
        <f>IF(VLOOKUP(C18,Purchased!A:Z,15,0)=0, " ", VLOOKUP(C18,Purchased!A:Z,15,0))</f>
        <v>#N/A</v>
      </c>
      <c r="L18" s="27" t="e">
        <f>IF(VLOOKUP(C18,Purchased!A:Z,16,0)=0, " ", VLOOKUP(C18,Purchased!A:Z,16,0))</f>
        <v>#N/A</v>
      </c>
      <c r="M18" s="28" t="e">
        <f>IF(VLOOKUP(C18,Purchased!A:Z,17,0)=0, " ",VLOOKUP(C18,Purchased!A:Z,17,0))</f>
        <v>#N/A</v>
      </c>
      <c r="N18" s="29" t="e">
        <f>IF(VLOOKUP(C18,Purchased!A:Z,18,0)=0, " ", VLOOKUP(C18,Purchased!A:Z,18,0))</f>
        <v>#N/A</v>
      </c>
      <c r="O18" s="29"/>
      <c r="P18" s="148"/>
      <c r="Q18" s="149"/>
    </row>
    <row r="19" spans="1:17" s="2" customFormat="1" ht="12" customHeight="1" x14ac:dyDescent="0.25">
      <c r="A19" s="4">
        <v>301</v>
      </c>
      <c r="B19" s="2">
        <v>3</v>
      </c>
      <c r="C19" s="135" t="s">
        <v>1449</v>
      </c>
      <c r="D19" s="325" t="str">
        <f>VLOOKUP(C19,Purchased!A:B,2,0)</f>
        <v>6x6x36in wireway</v>
      </c>
      <c r="E19" s="326"/>
      <c r="F19" s="108" t="str">
        <f>IF(VLOOKUP($C19,Purchased!A:Z,11,0) = 0, " ", VLOOKUP($C19,Purchased!A:Z,11,0))</f>
        <v>Hoffman</v>
      </c>
      <c r="G19" s="108" t="str">
        <f>IF(VLOOKUP($C19,Purchased!A:Z,12,0)=0, " ", VLOOKUP($C19,Purchased!A:Z,12,0))</f>
        <v>Rexel</v>
      </c>
      <c r="H19" s="327" t="str">
        <f>IF(VLOOKUP($C19,Purchased!A:Z,13,0)=0, " ", VLOOKUP($C19,Purchased!A:Z,13,0))</f>
        <v xml:space="preserve"> </v>
      </c>
      <c r="I19" s="328"/>
      <c r="J19" s="46">
        <f>IF(VLOOKUP($C19,Purchased!A:Z,14,0)=0, " ", VLOOKUP($C19,Purchased!A:Z,14,0))</f>
        <v>45530</v>
      </c>
      <c r="K19" s="46">
        <f>IF(VLOOKUP(C19,Purchased!A:Z,15,0)=0, " ", VLOOKUP(C19,Purchased!A:Z,15,0))</f>
        <v>45530</v>
      </c>
      <c r="L19" s="46">
        <f>IF(VLOOKUP(C19,Purchased!A:Z,16,0)=0, " ", VLOOKUP(C19,Purchased!A:Z,16,0))</f>
        <v>45552</v>
      </c>
      <c r="M19" s="46">
        <f>IF(VLOOKUP(C19,Purchased!A:Z,17,0)=0, " ",VLOOKUP(C19,Purchased!A:Z,17,0))</f>
        <v>45552</v>
      </c>
      <c r="N19" s="130">
        <f>IF(VLOOKUP(C19,Purchased!A:Z,18,0)=0, " ", VLOOKUP(C19,Purchased!A:Z,18,0))</f>
        <v>55703</v>
      </c>
      <c r="O19" s="47">
        <f t="shared" ref="O19:O21" ca="1" si="6">B19*$L$2</f>
        <v>3</v>
      </c>
      <c r="P19" s="51">
        <f>VLOOKUP(C19,Purchased!A:D,3,FALSE)</f>
        <v>40.002000000000002</v>
      </c>
      <c r="Q19" s="52">
        <f t="shared" ref="Q19:Q21" si="7">B19*P19</f>
        <v>120.006</v>
      </c>
    </row>
    <row r="20" spans="1:17" s="2" customFormat="1" ht="12" customHeight="1" x14ac:dyDescent="0.25">
      <c r="A20" s="4">
        <v>302</v>
      </c>
      <c r="B20" s="2">
        <v>6</v>
      </c>
      <c r="C20" s="135" t="s">
        <v>1450</v>
      </c>
      <c r="D20" s="325" t="str">
        <f>VLOOKUP(C20,Purchased!A:B,2,0)</f>
        <v xml:space="preserve">6x6x72in wireway </v>
      </c>
      <c r="E20" s="326"/>
      <c r="F20" s="108" t="str">
        <f>IF(VLOOKUP($C20,Purchased!A:Z,11,0) = 0, " ", VLOOKUP($C20,Purchased!A:Z,11,0))</f>
        <v>Hoffman</v>
      </c>
      <c r="G20" s="108" t="str">
        <f>IF(VLOOKUP($C20,Purchased!A:Z,12,0)=0, " ", VLOOKUP($C20,Purchased!A:Z,12,0))</f>
        <v>Rexel</v>
      </c>
      <c r="H20" s="327" t="str">
        <f>IF(VLOOKUP($C20,Purchased!A:Z,13,0)=0, " ", VLOOKUP($C20,Purchased!A:Z,13,0))</f>
        <v xml:space="preserve"> </v>
      </c>
      <c r="I20" s="328"/>
      <c r="J20" s="46">
        <f>IF(VLOOKUP($C20,Purchased!A:Z,14,0)=0, " ", VLOOKUP($C20,Purchased!A:Z,14,0))</f>
        <v>45530</v>
      </c>
      <c r="K20" s="46">
        <f>IF(VLOOKUP(C20,Purchased!A:Z,15,0)=0, " ", VLOOKUP(C20,Purchased!A:Z,15,0))</f>
        <v>45530</v>
      </c>
      <c r="L20" s="46">
        <f>IF(VLOOKUP(C20,Purchased!A:Z,16,0)=0, " ", VLOOKUP(C20,Purchased!A:Z,16,0))</f>
        <v>45552</v>
      </c>
      <c r="M20" s="46">
        <f>IF(VLOOKUP(C20,Purchased!A:Z,17,0)=0, " ",VLOOKUP(C20,Purchased!A:Z,17,0))</f>
        <v>45552</v>
      </c>
      <c r="N20" s="130">
        <f>IF(VLOOKUP(C20,Purchased!A:Z,18,0)=0, " ", VLOOKUP(C20,Purchased!A:Z,18,0))</f>
        <v>55703</v>
      </c>
      <c r="O20" s="47">
        <f t="shared" ca="1" si="6"/>
        <v>6</v>
      </c>
      <c r="P20" s="51">
        <f>VLOOKUP(C20,Purchased!A:D,3,FALSE)</f>
        <v>82.572000000000003</v>
      </c>
      <c r="Q20" s="52">
        <f t="shared" si="7"/>
        <v>495.43200000000002</v>
      </c>
    </row>
    <row r="21" spans="1:17" s="2" customFormat="1" ht="12" customHeight="1" x14ac:dyDescent="0.25">
      <c r="A21" s="4">
        <v>303</v>
      </c>
      <c r="B21" s="2">
        <v>12</v>
      </c>
      <c r="C21" s="135" t="s">
        <v>1451</v>
      </c>
      <c r="D21" s="325" t="str">
        <f>VLOOKUP(C21,Purchased!A:B,2,0)</f>
        <v>6x6in wireway divider</v>
      </c>
      <c r="E21" s="326"/>
      <c r="F21" s="108" t="str">
        <f>IF(VLOOKUP($C21,Purchased!A:Z,11,0) = 0, " ", VLOOKUP($C21,Purchased!A:Z,11,0))</f>
        <v>Hoffman</v>
      </c>
      <c r="G21" s="108" t="str">
        <f>IF(VLOOKUP($C21,Purchased!A:Z,12,0)=0, " ", VLOOKUP($C21,Purchased!A:Z,12,0))</f>
        <v>Rexel</v>
      </c>
      <c r="H21" s="327" t="str">
        <f>IF(VLOOKUP($C21,Purchased!A:Z,13,0)=0, " ", VLOOKUP($C21,Purchased!A:Z,13,0))</f>
        <v>1 in stock</v>
      </c>
      <c r="I21" s="328"/>
      <c r="J21" s="46">
        <f>IF(VLOOKUP($C21,Purchased!A:Z,14,0)=0, " ", VLOOKUP($C21,Purchased!A:Z,14,0))</f>
        <v>45530</v>
      </c>
      <c r="K21" s="46">
        <f>IF(VLOOKUP(C21,Purchased!A:Z,15,0)=0, " ", VLOOKUP(C21,Purchased!A:Z,15,0))</f>
        <v>45530</v>
      </c>
      <c r="L21" s="46">
        <f>IF(VLOOKUP(C21,Purchased!A:Z,16,0)=0, " ", VLOOKUP(C21,Purchased!A:Z,16,0))</f>
        <v>45552</v>
      </c>
      <c r="M21" s="46">
        <f>IF(VLOOKUP(C21,Purchased!A:Z,17,0)=0, " ",VLOOKUP(C21,Purchased!A:Z,17,0))</f>
        <v>45552</v>
      </c>
      <c r="N21" s="130">
        <f>IF(VLOOKUP(C21,Purchased!A:Z,18,0)=0, " ", VLOOKUP(C21,Purchased!A:Z,18,0))</f>
        <v>55703</v>
      </c>
      <c r="O21" s="47">
        <f t="shared" ca="1" si="6"/>
        <v>12</v>
      </c>
      <c r="P21" s="51">
        <f>VLOOKUP(C21,Purchased!A:D,3,FALSE)</f>
        <v>66.540999999999997</v>
      </c>
      <c r="Q21" s="52">
        <f t="shared" si="7"/>
        <v>798.49199999999996</v>
      </c>
    </row>
    <row r="22" spans="1:17" s="2" customFormat="1" ht="12" customHeight="1" x14ac:dyDescent="0.25">
      <c r="A22" s="4">
        <v>304</v>
      </c>
      <c r="B22" s="2">
        <v>10</v>
      </c>
      <c r="C22" s="135" t="s">
        <v>1452</v>
      </c>
      <c r="D22" s="325" t="str">
        <f>VLOOKUP(C22,Purchased!A:B,2,0)</f>
        <v>6x6in wireway connector</v>
      </c>
      <c r="E22" s="326"/>
      <c r="F22" s="108" t="str">
        <f>IF(VLOOKUP($C22,Purchased!A:Z,11,0) = 0, " ", VLOOKUP($C22,Purchased!A:Z,11,0))</f>
        <v>Hoffman</v>
      </c>
      <c r="G22" s="108" t="str">
        <f>IF(VLOOKUP($C22,Purchased!A:Z,12,0)=0, " ", VLOOKUP($C22,Purchased!A:Z,12,0))</f>
        <v>Rexel</v>
      </c>
      <c r="H22" s="327" t="str">
        <f>IF(VLOOKUP($C22,Purchased!A:Z,13,0)=0, " ", VLOOKUP($C22,Purchased!A:Z,13,0))</f>
        <v xml:space="preserve"> </v>
      </c>
      <c r="I22" s="328"/>
      <c r="J22" s="46">
        <f>IF(VLOOKUP($C22,Purchased!A:Z,14,0)=0, " ", VLOOKUP($C22,Purchased!A:Z,14,0))</f>
        <v>45530</v>
      </c>
      <c r="K22" s="46">
        <f>IF(VLOOKUP(C22,Purchased!A:Z,15,0)=0, " ", VLOOKUP(C22,Purchased!A:Z,15,0))</f>
        <v>45530</v>
      </c>
      <c r="L22" s="46">
        <f>IF(VLOOKUP(C22,Purchased!A:Z,16,0)=0, " ", VLOOKUP(C22,Purchased!A:Z,16,0))</f>
        <v>45552</v>
      </c>
      <c r="M22" s="46">
        <f>IF(VLOOKUP(C22,Purchased!A:Z,17,0)=0, " ",VLOOKUP(C22,Purchased!A:Z,17,0))</f>
        <v>45552</v>
      </c>
      <c r="N22" s="130">
        <f>IF(VLOOKUP(C22,Purchased!A:Z,18,0)=0, " ", VLOOKUP(C22,Purchased!A:Z,18,0))</f>
        <v>55703</v>
      </c>
      <c r="O22" s="47">
        <f t="shared" ref="O22:O27" ca="1" si="8">B22*$L$2</f>
        <v>10</v>
      </c>
      <c r="P22" s="51">
        <f>VLOOKUP(C22,Purchased!A:D,3,FALSE)</f>
        <v>6.4089999999999998</v>
      </c>
      <c r="Q22" s="52">
        <f t="shared" ref="Q22:Q27" si="9">B22*P22</f>
        <v>64.09</v>
      </c>
    </row>
    <row r="23" spans="1:17" s="2" customFormat="1" ht="12" customHeight="1" x14ac:dyDescent="0.25">
      <c r="A23" s="4">
        <v>305</v>
      </c>
      <c r="B23" s="2">
        <v>2</v>
      </c>
      <c r="C23" s="135" t="s">
        <v>1453</v>
      </c>
      <c r="D23" s="325" t="str">
        <f>VLOOKUP(C23,Purchased!A:B,2,0)</f>
        <v>6x6in wireway endcap</v>
      </c>
      <c r="E23" s="326"/>
      <c r="F23" s="108" t="str">
        <f>IF(VLOOKUP($C23,Purchased!A:Z,11,0) = 0, " ", VLOOKUP($C23,Purchased!A:Z,11,0))</f>
        <v>Hoffman</v>
      </c>
      <c r="G23" s="108" t="str">
        <f>IF(VLOOKUP($C23,Purchased!A:Z,12,0)=0, " ", VLOOKUP($C23,Purchased!A:Z,12,0))</f>
        <v>Rexel</v>
      </c>
      <c r="H23" s="327" t="str">
        <f>IF(VLOOKUP($C23,Purchased!A:Z,13,0)=0, " ", VLOOKUP($C23,Purchased!A:Z,13,0))</f>
        <v xml:space="preserve"> </v>
      </c>
      <c r="I23" s="328"/>
      <c r="J23" s="46">
        <f>IF(VLOOKUP($C23,Purchased!A:Z,14,0)=0, " ", VLOOKUP($C23,Purchased!A:Z,14,0))</f>
        <v>45530</v>
      </c>
      <c r="K23" s="46">
        <f>IF(VLOOKUP(C23,Purchased!A:Z,15,0)=0, " ", VLOOKUP(C23,Purchased!A:Z,15,0))</f>
        <v>45530</v>
      </c>
      <c r="L23" s="46">
        <f>IF(VLOOKUP(C23,Purchased!A:Z,16,0)=0, " ", VLOOKUP(C23,Purchased!A:Z,16,0))</f>
        <v>45552</v>
      </c>
      <c r="M23" s="46">
        <f>IF(VLOOKUP(C23,Purchased!A:Z,17,0)=0, " ",VLOOKUP(C23,Purchased!A:Z,17,0))</f>
        <v>45552</v>
      </c>
      <c r="N23" s="130">
        <f>IF(VLOOKUP(C23,Purchased!A:Z,18,0)=0, " ", VLOOKUP(C23,Purchased!A:Z,18,0))</f>
        <v>55703</v>
      </c>
      <c r="O23" s="47">
        <f t="shared" ca="1" si="8"/>
        <v>2</v>
      </c>
      <c r="P23" s="51">
        <f>VLOOKUP(C23,Purchased!A:D,3,FALSE)</f>
        <v>6.33</v>
      </c>
      <c r="Q23" s="52">
        <f t="shared" si="9"/>
        <v>12.66</v>
      </c>
    </row>
    <row r="24" spans="1:17" s="2" customFormat="1" ht="12" customHeight="1" x14ac:dyDescent="0.25">
      <c r="A24" s="4">
        <v>306</v>
      </c>
      <c r="B24" s="2">
        <v>1</v>
      </c>
      <c r="C24" s="135" t="s">
        <v>1454</v>
      </c>
      <c r="D24" s="325" t="str">
        <f>VLOOKUP(C24,Purchased!A:B,2,0)</f>
        <v>Piano Hinge with Holes</v>
      </c>
      <c r="E24" s="326"/>
      <c r="F24" s="108" t="str">
        <f>IF(VLOOKUP($C24,Purchased!A:Z,11,0) = 0, " ", VLOOKUP($C24,Purchased!A:Z,11,0))</f>
        <v>MCM</v>
      </c>
      <c r="G24" s="108" t="str">
        <f>IF(VLOOKUP($C24,Purchased!A:Z,12,0)=0, " ", VLOOKUP($C24,Purchased!A:Z,12,0))</f>
        <v>MCM</v>
      </c>
      <c r="H24" s="327" t="str">
        <f>IF(VLOOKUP($C24,Purchased!A:Z,13,0)=0, " ", VLOOKUP($C24,Purchased!A:Z,13,0))</f>
        <v xml:space="preserve"> </v>
      </c>
      <c r="I24" s="328"/>
      <c r="J24" s="46">
        <f>IF(VLOOKUP($C24,Purchased!A:Z,14,0)=0, " ", VLOOKUP($C24,Purchased!A:Z,14,0))</f>
        <v>45526</v>
      </c>
      <c r="K24" s="46">
        <f>IF(VLOOKUP(C24,Purchased!A:Z,15,0)=0, " ", VLOOKUP(C24,Purchased!A:Z,15,0))</f>
        <v>45526</v>
      </c>
      <c r="L24" s="46" t="str">
        <f>IF(VLOOKUP(C24,Purchased!A:Z,16,0)=0, " ", VLOOKUP(C24,Purchased!A:Z,16,0))</f>
        <v xml:space="preserve"> </v>
      </c>
      <c r="M24" s="46" t="str">
        <f>IF(VLOOKUP(C24,Purchased!A:Z,17,0)=0, " ",VLOOKUP(C24,Purchased!A:Z,17,0))</f>
        <v xml:space="preserve"> </v>
      </c>
      <c r="N24" s="130">
        <f>IF(VLOOKUP(C24,Purchased!A:Z,18,0)=0, " ", VLOOKUP(C24,Purchased!A:Z,18,0))</f>
        <v>55697</v>
      </c>
      <c r="O24" s="47">
        <f t="shared" ca="1" si="8"/>
        <v>1</v>
      </c>
      <c r="P24" s="51">
        <f>VLOOKUP(C24,Purchased!A:D,3,FALSE)</f>
        <v>0</v>
      </c>
      <c r="Q24" s="52">
        <f t="shared" si="9"/>
        <v>0</v>
      </c>
    </row>
    <row r="25" spans="1:17" s="2" customFormat="1" ht="12" customHeight="1" x14ac:dyDescent="0.25">
      <c r="A25" s="4">
        <v>307</v>
      </c>
      <c r="B25" s="2">
        <v>8</v>
      </c>
      <c r="C25" s="135">
        <v>1004036</v>
      </c>
      <c r="D25" s="325" t="str">
        <f>VLOOKUP(C25,Purchased!A:B,2,0)</f>
        <v>NGI M12x70mm Black leveling foot, HX-FIX081-M12-70</v>
      </c>
      <c r="E25" s="326"/>
      <c r="F25" s="108" t="str">
        <f>IF(VLOOKUP($C25,Purchased!A:Z,11,0) = 0, " ", VLOOKUP($C25,Purchased!A:Z,11,0))</f>
        <v>NGI</v>
      </c>
      <c r="G25" s="108" t="str">
        <f>IF(VLOOKUP($C25,Purchased!A:Z,12,0)=0, " ", VLOOKUP($C25,Purchased!A:Z,12,0))</f>
        <v>NGI</v>
      </c>
      <c r="H25" s="327" t="str">
        <f>IF(VLOOKUP($C25,Purchased!A:Z,13,0)=0, " ", VLOOKUP($C25,Purchased!A:Z,13,0))</f>
        <v>MCM part # 6221K925</v>
      </c>
      <c r="I25" s="328"/>
      <c r="J25" s="46" t="str">
        <f>IF(VLOOKUP($C25,Purchased!A:Z,14,0)=0, " ", VLOOKUP($C25,Purchased!A:Z,14,0))</f>
        <v xml:space="preserve"> </v>
      </c>
      <c r="K25" s="46" t="str">
        <f>IF(VLOOKUP(C25,Purchased!A:Z,15,0)=0, " ", VLOOKUP(C25,Purchased!A:Z,15,0))</f>
        <v xml:space="preserve"> </v>
      </c>
      <c r="L25" s="46" t="str">
        <f>IF(VLOOKUP(C25,Purchased!A:Z,16,0)=0, " ", VLOOKUP(C25,Purchased!A:Z,16,0))</f>
        <v xml:space="preserve"> </v>
      </c>
      <c r="M25" s="46" t="str">
        <f>IF(VLOOKUP(C25,Purchased!A:Z,17,0)=0, " ",VLOOKUP(C25,Purchased!A:Z,17,0))</f>
        <v xml:space="preserve"> </v>
      </c>
      <c r="N25" s="130" t="str">
        <f>IF(VLOOKUP(C25,Purchased!A:Z,18,0)=0, " ", VLOOKUP(C25,Purchased!A:Z,18,0))</f>
        <v xml:space="preserve"> </v>
      </c>
      <c r="O25" s="47">
        <f t="shared" ca="1" si="8"/>
        <v>8</v>
      </c>
      <c r="P25" s="51">
        <f>VLOOKUP(C25,Purchased!A:D,3,FALSE)</f>
        <v>0</v>
      </c>
      <c r="Q25" s="52">
        <f t="shared" si="9"/>
        <v>0</v>
      </c>
    </row>
    <row r="26" spans="1:17" s="2" customFormat="1" ht="12" customHeight="1" x14ac:dyDescent="0.25">
      <c r="A26" s="4">
        <v>308</v>
      </c>
      <c r="B26" s="2">
        <v>5</v>
      </c>
      <c r="C26" s="135" t="s">
        <v>149</v>
      </c>
      <c r="D26" s="325" t="str">
        <f>VLOOKUP(C26,Purchased!A:B,2,0)</f>
        <v>BRX GOTO QUICK CONNECTOR N10 0°</v>
      </c>
      <c r="E26" s="326"/>
      <c r="F26" s="108" t="str">
        <f>IF(VLOOKUP($C26,Purchased!A:Z,11,0) = 0, " ", VLOOKUP($C26,Purchased!A:Z,11,0))</f>
        <v>T-SLOTS</v>
      </c>
      <c r="G26" s="108" t="str">
        <f>IF(VLOOKUP($C26,Purchased!A:Z,12,0)=0, " ", VLOOKUP($C26,Purchased!A:Z,12,0))</f>
        <v>Process Tech</v>
      </c>
      <c r="H26" s="327" t="str">
        <f>IF(VLOOKUP($C26,Purchased!A:Z,13,0)=0, " ", VLOOKUP($C26,Purchased!A:Z,13,0))</f>
        <v>500 More on P.O. #55639 Part# 659730</v>
      </c>
      <c r="I26" s="328"/>
      <c r="J26" s="46" t="str">
        <f>IF(VLOOKUP($C26,Purchased!A:Z,14,0)=0, " ", VLOOKUP($C26,Purchased!A:Z,14,0))</f>
        <v>N/A</v>
      </c>
      <c r="K26" s="46">
        <f>IF(VLOOKUP(C26,Purchased!A:Z,15,0)=0, " ", VLOOKUP(C26,Purchased!A:Z,15,0))</f>
        <v>45362</v>
      </c>
      <c r="L26" s="46">
        <f>IF(VLOOKUP(C26,Purchased!A:Z,16,0)=0, " ", VLOOKUP(C26,Purchased!A:Z,16,0))</f>
        <v>45378</v>
      </c>
      <c r="M26" s="46">
        <f>IF(VLOOKUP(C26,Purchased!A:Z,17,0)=0, " ",VLOOKUP(C26,Purchased!A:Z,17,0))</f>
        <v>45378</v>
      </c>
      <c r="N26" s="130">
        <f>IF(VLOOKUP(C26,Purchased!A:Z,18,0)=0, " ", VLOOKUP(C26,Purchased!A:Z,18,0))</f>
        <v>55445</v>
      </c>
      <c r="O26" s="47">
        <f t="shared" ca="1" si="8"/>
        <v>5</v>
      </c>
      <c r="P26" s="51">
        <f>VLOOKUP(C26,Purchased!A:D,3,FALSE)</f>
        <v>4.17</v>
      </c>
      <c r="Q26" s="52">
        <f t="shared" si="9"/>
        <v>20.85</v>
      </c>
    </row>
    <row r="27" spans="1:17" s="2" customFormat="1" ht="12" customHeight="1" x14ac:dyDescent="0.25">
      <c r="A27" s="4">
        <v>309</v>
      </c>
      <c r="B27" s="2">
        <v>50</v>
      </c>
      <c r="C27" s="135">
        <v>3842535466</v>
      </c>
      <c r="D27" s="325" t="str">
        <f>VLOOKUP(C27,Purchased!A:B,2,0)</f>
        <v>BRX GOTO QUICK CONNECTOR N10 90°</v>
      </c>
      <c r="E27" s="326"/>
      <c r="F27" s="108" t="str">
        <f>IF(VLOOKUP($C27,Purchased!A:Z,11,0) = 0, " ", VLOOKUP($C27,Purchased!A:Z,11,0))</f>
        <v>T-SLOTS</v>
      </c>
      <c r="G27" s="108" t="str">
        <f>IF(VLOOKUP($C27,Purchased!A:Z,12,0)=0, " ", VLOOKUP($C27,Purchased!A:Z,12,0))</f>
        <v>Process Tech</v>
      </c>
      <c r="H27" s="327" t="str">
        <f>IF(VLOOKUP($C27,Purchased!A:Z,13,0)=0, " ", VLOOKUP($C27,Purchased!A:Z,13,0))</f>
        <v>Ordered 300 8/29/24 JP</v>
      </c>
      <c r="I27" s="328"/>
      <c r="J27" s="46" t="str">
        <f>IF(VLOOKUP($C27,Purchased!A:Z,14,0)=0, " ", VLOOKUP($C27,Purchased!A:Z,14,0))</f>
        <v>N/A</v>
      </c>
      <c r="K27" s="46">
        <f>IF(VLOOKUP(C27,Purchased!A:Z,15,0)=0, " ", VLOOKUP(C27,Purchased!A:Z,15,0))</f>
        <v>45533</v>
      </c>
      <c r="L27" s="46">
        <f>IF(VLOOKUP(C27,Purchased!A:Z,16,0)=0, " ", VLOOKUP(C27,Purchased!A:Z,16,0))</f>
        <v>45540</v>
      </c>
      <c r="M27" s="46" t="str">
        <f>IF(VLOOKUP(C27,Purchased!A:Z,17,0)=0, " ",VLOOKUP(C27,Purchased!A:Z,17,0))</f>
        <v xml:space="preserve"> </v>
      </c>
      <c r="N27" s="130">
        <f>IF(VLOOKUP(C27,Purchased!A:Z,18,0)=0, " ", VLOOKUP(C27,Purchased!A:Z,18,0))</f>
        <v>55716</v>
      </c>
      <c r="O27" s="47">
        <f t="shared" ca="1" si="8"/>
        <v>50</v>
      </c>
      <c r="P27" s="51">
        <f>VLOOKUP(C27,Purchased!A:D,3,FALSE)</f>
        <v>4.17</v>
      </c>
      <c r="Q27" s="52">
        <f t="shared" si="9"/>
        <v>208.5</v>
      </c>
    </row>
    <row r="28" spans="1:17" s="2" customFormat="1" ht="12" customHeight="1" x14ac:dyDescent="0.25">
      <c r="A28" s="4">
        <v>310</v>
      </c>
      <c r="B28" s="2">
        <v>12</v>
      </c>
      <c r="C28" s="135">
        <v>3842530283</v>
      </c>
      <c r="D28" s="325" t="str">
        <f>VLOOKUP(C28,Purchased!A:B,2,0)</f>
        <v>BRX GOTO T-NUT 10 M5</v>
      </c>
      <c r="E28" s="326"/>
      <c r="F28" s="108" t="str">
        <f>IF(VLOOKUP($C28,Purchased!A:Z,11,0) = 0, " ", VLOOKUP($C28,Purchased!A:Z,11,0))</f>
        <v>BRX</v>
      </c>
      <c r="G28" s="108" t="str">
        <f>IF(VLOOKUP($C28,Purchased!A:Z,12,0)=0, " ", VLOOKUP($C28,Purchased!A:Z,12,0))</f>
        <v>AAP</v>
      </c>
      <c r="H28" s="327" t="str">
        <f>IF(VLOOKUP($C28,Purchased!A:Z,13,0)=0, " ", VLOOKUP($C28,Purchased!A:Z,13,0))</f>
        <v>100 additional quantity added to 55710</v>
      </c>
      <c r="I28" s="328"/>
      <c r="J28" s="46">
        <f>IF(VLOOKUP($C28,Purchased!A:Z,14,0)=0, " ", VLOOKUP($C28,Purchased!A:Z,14,0))</f>
        <v>45463</v>
      </c>
      <c r="K28" s="46">
        <f>IF(VLOOKUP(C28,Purchased!A:Z,15,0)=0, " ", VLOOKUP(C28,Purchased!A:Z,15,0))</f>
        <v>45463</v>
      </c>
      <c r="L28" s="46">
        <f>IF(VLOOKUP(C28,Purchased!A:Z,16,0)=0, " ", VLOOKUP(C28,Purchased!A:Z,16,0))</f>
        <v>45481</v>
      </c>
      <c r="M28" s="46">
        <f>IF(VLOOKUP(C28,Purchased!A:Z,17,0)=0, " ",VLOOKUP(C28,Purchased!A:Z,17,0))</f>
        <v>45481</v>
      </c>
      <c r="N28" s="130">
        <f>IF(VLOOKUP(C28,Purchased!A:Z,18,0)=0, " ", VLOOKUP(C28,Purchased!A:Z,18,0))</f>
        <v>55564</v>
      </c>
      <c r="O28" s="47">
        <f t="shared" ref="O28:O29" ca="1" si="10">B28*$L$2</f>
        <v>12</v>
      </c>
      <c r="P28" s="51">
        <f>VLOOKUP(C28,Purchased!A:D,3,FALSE)</f>
        <v>0.56000000000000005</v>
      </c>
      <c r="Q28" s="52">
        <f t="shared" ref="Q28:Q29" si="11">B28*P28</f>
        <v>6.7200000000000006</v>
      </c>
    </row>
    <row r="29" spans="1:17" s="2" customFormat="1" ht="12" customHeight="1" x14ac:dyDescent="0.25">
      <c r="A29" s="4">
        <v>311</v>
      </c>
      <c r="B29" s="2">
        <v>60</v>
      </c>
      <c r="C29" s="135" t="s">
        <v>104</v>
      </c>
      <c r="D29" s="325" t="str">
        <f>VLOOKUP(C29,Purchased!A:B,2,0)</f>
        <v>BRX GOTO T-NUT 10 M8</v>
      </c>
      <c r="E29" s="326"/>
      <c r="F29" s="108" t="str">
        <f>IF(VLOOKUP($C29,Purchased!A:Z,11,0) = 0, " ", VLOOKUP($C29,Purchased!A:Z,11,0))</f>
        <v>BRX</v>
      </c>
      <c r="G29" s="108" t="str">
        <f>IF(VLOOKUP($C29,Purchased!A:Z,12,0)=0, " ", VLOOKUP($C29,Purchased!A:Z,12,0))</f>
        <v>AAP</v>
      </c>
      <c r="H29" s="327" t="str">
        <f>IF(VLOOKUP($C29,Purchased!A:Z,13,0)=0, " ", VLOOKUP($C29,Purchased!A:Z,13,0))</f>
        <v>400 additional quantity added to 55710</v>
      </c>
      <c r="I29" s="328"/>
      <c r="J29" s="46">
        <f>IF(VLOOKUP($C29,Purchased!A:Z,14,0)=0, " ", VLOOKUP($C29,Purchased!A:Z,14,0))</f>
        <v>45463</v>
      </c>
      <c r="K29" s="46">
        <f>IF(VLOOKUP(C29,Purchased!A:Z,15,0)=0, " ", VLOOKUP(C29,Purchased!A:Z,15,0))</f>
        <v>45463</v>
      </c>
      <c r="L29" s="46">
        <f>IF(VLOOKUP(C29,Purchased!A:Z,16,0)=0, " ", VLOOKUP(C29,Purchased!A:Z,16,0))</f>
        <v>45481</v>
      </c>
      <c r="M29" s="46">
        <f>IF(VLOOKUP(C29,Purchased!A:Z,17,0)=0, " ",VLOOKUP(C29,Purchased!A:Z,17,0))</f>
        <v>45481</v>
      </c>
      <c r="N29" s="130">
        <f>IF(VLOOKUP(C29,Purchased!A:Z,18,0)=0, " ", VLOOKUP(C29,Purchased!A:Z,18,0))</f>
        <v>55564</v>
      </c>
      <c r="O29" s="47">
        <f t="shared" ca="1" si="10"/>
        <v>60</v>
      </c>
      <c r="P29" s="51">
        <f>VLOOKUP(C29,Purchased!A:D,3,FALSE)</f>
        <v>0.56000000000000005</v>
      </c>
      <c r="Q29" s="52">
        <f t="shared" si="11"/>
        <v>33.6</v>
      </c>
    </row>
    <row r="30" spans="1:17" s="2" customFormat="1" ht="12" customHeight="1" x14ac:dyDescent="0.25">
      <c r="A30" s="4">
        <v>312</v>
      </c>
      <c r="B30" s="2">
        <v>2</v>
      </c>
      <c r="C30" s="135">
        <v>3842551606</v>
      </c>
      <c r="D30" s="325" t="str">
        <f>VLOOKUP(C30,Purchased!A:B,2,0)</f>
        <v>BRX 45X45 Frame Gusset</v>
      </c>
      <c r="E30" s="326"/>
      <c r="F30" s="108" t="str">
        <f>IF(VLOOKUP($C30,Purchased!A:Z,11,0) = 0, " ", VLOOKUP($C30,Purchased!A:Z,11,0))</f>
        <v>BRX</v>
      </c>
      <c r="G30" s="108" t="str">
        <f>IF(VLOOKUP($C30,Purchased!A:Z,12,0)=0, " ", VLOOKUP($C30,Purchased!A:Z,12,0))</f>
        <v>AAP</v>
      </c>
      <c r="H30" s="327" t="str">
        <f>IF(VLOOKUP($C30,Purchased!A:Z,13,0)=0, " ", VLOOKUP($C30,Purchased!A:Z,13,0))</f>
        <v>2 additional quantity added to 55710</v>
      </c>
      <c r="I30" s="328"/>
      <c r="J30" s="46" t="str">
        <f>IF(VLOOKUP($C30,Purchased!A:Z,14,0)=0, " ", VLOOKUP($C30,Purchased!A:Z,14,0))</f>
        <v>N/A</v>
      </c>
      <c r="K30" s="46">
        <f>IF(VLOOKUP(C30,Purchased!A:Z,15,0)=0, " ", VLOOKUP(C30,Purchased!A:Z,15,0))</f>
        <v>45524</v>
      </c>
      <c r="L30" s="46">
        <f>IF(VLOOKUP(C30,Purchased!A:Z,16,0)=0, " ", VLOOKUP(C30,Purchased!A:Z,16,0))</f>
        <v>45547</v>
      </c>
      <c r="M30" s="46" t="str">
        <f>IF(VLOOKUP(C30,Purchased!A:Z,17,0)=0, " ",VLOOKUP(C30,Purchased!A:Z,17,0))</f>
        <v xml:space="preserve"> </v>
      </c>
      <c r="N30" s="130">
        <f>IF(VLOOKUP(C30,Purchased!A:Z,18,0)=0, " ", VLOOKUP(C30,Purchased!A:Z,18,0))</f>
        <v>55690</v>
      </c>
      <c r="O30" s="47">
        <f ca="1">B30*$L$2</f>
        <v>2</v>
      </c>
      <c r="P30" s="51">
        <f>VLOOKUP(C30,Purchased!A:D,3,FALSE)</f>
        <v>5.83</v>
      </c>
      <c r="Q30" s="52">
        <f>B30*P30</f>
        <v>11.66</v>
      </c>
    </row>
    <row r="31" spans="1:17" s="2" customFormat="1" ht="12" customHeight="1" x14ac:dyDescent="0.25">
      <c r="A31" s="4">
        <v>313</v>
      </c>
      <c r="B31" s="2">
        <v>1</v>
      </c>
      <c r="C31" s="135" t="s">
        <v>3808</v>
      </c>
      <c r="D31" s="158" t="str">
        <f>VLOOKUP(C31,Purchased!A:B,2,0)</f>
        <v>Presto Zipper Enclosure</v>
      </c>
      <c r="E31" s="159"/>
      <c r="F31" s="108" t="str">
        <f>IF(VLOOKUP($C31,Purchased!A:Z,11,0) = 0, " ", VLOOKUP($C31,Purchased!A:Z,11,0))</f>
        <v>Presto</v>
      </c>
      <c r="G31" s="108" t="str">
        <f>IF(VLOOKUP($C31,Purchased!A:Z,12,0)=0, " ", VLOOKUP($C31,Purchased!A:Z,12,0))</f>
        <v>Presto</v>
      </c>
      <c r="H31" s="108" t="str">
        <f>IF(VLOOKUP($C31,Purchased!A:Z,13,0)=0, " ", VLOOKUP($C31,Purchased!A:Z,13,0))</f>
        <v xml:space="preserve"> </v>
      </c>
      <c r="I31" s="109"/>
      <c r="J31" s="46" t="str">
        <f>IF(VLOOKUP($C31,Purchased!A:Z,14,0)=0, " ", VLOOKUP($C31,Purchased!A:Z,14,0))</f>
        <v>N/A</v>
      </c>
      <c r="K31" s="46">
        <f>IF(VLOOKUP(C31,Purchased!A:Z,15,0)=0, " ", VLOOKUP(C31,Purchased!A:Z,15,0))</f>
        <v>45307</v>
      </c>
      <c r="L31" s="46">
        <f>IF(VLOOKUP(C31,Purchased!A:Z,16,0)=0, " ", VLOOKUP(C31,Purchased!A:Z,16,0))</f>
        <v>45561</v>
      </c>
      <c r="M31" s="46">
        <f>IF(VLOOKUP(C31,Purchased!A:Z,17,0)=0, " ",VLOOKUP(C31,Purchased!A:Z,17,0))</f>
        <v>45561</v>
      </c>
      <c r="N31" s="130">
        <f>IF(VLOOKUP(C31,Purchased!A:Z,18,0)=0, " ", VLOOKUP(C31,Purchased!A:Z,18,0))</f>
        <v>55366</v>
      </c>
      <c r="O31" s="47">
        <f ca="1">B31*$L$2</f>
        <v>1</v>
      </c>
      <c r="P31" s="51">
        <f>VLOOKUP(C31,Purchased!A:D,3,FALSE)</f>
        <v>0</v>
      </c>
      <c r="Q31" s="52">
        <f>B31*P31</f>
        <v>0</v>
      </c>
    </row>
    <row r="32" spans="1:17" s="2" customFormat="1" ht="12" customHeight="1" x14ac:dyDescent="0.25">
      <c r="A32" s="25"/>
      <c r="B32" s="26"/>
      <c r="C32" s="26"/>
      <c r="D32" s="332"/>
      <c r="E32" s="333"/>
      <c r="F32" s="26"/>
      <c r="G32" s="26"/>
      <c r="H32" s="322"/>
      <c r="I32" s="323"/>
      <c r="J32" s="27"/>
      <c r="K32" s="27" t="e">
        <f>IF(VLOOKUP(C32,Purchased!A:Z,15,0)=0, " ", VLOOKUP(C32,Purchased!A:Z,15,0))</f>
        <v>#N/A</v>
      </c>
      <c r="L32" s="27" t="e">
        <f>IF(VLOOKUP(C32,Purchased!A:Z,16,0)=0, " ", VLOOKUP(C32,Purchased!A:Z,16,0))</f>
        <v>#N/A</v>
      </c>
      <c r="M32" s="28" t="e">
        <f>IF(VLOOKUP(C32,Purchased!A:Z,17,0)=0, " ",VLOOKUP(C32,Purchased!A:Z,17,0))</f>
        <v>#N/A</v>
      </c>
      <c r="N32" s="29" t="e">
        <f>IF(VLOOKUP(C32,Purchased!A:Z,18,0)=0, " ", VLOOKUP(C32,Purchased!A:Z,18,0))</f>
        <v>#N/A</v>
      </c>
      <c r="O32" s="29"/>
      <c r="P32" s="148"/>
      <c r="Q32" s="149"/>
    </row>
    <row r="33" spans="1:17" s="2" customFormat="1" ht="12" customHeight="1" x14ac:dyDescent="0.25">
      <c r="A33" s="4">
        <v>501</v>
      </c>
      <c r="B33" s="2">
        <v>12</v>
      </c>
      <c r="C33" s="122" t="s">
        <v>1455</v>
      </c>
      <c r="D33" s="325"/>
      <c r="E33" s="326"/>
      <c r="F33" s="108">
        <f>VLOOKUP(C33,Bolts!A:L,5,0)</f>
        <v>0</v>
      </c>
      <c r="G33" s="108">
        <f>VLOOKUP(C33,Bolts!A:L,6,0)</f>
        <v>0</v>
      </c>
      <c r="H33" s="108">
        <f>VLOOKUP(C33,Bolts!A:L,7,0)</f>
        <v>0</v>
      </c>
      <c r="I33" s="109"/>
      <c r="J33" s="46">
        <f>VLOOKUP(C33,Bolts!A:L,8,0)</f>
        <v>0</v>
      </c>
      <c r="K33" s="46" t="e">
        <f>IF(VLOOKUP(C33,Purchased!A:Z,15,0)=0, " ", VLOOKUP(C33,Purchased!A:Z,15,0))</f>
        <v>#N/A</v>
      </c>
      <c r="L33" s="46" t="e">
        <f>IF(VLOOKUP(C33,Purchased!A:Z,16,0)=0, " ", VLOOKUP(C33,Purchased!A:Z,16,0))</f>
        <v>#N/A</v>
      </c>
      <c r="M33" s="46" t="e">
        <f>IF(VLOOKUP(C33,Purchased!A:Z,17,0)=0, " ",VLOOKUP(C33,Purchased!A:Z,17,0))</f>
        <v>#N/A</v>
      </c>
      <c r="N33" s="130" t="e">
        <f>IF(VLOOKUP(C33,Purchased!A:Z,18,0)=0, " ", VLOOKUP(C33,Purchased!A:Z,18,0))</f>
        <v>#N/A</v>
      </c>
      <c r="O33" s="47">
        <f t="shared" ref="O33:O34" ca="1" si="12">B33*$L$2</f>
        <v>12</v>
      </c>
      <c r="P33" s="51">
        <f>VLOOKUP(C33,Bolts!A:B,2,FALSE)</f>
        <v>0</v>
      </c>
      <c r="Q33" s="52">
        <f t="shared" ref="Q33:Q34" si="13">B33*P33</f>
        <v>0</v>
      </c>
    </row>
    <row r="34" spans="1:17" s="2" customFormat="1" ht="12" customHeight="1" x14ac:dyDescent="0.25">
      <c r="A34" s="4">
        <v>502</v>
      </c>
      <c r="B34" s="2">
        <v>12</v>
      </c>
      <c r="C34" s="122" t="s">
        <v>473</v>
      </c>
      <c r="D34" s="325"/>
      <c r="E34" s="326"/>
      <c r="F34" s="108">
        <f>VLOOKUP(C34,Bolts!A:L,5,0)</f>
        <v>0</v>
      </c>
      <c r="G34" s="108">
        <f>VLOOKUP(C34,Bolts!A:L,6,0)</f>
        <v>0</v>
      </c>
      <c r="H34" s="108">
        <f>VLOOKUP(C34,Bolts!A:L,7,0)</f>
        <v>0</v>
      </c>
      <c r="I34" s="109"/>
      <c r="J34" s="46">
        <f>VLOOKUP(C34,Bolts!A:L,8,0)</f>
        <v>0</v>
      </c>
      <c r="K34" s="46" t="e">
        <f>IF(VLOOKUP(C34,Purchased!A:Z,15,0)=0, " ", VLOOKUP(C34,Purchased!A:Z,15,0))</f>
        <v>#N/A</v>
      </c>
      <c r="L34" s="46" t="e">
        <f>IF(VLOOKUP(C34,Purchased!A:Z,16,0)=0, " ", VLOOKUP(C34,Purchased!A:Z,16,0))</f>
        <v>#N/A</v>
      </c>
      <c r="M34" s="46" t="e">
        <f>IF(VLOOKUP(C34,Purchased!A:Z,17,0)=0, " ",VLOOKUP(C34,Purchased!A:Z,17,0))</f>
        <v>#N/A</v>
      </c>
      <c r="N34" s="130" t="e">
        <f>IF(VLOOKUP(C34,Purchased!A:Z,18,0)=0, " ", VLOOKUP(C34,Purchased!A:Z,18,0))</f>
        <v>#N/A</v>
      </c>
      <c r="O34" s="47">
        <f t="shared" ca="1" si="12"/>
        <v>12</v>
      </c>
      <c r="P34" s="51">
        <f>VLOOKUP(C34,Bolts!A:B,2,FALSE)</f>
        <v>0</v>
      </c>
      <c r="Q34" s="52">
        <f t="shared" si="13"/>
        <v>0</v>
      </c>
    </row>
    <row r="35" spans="1:17" s="2" customFormat="1" ht="12" customHeight="1" x14ac:dyDescent="0.25">
      <c r="A35" s="4">
        <v>503</v>
      </c>
      <c r="B35" s="2">
        <v>46</v>
      </c>
      <c r="C35" s="122" t="s">
        <v>1456</v>
      </c>
      <c r="D35" s="325"/>
      <c r="E35" s="326"/>
      <c r="F35" s="108">
        <f>VLOOKUP(C35,Bolts!A:L,5,0)</f>
        <v>0</v>
      </c>
      <c r="G35" s="108">
        <f>VLOOKUP(C35,Bolts!A:L,6,0)</f>
        <v>0</v>
      </c>
      <c r="H35" s="108">
        <f>VLOOKUP(C35,Bolts!A:L,7,0)</f>
        <v>0</v>
      </c>
      <c r="I35" s="109"/>
      <c r="J35" s="46">
        <f>VLOOKUP(C35,Bolts!A:L,8,0)</f>
        <v>0</v>
      </c>
      <c r="K35" s="46" t="e">
        <f>IF(VLOOKUP(C35,Purchased!A:Z,15,0)=0, " ", VLOOKUP(C35,Purchased!A:Z,15,0))</f>
        <v>#N/A</v>
      </c>
      <c r="L35" s="46" t="e">
        <f>IF(VLOOKUP(C35,Purchased!A:Z,16,0)=0, " ", VLOOKUP(C35,Purchased!A:Z,16,0))</f>
        <v>#N/A</v>
      </c>
      <c r="M35" s="46" t="e">
        <f>IF(VLOOKUP(C35,Purchased!A:Z,17,0)=0, " ",VLOOKUP(C35,Purchased!A:Z,17,0))</f>
        <v>#N/A</v>
      </c>
      <c r="N35" s="130" t="e">
        <f>IF(VLOOKUP(C35,Purchased!A:Z,18,0)=0, " ", VLOOKUP(C35,Purchased!A:Z,18,0))</f>
        <v>#N/A</v>
      </c>
      <c r="O35" s="47">
        <f t="shared" ref="O35:O37" ca="1" si="14">B35*$L$2</f>
        <v>46</v>
      </c>
      <c r="P35" s="51">
        <f>VLOOKUP(C35,Bolts!A:B,2,FALSE)</f>
        <v>0</v>
      </c>
      <c r="Q35" s="52">
        <f t="shared" ref="Q35:Q37" si="15">B35*P35</f>
        <v>0</v>
      </c>
    </row>
    <row r="36" spans="1:17" s="2" customFormat="1" ht="12" customHeight="1" x14ac:dyDescent="0.25">
      <c r="A36" s="4">
        <v>504</v>
      </c>
      <c r="B36" s="2">
        <v>14</v>
      </c>
      <c r="C36" s="122" t="s">
        <v>1457</v>
      </c>
      <c r="D36" s="325"/>
      <c r="E36" s="326"/>
      <c r="F36" s="108">
        <f>VLOOKUP(C36,Bolts!A:L,5,0)</f>
        <v>0</v>
      </c>
      <c r="G36" s="108">
        <f>VLOOKUP(C36,Bolts!A:L,6,0)</f>
        <v>0</v>
      </c>
      <c r="H36" s="108">
        <f>VLOOKUP(C36,Bolts!A:L,7,0)</f>
        <v>0</v>
      </c>
      <c r="I36" s="109"/>
      <c r="J36" s="46">
        <f>VLOOKUP(C36,Bolts!A:L,8,0)</f>
        <v>0</v>
      </c>
      <c r="K36" s="46" t="e">
        <f>IF(VLOOKUP(C36,Purchased!A:Z,15,0)=0, " ", VLOOKUP(C36,Purchased!A:Z,15,0))</f>
        <v>#N/A</v>
      </c>
      <c r="L36" s="46" t="e">
        <f>IF(VLOOKUP(C36,Purchased!A:Z,16,0)=0, " ", VLOOKUP(C36,Purchased!A:Z,16,0))</f>
        <v>#N/A</v>
      </c>
      <c r="M36" s="46" t="e">
        <f>IF(VLOOKUP(C36,Purchased!A:Z,17,0)=0, " ",VLOOKUP(C36,Purchased!A:Z,17,0))</f>
        <v>#N/A</v>
      </c>
      <c r="N36" s="130" t="e">
        <f>IF(VLOOKUP(C36,Purchased!A:Z,18,0)=0, " ", VLOOKUP(C36,Purchased!A:Z,18,0))</f>
        <v>#N/A</v>
      </c>
      <c r="O36" s="47">
        <f t="shared" ca="1" si="14"/>
        <v>14</v>
      </c>
      <c r="P36" s="51">
        <f>VLOOKUP(C36,Bolts!A:B,2,FALSE)</f>
        <v>0</v>
      </c>
      <c r="Q36" s="52">
        <f t="shared" si="15"/>
        <v>0</v>
      </c>
    </row>
    <row r="37" spans="1:17" s="2" customFormat="1" ht="12" customHeight="1" x14ac:dyDescent="0.25">
      <c r="A37" s="4">
        <v>505</v>
      </c>
      <c r="B37" s="2">
        <v>14</v>
      </c>
      <c r="C37" s="122" t="s">
        <v>108</v>
      </c>
      <c r="D37" s="325"/>
      <c r="E37" s="326"/>
      <c r="F37" s="108">
        <f>VLOOKUP(C37,Bolts!A:L,5,0)</f>
        <v>0</v>
      </c>
      <c r="G37" s="108">
        <f>VLOOKUP(C37,Bolts!A:L,6,0)</f>
        <v>0</v>
      </c>
      <c r="H37" s="108">
        <f>VLOOKUP(C37,Bolts!A:L,7,0)</f>
        <v>0</v>
      </c>
      <c r="I37" s="109"/>
      <c r="J37" s="46">
        <f>VLOOKUP(C37,Bolts!A:L,8,0)</f>
        <v>0</v>
      </c>
      <c r="K37" s="46" t="e">
        <f>IF(VLOOKUP(C37,Purchased!A:Z,15,0)=0, " ", VLOOKUP(C37,Purchased!A:Z,15,0))</f>
        <v>#N/A</v>
      </c>
      <c r="L37" s="46" t="e">
        <f>IF(VLOOKUP(C37,Purchased!A:Z,16,0)=0, " ", VLOOKUP(C37,Purchased!A:Z,16,0))</f>
        <v>#N/A</v>
      </c>
      <c r="M37" s="46" t="e">
        <f>IF(VLOOKUP(C37,Purchased!A:Z,17,0)=0, " ",VLOOKUP(C37,Purchased!A:Z,17,0))</f>
        <v>#N/A</v>
      </c>
      <c r="N37" s="130" t="e">
        <f>IF(VLOOKUP(C37,Purchased!A:Z,18,0)=0, " ", VLOOKUP(C37,Purchased!A:Z,18,0))</f>
        <v>#N/A</v>
      </c>
      <c r="O37" s="47">
        <f t="shared" ca="1" si="14"/>
        <v>14</v>
      </c>
      <c r="P37" s="51">
        <f>VLOOKUP(C37,Bolts!A:B,2,FALSE)</f>
        <v>0</v>
      </c>
      <c r="Q37" s="52">
        <f t="shared" si="15"/>
        <v>0</v>
      </c>
    </row>
    <row r="38" spans="1:17" s="2" customFormat="1" ht="12" customHeight="1" x14ac:dyDescent="0.25">
      <c r="A38" s="25"/>
      <c r="B38" s="26"/>
      <c r="C38" s="26"/>
      <c r="D38" s="332"/>
      <c r="E38" s="333"/>
      <c r="F38" s="26"/>
      <c r="G38" s="26"/>
      <c r="H38" s="322"/>
      <c r="I38" s="323"/>
      <c r="J38" s="27"/>
      <c r="K38" s="27" t="e">
        <f>IF(VLOOKUP(C38,Purchased!A:Z,15,0)=0, " ", VLOOKUP(C38,Purchased!A:Z,15,0))</f>
        <v>#N/A</v>
      </c>
      <c r="L38" s="27" t="e">
        <f>IF(VLOOKUP(C38,Purchased!A:Z,16,0)=0, " ", VLOOKUP(C38,Purchased!A:Z,16,0))</f>
        <v>#N/A</v>
      </c>
      <c r="M38" s="28" t="e">
        <f>IF(VLOOKUP(C38,Purchased!A:Z,17,0)=0, " ",VLOOKUP(C38,Purchased!A:Z,17,0))</f>
        <v>#N/A</v>
      </c>
      <c r="N38" s="29" t="e">
        <f>IF(VLOOKUP(C38,Purchased!A:Z,18,0)=0, " ", VLOOKUP(C38,Purchased!A:Z,18,0))</f>
        <v>#N/A</v>
      </c>
      <c r="O38" s="29"/>
      <c r="P38" s="148"/>
      <c r="Q38" s="149"/>
    </row>
    <row r="39" spans="1:17" s="2" customFormat="1" ht="12" customHeight="1" x14ac:dyDescent="0.25">
      <c r="A39" s="4">
        <v>701</v>
      </c>
      <c r="B39" s="2">
        <v>2</v>
      </c>
      <c r="C39" s="123" t="s">
        <v>1461</v>
      </c>
      <c r="D39" s="325" t="str">
        <f>VLOOKUP(C39,Extrusion!B:C,2,0)</f>
        <v>APPROVED EL 9/10</v>
      </c>
      <c r="E39" s="326"/>
      <c r="F39" s="108" t="str">
        <f ca="1">VLOOKUP(C39,Extrusion!B:N,5,0)</f>
        <v/>
      </c>
      <c r="G39" s="108">
        <f>VLOOKUP(C39,Extrusion!B:N,6,0)</f>
        <v>1</v>
      </c>
      <c r="H39" s="108">
        <f>VLOOKUP(C39,Extrusion!B:N,7,0)</f>
        <v>0</v>
      </c>
      <c r="I39" s="109"/>
      <c r="J39" s="46" t="str">
        <f>VLOOKUP(C39,Extrusion!B:N,8,0)</f>
        <v>T-Slots</v>
      </c>
      <c r="K39" s="46" t="e">
        <f>IF(VLOOKUP(C39,Purchased!A:Z,15,0)=0, " ", VLOOKUP(C39,Purchased!A:Z,15,0))</f>
        <v>#N/A</v>
      </c>
      <c r="L39" s="46" t="e">
        <f>IF(VLOOKUP(C39,Purchased!A:Z,16,0)=0, " ", VLOOKUP(C39,Purchased!A:Z,16,0))</f>
        <v>#N/A</v>
      </c>
      <c r="M39" s="46" t="e">
        <f>IF(VLOOKUP(C39,Purchased!A:Z,17,0)=0, " ",VLOOKUP(C39,Purchased!A:Z,17,0))</f>
        <v>#N/A</v>
      </c>
      <c r="N39" s="47" t="e">
        <f>IF(VLOOKUP(C39,Purchased!A:Z,18,0)=0, " ", VLOOKUP(C39,Purchased!A:Z,18,0))</f>
        <v>#N/A</v>
      </c>
      <c r="O39" s="47">
        <f t="shared" ref="O39:O40" ca="1" si="16">B39*$L$2</f>
        <v>2</v>
      </c>
      <c r="P39" s="51">
        <f>VLOOKUP(C39,Extrusion!B:G,4,0)</f>
        <v>2</v>
      </c>
      <c r="Q39" s="52">
        <f t="shared" ref="Q39:Q40" si="17">B39*P39</f>
        <v>4</v>
      </c>
    </row>
    <row r="40" spans="1:17" s="2" customFormat="1" ht="12" customHeight="1" x14ac:dyDescent="0.25">
      <c r="A40" s="4">
        <v>702</v>
      </c>
      <c r="B40" s="2">
        <v>4</v>
      </c>
      <c r="C40" s="123" t="s">
        <v>3798</v>
      </c>
      <c r="D40" s="325" t="str">
        <f>VLOOKUP(C40,Extrusion!B:C,2,0)</f>
        <v>APPROVED EL 9/10</v>
      </c>
      <c r="E40" s="326"/>
      <c r="F40" s="108" t="str">
        <f ca="1">VLOOKUP(C40,Extrusion!B:N,5,0)</f>
        <v/>
      </c>
      <c r="G40" s="108">
        <f>VLOOKUP(C40,Extrusion!B:N,6,0)</f>
        <v>1</v>
      </c>
      <c r="H40" s="108">
        <f>VLOOKUP(C40,Extrusion!B:N,7,0)</f>
        <v>0</v>
      </c>
      <c r="I40" s="109"/>
      <c r="J40" s="46" t="str">
        <f>VLOOKUP(C40,Extrusion!B:N,8,0)</f>
        <v>T-Slots</v>
      </c>
      <c r="K40" s="46" t="e">
        <f>IF(VLOOKUP(C40,Purchased!A:Z,15,0)=0, " ", VLOOKUP(C40,Purchased!A:Z,15,0))</f>
        <v>#N/A</v>
      </c>
      <c r="L40" s="46" t="e">
        <f>IF(VLOOKUP(C40,Purchased!A:Z,16,0)=0, " ", VLOOKUP(C40,Purchased!A:Z,16,0))</f>
        <v>#N/A</v>
      </c>
      <c r="M40" s="46" t="e">
        <f>IF(VLOOKUP(C40,Purchased!A:Z,17,0)=0, " ",VLOOKUP(C40,Purchased!A:Z,17,0))</f>
        <v>#N/A</v>
      </c>
      <c r="N40" s="47" t="e">
        <f>IF(VLOOKUP(C40,Purchased!A:Z,18,0)=0, " ", VLOOKUP(C40,Purchased!A:Z,18,0))</f>
        <v>#N/A</v>
      </c>
      <c r="O40" s="47">
        <f t="shared" ca="1" si="16"/>
        <v>4</v>
      </c>
      <c r="P40" s="51">
        <f>VLOOKUP(C40,Extrusion!B:G,4,0)</f>
        <v>4</v>
      </c>
      <c r="Q40" s="52">
        <f t="shared" si="17"/>
        <v>16</v>
      </c>
    </row>
    <row r="41" spans="1:17" s="2" customFormat="1" ht="12" customHeight="1" x14ac:dyDescent="0.25">
      <c r="A41" s="4">
        <v>703</v>
      </c>
      <c r="B41" s="2">
        <v>1</v>
      </c>
      <c r="C41" s="123" t="s">
        <v>3804</v>
      </c>
      <c r="D41" s="325" t="str">
        <f>VLOOKUP(C41,Extrusion!B:C,2,0)</f>
        <v>APPROVED EL 9/10</v>
      </c>
      <c r="E41" s="326"/>
      <c r="F41" s="108" t="str">
        <f ca="1">VLOOKUP(C41,Extrusion!B:N,5,0)</f>
        <v/>
      </c>
      <c r="G41" s="108">
        <f>VLOOKUP(C41,Extrusion!B:N,6,0)</f>
        <v>1</v>
      </c>
      <c r="H41" s="108">
        <f>VLOOKUP(C41,Extrusion!B:N,7,0)</f>
        <v>0</v>
      </c>
      <c r="I41" s="109"/>
      <c r="J41" s="46" t="str">
        <f>VLOOKUP(C41,Extrusion!B:N,8,0)</f>
        <v>T-Slots</v>
      </c>
      <c r="K41" s="46" t="e">
        <f>IF(VLOOKUP(C41,Purchased!A:Z,15,0)=0, " ", VLOOKUP(C41,Purchased!A:Z,15,0))</f>
        <v>#N/A</v>
      </c>
      <c r="L41" s="46" t="e">
        <f>IF(VLOOKUP(C41,Purchased!A:Z,16,0)=0, " ", VLOOKUP(C41,Purchased!A:Z,16,0))</f>
        <v>#N/A</v>
      </c>
      <c r="M41" s="46" t="e">
        <f>IF(VLOOKUP(C41,Purchased!A:Z,17,0)=0, " ",VLOOKUP(C41,Purchased!A:Z,17,0))</f>
        <v>#N/A</v>
      </c>
      <c r="N41" s="47" t="e">
        <f>IF(VLOOKUP(C41,Purchased!A:Z,18,0)=0, " ", VLOOKUP(C41,Purchased!A:Z,18,0))</f>
        <v>#N/A</v>
      </c>
      <c r="O41" s="47">
        <f t="shared" ref="O41:O44" ca="1" si="18">B41*$L$2</f>
        <v>1</v>
      </c>
      <c r="P41" s="51">
        <f>VLOOKUP(C41,Extrusion!B:G,4,0)</f>
        <v>1</v>
      </c>
      <c r="Q41" s="52">
        <f t="shared" ref="Q41:Q44" si="19">B41*P41</f>
        <v>1</v>
      </c>
    </row>
    <row r="42" spans="1:17" s="2" customFormat="1" ht="12" customHeight="1" x14ac:dyDescent="0.25">
      <c r="A42" s="4">
        <v>704</v>
      </c>
      <c r="B42" s="2">
        <v>4</v>
      </c>
      <c r="C42" s="123" t="s">
        <v>1462</v>
      </c>
      <c r="D42" s="325" t="str">
        <f>VLOOKUP(C42,Extrusion!B:C,2,0)</f>
        <v>APPROVED EL 9/10</v>
      </c>
      <c r="E42" s="326"/>
      <c r="F42" s="108" t="str">
        <f ca="1">VLOOKUP(C42,Extrusion!B:N,5,0)</f>
        <v/>
      </c>
      <c r="G42" s="108">
        <f>VLOOKUP(C42,Extrusion!B:N,6,0)</f>
        <v>1</v>
      </c>
      <c r="H42" s="108">
        <f>VLOOKUP(C42,Extrusion!B:N,7,0)</f>
        <v>0</v>
      </c>
      <c r="I42" s="109"/>
      <c r="J42" s="46" t="str">
        <f>VLOOKUP(C42,Extrusion!B:N,8,0)</f>
        <v>T-Slots</v>
      </c>
      <c r="K42" s="46" t="e">
        <f>IF(VLOOKUP(C42,Purchased!A:Z,15,0)=0, " ", VLOOKUP(C42,Purchased!A:Z,15,0))</f>
        <v>#N/A</v>
      </c>
      <c r="L42" s="46" t="e">
        <f>IF(VLOOKUP(C42,Purchased!A:Z,16,0)=0, " ", VLOOKUP(C42,Purchased!A:Z,16,0))</f>
        <v>#N/A</v>
      </c>
      <c r="M42" s="46" t="e">
        <f>IF(VLOOKUP(C42,Purchased!A:Z,17,0)=0, " ",VLOOKUP(C42,Purchased!A:Z,17,0))</f>
        <v>#N/A</v>
      </c>
      <c r="N42" s="47" t="e">
        <f>IF(VLOOKUP(C42,Purchased!A:Z,18,0)=0, " ", VLOOKUP(C42,Purchased!A:Z,18,0))</f>
        <v>#N/A</v>
      </c>
      <c r="O42" s="47">
        <f t="shared" ca="1" si="18"/>
        <v>4</v>
      </c>
      <c r="P42" s="51">
        <f>VLOOKUP(C42,Extrusion!B:G,4,0)</f>
        <v>4</v>
      </c>
      <c r="Q42" s="52">
        <f t="shared" si="19"/>
        <v>16</v>
      </c>
    </row>
    <row r="43" spans="1:17" s="2" customFormat="1" ht="12" customHeight="1" x14ac:dyDescent="0.25">
      <c r="A43" s="4">
        <v>705</v>
      </c>
      <c r="B43" s="2">
        <v>7</v>
      </c>
      <c r="C43" s="123" t="s">
        <v>1459</v>
      </c>
      <c r="D43" s="325" t="str">
        <f>VLOOKUP(C43,Extrusion!B:C,2,0)</f>
        <v>APPROVED EL 9/10</v>
      </c>
      <c r="E43" s="326"/>
      <c r="F43" s="108" t="str">
        <f ca="1">VLOOKUP(C43,Extrusion!B:N,5,0)</f>
        <v/>
      </c>
      <c r="G43" s="108">
        <f>VLOOKUP(C43,Extrusion!B:N,6,0)</f>
        <v>1</v>
      </c>
      <c r="H43" s="108">
        <f>VLOOKUP(C43,Extrusion!B:N,7,0)</f>
        <v>0</v>
      </c>
      <c r="I43" s="109"/>
      <c r="J43" s="46" t="str">
        <f>VLOOKUP(C43,Extrusion!B:N,8,0)</f>
        <v>T-Slots</v>
      </c>
      <c r="K43" s="46" t="e">
        <f>IF(VLOOKUP(C43,Purchased!A:Z,15,0)=0, " ", VLOOKUP(C43,Purchased!A:Z,15,0))</f>
        <v>#N/A</v>
      </c>
      <c r="L43" s="46" t="e">
        <f>IF(VLOOKUP(C43,Purchased!A:Z,16,0)=0, " ", VLOOKUP(C43,Purchased!A:Z,16,0))</f>
        <v>#N/A</v>
      </c>
      <c r="M43" s="46" t="e">
        <f>IF(VLOOKUP(C43,Purchased!A:Z,17,0)=0, " ",VLOOKUP(C43,Purchased!A:Z,17,0))</f>
        <v>#N/A</v>
      </c>
      <c r="N43" s="47" t="e">
        <f>IF(VLOOKUP(C43,Purchased!A:Z,18,0)=0, " ", VLOOKUP(C43,Purchased!A:Z,18,0))</f>
        <v>#N/A</v>
      </c>
      <c r="O43" s="47">
        <f t="shared" ca="1" si="18"/>
        <v>7</v>
      </c>
      <c r="P43" s="51">
        <f>VLOOKUP(C43,Extrusion!B:G,4,0)</f>
        <v>7</v>
      </c>
      <c r="Q43" s="52">
        <f t="shared" si="19"/>
        <v>49</v>
      </c>
    </row>
    <row r="44" spans="1:17" s="2" customFormat="1" ht="12" customHeight="1" x14ac:dyDescent="0.25">
      <c r="A44" s="4">
        <v>706</v>
      </c>
      <c r="B44" s="2">
        <v>1</v>
      </c>
      <c r="C44" s="123" t="s">
        <v>3799</v>
      </c>
      <c r="D44" s="325" t="str">
        <f>VLOOKUP(C44,Extrusion!B:C,2,0)</f>
        <v>APPROVED EL 9/10</v>
      </c>
      <c r="E44" s="326"/>
      <c r="F44" s="108" t="str">
        <f ca="1">VLOOKUP(C44,Extrusion!B:N,5,0)</f>
        <v/>
      </c>
      <c r="G44" s="108">
        <f>VLOOKUP(C44,Extrusion!B:N,6,0)</f>
        <v>1</v>
      </c>
      <c r="H44" s="108">
        <f>VLOOKUP(C44,Extrusion!B:N,7,0)</f>
        <v>0</v>
      </c>
      <c r="I44" s="109"/>
      <c r="J44" s="46" t="str">
        <f>VLOOKUP(C44,Extrusion!B:N,8,0)</f>
        <v>T-Slots</v>
      </c>
      <c r="K44" s="46" t="e">
        <f>IF(VLOOKUP(C44,Purchased!A:Z,15,0)=0, " ", VLOOKUP(C44,Purchased!A:Z,15,0))</f>
        <v>#N/A</v>
      </c>
      <c r="L44" s="46" t="e">
        <f>IF(VLOOKUP(C44,Purchased!A:Z,16,0)=0, " ", VLOOKUP(C44,Purchased!A:Z,16,0))</f>
        <v>#N/A</v>
      </c>
      <c r="M44" s="46" t="e">
        <f>IF(VLOOKUP(C44,Purchased!A:Z,17,0)=0, " ",VLOOKUP(C44,Purchased!A:Z,17,0))</f>
        <v>#N/A</v>
      </c>
      <c r="N44" s="47" t="e">
        <f>IF(VLOOKUP(C44,Purchased!A:Z,18,0)=0, " ", VLOOKUP(C44,Purchased!A:Z,18,0))</f>
        <v>#N/A</v>
      </c>
      <c r="O44" s="47">
        <f t="shared" ca="1" si="18"/>
        <v>1</v>
      </c>
      <c r="P44" s="51">
        <f>VLOOKUP(C44,Extrusion!B:G,4,0)</f>
        <v>1</v>
      </c>
      <c r="Q44" s="52">
        <f t="shared" si="19"/>
        <v>1</v>
      </c>
    </row>
    <row r="45" spans="1:17" s="2" customFormat="1" ht="12" customHeight="1" x14ac:dyDescent="0.25">
      <c r="A45" s="4">
        <v>707</v>
      </c>
      <c r="B45" s="2">
        <v>2</v>
      </c>
      <c r="C45" s="123" t="s">
        <v>3805</v>
      </c>
      <c r="D45" s="325" t="str">
        <f>VLOOKUP(C45,Extrusion!B:C,2,0)</f>
        <v>APPROVED EL 9/10</v>
      </c>
      <c r="E45" s="326"/>
      <c r="F45" s="108" t="str">
        <f ca="1">VLOOKUP(C45,Extrusion!B:N,5,0)</f>
        <v/>
      </c>
      <c r="G45" s="108">
        <f>VLOOKUP(C45,Extrusion!B:N,6,0)</f>
        <v>1</v>
      </c>
      <c r="H45" s="108">
        <f>VLOOKUP(C45,Extrusion!B:N,7,0)</f>
        <v>0</v>
      </c>
      <c r="I45" s="109"/>
      <c r="J45" s="46" t="str">
        <f>VLOOKUP(C45,Extrusion!B:N,8,0)</f>
        <v>T-Slots</v>
      </c>
      <c r="K45" s="46" t="e">
        <f>IF(VLOOKUP(C45,Purchased!A:Z,15,0)=0, " ", VLOOKUP(C45,Purchased!A:Z,15,0))</f>
        <v>#N/A</v>
      </c>
      <c r="L45" s="46" t="e">
        <f>IF(VLOOKUP(C45,Purchased!A:Z,16,0)=0, " ", VLOOKUP(C45,Purchased!A:Z,16,0))</f>
        <v>#N/A</v>
      </c>
      <c r="M45" s="46" t="e">
        <f>IF(VLOOKUP(C45,Purchased!A:Z,17,0)=0, " ",VLOOKUP(C45,Purchased!A:Z,17,0))</f>
        <v>#N/A</v>
      </c>
      <c r="N45" s="47" t="e">
        <f>IF(VLOOKUP(C45,Purchased!A:Z,18,0)=0, " ", VLOOKUP(C45,Purchased!A:Z,18,0))</f>
        <v>#N/A</v>
      </c>
      <c r="O45" s="47">
        <f t="shared" ref="O45:O51" ca="1" si="20">B45*$L$2</f>
        <v>2</v>
      </c>
      <c r="P45" s="51">
        <f>VLOOKUP(C45,Extrusion!B:G,4,0)</f>
        <v>2</v>
      </c>
      <c r="Q45" s="52">
        <f t="shared" ref="Q45:Q51" si="21">B45*P45</f>
        <v>4</v>
      </c>
    </row>
    <row r="46" spans="1:17" s="2" customFormat="1" ht="12" customHeight="1" x14ac:dyDescent="0.25">
      <c r="A46" s="4">
        <v>708</v>
      </c>
      <c r="B46" s="2">
        <v>2</v>
      </c>
      <c r="C46" s="123" t="s">
        <v>1458</v>
      </c>
      <c r="D46" s="325" t="str">
        <f>VLOOKUP(C46,Extrusion!B:C,2,0)</f>
        <v>APPROVED EL 9/10</v>
      </c>
      <c r="E46" s="326"/>
      <c r="F46" s="108" t="str">
        <f ca="1">VLOOKUP(C46,Extrusion!B:N,5,0)</f>
        <v/>
      </c>
      <c r="G46" s="108">
        <f>VLOOKUP(C46,Extrusion!B:N,6,0)</f>
        <v>1</v>
      </c>
      <c r="H46" s="108">
        <f>VLOOKUP(C46,Extrusion!B:N,7,0)</f>
        <v>0</v>
      </c>
      <c r="I46" s="109"/>
      <c r="J46" s="46" t="str">
        <f>VLOOKUP(C46,Extrusion!B:N,8,0)</f>
        <v>T-Slots</v>
      </c>
      <c r="K46" s="46" t="e">
        <f>IF(VLOOKUP(C46,Purchased!A:Z,15,0)=0, " ", VLOOKUP(C46,Purchased!A:Z,15,0))</f>
        <v>#N/A</v>
      </c>
      <c r="L46" s="46" t="e">
        <f>IF(VLOOKUP(C46,Purchased!A:Z,16,0)=0, " ", VLOOKUP(C46,Purchased!A:Z,16,0))</f>
        <v>#N/A</v>
      </c>
      <c r="M46" s="46" t="e">
        <f>IF(VLOOKUP(C46,Purchased!A:Z,17,0)=0, " ",VLOOKUP(C46,Purchased!A:Z,17,0))</f>
        <v>#N/A</v>
      </c>
      <c r="N46" s="47" t="e">
        <f>IF(VLOOKUP(C46,Purchased!A:Z,18,0)=0, " ", VLOOKUP(C46,Purchased!A:Z,18,0))</f>
        <v>#N/A</v>
      </c>
      <c r="O46" s="47">
        <f t="shared" ca="1" si="20"/>
        <v>2</v>
      </c>
      <c r="P46" s="51">
        <f>VLOOKUP(C46,Extrusion!B:G,4,0)</f>
        <v>2</v>
      </c>
      <c r="Q46" s="52">
        <f t="shared" si="21"/>
        <v>4</v>
      </c>
    </row>
    <row r="47" spans="1:17" s="2" customFormat="1" ht="12" customHeight="1" x14ac:dyDescent="0.25">
      <c r="A47" s="4">
        <v>709</v>
      </c>
      <c r="B47" s="2">
        <v>1</v>
      </c>
      <c r="C47" s="123" t="s">
        <v>3800</v>
      </c>
      <c r="D47" s="325" t="str">
        <f>VLOOKUP(C47,Extrusion!B:C,2,0)</f>
        <v>APPROVED EL 9/10</v>
      </c>
      <c r="E47" s="326"/>
      <c r="F47" s="108" t="str">
        <f ca="1">VLOOKUP(C47,Extrusion!B:N,5,0)</f>
        <v/>
      </c>
      <c r="G47" s="108">
        <f>VLOOKUP(C47,Extrusion!B:N,6,0)</f>
        <v>1</v>
      </c>
      <c r="H47" s="108">
        <f>VLOOKUP(C47,Extrusion!B:N,7,0)</f>
        <v>0</v>
      </c>
      <c r="I47" s="109"/>
      <c r="J47" s="46" t="str">
        <f>VLOOKUP(C47,Extrusion!B:N,8,0)</f>
        <v>T-Slots</v>
      </c>
      <c r="K47" s="46" t="e">
        <f>IF(VLOOKUP(C47,Purchased!A:Z,15,0)=0, " ", VLOOKUP(C47,Purchased!A:Z,15,0))</f>
        <v>#N/A</v>
      </c>
      <c r="L47" s="46" t="e">
        <f>IF(VLOOKUP(C47,Purchased!A:Z,16,0)=0, " ", VLOOKUP(C47,Purchased!A:Z,16,0))</f>
        <v>#N/A</v>
      </c>
      <c r="M47" s="46" t="e">
        <f>IF(VLOOKUP(C47,Purchased!A:Z,17,0)=0, " ",VLOOKUP(C47,Purchased!A:Z,17,0))</f>
        <v>#N/A</v>
      </c>
      <c r="N47" s="47" t="e">
        <f>IF(VLOOKUP(C47,Purchased!A:Z,18,0)=0, " ", VLOOKUP(C47,Purchased!A:Z,18,0))</f>
        <v>#N/A</v>
      </c>
      <c r="O47" s="47">
        <f t="shared" ca="1" si="20"/>
        <v>1</v>
      </c>
      <c r="P47" s="51">
        <f>VLOOKUP(C47,Extrusion!B:G,4,0)</f>
        <v>1</v>
      </c>
      <c r="Q47" s="52">
        <f t="shared" si="21"/>
        <v>1</v>
      </c>
    </row>
    <row r="48" spans="1:17" s="2" customFormat="1" ht="12" customHeight="1" x14ac:dyDescent="0.25">
      <c r="A48" s="4">
        <v>710</v>
      </c>
      <c r="B48" s="2">
        <v>3</v>
      </c>
      <c r="C48" s="123" t="s">
        <v>1460</v>
      </c>
      <c r="D48" s="325" t="str">
        <f>VLOOKUP(C48,Extrusion!B:C,2,0)</f>
        <v>APPROVED EL 9/10</v>
      </c>
      <c r="E48" s="326"/>
      <c r="F48" s="108" t="str">
        <f ca="1">VLOOKUP(C48,Extrusion!B:N,5,0)</f>
        <v/>
      </c>
      <c r="G48" s="108">
        <f>VLOOKUP(C48,Extrusion!B:N,6,0)</f>
        <v>1</v>
      </c>
      <c r="H48" s="108">
        <f>VLOOKUP(C48,Extrusion!B:N,7,0)</f>
        <v>0</v>
      </c>
      <c r="I48" s="109"/>
      <c r="J48" s="46" t="str">
        <f>VLOOKUP(C48,Extrusion!B:N,8,0)</f>
        <v>T-Slots</v>
      </c>
      <c r="K48" s="46" t="e">
        <f>IF(VLOOKUP(C48,Purchased!A:Z,15,0)=0, " ", VLOOKUP(C48,Purchased!A:Z,15,0))</f>
        <v>#N/A</v>
      </c>
      <c r="L48" s="46" t="e">
        <f>IF(VLOOKUP(C48,Purchased!A:Z,16,0)=0, " ", VLOOKUP(C48,Purchased!A:Z,16,0))</f>
        <v>#N/A</v>
      </c>
      <c r="M48" s="46" t="e">
        <f>IF(VLOOKUP(C48,Purchased!A:Z,17,0)=0, " ",VLOOKUP(C48,Purchased!A:Z,17,0))</f>
        <v>#N/A</v>
      </c>
      <c r="N48" s="47" t="e">
        <f>IF(VLOOKUP(C48,Purchased!A:Z,18,0)=0, " ", VLOOKUP(C48,Purchased!A:Z,18,0))</f>
        <v>#N/A</v>
      </c>
      <c r="O48" s="47">
        <f t="shared" ca="1" si="20"/>
        <v>3</v>
      </c>
      <c r="P48" s="51">
        <f>VLOOKUP(C48,Extrusion!B:G,4,0)</f>
        <v>3</v>
      </c>
      <c r="Q48" s="52">
        <f t="shared" si="21"/>
        <v>9</v>
      </c>
    </row>
    <row r="49" spans="1:17" s="2" customFormat="1" ht="12" customHeight="1" x14ac:dyDescent="0.25">
      <c r="A49" s="4">
        <v>711</v>
      </c>
      <c r="B49" s="2">
        <v>3</v>
      </c>
      <c r="C49" s="123" t="s">
        <v>3801</v>
      </c>
      <c r="D49" s="325" t="str">
        <f>VLOOKUP(C49,Extrusion!B:C,2,0)</f>
        <v>APPROVED EL 9/10</v>
      </c>
      <c r="E49" s="326"/>
      <c r="F49" s="108" t="str">
        <f ca="1">VLOOKUP(C49,Extrusion!B:N,5,0)</f>
        <v/>
      </c>
      <c r="G49" s="108">
        <f>VLOOKUP(C49,Extrusion!B:N,6,0)</f>
        <v>1</v>
      </c>
      <c r="H49" s="108">
        <f>VLOOKUP(C49,Extrusion!B:N,7,0)</f>
        <v>0</v>
      </c>
      <c r="I49" s="109"/>
      <c r="J49" s="46" t="str">
        <f>VLOOKUP(C49,Extrusion!B:N,8,0)</f>
        <v>T-Slots</v>
      </c>
      <c r="K49" s="46" t="e">
        <f>IF(VLOOKUP(C49,Purchased!A:Z,15,0)=0, " ", VLOOKUP(C49,Purchased!A:Z,15,0))</f>
        <v>#N/A</v>
      </c>
      <c r="L49" s="46" t="e">
        <f>IF(VLOOKUP(C49,Purchased!A:Z,16,0)=0, " ", VLOOKUP(C49,Purchased!A:Z,16,0))</f>
        <v>#N/A</v>
      </c>
      <c r="M49" s="46" t="e">
        <f>IF(VLOOKUP(C49,Purchased!A:Z,17,0)=0, " ",VLOOKUP(C49,Purchased!A:Z,17,0))</f>
        <v>#N/A</v>
      </c>
      <c r="N49" s="47" t="e">
        <f>IF(VLOOKUP(C49,Purchased!A:Z,18,0)=0, " ", VLOOKUP(C49,Purchased!A:Z,18,0))</f>
        <v>#N/A</v>
      </c>
      <c r="O49" s="47">
        <f t="shared" ca="1" si="20"/>
        <v>3</v>
      </c>
      <c r="P49" s="51">
        <f>VLOOKUP(C49,Extrusion!B:G,4,0)</f>
        <v>3</v>
      </c>
      <c r="Q49" s="52">
        <f t="shared" si="21"/>
        <v>9</v>
      </c>
    </row>
    <row r="50" spans="1:17" s="2" customFormat="1" ht="12" customHeight="1" x14ac:dyDescent="0.25">
      <c r="A50" s="4">
        <v>712</v>
      </c>
      <c r="B50" s="2">
        <v>2</v>
      </c>
      <c r="C50" s="123" t="s">
        <v>3802</v>
      </c>
      <c r="D50" s="325" t="str">
        <f>VLOOKUP(C50,Extrusion!B:C,2,0)</f>
        <v>APPROVED EL 9/10</v>
      </c>
      <c r="E50" s="326"/>
      <c r="F50" s="108" t="str">
        <f ca="1">VLOOKUP(C50,Extrusion!B:N,5,0)</f>
        <v/>
      </c>
      <c r="G50" s="108">
        <f>VLOOKUP(C50,Extrusion!B:N,6,0)</f>
        <v>1</v>
      </c>
      <c r="H50" s="108">
        <f>VLOOKUP(C50,Extrusion!B:N,7,0)</f>
        <v>0</v>
      </c>
      <c r="I50" s="109"/>
      <c r="J50" s="46" t="str">
        <f>VLOOKUP(C50,Extrusion!B:N,8,0)</f>
        <v>T-Slots</v>
      </c>
      <c r="K50" s="46" t="e">
        <f>IF(VLOOKUP(C50,Purchased!A:Z,15,0)=0, " ", VLOOKUP(C50,Purchased!A:Z,15,0))</f>
        <v>#N/A</v>
      </c>
      <c r="L50" s="46" t="e">
        <f>IF(VLOOKUP(C50,Purchased!A:Z,16,0)=0, " ", VLOOKUP(C50,Purchased!A:Z,16,0))</f>
        <v>#N/A</v>
      </c>
      <c r="M50" s="46" t="e">
        <f>IF(VLOOKUP(C50,Purchased!A:Z,17,0)=0, " ",VLOOKUP(C50,Purchased!A:Z,17,0))</f>
        <v>#N/A</v>
      </c>
      <c r="N50" s="47" t="e">
        <f>IF(VLOOKUP(C50,Purchased!A:Z,18,0)=0, " ", VLOOKUP(C50,Purchased!A:Z,18,0))</f>
        <v>#N/A</v>
      </c>
      <c r="O50" s="47">
        <f t="shared" ca="1" si="20"/>
        <v>2</v>
      </c>
      <c r="P50" s="51">
        <f>VLOOKUP(C50,Extrusion!B:G,4,0)</f>
        <v>2</v>
      </c>
      <c r="Q50" s="52">
        <f t="shared" si="21"/>
        <v>4</v>
      </c>
    </row>
    <row r="51" spans="1:17" s="2" customFormat="1" ht="12" customHeight="1" thickBot="1" x14ac:dyDescent="0.3">
      <c r="A51" s="4">
        <v>713</v>
      </c>
      <c r="B51" s="2">
        <v>2</v>
      </c>
      <c r="C51" s="123" t="s">
        <v>3803</v>
      </c>
      <c r="D51" s="325" t="str">
        <f>VLOOKUP(C51,Extrusion!B:C,2,0)</f>
        <v>APPROVED EL 9/10</v>
      </c>
      <c r="E51" s="326"/>
      <c r="F51" s="108" t="str">
        <f ca="1">VLOOKUP(C51,Extrusion!B:N,5,0)</f>
        <v/>
      </c>
      <c r="G51" s="108">
        <f>VLOOKUP(C51,Extrusion!B:N,6,0)</f>
        <v>1</v>
      </c>
      <c r="H51" s="108">
        <f>VLOOKUP(C51,Extrusion!B:N,7,0)</f>
        <v>0</v>
      </c>
      <c r="I51" s="109"/>
      <c r="J51" s="46" t="str">
        <f>VLOOKUP(C51,Extrusion!B:N,8,0)</f>
        <v>T-Slots</v>
      </c>
      <c r="K51" s="46" t="e">
        <f>IF(VLOOKUP(C51,Purchased!A:Z,15,0)=0, " ", VLOOKUP(C51,Purchased!A:Z,15,0))</f>
        <v>#N/A</v>
      </c>
      <c r="L51" s="46" t="e">
        <f>IF(VLOOKUP(C51,Purchased!A:Z,16,0)=0, " ", VLOOKUP(C51,Purchased!A:Z,16,0))</f>
        <v>#N/A</v>
      </c>
      <c r="M51" s="46" t="e">
        <f>IF(VLOOKUP(C51,Purchased!A:Z,17,0)=0, " ",VLOOKUP(C51,Purchased!A:Z,17,0))</f>
        <v>#N/A</v>
      </c>
      <c r="N51" s="47" t="e">
        <f>IF(VLOOKUP(C51,Purchased!A:Z,18,0)=0, " ", VLOOKUP(C51,Purchased!A:Z,18,0))</f>
        <v>#N/A</v>
      </c>
      <c r="O51" s="47">
        <f t="shared" ca="1" si="20"/>
        <v>2</v>
      </c>
      <c r="P51" s="51">
        <f>VLOOKUP(C51,Extrusion!B:G,4,0)</f>
        <v>2</v>
      </c>
      <c r="Q51" s="52">
        <f t="shared" si="21"/>
        <v>4</v>
      </c>
    </row>
    <row r="52" spans="1:17" s="2" customFormat="1" ht="12" customHeight="1" thickBot="1" x14ac:dyDescent="0.3">
      <c r="A52" s="34"/>
      <c r="B52" s="35"/>
      <c r="C52" s="35"/>
      <c r="D52" s="316"/>
      <c r="E52" s="317"/>
      <c r="F52" s="35"/>
      <c r="G52" s="35"/>
      <c r="H52" s="309"/>
      <c r="I52" s="310"/>
      <c r="J52" s="36"/>
      <c r="K52" s="36" t="e">
        <f>IF(VLOOKUP(C52,Purchased!A:Z,15,0)=0, " ", VLOOKUP(C52,Purchased!A:Z,15,0))</f>
        <v>#N/A</v>
      </c>
      <c r="L52" s="36" t="e">
        <f>IF(VLOOKUP(C52,Purchased!A:Z,16,0)=0, " ", VLOOKUP(C52,Purchased!A:Z,16,0))</f>
        <v>#N/A</v>
      </c>
      <c r="M52" s="37" t="e">
        <f>IF(VLOOKUP(C52,Purchased!A:Z,17,0)=0, " ",VLOOKUP(C52,Purchased!A:Z,17,0))</f>
        <v>#N/A</v>
      </c>
      <c r="N52" s="132" t="e">
        <f>IF(VLOOKUP(C52,Purchased!A:Z,18,0)=0, " ", VLOOKUP(C52,Purchased!A:Z,18,0))</f>
        <v>#N/A</v>
      </c>
      <c r="O52" s="38"/>
      <c r="P52" s="99" t="s">
        <v>43</v>
      </c>
      <c r="Q52" s="104">
        <f>SUM(Q5:Q51)</f>
        <v>2675.5748999999992</v>
      </c>
    </row>
  </sheetData>
  <sheetProtection selectLockedCells="1"/>
  <mergeCells count="79">
    <mergeCell ref="D51:E51"/>
    <mergeCell ref="D17:E17"/>
    <mergeCell ref="D44:E44"/>
    <mergeCell ref="D35:E35"/>
    <mergeCell ref="D36:E36"/>
    <mergeCell ref="D37:E37"/>
    <mergeCell ref="D32:E32"/>
    <mergeCell ref="D45:E45"/>
    <mergeCell ref="D46:E46"/>
    <mergeCell ref="D47:E47"/>
    <mergeCell ref="D42:E42"/>
    <mergeCell ref="D43:E43"/>
    <mergeCell ref="D29:E29"/>
    <mergeCell ref="D21:E21"/>
    <mergeCell ref="D48:E48"/>
    <mergeCell ref="D49:E49"/>
    <mergeCell ref="D50:E50"/>
    <mergeCell ref="H25:I25"/>
    <mergeCell ref="D26:E26"/>
    <mergeCell ref="H26:I26"/>
    <mergeCell ref="D27:E27"/>
    <mergeCell ref="D41:E41"/>
    <mergeCell ref="H32:I32"/>
    <mergeCell ref="D30:E30"/>
    <mergeCell ref="H30:I30"/>
    <mergeCell ref="H27:I27"/>
    <mergeCell ref="D28:E28"/>
    <mergeCell ref="H28:I28"/>
    <mergeCell ref="H29:I29"/>
    <mergeCell ref="D1:E1"/>
    <mergeCell ref="D4:E4"/>
    <mergeCell ref="H4:I4"/>
    <mergeCell ref="D8:E8"/>
    <mergeCell ref="H8:I8"/>
    <mergeCell ref="D5:E5"/>
    <mergeCell ref="H5:I5"/>
    <mergeCell ref="D6:E6"/>
    <mergeCell ref="H6:I6"/>
    <mergeCell ref="D7:E7"/>
    <mergeCell ref="H7:I7"/>
    <mergeCell ref="D9:E9"/>
    <mergeCell ref="H9:I9"/>
    <mergeCell ref="D11:E11"/>
    <mergeCell ref="H11:I11"/>
    <mergeCell ref="D10:E10"/>
    <mergeCell ref="H10:I10"/>
    <mergeCell ref="D12:E12"/>
    <mergeCell ref="H12:I12"/>
    <mergeCell ref="D20:E20"/>
    <mergeCell ref="H20:I20"/>
    <mergeCell ref="D13:E13"/>
    <mergeCell ref="D14:E14"/>
    <mergeCell ref="H17:I17"/>
    <mergeCell ref="H14:I14"/>
    <mergeCell ref="D15:E15"/>
    <mergeCell ref="H15:I15"/>
    <mergeCell ref="D16:E16"/>
    <mergeCell ref="H16:I16"/>
    <mergeCell ref="H21:I21"/>
    <mergeCell ref="D18:E18"/>
    <mergeCell ref="H18:I18"/>
    <mergeCell ref="D19:E19"/>
    <mergeCell ref="H19:I19"/>
    <mergeCell ref="D52:E52"/>
    <mergeCell ref="H52:I52"/>
    <mergeCell ref="H13:I13"/>
    <mergeCell ref="D22:E22"/>
    <mergeCell ref="H22:I22"/>
    <mergeCell ref="D23:E23"/>
    <mergeCell ref="H23:I23"/>
    <mergeCell ref="D24:E24"/>
    <mergeCell ref="H24:I24"/>
    <mergeCell ref="D25:E25"/>
    <mergeCell ref="D33:E33"/>
    <mergeCell ref="D34:E34"/>
    <mergeCell ref="D38:E38"/>
    <mergeCell ref="H38:I38"/>
    <mergeCell ref="D39:E39"/>
    <mergeCell ref="D40:E40"/>
  </mergeCells>
  <conditionalFormatting sqref="M18 M32:M51">
    <cfRule type="cellIs" dxfId="286" priority="9" stopIfTrue="1" operator="lessThanOrEqual">
      <formula>$L18</formula>
    </cfRule>
    <cfRule type="cellIs" dxfId="285" priority="10" operator="greaterThan">
      <formula>L18</formula>
    </cfRule>
  </conditionalFormatting>
  <conditionalFormatting sqref="M19:M20 M22:M31">
    <cfRule type="cellIs" dxfId="284" priority="7" stopIfTrue="1" operator="lessThanOrEqual">
      <formula>$L19</formula>
    </cfRule>
    <cfRule type="cellIs" dxfId="283" priority="8" operator="greaterThan">
      <formula>L19</formula>
    </cfRule>
  </conditionalFormatting>
  <conditionalFormatting sqref="M21">
    <cfRule type="cellIs" dxfId="282" priority="5" stopIfTrue="1" operator="lessThanOrEqual">
      <formula>$L21</formula>
    </cfRule>
    <cfRule type="cellIs" dxfId="281" priority="6" operator="greaterThan">
      <formula>L21</formula>
    </cfRule>
  </conditionalFormatting>
  <conditionalFormatting sqref="M7">
    <cfRule type="cellIs" dxfId="280" priority="1" stopIfTrue="1" operator="lessThanOrEqual">
      <formula>$L7</formula>
    </cfRule>
    <cfRule type="cellIs" dxfId="279" priority="2" operator="greaterThan">
      <formula>L7</formula>
    </cfRule>
  </conditionalFormatting>
  <pageMargins left="0.7" right="0.7" top="0.75" bottom="0.75" header="0.3" footer="0.3"/>
  <pageSetup paperSize="17" fitToHeight="2" orientation="landscape" horizontalDpi="4294967295" verticalDpi="4294967295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C306A2B-56F4-475C-A186-50667C30DAF7}">
          <x14:formula1>
            <xm:f>Extrusion!$B:$B</xm:f>
          </x14:formula1>
          <xm:sqref>C39:C51</xm:sqref>
        </x14:dataValidation>
        <x14:dataValidation type="list" allowBlank="1" showInputMessage="1" showErrorMessage="1" xr:uid="{50BCBF94-D196-4BAC-9992-B96C4BF6487F}">
          <x14:formula1>
            <xm:f>Bolts!$A:$A</xm:f>
          </x14:formula1>
          <xm:sqref>C32:C37</xm:sqref>
        </x14:dataValidation>
        <x14:dataValidation type="list" allowBlank="1" showInputMessage="1" showErrorMessage="1" xr:uid="{64E9C3A9-F8C2-402F-AF45-B0F4D68985B8}">
          <x14:formula1>
            <xm:f>Assemblies!$E:$E</xm:f>
          </x14:formula1>
          <xm:sqref>C5:C6</xm:sqref>
        </x14:dataValidation>
        <x14:dataValidation type="list" allowBlank="1" showInputMessage="1" showErrorMessage="1" xr:uid="{57C75E50-19E6-4D9A-A3E1-EFD4F1EC1974}">
          <x14:formula1>
            <xm:f>Machined!$C:$C</xm:f>
          </x14:formula1>
          <xm:sqref>C8:C17</xm:sqref>
        </x14:dataValidation>
        <x14:dataValidation type="list" allowBlank="1" showInputMessage="1" showErrorMessage="1" xr:uid="{D5596E9F-0161-4AB4-AC2C-E20092DDDC6E}">
          <x14:formula1>
            <xm:f>Purchased!$A:$A</xm:f>
          </x14:formula1>
          <xm:sqref>C7 C18:C31</xm:sqref>
        </x14:dataValidation>
      </x14:dataValidations>
    </ext>
  </extLst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F27A-15BE-4E64-AD15-4849D13FB078}">
  <sheetPr codeName="Sheet239"/>
  <dimension ref="A1:L274"/>
  <sheetViews>
    <sheetView zoomScaleNormal="100" workbookViewId="0">
      <selection activeCell="M11" sqref="M11"/>
    </sheetView>
  </sheetViews>
  <sheetFormatPr defaultColWidth="9.140625" defaultRowHeight="15" x14ac:dyDescent="0.25"/>
  <cols>
    <col min="1" max="1" width="10" bestFit="1" customWidth="1"/>
    <col min="2" max="2" width="9.5703125" bestFit="1" customWidth="1"/>
    <col min="3" max="3" width="11.140625" style="24" bestFit="1" customWidth="1"/>
    <col min="4" max="4" width="8.85546875" style="134" bestFit="1" customWidth="1"/>
    <col min="5" max="5" width="16.28515625" bestFit="1" customWidth="1"/>
    <col min="6" max="6" width="35.140625" bestFit="1" customWidth="1"/>
    <col min="7" max="7" width="10.7109375" style="19" customWidth="1"/>
    <col min="8" max="8" width="91.140625" customWidth="1"/>
    <col min="9" max="9" width="10.28515625" style="19" customWidth="1"/>
    <col min="10" max="10" width="25.5703125" hidden="1" customWidth="1"/>
  </cols>
  <sheetData>
    <row r="1" spans="1:10" s="19" customFormat="1" x14ac:dyDescent="0.25">
      <c r="A1" s="19" t="s">
        <v>1463</v>
      </c>
      <c r="B1" s="19" t="s">
        <v>1464</v>
      </c>
      <c r="C1" s="138" t="s">
        <v>1465</v>
      </c>
      <c r="D1" s="19" t="s">
        <v>1466</v>
      </c>
      <c r="E1" s="19" t="s">
        <v>50</v>
      </c>
      <c r="F1" s="19" t="s">
        <v>16</v>
      </c>
      <c r="G1" s="19" t="s">
        <v>53</v>
      </c>
      <c r="H1" s="19" t="s">
        <v>1467</v>
      </c>
      <c r="I1" s="19" t="s">
        <v>1468</v>
      </c>
      <c r="J1" s="19" t="s">
        <v>1469</v>
      </c>
    </row>
    <row r="2" spans="1:10" s="19" customFormat="1" x14ac:dyDescent="0.25">
      <c r="A2" s="134" t="str">
        <f ca="1">'PG10'!$E$2</f>
        <v>PG10</v>
      </c>
      <c r="B2" s="194" t="s">
        <v>1470</v>
      </c>
      <c r="C2" s="142" t="s">
        <v>1470</v>
      </c>
      <c r="D2" s="134" t="s">
        <v>54</v>
      </c>
      <c r="E2" s="134" t="str">
        <f ca="1">_xlfn.CONCAT(A2,".",C2,".",D2)</f>
        <v>PG10.0.A</v>
      </c>
      <c r="F2" s="134" t="s">
        <v>9</v>
      </c>
      <c r="G2" s="19" cm="1">
        <f t="array" aca="1" ref="G2" ca="1">SUMPRODUCT(SUMIF(INDIRECT("'"&amp;Assemblies[Assy]&amp;"'!"&amp;"C5:C1000"),E2,(INDIRECT("'"&amp;Assemblies[Assy]&amp;"'!"&amp;"O5:O1000"))))</f>
        <v>0</v>
      </c>
      <c r="H2" s="134" t="str" cm="1">
        <f t="array" aca="1" ref="H2" ca="1">TRIM(SUBSTITUTE(_xlfn.ARRAYTOTEXT(IFERROR(CONCATENATE(SUMIF(INDIRECT("'"&amp;Assemblies[Assy]&amp;"'!"&amp;"C$5:C1000"), $E2, INDIRECT("'"&amp;Assemblies[Assy]&amp;"'!"&amp;"O$5:O1000")), "x",Assemblies[Assy],".",IF(SUMIF(INDIRECT("'"&amp;Assemblies[Assy]&amp;"'!"&amp;"C$5:C1000"), $E2, INDIRECT("'"&amp;Assemblies[Assy]&amp;"'!"&amp;"B$5:B1000"))=0,NA(),SUMIF(INDIRECT("'"&amp;Assemblies[Assy]&amp;"'!"&amp;"C$5:C1000"), $E2, INDIRECT("'"&amp;Assemblies[Assy]&amp;"'!"&amp;"A$5:A1000")))),"")), " ,", ""))</f>
        <v>,</v>
      </c>
      <c r="I2" s="285"/>
      <c r="J2" s="213" t="str">
        <f>Assemblies[[#This Row],[Assy]]</f>
        <v>0</v>
      </c>
    </row>
    <row r="3" spans="1:10" x14ac:dyDescent="0.25">
      <c r="A3" s="134" t="str">
        <f ca="1">'PG10'!$E$2</f>
        <v>PG10</v>
      </c>
      <c r="B3" s="179">
        <v>0.1</v>
      </c>
      <c r="C3" s="142" t="s">
        <v>1470</v>
      </c>
      <c r="D3" s="134" t="s">
        <v>54</v>
      </c>
      <c r="E3" s="134" t="str">
        <f t="shared" ref="E3:E66" ca="1" si="0">_xlfn.CONCAT(A3,".",B3,".",C3,".",D3)</f>
        <v>PG10.0.1.0.A</v>
      </c>
      <c r="F3" s="134" t="s">
        <v>1471</v>
      </c>
      <c r="G3" s="19" cm="1">
        <f t="array" aca="1" ref="G3" ca="1">SUMPRODUCT(SUMIF(INDIRECT("'"&amp;Assemblies[Assy]&amp;"'!"&amp;"C5:C1000"),E3,(INDIRECT("'"&amp;Assemblies[Assy]&amp;"'!"&amp;"O5:O1000"))))</f>
        <v>1</v>
      </c>
      <c r="H3" s="134" t="str" cm="1">
        <f t="array" aca="1" ref="H3" ca="1">TRIM(SUBSTITUTE(_xlfn.ARRAYTOTEXT(IFERROR(CONCATENATE(SUMIF(INDIRECT("'"&amp;Assemblies[Assy]&amp;"'!"&amp;"C$5:C1000"), $E3, INDIRECT("'"&amp;Assemblies[Assy]&amp;"'!"&amp;"O$5:O1000")), "x",Assemblies[Assy],".",IF(SUMIF(INDIRECT("'"&amp;Assemblies[Assy]&amp;"'!"&amp;"C$5:C1000"), $E3, INDIRECT("'"&amp;Assemblies[Assy]&amp;"'!"&amp;"B$5:B1000"))=0,NA(),SUMIF(INDIRECT("'"&amp;Assemblies[Assy]&amp;"'!"&amp;"C$5:C1000"), $E3, INDIRECT("'"&amp;Assemblies[Assy]&amp;"'!"&amp;"A$5:A1000")))),"")), " ,", ""))</f>
        <v>, 1x12.0</v>
      </c>
      <c r="I3" s="292" t="s">
        <v>2135</v>
      </c>
      <c r="J3" s="266">
        <f>Assemblies[[#This Row],[Assy]]</f>
        <v>0.1</v>
      </c>
    </row>
    <row r="4" spans="1:10" x14ac:dyDescent="0.25">
      <c r="A4" s="134" t="str">
        <f ca="1">'PG10'!$E$2</f>
        <v>PG10</v>
      </c>
      <c r="B4" s="179">
        <v>0.2</v>
      </c>
      <c r="C4" s="142" t="s">
        <v>1470</v>
      </c>
      <c r="D4" s="134" t="s">
        <v>54</v>
      </c>
      <c r="E4" s="134" t="str">
        <f t="shared" ca="1" si="0"/>
        <v>PG10.0.2.0.A</v>
      </c>
      <c r="F4" s="134" t="s">
        <v>1472</v>
      </c>
      <c r="G4" s="19" cm="1">
        <f t="array" aca="1" ref="G4" ca="1">SUMPRODUCT(SUMIF(INDIRECT("'"&amp;Assemblies[Assy]&amp;"'!"&amp;"C5:C1000"),E4,(INDIRECT("'"&amp;Assemblies[Assy]&amp;"'!"&amp;"O5:O1000"))))</f>
        <v>1</v>
      </c>
      <c r="H4" s="134" t="str" cm="1">
        <f t="array" aca="1" ref="H4" ca="1">TRIM(SUBSTITUTE(_xlfn.ARRAYTOTEXT(IFERROR(CONCATENATE(SUMIF(INDIRECT("'"&amp;Assemblies[Assy]&amp;"'!"&amp;"C$5:C1000"), $E4, INDIRECT("'"&amp;Assemblies[Assy]&amp;"'!"&amp;"O$5:O1000")), "x",Assemblies[Assy],".",IF(SUMIF(INDIRECT("'"&amp;Assemblies[Assy]&amp;"'!"&amp;"C$5:C1000"), $E4, INDIRECT("'"&amp;Assemblies[Assy]&amp;"'!"&amp;"B$5:B1000"))=0,NA(),SUMIF(INDIRECT("'"&amp;Assemblies[Assy]&amp;"'!"&amp;"C$5:C1000"), $E4, INDIRECT("'"&amp;Assemblies[Assy]&amp;"'!"&amp;"A$5:A1000")))),"")), " ,", ""))</f>
        <v>, 1x1.0,</v>
      </c>
      <c r="I4" s="295" t="s">
        <v>2135</v>
      </c>
      <c r="J4" s="266">
        <f>Assemblies[[#This Row],[Assy]]</f>
        <v>0.2</v>
      </c>
    </row>
    <row r="5" spans="1:10" x14ac:dyDescent="0.25">
      <c r="A5" s="134" t="str">
        <f ca="1">'PG10'!$E$2</f>
        <v>PG10</v>
      </c>
      <c r="B5" s="179">
        <v>0.3</v>
      </c>
      <c r="C5" s="142" t="s">
        <v>1470</v>
      </c>
      <c r="D5" s="134" t="s">
        <v>54</v>
      </c>
      <c r="E5" s="134" t="str">
        <f t="shared" ca="1" si="0"/>
        <v>PG10.0.3.0.A</v>
      </c>
      <c r="F5" s="134" t="s">
        <v>1474</v>
      </c>
      <c r="G5" s="19" cm="1">
        <f t="array" aca="1" ref="G5" ca="1">SUMPRODUCT(SUMIF(INDIRECT("'"&amp;Assemblies[Assy]&amp;"'!"&amp;"C5:C1000"),E5,(INDIRECT("'"&amp;Assemblies[Assy]&amp;"'!"&amp;"O5:O1000"))))</f>
        <v>1</v>
      </c>
      <c r="H5" s="134" t="str" cm="1">
        <f t="array" aca="1" ref="H5" ca="1">TRIM(SUBSTITUTE(_xlfn.ARRAYTOTEXT(IFERROR(CONCATENATE(SUMIF(INDIRECT("'"&amp;Assemblies[Assy]&amp;"'!"&amp;"C$5:C1000"), $E5, INDIRECT("'"&amp;Assemblies[Assy]&amp;"'!"&amp;"O$5:O1000")), "x",Assemblies[Assy],".",IF(SUMIF(INDIRECT("'"&amp;Assemblies[Assy]&amp;"'!"&amp;"C$5:C1000"), $E5, INDIRECT("'"&amp;Assemblies[Assy]&amp;"'!"&amp;"B$5:B1000"))=0,NA(),SUMIF(INDIRECT("'"&amp;Assemblies[Assy]&amp;"'!"&amp;"C$5:C1000"), $E5, INDIRECT("'"&amp;Assemblies[Assy]&amp;"'!"&amp;"A$5:A1000")))),"")), " ,", ""))</f>
        <v>, 1x1.0,</v>
      </c>
      <c r="I5" s="295" t="s">
        <v>2135</v>
      </c>
      <c r="J5" s="267">
        <f>Assemblies[[#This Row],[Assy]]</f>
        <v>0.3</v>
      </c>
    </row>
    <row r="6" spans="1:10" x14ac:dyDescent="0.25">
      <c r="A6" t="s">
        <v>1475</v>
      </c>
      <c r="B6" s="179" t="s">
        <v>1476</v>
      </c>
      <c r="C6" s="24" t="s">
        <v>1470</v>
      </c>
      <c r="D6" s="134" t="s">
        <v>54</v>
      </c>
      <c r="E6" t="str">
        <f t="shared" si="0"/>
        <v>PG10.0.3.1.0.A</v>
      </c>
      <c r="F6" t="s">
        <v>1477</v>
      </c>
      <c r="G6" s="19" cm="1">
        <f t="array" aca="1" ref="G6" ca="1">SUMPRODUCT(SUMIF(INDIRECT("'"&amp;Assemblies[Assy]&amp;"'!"&amp;"C5:C1000"),E6,(INDIRECT("'"&amp;Assemblies[Assy]&amp;"'!"&amp;"O5:O1000"))))</f>
        <v>1</v>
      </c>
      <c r="H6" t="str" cm="1">
        <f t="array" aca="1" ref="H6" ca="1">TRIM(SUBSTITUTE(_xlfn.ARRAYTOTEXT(IFERROR(CONCATENATE(SUMIF(INDIRECT("'"&amp;Assemblies[Assy]&amp;"'!"&amp;"C$5:C1000"), $E6, INDIRECT("'"&amp;Assemblies[Assy]&amp;"'!"&amp;"O$5:O1000")), "x",Assemblies[Assy],".",IF(SUMIF(INDIRECT("'"&amp;Assemblies[Assy]&amp;"'!"&amp;"C$5:C1000"), $E6, INDIRECT("'"&amp;Assemblies[Assy]&amp;"'!"&amp;"B$5:B1000"))=0,NA(),SUMIF(INDIRECT("'"&amp;Assemblies[Assy]&amp;"'!"&amp;"C$5:C1000"), $E6, INDIRECT("'"&amp;Assemblies[Assy]&amp;"'!"&amp;"A$5:A1000")))),"")), " ,", ""))</f>
        <v>, 1x0.3.0,</v>
      </c>
      <c r="I6" s="292" t="s">
        <v>2135</v>
      </c>
      <c r="J6" s="267" t="str">
        <f>Assemblies[[#This Row],[Assy]]</f>
        <v>0.3.1</v>
      </c>
    </row>
    <row r="7" spans="1:10" x14ac:dyDescent="0.25">
      <c r="A7" t="s">
        <v>1475</v>
      </c>
      <c r="B7" s="179" t="s">
        <v>1478</v>
      </c>
      <c r="C7" s="24" t="s">
        <v>1470</v>
      </c>
      <c r="D7" s="134" t="s">
        <v>54</v>
      </c>
      <c r="E7" t="str">
        <f t="shared" si="0"/>
        <v>PG10.0.4.0.A</v>
      </c>
      <c r="F7" t="s">
        <v>1479</v>
      </c>
      <c r="G7" s="19" cm="1">
        <f t="array" aca="1" ref="G7" ca="1">SUMPRODUCT(SUMIF(INDIRECT("'"&amp;Assemblies[Assy]&amp;"'!"&amp;"C5:C1000"),E7,(INDIRECT("'"&amp;Assemblies[Assy]&amp;"'!"&amp;"O5:O1000"))))</f>
        <v>1</v>
      </c>
      <c r="H7" t="str" cm="1">
        <f t="array" aca="1" ref="H7" ca="1">TRIM(SUBSTITUTE(_xlfn.ARRAYTOTEXT(IFERROR(CONCATENATE(SUMIF(INDIRECT("'"&amp;Assemblies[Assy]&amp;"'!"&amp;"C$5:C1000"), $E7, INDIRECT("'"&amp;Assemblies[Assy]&amp;"'!"&amp;"O$5:O1000")), "x",Assemblies[Assy],".",IF(SUMIF(INDIRECT("'"&amp;Assemblies[Assy]&amp;"'!"&amp;"C$5:C1000"), $E7, INDIRECT("'"&amp;Assemblies[Assy]&amp;"'!"&amp;"B$5:B1000"))=0,NA(),SUMIF(INDIRECT("'"&amp;Assemblies[Assy]&amp;"'!"&amp;"C$5:C1000"), $E7, INDIRECT("'"&amp;Assemblies[Assy]&amp;"'!"&amp;"A$5:A1000")))),"")), " ,", ""))</f>
        <v>, 1x5.0,</v>
      </c>
      <c r="I7" s="292" t="s">
        <v>2135</v>
      </c>
      <c r="J7" s="268" t="str">
        <f>Assemblies[[#This Row],[Assy]]</f>
        <v>0.4</v>
      </c>
    </row>
    <row r="8" spans="1:10" x14ac:dyDescent="0.25">
      <c r="A8" t="s">
        <v>1475</v>
      </c>
      <c r="B8" s="179" t="s">
        <v>1480</v>
      </c>
      <c r="C8" s="24" t="s">
        <v>1470</v>
      </c>
      <c r="D8" s="134" t="s">
        <v>54</v>
      </c>
      <c r="E8" t="str">
        <f t="shared" si="0"/>
        <v>PG10.0.4.1.0.A</v>
      </c>
      <c r="F8" t="s">
        <v>1481</v>
      </c>
      <c r="G8" s="19" cm="1">
        <f t="array" aca="1" ref="G8" ca="1">SUMPRODUCT(SUMIF(INDIRECT("'"&amp;Assemblies[Assy]&amp;"'!"&amp;"C5:C1000"),E8,(INDIRECT("'"&amp;Assemblies[Assy]&amp;"'!"&amp;"O5:O1000"))))</f>
        <v>2</v>
      </c>
      <c r="H8" t="str" cm="1">
        <f t="array" aca="1" ref="H8" ca="1">TRIM(SUBSTITUTE(_xlfn.ARRAYTOTEXT(IFERROR(CONCATENATE(SUMIF(INDIRECT("'"&amp;Assemblies[Assy]&amp;"'!"&amp;"C$5:C1000"), $E8, INDIRECT("'"&amp;Assemblies[Assy]&amp;"'!"&amp;"O$5:O1000")), "x",Assemblies[Assy],".",IF(SUMIF(INDIRECT("'"&amp;Assemblies[Assy]&amp;"'!"&amp;"C$5:C1000"), $E8, INDIRECT("'"&amp;Assemblies[Assy]&amp;"'!"&amp;"B$5:B1000"))=0,NA(),SUMIF(INDIRECT("'"&amp;Assemblies[Assy]&amp;"'!"&amp;"C$5:C1000"), $E8, INDIRECT("'"&amp;Assemblies[Assy]&amp;"'!"&amp;"A$5:A1000")))),"")), " ,", ""))</f>
        <v>, 2x0.4.0,</v>
      </c>
      <c r="I8" s="292" t="s">
        <v>2135</v>
      </c>
      <c r="J8" s="268" t="str">
        <f>Assemblies[[#This Row],[Assy]]</f>
        <v>0.4.1</v>
      </c>
    </row>
    <row r="9" spans="1:10" x14ac:dyDescent="0.25">
      <c r="A9" t="s">
        <v>1475</v>
      </c>
      <c r="B9" s="179" t="s">
        <v>1482</v>
      </c>
      <c r="C9" s="24" t="s">
        <v>1470</v>
      </c>
      <c r="D9" s="134" t="s">
        <v>54</v>
      </c>
      <c r="E9" t="str">
        <f t="shared" si="0"/>
        <v>PG10.0.5.0.A</v>
      </c>
      <c r="F9" t="s">
        <v>1483</v>
      </c>
      <c r="G9" s="19" cm="1">
        <f t="array" aca="1" ref="G9" ca="1">SUMPRODUCT(SUMIF(INDIRECT("'"&amp;Assemblies[Assy]&amp;"'!"&amp;"C5:C1000"),E9,(INDIRECT("'"&amp;Assemblies[Assy]&amp;"'!"&amp;"O5:O1000"))))</f>
        <v>1</v>
      </c>
      <c r="H9" t="str" cm="1">
        <f t="array" aca="1" ref="H9" ca="1">TRIM(SUBSTITUTE(_xlfn.ARRAYTOTEXT(IFERROR(CONCATENATE(SUMIF(INDIRECT("'"&amp;Assemblies[Assy]&amp;"'!"&amp;"C$5:C1000"), $E9, INDIRECT("'"&amp;Assemblies[Assy]&amp;"'!"&amp;"O$5:O1000")), "x",Assemblies[Assy],".",IF(SUMIF(INDIRECT("'"&amp;Assemblies[Assy]&amp;"'!"&amp;"C$5:C1000"), $E9, INDIRECT("'"&amp;Assemblies[Assy]&amp;"'!"&amp;"B$5:B1000"))=0,NA(),SUMIF(INDIRECT("'"&amp;Assemblies[Assy]&amp;"'!"&amp;"C$5:C1000"), $E9, INDIRECT("'"&amp;Assemblies[Assy]&amp;"'!"&amp;"A$5:A1000")))),"")), " ,", ""))</f>
        <v>, 1x5.0,</v>
      </c>
      <c r="I9" s="292" t="s">
        <v>2135</v>
      </c>
      <c r="J9" s="269" t="str">
        <f>Assemblies[[#This Row],[Assy]]</f>
        <v>0.5</v>
      </c>
    </row>
    <row r="10" spans="1:10" x14ac:dyDescent="0.25">
      <c r="A10" s="134" t="s">
        <v>1475</v>
      </c>
      <c r="B10" s="179" t="s">
        <v>1484</v>
      </c>
      <c r="C10" s="142" t="s">
        <v>1470</v>
      </c>
      <c r="D10" s="134" t="s">
        <v>54</v>
      </c>
      <c r="E10" s="134" t="str">
        <f t="shared" si="0"/>
        <v>PG10.0.6.0.A</v>
      </c>
      <c r="F10" s="134" t="s">
        <v>1485</v>
      </c>
      <c r="G10" s="19" cm="1">
        <f t="array" aca="1" ref="G10" ca="1">SUMPRODUCT(SUMIF(INDIRECT("'"&amp;Assemblies[Assy]&amp;"'!"&amp;"C5:C1000"),E10,(INDIRECT("'"&amp;Assemblies[Assy]&amp;"'!"&amp;"O5:O1000"))))</f>
        <v>1</v>
      </c>
      <c r="H10" s="134" t="str" cm="1">
        <f t="array" aca="1" ref="H10" ca="1">TRIM(SUBSTITUTE(_xlfn.ARRAYTOTEXT(IFERROR(CONCATENATE(SUMIF(INDIRECT("'"&amp;Assemblies[Assy]&amp;"'!"&amp;"C$5:C1000"), $E10, INDIRECT("'"&amp;Assemblies[Assy]&amp;"'!"&amp;"O$5:O1000")), "x",Assemblies[Assy],".",IF(SUMIF(INDIRECT("'"&amp;Assemblies[Assy]&amp;"'!"&amp;"C$5:C1000"), $E10, INDIRECT("'"&amp;Assemblies[Assy]&amp;"'!"&amp;"B$5:B1000"))=0,NA(),SUMIF(INDIRECT("'"&amp;Assemblies[Assy]&amp;"'!"&amp;"C$5:C1000"), $E10, INDIRECT("'"&amp;Assemblies[Assy]&amp;"'!"&amp;"A$5:A1000")))),"")), " ,", ""))</f>
        <v>, 1x6.0,</v>
      </c>
      <c r="I10" s="292" t="s">
        <v>2135</v>
      </c>
      <c r="J10" s="269" t="str">
        <f>Assemblies[[#This Row],[Assy]]</f>
        <v>0.6</v>
      </c>
    </row>
    <row r="11" spans="1:10" x14ac:dyDescent="0.25">
      <c r="A11" t="s">
        <v>1475</v>
      </c>
      <c r="B11" s="179" t="s">
        <v>1486</v>
      </c>
      <c r="C11" s="24" t="s">
        <v>1470</v>
      </c>
      <c r="D11" s="134" t="s">
        <v>54</v>
      </c>
      <c r="E11" t="str">
        <f t="shared" si="0"/>
        <v>PG10.0.6.1.0.A</v>
      </c>
      <c r="F11" t="s">
        <v>1487</v>
      </c>
      <c r="G11" s="19" cm="1">
        <f t="array" aca="1" ref="G11" ca="1">SUMPRODUCT(SUMIF(INDIRECT("'"&amp;Assemblies[Assy]&amp;"'!"&amp;"C5:C1000"),E11,(INDIRECT("'"&amp;Assemblies[Assy]&amp;"'!"&amp;"O5:O1000"))))</f>
        <v>2</v>
      </c>
      <c r="H11" t="str" cm="1">
        <f t="array" aca="1" ref="H11" ca="1">TRIM(SUBSTITUTE(_xlfn.ARRAYTOTEXT(IFERROR(CONCATENATE(SUMIF(INDIRECT("'"&amp;Assemblies[Assy]&amp;"'!"&amp;"C$5:C1000"), $E11, INDIRECT("'"&amp;Assemblies[Assy]&amp;"'!"&amp;"O$5:O1000")), "x",Assemblies[Assy],".",IF(SUMIF(INDIRECT("'"&amp;Assemblies[Assy]&amp;"'!"&amp;"C$5:C1000"), $E11, INDIRECT("'"&amp;Assemblies[Assy]&amp;"'!"&amp;"B$5:B1000"))=0,NA(),SUMIF(INDIRECT("'"&amp;Assemblies[Assy]&amp;"'!"&amp;"C$5:C1000"), $E11, INDIRECT("'"&amp;Assemblies[Assy]&amp;"'!"&amp;"A$5:A1000")))),"")), " ,", ""))</f>
        <v>, 2x0.6.0,</v>
      </c>
      <c r="I11" s="292" t="s">
        <v>2135</v>
      </c>
      <c r="J11" s="269" t="str">
        <f>Assemblies[[#This Row],[Assy]]</f>
        <v>0.6.1</v>
      </c>
    </row>
    <row r="12" spans="1:10" x14ac:dyDescent="0.25">
      <c r="A12" t="s">
        <v>1475</v>
      </c>
      <c r="B12" s="179" t="s">
        <v>1488</v>
      </c>
      <c r="C12" s="24" t="s">
        <v>1470</v>
      </c>
      <c r="D12" s="134" t="s">
        <v>54</v>
      </c>
      <c r="E12" t="str">
        <f t="shared" si="0"/>
        <v>PG10.0.7.0.A</v>
      </c>
      <c r="F12" t="s">
        <v>1489</v>
      </c>
      <c r="G12" s="19" cm="1">
        <f t="array" aca="1" ref="G12" ca="1">SUMPRODUCT(SUMIF(INDIRECT("'"&amp;Assemblies[Assy]&amp;"'!"&amp;"C5:C1000"),E12,(INDIRECT("'"&amp;Assemblies[Assy]&amp;"'!"&amp;"O5:O1000"))))</f>
        <v>1</v>
      </c>
      <c r="H12" t="str" cm="1">
        <f t="array" aca="1" ref="H12" ca="1">TRIM(SUBSTITUTE(_xlfn.ARRAYTOTEXT(IFERROR(CONCATENATE(SUMIF(INDIRECT("'"&amp;Assemblies[Assy]&amp;"'!"&amp;"C$5:C1000"), $E12, INDIRECT("'"&amp;Assemblies[Assy]&amp;"'!"&amp;"O$5:O1000")), "x",Assemblies[Assy],".",IF(SUMIF(INDIRECT("'"&amp;Assemblies[Assy]&amp;"'!"&amp;"C$5:C1000"), $E12, INDIRECT("'"&amp;Assemblies[Assy]&amp;"'!"&amp;"B$5:B1000"))=0,NA(),SUMIF(INDIRECT("'"&amp;Assemblies[Assy]&amp;"'!"&amp;"C$5:C1000"), $E12, INDIRECT("'"&amp;Assemblies[Assy]&amp;"'!"&amp;"A$5:A1000")))),"")), " ,", ""))</f>
        <v>, 1x6.0,</v>
      </c>
      <c r="I12" s="292" t="s">
        <v>2135</v>
      </c>
      <c r="J12" s="270" t="str">
        <f>Assemblies[[#This Row],[Assy]]</f>
        <v>0.7</v>
      </c>
    </row>
    <row r="13" spans="1:10" x14ac:dyDescent="0.25">
      <c r="A13" t="s">
        <v>1475</v>
      </c>
      <c r="B13" s="179" t="s">
        <v>1490</v>
      </c>
      <c r="C13" s="24" t="s">
        <v>1470</v>
      </c>
      <c r="D13" s="134" t="s">
        <v>54</v>
      </c>
      <c r="E13" t="str">
        <f t="shared" si="0"/>
        <v>PG10.0.8.0.A</v>
      </c>
      <c r="F13" t="s">
        <v>1491</v>
      </c>
      <c r="G13" s="19" cm="1">
        <f t="array" aca="1" ref="G13" ca="1">SUMPRODUCT(SUMIF(INDIRECT("'"&amp;Assemblies[Assy]&amp;"'!"&amp;"C5:C1000"),E13,(INDIRECT("'"&amp;Assemblies[Assy]&amp;"'!"&amp;"O5:O1000"))))</f>
        <v>1</v>
      </c>
      <c r="H13" t="str" cm="1">
        <f t="array" aca="1" ref="H13" ca="1">TRIM(SUBSTITUTE(_xlfn.ARRAYTOTEXT(IFERROR(CONCATENATE(SUMIF(INDIRECT("'"&amp;Assemblies[Assy]&amp;"'!"&amp;"C$5:C1000"), $E13, INDIRECT("'"&amp;Assemblies[Assy]&amp;"'!"&amp;"O$5:O1000")), "x",Assemblies[Assy],".",IF(SUMIF(INDIRECT("'"&amp;Assemblies[Assy]&amp;"'!"&amp;"C$5:C1000"), $E13, INDIRECT("'"&amp;Assemblies[Assy]&amp;"'!"&amp;"B$5:B1000"))=0,NA(),SUMIF(INDIRECT("'"&amp;Assemblies[Assy]&amp;"'!"&amp;"C$5:C1000"), $E13, INDIRECT("'"&amp;Assemblies[Assy]&amp;"'!"&amp;"A$5:A1000")))),"")), " ,", ""))</f>
        <v>, 1x6.0,</v>
      </c>
      <c r="I13" s="292" t="s">
        <v>2135</v>
      </c>
      <c r="J13" s="270" t="str">
        <f>Assemblies[[#This Row],[Assy]]</f>
        <v>0.8</v>
      </c>
    </row>
    <row r="14" spans="1:10" x14ac:dyDescent="0.25">
      <c r="A14" s="134" t="str">
        <f ca="1">'PG10'!$E$2</f>
        <v>PG10</v>
      </c>
      <c r="B14" s="179" t="s">
        <v>1492</v>
      </c>
      <c r="C14" s="142" t="s">
        <v>1470</v>
      </c>
      <c r="D14" s="134" t="s">
        <v>54</v>
      </c>
      <c r="E14" s="134" t="str">
        <f t="shared" ca="1" si="0"/>
        <v>PG10.0.9.0.A</v>
      </c>
      <c r="F14" s="134" t="s">
        <v>1493</v>
      </c>
      <c r="G14" s="19" cm="1">
        <f t="array" aca="1" ref="G14" ca="1">SUMPRODUCT(SUMIF(INDIRECT("'"&amp;Assemblies[Assy]&amp;"'!"&amp;"C5:C1000"),E14,(INDIRECT("'"&amp;Assemblies[Assy]&amp;"'!"&amp;"O5:O1000"))))</f>
        <v>1</v>
      </c>
      <c r="H14" s="134" t="str" cm="1">
        <f t="array" aca="1" ref="H14" ca="1">TRIM(SUBSTITUTE(_xlfn.ARRAYTOTEXT(IFERROR(CONCATENATE(SUMIF(INDIRECT("'"&amp;Assemblies[Assy]&amp;"'!"&amp;"C$5:C1000"), $E14, INDIRECT("'"&amp;Assemblies[Assy]&amp;"'!"&amp;"O$5:O1000")), "x",Assemblies[Assy],".",IF(SUMIF(INDIRECT("'"&amp;Assemblies[Assy]&amp;"'!"&amp;"C$5:C1000"), $E14, INDIRECT("'"&amp;Assemblies[Assy]&amp;"'!"&amp;"B$5:B1000"))=0,NA(),SUMIF(INDIRECT("'"&amp;Assemblies[Assy]&amp;"'!"&amp;"C$5:C1000"), $E14, INDIRECT("'"&amp;Assemblies[Assy]&amp;"'!"&amp;"A$5:A1000")))),"")), " ,", ""))</f>
        <v>, 1x7.0,</v>
      </c>
      <c r="I14" s="292" t="s">
        <v>2135</v>
      </c>
      <c r="J14" s="270" t="str">
        <f>Assemblies[[#This Row],[Assy]]</f>
        <v>0.9</v>
      </c>
    </row>
    <row r="15" spans="1:10" x14ac:dyDescent="0.25">
      <c r="A15" s="134" t="str">
        <f ca="1">'PG10'!$E$2</f>
        <v>PG10</v>
      </c>
      <c r="B15" s="179" t="s">
        <v>1494</v>
      </c>
      <c r="C15" s="142" t="s">
        <v>1470</v>
      </c>
      <c r="D15" s="134" t="s">
        <v>54</v>
      </c>
      <c r="E15" s="134" t="str">
        <f t="shared" ca="1" si="0"/>
        <v>PG10.0.10.0.A</v>
      </c>
      <c r="F15" s="134" t="s">
        <v>1495</v>
      </c>
      <c r="G15" s="19" cm="1">
        <f t="array" aca="1" ref="G15" ca="1">SUMPRODUCT(SUMIF(INDIRECT("'"&amp;Assemblies[Assy]&amp;"'!"&amp;"C5:C1000"),E15,(INDIRECT("'"&amp;Assemblies[Assy]&amp;"'!"&amp;"O5:O1000"))))</f>
        <v>1</v>
      </c>
      <c r="H15" s="134" t="str" cm="1">
        <f t="array" aca="1" ref="H15" ca="1">TRIM(SUBSTITUTE(_xlfn.ARRAYTOTEXT(IFERROR(CONCATENATE(SUMIF(INDIRECT("'"&amp;Assemblies[Assy]&amp;"'!"&amp;"C$5:C1000"), $E15, INDIRECT("'"&amp;Assemblies[Assy]&amp;"'!"&amp;"O$5:O1000")), "x",Assemblies[Assy],".",IF(SUMIF(INDIRECT("'"&amp;Assemblies[Assy]&amp;"'!"&amp;"C$5:C1000"), $E15, INDIRECT("'"&amp;Assemblies[Assy]&amp;"'!"&amp;"B$5:B1000"))=0,NA(),SUMIF(INDIRECT("'"&amp;Assemblies[Assy]&amp;"'!"&amp;"C$5:C1000"), $E15, INDIRECT("'"&amp;Assemblies[Assy]&amp;"'!"&amp;"A$5:A1000")))),"")), " ,", ""))</f>
        <v>, 1x8.0,</v>
      </c>
      <c r="I15" s="292" t="s">
        <v>2135</v>
      </c>
      <c r="J15" s="212" t="str">
        <f>Assemblies[[#This Row],[Assy]]</f>
        <v>0.10</v>
      </c>
    </row>
    <row r="16" spans="1:10" x14ac:dyDescent="0.25">
      <c r="A16" t="s">
        <v>1475</v>
      </c>
      <c r="B16" s="179" t="s">
        <v>1496</v>
      </c>
      <c r="C16" s="24" t="s">
        <v>1470</v>
      </c>
      <c r="D16" s="134" t="s">
        <v>54</v>
      </c>
      <c r="E16" t="str">
        <f t="shared" si="0"/>
        <v>PG10.0.11.0.A</v>
      </c>
      <c r="F16" t="s">
        <v>1497</v>
      </c>
      <c r="G16" s="19" cm="1">
        <f t="array" aca="1" ref="G16" ca="1">SUMPRODUCT(SUMIF(INDIRECT("'"&amp;Assemblies[Assy]&amp;"'!"&amp;"C5:C1000"),E16,(INDIRECT("'"&amp;Assemblies[Assy]&amp;"'!"&amp;"O5:O1000"))))</f>
        <v>1</v>
      </c>
      <c r="H16" t="str" cm="1">
        <f t="array" aca="1" ref="H16" ca="1">TRIM(SUBSTITUTE(_xlfn.ARRAYTOTEXT(IFERROR(CONCATENATE(SUMIF(INDIRECT("'"&amp;Assemblies[Assy]&amp;"'!"&amp;"C$5:C1000"), $E16, INDIRECT("'"&amp;Assemblies[Assy]&amp;"'!"&amp;"O$5:O1000")), "x",Assemblies[Assy],".",IF(SUMIF(INDIRECT("'"&amp;Assemblies[Assy]&amp;"'!"&amp;"C$5:C1000"), $E16, INDIRECT("'"&amp;Assemblies[Assy]&amp;"'!"&amp;"B$5:B1000"))=0,NA(),SUMIF(INDIRECT("'"&amp;Assemblies[Assy]&amp;"'!"&amp;"C$5:C1000"), $E16, INDIRECT("'"&amp;Assemblies[Assy]&amp;"'!"&amp;"A$5:A1000")))),"")), " ,", ""))</f>
        <v>, 1x4.0,</v>
      </c>
      <c r="I16" s="292" t="s">
        <v>2135</v>
      </c>
      <c r="J16" s="212" t="str">
        <f>Assemblies[[#This Row],[Assy]]</f>
        <v>0.11</v>
      </c>
    </row>
    <row r="17" spans="1:10" x14ac:dyDescent="0.25">
      <c r="A17" t="s">
        <v>1475</v>
      </c>
      <c r="B17" s="179" t="s">
        <v>1498</v>
      </c>
      <c r="C17" s="24" t="s">
        <v>1470</v>
      </c>
      <c r="D17" s="134" t="s">
        <v>54</v>
      </c>
      <c r="E17" t="str">
        <f t="shared" si="0"/>
        <v>PG10.0.12.0.A</v>
      </c>
      <c r="F17" t="s">
        <v>1499</v>
      </c>
      <c r="G17" s="19" cm="1">
        <f t="array" aca="1" ref="G17" ca="1">SUMPRODUCT(SUMIF(INDIRECT("'"&amp;Assemblies[Assy]&amp;"'!"&amp;"C5:C1000"),E17,(INDIRECT("'"&amp;Assemblies[Assy]&amp;"'!"&amp;"O5:O1000"))))</f>
        <v>1</v>
      </c>
      <c r="H17" t="str" cm="1">
        <f t="array" aca="1" ref="H17" ca="1">TRIM(SUBSTITUTE(_xlfn.ARRAYTOTEXT(IFERROR(CONCATENATE(SUMIF(INDIRECT("'"&amp;Assemblies[Assy]&amp;"'!"&amp;"C$5:C1000"), $E17, INDIRECT("'"&amp;Assemblies[Assy]&amp;"'!"&amp;"O$5:O1000")), "x",Assemblies[Assy],".",IF(SUMIF(INDIRECT("'"&amp;Assemblies[Assy]&amp;"'!"&amp;"C$5:C1000"), $E17, INDIRECT("'"&amp;Assemblies[Assy]&amp;"'!"&amp;"B$5:B1000"))=0,NA(),SUMIF(INDIRECT("'"&amp;Assemblies[Assy]&amp;"'!"&amp;"C$5:C1000"), $E17, INDIRECT("'"&amp;Assemblies[Assy]&amp;"'!"&amp;"A$5:A1000")))),"")), " ,", ""))</f>
        <v>, 1x5.0,</v>
      </c>
      <c r="I17" s="292" t="s">
        <v>2135</v>
      </c>
      <c r="J17" s="212" t="str">
        <f>Assemblies[[#This Row],[Assy]]</f>
        <v>0.12</v>
      </c>
    </row>
    <row r="18" spans="1:10" x14ac:dyDescent="0.25">
      <c r="A18" t="str">
        <f ca="1">'PG10'!$E$2</f>
        <v>PG10</v>
      </c>
      <c r="B18" s="195" t="s">
        <v>1500</v>
      </c>
      <c r="C18" s="24" t="s">
        <v>1470</v>
      </c>
      <c r="D18" s="134" t="s">
        <v>54</v>
      </c>
      <c r="E18" t="str">
        <f t="shared" ca="1" si="0"/>
        <v>PG10.1.0.A</v>
      </c>
      <c r="F18" t="s">
        <v>1501</v>
      </c>
      <c r="G18" s="19" cm="1">
        <f t="array" aca="1" ref="G18" ca="1">SUMPRODUCT(SUMIF(INDIRECT("'"&amp;Assemblies[Assy]&amp;"'!"&amp;"C5:C1000"),E18,(INDIRECT("'"&amp;Assemblies[Assy]&amp;"'!"&amp;"O5:O1000"))))</f>
        <v>1</v>
      </c>
      <c r="H18" s="134" t="str" cm="1">
        <f t="array" aca="1" ref="H18" ca="1">TRIM(SUBSTITUTE(_xlfn.ARRAYTOTEXT(IFERROR(CONCATENATE(SUMIF(INDIRECT("'"&amp;Assemblies[Assy]&amp;"'!"&amp;"C$5:C1000"), $E18, INDIRECT("'"&amp;Assemblies[Assy]&amp;"'!"&amp;"O$5:O1000")), "x",Assemblies[Assy],".",IF(SUMIF(INDIRECT("'"&amp;Assemblies[Assy]&amp;"'!"&amp;"C$5:C1000"), $E18, INDIRECT("'"&amp;Assemblies[Assy]&amp;"'!"&amp;"B$5:B1000"))=0,NA(),SUMIF(INDIRECT("'"&amp;Assemblies[Assy]&amp;"'!"&amp;"C$5:C1000"), $E18, INDIRECT("'"&amp;Assemblies[Assy]&amp;"'!"&amp;"A$5:A1000")))),"")), " ,", ""))</f>
        <v>1x0.0,</v>
      </c>
      <c r="I18" s="292" t="s">
        <v>2135</v>
      </c>
      <c r="J18" s="223" t="str">
        <f>Assemblies[[#This Row],[Assy]]</f>
        <v>1</v>
      </c>
    </row>
    <row r="19" spans="1:10" x14ac:dyDescent="0.25">
      <c r="A19" t="str">
        <f ca="1">'PG10'!$E$2</f>
        <v>PG10</v>
      </c>
      <c r="B19" s="196" t="s">
        <v>1502</v>
      </c>
      <c r="C19" s="24" t="s">
        <v>1470</v>
      </c>
      <c r="D19" s="134" t="s">
        <v>54</v>
      </c>
      <c r="E19" t="str">
        <f t="shared" ca="1" si="0"/>
        <v>PG10.1.1.0.A</v>
      </c>
      <c r="F19" t="s">
        <v>1503</v>
      </c>
      <c r="G19" s="19" cm="1">
        <f t="array" aca="1" ref="G19" ca="1">SUMPRODUCT(SUMIF(INDIRECT("'"&amp;Assemblies[Assy]&amp;"'!"&amp;"C5:C1000"),E19,(INDIRECT("'"&amp;Assemblies[Assy]&amp;"'!"&amp;"O5:O1000"))))</f>
        <v>1</v>
      </c>
      <c r="H19" s="134" t="str" cm="1">
        <f t="array" aca="1" ref="H19" ca="1">TRIM(SUBSTITUTE(_xlfn.ARRAYTOTEXT(IFERROR(CONCATENATE(SUMIF(INDIRECT("'"&amp;Assemblies[Assy]&amp;"'!"&amp;"C$5:C1000"), $E19, INDIRECT("'"&amp;Assemblies[Assy]&amp;"'!"&amp;"O$5:O1000")), "x",Assemblies[Assy],".",IF(SUMIF(INDIRECT("'"&amp;Assemblies[Assy]&amp;"'!"&amp;"C$5:C1000"), $E19, INDIRECT("'"&amp;Assemblies[Assy]&amp;"'!"&amp;"B$5:B1000"))=0,NA(),SUMIF(INDIRECT("'"&amp;Assemblies[Assy]&amp;"'!"&amp;"C$5:C1000"), $E19, INDIRECT("'"&amp;Assemblies[Assy]&amp;"'!"&amp;"A$5:A1000")))),"")), " ,", ""))</f>
        <v>, 1x1.0,</v>
      </c>
      <c r="I19" s="285" t="s">
        <v>1473</v>
      </c>
      <c r="J19" s="216" t="str">
        <f>Assemblies[[#This Row],[Assy]]</f>
        <v>1.1</v>
      </c>
    </row>
    <row r="20" spans="1:10" x14ac:dyDescent="0.25">
      <c r="A20" t="str">
        <f ca="1">'PG10'!$E$2</f>
        <v>PG10</v>
      </c>
      <c r="B20" s="202" t="s">
        <v>1504</v>
      </c>
      <c r="C20" s="24" t="s">
        <v>1470</v>
      </c>
      <c r="D20" s="134" t="s">
        <v>54</v>
      </c>
      <c r="E20" t="str">
        <f t="shared" ca="1" si="0"/>
        <v>PG10.1.1.1.0.A</v>
      </c>
      <c r="F20" t="s">
        <v>372</v>
      </c>
      <c r="G20" s="19" cm="1">
        <f t="array" aca="1" ref="G20" ca="1">SUMPRODUCT(SUMIF(INDIRECT("'"&amp;Assemblies[Assy]&amp;"'!"&amp;"C5:C1000"),E20,(INDIRECT("'"&amp;Assemblies[Assy]&amp;"'!"&amp;"O5:O1000"))))</f>
        <v>38</v>
      </c>
      <c r="H20" s="134" t="str" cm="1">
        <f t="array" aca="1" ref="H20" ca="1">TRIM(SUBSTITUTE(_xlfn.ARRAYTOTEXT(IFERROR(CONCATENATE(SUMIF(INDIRECT("'"&amp;Assemblies[Assy]&amp;"'!"&amp;"C$5:C1000"), $E20, INDIRECT("'"&amp;Assemblies[Assy]&amp;"'!"&amp;"O$5:O1000")), "x",Assemblies[Assy],".",IF(SUMIF(INDIRECT("'"&amp;Assemblies[Assy]&amp;"'!"&amp;"C$5:C1000"), $E20, INDIRECT("'"&amp;Assemblies[Assy]&amp;"'!"&amp;"B$5:B1000"))=0,NA(),SUMIF(INDIRECT("'"&amp;Assemblies[Assy]&amp;"'!"&amp;"C$5:C1000"), $E20, INDIRECT("'"&amp;Assemblies[Assy]&amp;"'!"&amp;"A$5:A1000")))),"")), " ,", ""))</f>
        <v>, 10x1.1.0, 8x2.1.0, 10x3.1.0, 10x4.1.0,</v>
      </c>
      <c r="I20" s="285" t="s">
        <v>1473</v>
      </c>
      <c r="J20" s="216" t="str">
        <f>Assemblies[[#This Row],[Assy]]</f>
        <v>1.1.1</v>
      </c>
    </row>
    <row r="21" spans="1:10" x14ac:dyDescent="0.25">
      <c r="A21" t="str">
        <f ca="1">'PG10'!$E$2</f>
        <v>PG10</v>
      </c>
      <c r="B21" s="202" t="s">
        <v>1505</v>
      </c>
      <c r="C21" s="24" t="s">
        <v>1470</v>
      </c>
      <c r="D21" s="134" t="s">
        <v>54</v>
      </c>
      <c r="E21" t="str">
        <f t="shared" ca="1" si="0"/>
        <v>PG10.1.1.10.0.A</v>
      </c>
      <c r="F21" t="s">
        <v>1506</v>
      </c>
      <c r="G21" s="19" cm="1">
        <f t="array" aca="1" ref="G21" ca="1">SUMPRODUCT(SUMIF(INDIRECT("'"&amp;Assemblies[Assy]&amp;"'!"&amp;"C5:C1000"),E21,(INDIRECT("'"&amp;Assemblies[Assy]&amp;"'!"&amp;"O5:O1000"))))</f>
        <v>2</v>
      </c>
      <c r="H21" t="str" cm="1">
        <f t="array" aca="1" ref="H21" ca="1">TRIM(SUBSTITUTE(_xlfn.ARRAYTOTEXT(IFERROR(CONCATENATE(SUMIF(INDIRECT("'"&amp;Assemblies[Assy]&amp;"'!"&amp;"C$5:C1000"), $E21, INDIRECT("'"&amp;Assemblies[Assy]&amp;"'!"&amp;"O$5:O1000")), "x",Assemblies[Assy],".",IF(SUMIF(INDIRECT("'"&amp;Assemblies[Assy]&amp;"'!"&amp;"C$5:C1000"), $E21, INDIRECT("'"&amp;Assemblies[Assy]&amp;"'!"&amp;"B$5:B1000"))=0,NA(),SUMIF(INDIRECT("'"&amp;Assemblies[Assy]&amp;"'!"&amp;"C$5:C1000"), $E21, INDIRECT("'"&amp;Assemblies[Assy]&amp;"'!"&amp;"A$5:A1000")))),"")), " ,", ""))</f>
        <v>, 2x1.1.0,</v>
      </c>
      <c r="I21" s="285" t="s">
        <v>1473</v>
      </c>
      <c r="J21" s="216" t="str">
        <f>Assemblies[[#This Row],[Assy]]</f>
        <v>1.1.10</v>
      </c>
    </row>
    <row r="22" spans="1:10" x14ac:dyDescent="0.25">
      <c r="A22" t="str">
        <f ca="1">'PG10'!$E$2</f>
        <v>PG10</v>
      </c>
      <c r="B22" s="202" t="s">
        <v>1507</v>
      </c>
      <c r="C22" s="24" t="s">
        <v>1470</v>
      </c>
      <c r="D22" s="134" t="s">
        <v>54</v>
      </c>
      <c r="E22" t="str">
        <f t="shared" ca="1" si="0"/>
        <v>PG10.1.1.11.0.A</v>
      </c>
      <c r="F22" t="s">
        <v>1508</v>
      </c>
      <c r="G22" s="19" cm="1">
        <f t="array" aca="1" ref="G22" ca="1">SUMPRODUCT(SUMIF(INDIRECT("'"&amp;Assemblies[Assy]&amp;"'!"&amp;"C5:C1000"),E22,(INDIRECT("'"&amp;Assemblies[Assy]&amp;"'!"&amp;"O5:O1000"))))</f>
        <v>1</v>
      </c>
      <c r="H22" t="str" cm="1">
        <f t="array" aca="1" ref="H22" ca="1">TRIM(SUBSTITUTE(_xlfn.ARRAYTOTEXT(IFERROR(CONCATENATE(SUMIF(INDIRECT("'"&amp;Assemblies[Assy]&amp;"'!"&amp;"C$5:C1000"), $E22, INDIRECT("'"&amp;Assemblies[Assy]&amp;"'!"&amp;"O$5:O1000")), "x",Assemblies[Assy],".",IF(SUMIF(INDIRECT("'"&amp;Assemblies[Assy]&amp;"'!"&amp;"C$5:C1000"), $E22, INDIRECT("'"&amp;Assemblies[Assy]&amp;"'!"&amp;"B$5:B1000"))=0,NA(),SUMIF(INDIRECT("'"&amp;Assemblies[Assy]&amp;"'!"&amp;"C$5:C1000"), $E22, INDIRECT("'"&amp;Assemblies[Assy]&amp;"'!"&amp;"A$5:A1000")))),"")), " ,", ""))</f>
        <v>, 1x1.1.0,</v>
      </c>
      <c r="I22" s="285" t="s">
        <v>1473</v>
      </c>
      <c r="J22" s="216" t="str">
        <f>Assemblies[[#This Row],[Assy]]</f>
        <v>1.1.11</v>
      </c>
    </row>
    <row r="23" spans="1:10" x14ac:dyDescent="0.25">
      <c r="A23" t="str">
        <f ca="1">'PG10'!$E$2</f>
        <v>PG10</v>
      </c>
      <c r="B23" s="203" t="s">
        <v>1509</v>
      </c>
      <c r="C23" s="24" t="s">
        <v>1470</v>
      </c>
      <c r="D23" s="134" t="s">
        <v>54</v>
      </c>
      <c r="E23" t="str">
        <f t="shared" ca="1" si="0"/>
        <v>PG10.1.1.11.1.0.A</v>
      </c>
      <c r="F23" t="s">
        <v>1510</v>
      </c>
      <c r="G23" s="19" cm="1">
        <f t="array" aca="1" ref="G23" ca="1">SUMPRODUCT(SUMIF(INDIRECT("'"&amp;Assemblies[Assy]&amp;"'!"&amp;"C5:C1000"),E23,(INDIRECT("'"&amp;Assemblies[Assy]&amp;"'!"&amp;"O5:O1000"))))</f>
        <v>405</v>
      </c>
      <c r="H23" t="str" cm="1">
        <f t="array" aca="1" ref="H23" ca="1">TRIM(SUBSTITUTE(_xlfn.ARRAYTOTEXT(IFERROR(CONCATENATE(SUMIF(INDIRECT("'"&amp;Assemblies[Assy]&amp;"'!"&amp;"C$5:C1000"), $E23, INDIRECT("'"&amp;Assemblies[Assy]&amp;"'!"&amp;"O$5:O1000")), "x",Assemblies[Assy],".",IF(SUMIF(INDIRECT("'"&amp;Assemblies[Assy]&amp;"'!"&amp;"C$5:C1000"), $E23, INDIRECT("'"&amp;Assemblies[Assy]&amp;"'!"&amp;"B$5:B1000"))=0,NA(),SUMIF(INDIRECT("'"&amp;Assemblies[Assy]&amp;"'!"&amp;"C$5:C1000"), $E23, INDIRECT("'"&amp;Assemblies[Assy]&amp;"'!"&amp;"A$5:A1000")))),"")), " ,", ""))</f>
        <v>, 12x1.1.11.0, 8x1.1.13.0, 11x1.1.14.0, 16x1.1.15.0, 10x2.1.6.0, 10x2.1.7.0, 8x2.1.8.0, 24x2.2.5.0, 12x2.2.6.0, 10x3.1.3.0, 6x3.1.4.0, 10x3.1.5.0, 7x3.1.6.0, 10x3.1.7.0, 24x3.2.9.0, 24x3.2.10.0, 8x4.1.9.0, 8x4.1.10.0, 16x4.1.11.0, 7x4.1.12.0, 8x4.1.13.0, 6x4.1.14.0, 6x4.1.15.0, 8x4.1.16.0, 10x4.1.17.0, 8x4.1.18.0, 10x4.1.19.0, 10x4.2.1.0, 12x4.2.2.0, 9x4.2.3.0, 12x4.2.10.0, 12x4.2.11.0, 24x4.2.12.0, 5x10.1.7.0, 24x10.1.13.0,</v>
      </c>
      <c r="I23" s="285" t="s">
        <v>1473</v>
      </c>
      <c r="J23" s="216" t="str">
        <f>Assemblies[[#This Row],[Assy]]</f>
        <v>1.1.11.1</v>
      </c>
    </row>
    <row r="24" spans="1:10" x14ac:dyDescent="0.25">
      <c r="A24" t="str">
        <f ca="1">'PG10'!$E$2</f>
        <v>PG10</v>
      </c>
      <c r="B24" s="202" t="s">
        <v>1511</v>
      </c>
      <c r="C24" s="24" t="s">
        <v>1470</v>
      </c>
      <c r="D24" s="134" t="s">
        <v>54</v>
      </c>
      <c r="E24" t="str">
        <f t="shared" ca="1" si="0"/>
        <v>PG10.1.1.13.0.A</v>
      </c>
      <c r="F24" t="s">
        <v>1512</v>
      </c>
      <c r="G24" s="19" cm="1">
        <f t="array" aca="1" ref="G24" ca="1">SUMPRODUCT(SUMIF(INDIRECT("'"&amp;Assemblies[Assy]&amp;"'!"&amp;"C5:C1000"),E24,(INDIRECT("'"&amp;Assemblies[Assy]&amp;"'!"&amp;"O5:O1000"))))</f>
        <v>1</v>
      </c>
      <c r="H24" t="str" cm="1">
        <f t="array" aca="1" ref="H24" ca="1">TRIM(SUBSTITUTE(_xlfn.ARRAYTOTEXT(IFERROR(CONCATENATE(SUMIF(INDIRECT("'"&amp;Assemblies[Assy]&amp;"'!"&amp;"C$5:C1000"), $E24, INDIRECT("'"&amp;Assemblies[Assy]&amp;"'!"&amp;"O$5:O1000")), "x",Assemblies[Assy],".",IF(SUMIF(INDIRECT("'"&amp;Assemblies[Assy]&amp;"'!"&amp;"C$5:C1000"), $E24, INDIRECT("'"&amp;Assemblies[Assy]&amp;"'!"&amp;"B$5:B1000"))=0,NA(),SUMIF(INDIRECT("'"&amp;Assemblies[Assy]&amp;"'!"&amp;"C$5:C1000"), $E24, INDIRECT("'"&amp;Assemblies[Assy]&amp;"'!"&amp;"A$5:A1000")))),"")), " ,", ""))</f>
        <v>, 1x1.1.0,</v>
      </c>
      <c r="I24" s="285" t="s">
        <v>1473</v>
      </c>
      <c r="J24" s="216" t="str">
        <f>Assemblies[[#This Row],[Assy]]</f>
        <v>1.1.13</v>
      </c>
    </row>
    <row r="25" spans="1:10" x14ac:dyDescent="0.25">
      <c r="A25" t="str">
        <f ca="1">'PG10'!$E$2</f>
        <v>PG10</v>
      </c>
      <c r="B25" s="202" t="s">
        <v>1513</v>
      </c>
      <c r="C25" s="24" t="s">
        <v>1470</v>
      </c>
      <c r="D25" s="134" t="s">
        <v>54</v>
      </c>
      <c r="E25" t="str">
        <f t="shared" ca="1" si="0"/>
        <v>PG10.1.1.14.0.A</v>
      </c>
      <c r="F25" t="s">
        <v>1514</v>
      </c>
      <c r="G25" s="19" cm="1">
        <f t="array" aca="1" ref="G25" ca="1">SUMPRODUCT(SUMIF(INDIRECT("'"&amp;Assemblies[Assy]&amp;"'!"&amp;"C5:C1000"),E25,(INDIRECT("'"&amp;Assemblies[Assy]&amp;"'!"&amp;"O5:O1000"))))</f>
        <v>1</v>
      </c>
      <c r="H25" t="str" cm="1">
        <f t="array" aca="1" ref="H25" ca="1">TRIM(SUBSTITUTE(_xlfn.ARRAYTOTEXT(IFERROR(CONCATENATE(SUMIF(INDIRECT("'"&amp;Assemblies[Assy]&amp;"'!"&amp;"C$5:C1000"), $E25, INDIRECT("'"&amp;Assemblies[Assy]&amp;"'!"&amp;"O$5:O1000")), "x",Assemblies[Assy],".",IF(SUMIF(INDIRECT("'"&amp;Assemblies[Assy]&amp;"'!"&amp;"C$5:C1000"), $E25, INDIRECT("'"&amp;Assemblies[Assy]&amp;"'!"&amp;"B$5:B1000"))=0,NA(),SUMIF(INDIRECT("'"&amp;Assemblies[Assy]&amp;"'!"&amp;"C$5:C1000"), $E25, INDIRECT("'"&amp;Assemblies[Assy]&amp;"'!"&amp;"A$5:A1000")))),"")), " ,", ""))</f>
        <v>, 1x1.1.0,</v>
      </c>
      <c r="I25" s="285" t="s">
        <v>1473</v>
      </c>
      <c r="J25" s="216" t="str">
        <f>Assemblies[[#This Row],[Assy]]</f>
        <v>1.1.14</v>
      </c>
    </row>
    <row r="26" spans="1:10" x14ac:dyDescent="0.25">
      <c r="A26" t="str">
        <f ca="1">'PG10'!$E$2</f>
        <v>PG10</v>
      </c>
      <c r="B26" s="202" t="s">
        <v>1515</v>
      </c>
      <c r="C26" s="24" t="s">
        <v>1470</v>
      </c>
      <c r="D26" s="134" t="s">
        <v>54</v>
      </c>
      <c r="E26" t="str">
        <f t="shared" ca="1" si="0"/>
        <v>PG10.1.1.15.0.A</v>
      </c>
      <c r="F26" t="s">
        <v>1516</v>
      </c>
      <c r="G26" s="19" cm="1">
        <f t="array" aca="1" ref="G26" ca="1">SUMPRODUCT(SUMIF(INDIRECT("'"&amp;Assemblies[Assy]&amp;"'!"&amp;"C5:C1000"),E26,(INDIRECT("'"&amp;Assemblies[Assy]&amp;"'!"&amp;"O5:O1000"))))</f>
        <v>1</v>
      </c>
      <c r="H26" t="str" cm="1">
        <f t="array" aca="1" ref="H26" ca="1">TRIM(SUBSTITUTE(_xlfn.ARRAYTOTEXT(IFERROR(CONCATENATE(SUMIF(INDIRECT("'"&amp;Assemblies[Assy]&amp;"'!"&amp;"C$5:C1000"), $E26, INDIRECT("'"&amp;Assemblies[Assy]&amp;"'!"&amp;"O$5:O1000")), "x",Assemblies[Assy],".",IF(SUMIF(INDIRECT("'"&amp;Assemblies[Assy]&amp;"'!"&amp;"C$5:C1000"), $E26, INDIRECT("'"&amp;Assemblies[Assy]&amp;"'!"&amp;"B$5:B1000"))=0,NA(),SUMIF(INDIRECT("'"&amp;Assemblies[Assy]&amp;"'!"&amp;"C$5:C1000"), $E26, INDIRECT("'"&amp;Assemblies[Assy]&amp;"'!"&amp;"A$5:A1000")))),"")), " ,", ""))</f>
        <v>, 1x1.1.0,</v>
      </c>
      <c r="I26" s="285" t="s">
        <v>1473</v>
      </c>
      <c r="J26" s="216" t="str">
        <f>Assemblies[[#This Row],[Assy]]</f>
        <v>1.1.15</v>
      </c>
    </row>
    <row r="27" spans="1:10" x14ac:dyDescent="0.25">
      <c r="A27" t="str">
        <f ca="1">'PG10'!$E$2</f>
        <v>PG10</v>
      </c>
      <c r="B27" s="202" t="s">
        <v>1517</v>
      </c>
      <c r="C27" s="24" t="s">
        <v>1470</v>
      </c>
      <c r="D27" s="134" t="s">
        <v>54</v>
      </c>
      <c r="E27" t="str">
        <f t="shared" ca="1" si="0"/>
        <v>PG10.1.1.16.0.A</v>
      </c>
      <c r="F27" t="s">
        <v>1518</v>
      </c>
      <c r="G27" s="19" cm="1">
        <f t="array" aca="1" ref="G27" ca="1">SUMPRODUCT(SUMIF(INDIRECT("'"&amp;Assemblies[Assy]&amp;"'!"&amp;"C5:C1000"),E27,(INDIRECT("'"&amp;Assemblies[Assy]&amp;"'!"&amp;"O5:O1000"))))</f>
        <v>6</v>
      </c>
      <c r="H27" t="str" cm="1">
        <f t="array" aca="1" ref="H27" ca="1">TRIM(SUBSTITUTE(_xlfn.ARRAYTOTEXT(IFERROR(CONCATENATE(SUMIF(INDIRECT("'"&amp;Assemblies[Assy]&amp;"'!"&amp;"C$5:C1000"), $E27, INDIRECT("'"&amp;Assemblies[Assy]&amp;"'!"&amp;"O$5:O1000")), "x",Assemblies[Assy],".",IF(SUMIF(INDIRECT("'"&amp;Assemblies[Assy]&amp;"'!"&amp;"C$5:C1000"), $E27, INDIRECT("'"&amp;Assemblies[Assy]&amp;"'!"&amp;"B$5:B1000"))=0,NA(),SUMIF(INDIRECT("'"&amp;Assemblies[Assy]&amp;"'!"&amp;"C$5:C1000"), $E27, INDIRECT("'"&amp;Assemblies[Assy]&amp;"'!"&amp;"A$5:A1000")))),"")), " ,", ""))</f>
        <v>, 2x1.1.0, 2x3.2.0, 2x4.2.0,</v>
      </c>
      <c r="I27" s="285" t="s">
        <v>1473</v>
      </c>
      <c r="J27" s="216" t="str">
        <f>Assemblies[[#This Row],[Assy]]</f>
        <v>1.1.16</v>
      </c>
    </row>
    <row r="28" spans="1:10" x14ac:dyDescent="0.25">
      <c r="A28" t="str">
        <f ca="1">'PG10'!$E$2</f>
        <v>PG10</v>
      </c>
      <c r="B28" s="202" t="s">
        <v>1519</v>
      </c>
      <c r="C28" s="24" t="s">
        <v>1470</v>
      </c>
      <c r="D28" s="134" t="s">
        <v>54</v>
      </c>
      <c r="E28" t="str">
        <f t="shared" ca="1" si="0"/>
        <v>PG10.1.1.17.0.A</v>
      </c>
      <c r="F28" t="s">
        <v>1520</v>
      </c>
      <c r="G28" s="19" cm="1">
        <f t="array" aca="1" ref="G28" ca="1">SUMPRODUCT(SUMIF(INDIRECT("'"&amp;Assemblies[Assy]&amp;"'!"&amp;"C5:C1000"),E28,(INDIRECT("'"&amp;Assemblies[Assy]&amp;"'!"&amp;"O5:O1000"))))</f>
        <v>2</v>
      </c>
      <c r="H28" t="str" cm="1">
        <f t="array" aca="1" ref="H28" ca="1">TRIM(SUBSTITUTE(_xlfn.ARRAYTOTEXT(IFERROR(CONCATENATE(SUMIF(INDIRECT("'"&amp;Assemblies[Assy]&amp;"'!"&amp;"C$5:C1000"), $E28, INDIRECT("'"&amp;Assemblies[Assy]&amp;"'!"&amp;"O$5:O1000")), "x",Assemblies[Assy],".",IF(SUMIF(INDIRECT("'"&amp;Assemblies[Assy]&amp;"'!"&amp;"C$5:C1000"), $E28, INDIRECT("'"&amp;Assemblies[Assy]&amp;"'!"&amp;"B$5:B1000"))=0,NA(),SUMIF(INDIRECT("'"&amp;Assemblies[Assy]&amp;"'!"&amp;"C$5:C1000"), $E28, INDIRECT("'"&amp;Assemblies[Assy]&amp;"'!"&amp;"A$5:A1000")))),"")), " ,", ""))</f>
        <v>, 2x1.1.0,</v>
      </c>
      <c r="I28" s="285" t="s">
        <v>1473</v>
      </c>
      <c r="J28" s="216" t="str">
        <f>Assemblies[[#This Row],[Assy]]</f>
        <v>1.1.17</v>
      </c>
    </row>
    <row r="29" spans="1:10" x14ac:dyDescent="0.25">
      <c r="A29" t="str">
        <f ca="1">'PG10'!$E$2</f>
        <v>PG10</v>
      </c>
      <c r="B29" s="202" t="s">
        <v>1521</v>
      </c>
      <c r="C29" s="24" t="s">
        <v>1470</v>
      </c>
      <c r="D29" s="134" t="s">
        <v>54</v>
      </c>
      <c r="E29" t="str">
        <f t="shared" ca="1" si="0"/>
        <v>PG10.1.1.2.0.A</v>
      </c>
      <c r="F29" t="s">
        <v>1522</v>
      </c>
      <c r="G29" s="19" cm="1">
        <f t="array" aca="1" ref="G29" ca="1">SUMPRODUCT(SUMIF(INDIRECT("'"&amp;Assemblies[Assy]&amp;"'!"&amp;"C5:C1000"),E29,(INDIRECT("'"&amp;Assemblies[Assy]&amp;"'!"&amp;"O5:O1000"))))</f>
        <v>14</v>
      </c>
      <c r="H29" s="134" t="str" cm="1">
        <f t="array" aca="1" ref="H29" ca="1">TRIM(SUBSTITUTE(_xlfn.ARRAYTOTEXT(IFERROR(CONCATENATE(SUMIF(INDIRECT("'"&amp;Assemblies[Assy]&amp;"'!"&amp;"C$5:C1000"), $E29, INDIRECT("'"&amp;Assemblies[Assy]&amp;"'!"&amp;"O$5:O1000")), "x",Assemblies[Assy],".",IF(SUMIF(INDIRECT("'"&amp;Assemblies[Assy]&amp;"'!"&amp;"C$5:C1000"), $E29, INDIRECT("'"&amp;Assemblies[Assy]&amp;"'!"&amp;"B$5:B1000"))=0,NA(),SUMIF(INDIRECT("'"&amp;Assemblies[Assy]&amp;"'!"&amp;"C$5:C1000"), $E29, INDIRECT("'"&amp;Assemblies[Assy]&amp;"'!"&amp;"A$5:A1000")))),"")), " ,", ""))</f>
        <v>, 10x1.1.0, 1x2.1.0, 3x3.1.0,</v>
      </c>
      <c r="I29" s="285" t="s">
        <v>1473</v>
      </c>
      <c r="J29" s="216" t="str">
        <f>Assemblies[[#This Row],[Assy]]</f>
        <v>1.1.2</v>
      </c>
    </row>
    <row r="30" spans="1:10" x14ac:dyDescent="0.25">
      <c r="A30" t="str">
        <f ca="1">'PG10'!$E$2</f>
        <v>PG10</v>
      </c>
      <c r="B30" s="202" t="s">
        <v>1523</v>
      </c>
      <c r="C30" s="24" t="s">
        <v>1470</v>
      </c>
      <c r="D30" s="134" t="s">
        <v>54</v>
      </c>
      <c r="E30" t="str">
        <f t="shared" ca="1" si="0"/>
        <v>PG10.1.1.3.0.A</v>
      </c>
      <c r="F30" t="s">
        <v>1524</v>
      </c>
      <c r="G30" s="19" cm="1">
        <f t="array" aca="1" ref="G30" ca="1">SUMPRODUCT(SUMIF(INDIRECT("'"&amp;Assemblies[Assy]&amp;"'!"&amp;"C5:C1000"),E30,(INDIRECT("'"&amp;Assemblies[Assy]&amp;"'!"&amp;"O5:O1000"))))</f>
        <v>80</v>
      </c>
      <c r="H30" s="134" t="str" cm="1">
        <f t="array" aca="1" ref="H30" ca="1">TRIM(SUBSTITUTE(_xlfn.ARRAYTOTEXT(IFERROR(CONCATENATE(SUMIF(INDIRECT("'"&amp;Assemblies[Assy]&amp;"'!"&amp;"C$5:C1000"), $E30, INDIRECT("'"&amp;Assemblies[Assy]&amp;"'!"&amp;"O$5:O1000")), "x",Assemblies[Assy],".",IF(SUMIF(INDIRECT("'"&amp;Assemblies[Assy]&amp;"'!"&amp;"C$5:C1000"), $E30, INDIRECT("'"&amp;Assemblies[Assy]&amp;"'!"&amp;"B$5:B1000"))=0,NA(),SUMIF(INDIRECT("'"&amp;Assemblies[Assy]&amp;"'!"&amp;"C$5:C1000"), $E30, INDIRECT("'"&amp;Assemblies[Assy]&amp;"'!"&amp;"A$5:A1000")))),"")), " ,", ""))</f>
        <v>, 16x1.1.0, 8x2.1.0, 12x2.2.0, 4x3.1.0, 8x3.2.0, 14x4.1.0, 6x4.2.0, 4x6.9.0, 8x7.0,</v>
      </c>
      <c r="I30" s="285" t="s">
        <v>1473</v>
      </c>
      <c r="J30" s="216" t="str">
        <f>Assemblies[[#This Row],[Assy]]</f>
        <v>1.1.3</v>
      </c>
    </row>
    <row r="31" spans="1:10" x14ac:dyDescent="0.25">
      <c r="A31" t="str">
        <f ca="1">'PG10'!$E$2</f>
        <v>PG10</v>
      </c>
      <c r="B31" s="202" t="s">
        <v>1525</v>
      </c>
      <c r="C31" s="24" t="s">
        <v>1470</v>
      </c>
      <c r="D31" s="134" t="s">
        <v>54</v>
      </c>
      <c r="E31" t="str">
        <f t="shared" ca="1" si="0"/>
        <v>PG10.1.1.4.0.A</v>
      </c>
      <c r="F31" t="s">
        <v>1526</v>
      </c>
      <c r="G31" s="19" cm="1">
        <f t="array" aca="1" ref="G31" ca="1">SUMPRODUCT(SUMIF(INDIRECT("'"&amp;Assemblies[Assy]&amp;"'!"&amp;"C5:C1000"),E31,(INDIRECT("'"&amp;Assemblies[Assy]&amp;"'!"&amp;"O5:O1000"))))</f>
        <v>12</v>
      </c>
      <c r="H31" s="134" t="str" cm="1">
        <f t="array" aca="1" ref="H31" ca="1">TRIM(SUBSTITUTE(_xlfn.ARRAYTOTEXT(IFERROR(CONCATENATE(SUMIF(INDIRECT("'"&amp;Assemblies[Assy]&amp;"'!"&amp;"C$5:C1000"), $E31, INDIRECT("'"&amp;Assemblies[Assy]&amp;"'!"&amp;"O$5:O1000")), "x",Assemblies[Assy],".",IF(SUMIF(INDIRECT("'"&amp;Assemblies[Assy]&amp;"'!"&amp;"C$5:C1000"), $E31, INDIRECT("'"&amp;Assemblies[Assy]&amp;"'!"&amp;"B$5:B1000"))=0,NA(),SUMIF(INDIRECT("'"&amp;Assemblies[Assy]&amp;"'!"&amp;"C$5:C1000"), $E31, INDIRECT("'"&amp;Assemblies[Assy]&amp;"'!"&amp;"A$5:A1000")))),"")), " ,", ""))</f>
        <v>, 12x1.1.0,</v>
      </c>
      <c r="I31" s="285" t="s">
        <v>1473</v>
      </c>
      <c r="J31" s="216" t="str">
        <f>Assemblies[[#This Row],[Assy]]</f>
        <v>1.1.4</v>
      </c>
    </row>
    <row r="32" spans="1:10" x14ac:dyDescent="0.25">
      <c r="A32" t="str">
        <f ca="1">'PG10'!$E$2</f>
        <v>PG10</v>
      </c>
      <c r="B32" s="202" t="s">
        <v>1527</v>
      </c>
      <c r="C32" s="24" t="s">
        <v>1470</v>
      </c>
      <c r="D32" s="134" t="s">
        <v>54</v>
      </c>
      <c r="E32" t="str">
        <f t="shared" ca="1" si="0"/>
        <v>PG10.1.1.5.0.A</v>
      </c>
      <c r="F32" t="s">
        <v>1528</v>
      </c>
      <c r="G32" s="19" cm="1">
        <f t="array" aca="1" ref="G32" ca="1">SUMPRODUCT(SUMIF(INDIRECT("'"&amp;Assemblies[Assy]&amp;"'!"&amp;"C5:C1000"),E32,(INDIRECT("'"&amp;Assemblies[Assy]&amp;"'!"&amp;"O5:O1000"))))</f>
        <v>2</v>
      </c>
      <c r="H32" t="str" cm="1">
        <f t="array" aca="1" ref="H32" ca="1">TRIM(SUBSTITUTE(_xlfn.ARRAYTOTEXT(IFERROR(CONCATENATE(SUMIF(INDIRECT("'"&amp;Assemblies[Assy]&amp;"'!"&amp;"C$5:C1000"), $E32, INDIRECT("'"&amp;Assemblies[Assy]&amp;"'!"&amp;"O$5:O1000")), "x",Assemblies[Assy],".",IF(SUMIF(INDIRECT("'"&amp;Assemblies[Assy]&amp;"'!"&amp;"C$5:C1000"), $E32, INDIRECT("'"&amp;Assemblies[Assy]&amp;"'!"&amp;"B$5:B1000"))=0,NA(),SUMIF(INDIRECT("'"&amp;Assemblies[Assy]&amp;"'!"&amp;"C$5:C1000"), $E32, INDIRECT("'"&amp;Assemblies[Assy]&amp;"'!"&amp;"A$5:A1000")))),"")), " ,", ""))</f>
        <v>, 2x1.1.0,</v>
      </c>
      <c r="I32" s="285" t="s">
        <v>1473</v>
      </c>
      <c r="J32" s="216" t="str">
        <f>Assemblies[[#This Row],[Assy]]</f>
        <v>1.1.5</v>
      </c>
    </row>
    <row r="33" spans="1:10" x14ac:dyDescent="0.25">
      <c r="A33" t="str">
        <f ca="1">'PG10'!$E$2</f>
        <v>PG10</v>
      </c>
      <c r="B33" s="202" t="s">
        <v>1529</v>
      </c>
      <c r="C33" s="24" t="s">
        <v>1470</v>
      </c>
      <c r="D33" s="134" t="s">
        <v>54</v>
      </c>
      <c r="E33" t="str">
        <f t="shared" ca="1" si="0"/>
        <v>PG10.1.1.6.0.A</v>
      </c>
      <c r="F33" t="s">
        <v>1530</v>
      </c>
      <c r="G33" s="19" cm="1">
        <f t="array" aca="1" ref="G33" ca="1">SUMPRODUCT(SUMIF(INDIRECT("'"&amp;Assemblies[Assy]&amp;"'!"&amp;"C5:C1000"),E33,(INDIRECT("'"&amp;Assemblies[Assy]&amp;"'!"&amp;"O5:O1000"))))</f>
        <v>2</v>
      </c>
      <c r="H33" t="str" cm="1">
        <f t="array" aca="1" ref="H33" ca="1">TRIM(SUBSTITUTE(_xlfn.ARRAYTOTEXT(IFERROR(CONCATENATE(SUMIF(INDIRECT("'"&amp;Assemblies[Assy]&amp;"'!"&amp;"C$5:C1000"), $E33, INDIRECT("'"&amp;Assemblies[Assy]&amp;"'!"&amp;"O$5:O1000")), "x",Assemblies[Assy],".",IF(SUMIF(INDIRECT("'"&amp;Assemblies[Assy]&amp;"'!"&amp;"C$5:C1000"), $E33, INDIRECT("'"&amp;Assemblies[Assy]&amp;"'!"&amp;"B$5:B1000"))=0,NA(),SUMIF(INDIRECT("'"&amp;Assemblies[Assy]&amp;"'!"&amp;"C$5:C1000"), $E33, INDIRECT("'"&amp;Assemblies[Assy]&amp;"'!"&amp;"A$5:A1000")))),"")), " ,", ""))</f>
        <v>, 2x1.1.0,</v>
      </c>
      <c r="I33" s="285" t="s">
        <v>1473</v>
      </c>
      <c r="J33" s="216" t="str">
        <f>Assemblies[[#This Row],[Assy]]</f>
        <v>1.1.6</v>
      </c>
    </row>
    <row r="34" spans="1:10" x14ac:dyDescent="0.25">
      <c r="A34" t="str">
        <f ca="1">'PG10'!$E$2</f>
        <v>PG10</v>
      </c>
      <c r="B34" s="202" t="s">
        <v>1531</v>
      </c>
      <c r="C34" s="24" t="s">
        <v>1470</v>
      </c>
      <c r="D34" s="134" t="s">
        <v>54</v>
      </c>
      <c r="E34" t="str">
        <f t="shared" ca="1" si="0"/>
        <v>PG10.1.1.7.0.A</v>
      </c>
      <c r="F34" t="s">
        <v>1532</v>
      </c>
      <c r="G34" s="19" cm="1">
        <f t="array" aca="1" ref="G34" ca="1">SUMPRODUCT(SUMIF(INDIRECT("'"&amp;Assemblies[Assy]&amp;"'!"&amp;"C5:C1000"),E34,(INDIRECT("'"&amp;Assemblies[Assy]&amp;"'!"&amp;"O5:O1000"))))</f>
        <v>2</v>
      </c>
      <c r="H34" t="str" cm="1">
        <f t="array" aca="1" ref="H34" ca="1">TRIM(SUBSTITUTE(_xlfn.ARRAYTOTEXT(IFERROR(CONCATENATE(SUMIF(INDIRECT("'"&amp;Assemblies[Assy]&amp;"'!"&amp;"C$5:C1000"), $E34, INDIRECT("'"&amp;Assemblies[Assy]&amp;"'!"&amp;"O$5:O1000")), "x",Assemblies[Assy],".",IF(SUMIF(INDIRECT("'"&amp;Assemblies[Assy]&amp;"'!"&amp;"C$5:C1000"), $E34, INDIRECT("'"&amp;Assemblies[Assy]&amp;"'!"&amp;"B$5:B1000"))=0,NA(),SUMIF(INDIRECT("'"&amp;Assemblies[Assy]&amp;"'!"&amp;"C$5:C1000"), $E34, INDIRECT("'"&amp;Assemblies[Assy]&amp;"'!"&amp;"A$5:A1000")))),"")), " ,", ""))</f>
        <v>, 2x1.1.0,</v>
      </c>
      <c r="I34" s="285" t="s">
        <v>1473</v>
      </c>
      <c r="J34" s="216" t="str">
        <f>Assemblies[[#This Row],[Assy]]</f>
        <v>1.1.7</v>
      </c>
    </row>
    <row r="35" spans="1:10" x14ac:dyDescent="0.25">
      <c r="A35" t="str">
        <f ca="1">'PG10'!$E$2</f>
        <v>PG10</v>
      </c>
      <c r="B35" s="202" t="s">
        <v>1533</v>
      </c>
      <c r="C35" s="24" t="s">
        <v>1470</v>
      </c>
      <c r="D35" s="134" t="s">
        <v>54</v>
      </c>
      <c r="E35" t="str">
        <f t="shared" ca="1" si="0"/>
        <v>PG10.1.1.8.0.A</v>
      </c>
      <c r="F35" t="s">
        <v>1534</v>
      </c>
      <c r="G35" s="19" cm="1">
        <f t="array" aca="1" ref="G35" ca="1">SUMPRODUCT(SUMIF(INDIRECT("'"&amp;Assemblies[Assy]&amp;"'!"&amp;"C5:C1000"),E35,(INDIRECT("'"&amp;Assemblies[Assy]&amp;"'!"&amp;"O5:O1000"))))</f>
        <v>2</v>
      </c>
      <c r="H35" t="str" cm="1">
        <f t="array" aca="1" ref="H35" ca="1">TRIM(SUBSTITUTE(_xlfn.ARRAYTOTEXT(IFERROR(CONCATENATE(SUMIF(INDIRECT("'"&amp;Assemblies[Assy]&amp;"'!"&amp;"C$5:C1000"), $E35, INDIRECT("'"&amp;Assemblies[Assy]&amp;"'!"&amp;"O$5:O1000")), "x",Assemblies[Assy],".",IF(SUMIF(INDIRECT("'"&amp;Assemblies[Assy]&amp;"'!"&amp;"C$5:C1000"), $E35, INDIRECT("'"&amp;Assemblies[Assy]&amp;"'!"&amp;"B$5:B1000"))=0,NA(),SUMIF(INDIRECT("'"&amp;Assemblies[Assy]&amp;"'!"&amp;"C$5:C1000"), $E35, INDIRECT("'"&amp;Assemblies[Assy]&amp;"'!"&amp;"A$5:A1000")))),"")), " ,", ""))</f>
        <v>, 2x1.1.0,</v>
      </c>
      <c r="I35" s="285" t="s">
        <v>1473</v>
      </c>
      <c r="J35" s="216" t="str">
        <f>Assemblies[[#This Row],[Assy]]</f>
        <v>1.1.8</v>
      </c>
    </row>
    <row r="36" spans="1:10" x14ac:dyDescent="0.25">
      <c r="A36" t="str">
        <f ca="1">'PG10'!$E$2</f>
        <v>PG10</v>
      </c>
      <c r="B36" s="202" t="s">
        <v>1535</v>
      </c>
      <c r="C36" s="24" t="s">
        <v>1470</v>
      </c>
      <c r="D36" s="134" t="s">
        <v>54</v>
      </c>
      <c r="E36" t="str">
        <f t="shared" ca="1" si="0"/>
        <v>PG10.1.1.9.0.A</v>
      </c>
      <c r="F36" t="s">
        <v>1536</v>
      </c>
      <c r="G36" s="19" cm="1">
        <f t="array" aca="1" ref="G36" ca="1">SUMPRODUCT(SUMIF(INDIRECT("'"&amp;Assemblies[Assy]&amp;"'!"&amp;"C5:C1000"),E36,(INDIRECT("'"&amp;Assemblies[Assy]&amp;"'!"&amp;"O5:O1000"))))</f>
        <v>4</v>
      </c>
      <c r="H36" t="str" cm="1">
        <f t="array" aca="1" ref="H36" ca="1">TRIM(SUBSTITUTE(_xlfn.ARRAYTOTEXT(IFERROR(CONCATENATE(SUMIF(INDIRECT("'"&amp;Assemblies[Assy]&amp;"'!"&amp;"C$5:C1000"), $E36, INDIRECT("'"&amp;Assemblies[Assy]&amp;"'!"&amp;"O$5:O1000")), "x",Assemblies[Assy],".",IF(SUMIF(INDIRECT("'"&amp;Assemblies[Assy]&amp;"'!"&amp;"C$5:C1000"), $E36, INDIRECT("'"&amp;Assemblies[Assy]&amp;"'!"&amp;"B$5:B1000"))=0,NA(),SUMIF(INDIRECT("'"&amp;Assemblies[Assy]&amp;"'!"&amp;"C$5:C1000"), $E36, INDIRECT("'"&amp;Assemblies[Assy]&amp;"'!"&amp;"A$5:A1000")))),"")), " ,", ""))</f>
        <v>, 4x1.1.0,</v>
      </c>
      <c r="I36" s="285" t="s">
        <v>1473</v>
      </c>
      <c r="J36" s="216" t="str">
        <f>Assemblies[[#This Row],[Assy]]</f>
        <v>1.1.9</v>
      </c>
    </row>
    <row r="37" spans="1:10" x14ac:dyDescent="0.25">
      <c r="A37" t="str">
        <f ca="1">'PG10'!$E$2</f>
        <v>PG10</v>
      </c>
      <c r="B37" s="196" t="s">
        <v>1537</v>
      </c>
      <c r="C37" s="24" t="s">
        <v>1470</v>
      </c>
      <c r="D37" s="134" t="s">
        <v>54</v>
      </c>
      <c r="E37" t="str">
        <f t="shared" ca="1" si="0"/>
        <v>PG10.1.2.0.A</v>
      </c>
      <c r="F37" t="s">
        <v>1538</v>
      </c>
      <c r="G37" s="19" cm="1">
        <f t="array" aca="1" ref="G37" ca="1">SUMPRODUCT(SUMIF(INDIRECT("'"&amp;Assemblies[Assy]&amp;"'!"&amp;"C5:C1000"),E37,(INDIRECT("'"&amp;Assemblies[Assy]&amp;"'!"&amp;"O5:O1000"))))</f>
        <v>2</v>
      </c>
      <c r="H37" t="str" cm="1">
        <f t="array" aca="1" ref="H37" ca="1">TRIM(SUBSTITUTE(_xlfn.ARRAYTOTEXT(IFERROR(CONCATENATE(SUMIF(INDIRECT("'"&amp;Assemblies[Assy]&amp;"'!"&amp;"C$5:C1000"), $E37, INDIRECT("'"&amp;Assemblies[Assy]&amp;"'!"&amp;"O$5:O1000")), "x",Assemblies[Assy],".",IF(SUMIF(INDIRECT("'"&amp;Assemblies[Assy]&amp;"'!"&amp;"C$5:C1000"), $E37, INDIRECT("'"&amp;Assemblies[Assy]&amp;"'!"&amp;"B$5:B1000"))=0,NA(),SUMIF(INDIRECT("'"&amp;Assemblies[Assy]&amp;"'!"&amp;"C$5:C1000"), $E37, INDIRECT("'"&amp;Assemblies[Assy]&amp;"'!"&amp;"A$5:A1000")))),"")), " ,", ""))</f>
        <v>, 2x1.0,</v>
      </c>
      <c r="I37" s="285" t="s">
        <v>1473</v>
      </c>
      <c r="J37" s="217" t="str">
        <f>Assemblies[[#This Row],[Assy]]</f>
        <v>1.2</v>
      </c>
    </row>
    <row r="38" spans="1:10" x14ac:dyDescent="0.25">
      <c r="A38" t="str">
        <f ca="1">'PG10'!$E$2</f>
        <v>PG10</v>
      </c>
      <c r="B38" s="202" t="s">
        <v>1539</v>
      </c>
      <c r="C38" s="24" t="s">
        <v>1470</v>
      </c>
      <c r="D38" s="134" t="s">
        <v>54</v>
      </c>
      <c r="E38" t="str">
        <f t="shared" ca="1" si="0"/>
        <v>PG10.1.2.1.0.A</v>
      </c>
      <c r="F38" t="s">
        <v>1540</v>
      </c>
      <c r="G38" s="19" cm="1">
        <f t="array" aca="1" ref="G38" ca="1">SUMPRODUCT(SUMIF(INDIRECT("'"&amp;Assemblies[Assy]&amp;"'!"&amp;"C5:C1000"),E38,(INDIRECT("'"&amp;Assemblies[Assy]&amp;"'!"&amp;"O5:O1000"))))</f>
        <v>2</v>
      </c>
      <c r="H38" t="str" cm="1">
        <f t="array" aca="1" ref="H38" ca="1">TRIM(SUBSTITUTE(_xlfn.ARRAYTOTEXT(IFERROR(CONCATENATE(SUMIF(INDIRECT("'"&amp;Assemblies[Assy]&amp;"'!"&amp;"C$5:C1000"), $E38, INDIRECT("'"&amp;Assemblies[Assy]&amp;"'!"&amp;"O$5:O1000")), "x",Assemblies[Assy],".",IF(SUMIF(INDIRECT("'"&amp;Assemblies[Assy]&amp;"'!"&amp;"C$5:C1000"), $E38, INDIRECT("'"&amp;Assemblies[Assy]&amp;"'!"&amp;"B$5:B1000"))=0,NA(),SUMIF(INDIRECT("'"&amp;Assemblies[Assy]&amp;"'!"&amp;"C$5:C1000"), $E38, INDIRECT("'"&amp;Assemblies[Assy]&amp;"'!"&amp;"A$5:A1000")))),"")), " ,", ""))</f>
        <v>, 2x1.2.0,</v>
      </c>
      <c r="I38" s="285" t="s">
        <v>1473</v>
      </c>
      <c r="J38" s="217" t="str">
        <f>Assemblies[[#This Row],[Assy]]</f>
        <v>1.2.1</v>
      </c>
    </row>
    <row r="39" spans="1:10" x14ac:dyDescent="0.25">
      <c r="A39" t="str">
        <f ca="1">'PG10'!$E$2</f>
        <v>PG10</v>
      </c>
      <c r="B39" s="202" t="s">
        <v>1541</v>
      </c>
      <c r="C39" s="24" t="s">
        <v>1470</v>
      </c>
      <c r="D39" s="134" t="s">
        <v>54</v>
      </c>
      <c r="E39" t="str">
        <f t="shared" ca="1" si="0"/>
        <v>PG10.1.2.2.0.A</v>
      </c>
      <c r="F39" t="s">
        <v>1542</v>
      </c>
      <c r="G39" s="19" cm="1">
        <f t="array" aca="1" ref="G39" ca="1">SUMPRODUCT(SUMIF(INDIRECT("'"&amp;Assemblies[Assy]&amp;"'!"&amp;"C5:C1000"),E39,(INDIRECT("'"&amp;Assemblies[Assy]&amp;"'!"&amp;"O5:O1000"))))</f>
        <v>2</v>
      </c>
      <c r="H39" t="str" cm="1">
        <f t="array" aca="1" ref="H39" ca="1">TRIM(SUBSTITUTE(_xlfn.ARRAYTOTEXT(IFERROR(CONCATENATE(SUMIF(INDIRECT("'"&amp;Assemblies[Assy]&amp;"'!"&amp;"C$5:C1000"), $E39, INDIRECT("'"&amp;Assemblies[Assy]&amp;"'!"&amp;"O$5:O1000")), "x",Assemblies[Assy],".",IF(SUMIF(INDIRECT("'"&amp;Assemblies[Assy]&amp;"'!"&amp;"C$5:C1000"), $E39, INDIRECT("'"&amp;Assemblies[Assy]&amp;"'!"&amp;"B$5:B1000"))=0,NA(),SUMIF(INDIRECT("'"&amp;Assemblies[Assy]&amp;"'!"&amp;"C$5:C1000"), $E39, INDIRECT("'"&amp;Assemblies[Assy]&amp;"'!"&amp;"A$5:A1000")))),"")), " ,", ""))</f>
        <v>, 2x1.2.0,</v>
      </c>
      <c r="I39" s="285" t="s">
        <v>1473</v>
      </c>
      <c r="J39" s="217" t="str">
        <f>Assemblies[[#This Row],[Assy]]</f>
        <v>1.2.2</v>
      </c>
    </row>
    <row r="40" spans="1:10" x14ac:dyDescent="0.25">
      <c r="A40" t="str">
        <f ca="1">'PG10'!$E$2</f>
        <v>PG10</v>
      </c>
      <c r="B40" s="202" t="s">
        <v>1543</v>
      </c>
      <c r="C40" s="24" t="s">
        <v>1470</v>
      </c>
      <c r="D40" s="134" t="s">
        <v>54</v>
      </c>
      <c r="E40" t="str">
        <f t="shared" ca="1" si="0"/>
        <v>PG10.1.2.3.0.A</v>
      </c>
      <c r="F40" t="s">
        <v>1544</v>
      </c>
      <c r="G40" s="19" cm="1">
        <f t="array" aca="1" ref="G40" ca="1">SUMPRODUCT(SUMIF(INDIRECT("'"&amp;Assemblies[Assy]&amp;"'!"&amp;"C5:C1000"),E40,(INDIRECT("'"&amp;Assemblies[Assy]&amp;"'!"&amp;"O5:O1000"))))</f>
        <v>2</v>
      </c>
      <c r="H40" t="str" cm="1">
        <f t="array" aca="1" ref="H40" ca="1">TRIM(SUBSTITUTE(_xlfn.ARRAYTOTEXT(IFERROR(CONCATENATE(SUMIF(INDIRECT("'"&amp;Assemblies[Assy]&amp;"'!"&amp;"C$5:C1000"), $E40, INDIRECT("'"&amp;Assemblies[Assy]&amp;"'!"&amp;"O$5:O1000")), "x",Assemblies[Assy],".",IF(SUMIF(INDIRECT("'"&amp;Assemblies[Assy]&amp;"'!"&amp;"C$5:C1000"), $E40, INDIRECT("'"&amp;Assemblies[Assy]&amp;"'!"&amp;"B$5:B1000"))=0,NA(),SUMIF(INDIRECT("'"&amp;Assemblies[Assy]&amp;"'!"&amp;"C$5:C1000"), $E40, INDIRECT("'"&amp;Assemblies[Assy]&amp;"'!"&amp;"A$5:A1000")))),"")), " ,", ""))</f>
        <v>, 2x1.2.0,</v>
      </c>
      <c r="I40" s="285" t="s">
        <v>1473</v>
      </c>
      <c r="J40" s="217" t="str">
        <f>Assemblies[[#This Row],[Assy]]</f>
        <v>1.2.3</v>
      </c>
    </row>
    <row r="41" spans="1:10" x14ac:dyDescent="0.25">
      <c r="A41" t="str">
        <f ca="1">'PG10'!$E$2</f>
        <v>PG10</v>
      </c>
      <c r="B41" s="196" t="s">
        <v>1545</v>
      </c>
      <c r="C41" s="24" t="s">
        <v>1470</v>
      </c>
      <c r="D41" s="134" t="s">
        <v>54</v>
      </c>
      <c r="E41" t="str">
        <f t="shared" ca="1" si="0"/>
        <v>PG10.1.3.0.A</v>
      </c>
      <c r="F41" t="s">
        <v>1546</v>
      </c>
      <c r="G41" s="19" cm="1">
        <f t="array" aca="1" ref="G41" ca="1">SUMPRODUCT(SUMIF(INDIRECT("'"&amp;Assemblies[Assy]&amp;"'!"&amp;"C5:C1000"),E41,(INDIRECT("'"&amp;Assemblies[Assy]&amp;"'!"&amp;"O5:O1000"))))</f>
        <v>2</v>
      </c>
      <c r="H41" t="str" cm="1">
        <f t="array" aca="1" ref="H41" ca="1">TRIM(SUBSTITUTE(_xlfn.ARRAYTOTEXT(IFERROR(CONCATENATE(SUMIF(INDIRECT("'"&amp;Assemblies[Assy]&amp;"'!"&amp;"C$5:C1000"), $E41, INDIRECT("'"&amp;Assemblies[Assy]&amp;"'!"&amp;"O$5:O1000")), "x",Assemblies[Assy],".",IF(SUMIF(INDIRECT("'"&amp;Assemblies[Assy]&amp;"'!"&amp;"C$5:C1000"), $E41, INDIRECT("'"&amp;Assemblies[Assy]&amp;"'!"&amp;"B$5:B1000"))=0,NA(),SUMIF(INDIRECT("'"&amp;Assemblies[Assy]&amp;"'!"&amp;"C$5:C1000"), $E41, INDIRECT("'"&amp;Assemblies[Assy]&amp;"'!"&amp;"A$5:A1000")))),"")), " ,", ""))</f>
        <v>, 2x1.0,</v>
      </c>
      <c r="I41" s="285" t="s">
        <v>1473</v>
      </c>
      <c r="J41" s="218" t="str">
        <f>Assemblies[[#This Row],[Assy]]</f>
        <v>1.3</v>
      </c>
    </row>
    <row r="42" spans="1:10" x14ac:dyDescent="0.25">
      <c r="A42" t="str">
        <f ca="1">'PG10'!$E$2</f>
        <v>PG10</v>
      </c>
      <c r="B42" s="202" t="s">
        <v>1547</v>
      </c>
      <c r="C42" s="24" t="s">
        <v>1470</v>
      </c>
      <c r="D42" s="134" t="s">
        <v>54</v>
      </c>
      <c r="E42" t="str">
        <f t="shared" ca="1" si="0"/>
        <v>PG10.1.3.1.0.A</v>
      </c>
      <c r="F42" t="s">
        <v>1548</v>
      </c>
      <c r="G42" s="19" cm="1">
        <f t="array" aca="1" ref="G42" ca="1">SUMPRODUCT(SUMIF(INDIRECT("'"&amp;Assemblies[Assy]&amp;"'!"&amp;"C5:C1000"),E42,(INDIRECT("'"&amp;Assemblies[Assy]&amp;"'!"&amp;"O5:O1000"))))</f>
        <v>5</v>
      </c>
      <c r="H42" t="str" cm="1">
        <f t="array" aca="1" ref="H42" ca="1">TRIM(SUBSTITUTE(_xlfn.ARRAYTOTEXT(IFERROR(CONCATENATE(SUMIF(INDIRECT("'"&amp;Assemblies[Assy]&amp;"'!"&amp;"C$5:C1000"), $E42, INDIRECT("'"&amp;Assemblies[Assy]&amp;"'!"&amp;"O$5:O1000")), "x",Assemblies[Assy],".",IF(SUMIF(INDIRECT("'"&amp;Assemblies[Assy]&amp;"'!"&amp;"C$5:C1000"), $E42, INDIRECT("'"&amp;Assemblies[Assy]&amp;"'!"&amp;"B$5:B1000"))=0,NA(),SUMIF(INDIRECT("'"&amp;Assemblies[Assy]&amp;"'!"&amp;"C$5:C1000"), $E42, INDIRECT("'"&amp;Assemblies[Assy]&amp;"'!"&amp;"A$5:A1000")))),"")), " ,", ""))</f>
        <v>, 2x1.3.0, 3x2.3.0,</v>
      </c>
      <c r="I42" s="285" t="s">
        <v>1473</v>
      </c>
      <c r="J42" s="218" t="str">
        <f>Assemblies[[#This Row],[Assy]]</f>
        <v>1.3.1</v>
      </c>
    </row>
    <row r="43" spans="1:10" x14ac:dyDescent="0.25">
      <c r="A43" t="str">
        <f ca="1">'PG10'!$E$2</f>
        <v>PG10</v>
      </c>
      <c r="B43" s="202" t="s">
        <v>1549</v>
      </c>
      <c r="C43" s="24" t="s">
        <v>1470</v>
      </c>
      <c r="D43" s="134" t="s">
        <v>54</v>
      </c>
      <c r="E43" t="str">
        <f t="shared" ca="1" si="0"/>
        <v>PG10.1.3.2.0.A</v>
      </c>
      <c r="F43" t="s">
        <v>1550</v>
      </c>
      <c r="G43" s="19" cm="1">
        <f t="array" aca="1" ref="G43" ca="1">SUMPRODUCT(SUMIF(INDIRECT("'"&amp;Assemblies[Assy]&amp;"'!"&amp;"C5:C1000"),E43,(INDIRECT("'"&amp;Assemblies[Assy]&amp;"'!"&amp;"O5:O1000"))))</f>
        <v>5</v>
      </c>
      <c r="H43" t="str" cm="1">
        <f t="array" aca="1" ref="H43" ca="1">TRIM(SUBSTITUTE(_xlfn.ARRAYTOTEXT(IFERROR(CONCATENATE(SUMIF(INDIRECT("'"&amp;Assemblies[Assy]&amp;"'!"&amp;"C$5:C1000"), $E43, INDIRECT("'"&amp;Assemblies[Assy]&amp;"'!"&amp;"O$5:O1000")), "x",Assemblies[Assy],".",IF(SUMIF(INDIRECT("'"&amp;Assemblies[Assy]&amp;"'!"&amp;"C$5:C1000"), $E43, INDIRECT("'"&amp;Assemblies[Assy]&amp;"'!"&amp;"B$5:B1000"))=0,NA(),SUMIF(INDIRECT("'"&amp;Assemblies[Assy]&amp;"'!"&amp;"C$5:C1000"), $E43, INDIRECT("'"&amp;Assemblies[Assy]&amp;"'!"&amp;"A$5:A1000")))),"")), " ,", ""))</f>
        <v>, 2x1.3.0, 3x2.3.0,</v>
      </c>
      <c r="I43" s="285" t="s">
        <v>1473</v>
      </c>
      <c r="J43" s="218" t="str">
        <f>Assemblies[[#This Row],[Assy]]</f>
        <v>1.3.2</v>
      </c>
    </row>
    <row r="44" spans="1:10" x14ac:dyDescent="0.25">
      <c r="A44" t="str">
        <f ca="1">'PG10'!$E$2</f>
        <v>PG10</v>
      </c>
      <c r="B44" s="202" t="s">
        <v>1551</v>
      </c>
      <c r="C44" s="24" t="s">
        <v>1470</v>
      </c>
      <c r="D44" s="134" t="s">
        <v>54</v>
      </c>
      <c r="E44" t="str">
        <f t="shared" ca="1" si="0"/>
        <v>PG10.1.3.4.0.A</v>
      </c>
      <c r="F44" t="s">
        <v>1552</v>
      </c>
      <c r="G44" s="19" cm="1">
        <f t="array" aca="1" ref="G44" ca="1">SUMPRODUCT(SUMIF(INDIRECT("'"&amp;Assemblies[Assy]&amp;"'!"&amp;"C5:C1000"),E44,(INDIRECT("'"&amp;Assemblies[Assy]&amp;"'!"&amp;"O5:O1000"))))</f>
        <v>2</v>
      </c>
      <c r="H44" t="str" cm="1">
        <f t="array" aca="1" ref="H44" ca="1">TRIM(SUBSTITUTE(_xlfn.ARRAYTOTEXT(IFERROR(CONCATENATE(SUMIF(INDIRECT("'"&amp;Assemblies[Assy]&amp;"'!"&amp;"C$5:C1000"), $E44, INDIRECT("'"&amp;Assemblies[Assy]&amp;"'!"&amp;"O$5:O1000")), "x",Assemblies[Assy],".",IF(SUMIF(INDIRECT("'"&amp;Assemblies[Assy]&amp;"'!"&amp;"C$5:C1000"), $E44, INDIRECT("'"&amp;Assemblies[Assy]&amp;"'!"&amp;"B$5:B1000"))=0,NA(),SUMIF(INDIRECT("'"&amp;Assemblies[Assy]&amp;"'!"&amp;"C$5:C1000"), $E44, INDIRECT("'"&amp;Assemblies[Assy]&amp;"'!"&amp;"A$5:A1000")))),"")), " ,", ""))</f>
        <v>, 2x1.3.0,</v>
      </c>
      <c r="I44" s="285" t="s">
        <v>1473</v>
      </c>
      <c r="J44" s="218" t="str">
        <f>Assemblies[[#This Row],[Assy]]</f>
        <v>1.3.4</v>
      </c>
    </row>
    <row r="45" spans="1:10" x14ac:dyDescent="0.25">
      <c r="A45" t="str">
        <f ca="1">'PG10'!$E$2</f>
        <v>PG10</v>
      </c>
      <c r="B45" s="202" t="s">
        <v>1553</v>
      </c>
      <c r="C45" s="24" t="s">
        <v>1470</v>
      </c>
      <c r="D45" s="134" t="s">
        <v>54</v>
      </c>
      <c r="E45" t="str">
        <f t="shared" ca="1" si="0"/>
        <v>PG10.1.3.5.0.A</v>
      </c>
      <c r="F45" t="s">
        <v>1554</v>
      </c>
      <c r="G45" s="19" cm="1">
        <f t="array" aca="1" ref="G45" ca="1">SUMPRODUCT(SUMIF(INDIRECT("'"&amp;Assemblies[Assy]&amp;"'!"&amp;"C5:C1000"),E45,(INDIRECT("'"&amp;Assemblies[Assy]&amp;"'!"&amp;"O5:O1000"))))</f>
        <v>5</v>
      </c>
      <c r="H45" t="str" cm="1">
        <f t="array" aca="1" ref="H45" ca="1">TRIM(SUBSTITUTE(_xlfn.ARRAYTOTEXT(IFERROR(CONCATENATE(SUMIF(INDIRECT("'"&amp;Assemblies[Assy]&amp;"'!"&amp;"C$5:C1000"), $E45, INDIRECT("'"&amp;Assemblies[Assy]&amp;"'!"&amp;"O$5:O1000")), "x",Assemblies[Assy],".",IF(SUMIF(INDIRECT("'"&amp;Assemblies[Assy]&amp;"'!"&amp;"C$5:C1000"), $E45, INDIRECT("'"&amp;Assemblies[Assy]&amp;"'!"&amp;"B$5:B1000"))=0,NA(),SUMIF(INDIRECT("'"&amp;Assemblies[Assy]&amp;"'!"&amp;"C$5:C1000"), $E45, INDIRECT("'"&amp;Assemblies[Assy]&amp;"'!"&amp;"A$5:A1000")))),"")), " ,", ""))</f>
        <v>, 2x1.3.0, 3x2.3.0,</v>
      </c>
      <c r="I45" s="285" t="s">
        <v>1473</v>
      </c>
      <c r="J45" s="218" t="str">
        <f>Assemblies[[#This Row],[Assy]]</f>
        <v>1.3.5</v>
      </c>
    </row>
    <row r="46" spans="1:10" x14ac:dyDescent="0.25">
      <c r="A46" t="str">
        <f ca="1">'PG10'!$E$2</f>
        <v>PG10</v>
      </c>
      <c r="B46" s="202" t="s">
        <v>1555</v>
      </c>
      <c r="C46" s="24" t="s">
        <v>1470</v>
      </c>
      <c r="D46" s="134" t="s">
        <v>54</v>
      </c>
      <c r="E46" t="str">
        <f t="shared" ca="1" si="0"/>
        <v>PG10.1.3.6.0.A</v>
      </c>
      <c r="F46" t="s">
        <v>1556</v>
      </c>
      <c r="G46" s="19" cm="1">
        <f t="array" aca="1" ref="G46" ca="1">SUMPRODUCT(SUMIF(INDIRECT("'"&amp;Assemblies[Assy]&amp;"'!"&amp;"C5:C1000"),E46,(INDIRECT("'"&amp;Assemblies[Assy]&amp;"'!"&amp;"O5:O1000"))))</f>
        <v>5</v>
      </c>
      <c r="H46" t="str" cm="1">
        <f t="array" aca="1" ref="H46" ca="1">TRIM(SUBSTITUTE(_xlfn.ARRAYTOTEXT(IFERROR(CONCATENATE(SUMIF(INDIRECT("'"&amp;Assemblies[Assy]&amp;"'!"&amp;"C$5:C1000"), $E46, INDIRECT("'"&amp;Assemblies[Assy]&amp;"'!"&amp;"O$5:O1000")), "x",Assemblies[Assy],".",IF(SUMIF(INDIRECT("'"&amp;Assemblies[Assy]&amp;"'!"&amp;"C$5:C1000"), $E46, INDIRECT("'"&amp;Assemblies[Assy]&amp;"'!"&amp;"B$5:B1000"))=0,NA(),SUMIF(INDIRECT("'"&amp;Assemblies[Assy]&amp;"'!"&amp;"C$5:C1000"), $E46, INDIRECT("'"&amp;Assemblies[Assy]&amp;"'!"&amp;"A$5:A1000")))),"")), " ,", ""))</f>
        <v>, 2x1.3.0, 3x2.3.0,</v>
      </c>
      <c r="I46" s="285" t="s">
        <v>1473</v>
      </c>
      <c r="J46" s="218" t="str">
        <f>Assemblies[[#This Row],[Assy]]</f>
        <v>1.3.6</v>
      </c>
    </row>
    <row r="47" spans="1:10" x14ac:dyDescent="0.25">
      <c r="A47" t="s">
        <v>1475</v>
      </c>
      <c r="B47" s="204" t="s">
        <v>1557</v>
      </c>
      <c r="C47" s="24" t="s">
        <v>1470</v>
      </c>
      <c r="D47" s="134" t="s">
        <v>54</v>
      </c>
      <c r="E47" t="str">
        <f t="shared" si="0"/>
        <v>PG10.1.3.7.0.A</v>
      </c>
      <c r="F47" t="s">
        <v>1558</v>
      </c>
      <c r="G47" s="19" cm="1">
        <f t="array" aca="1" ref="G47" ca="1">SUMPRODUCT(SUMIF(INDIRECT("'"&amp;Assemblies[Assy]&amp;"'!"&amp;"C5:C1000"),E47,(INDIRECT("'"&amp;Assemblies[Assy]&amp;"'!"&amp;"O5:O1000"))))</f>
        <v>18</v>
      </c>
      <c r="H47" t="str" cm="1">
        <f t="array" aca="1" ref="H47" ca="1">TRIM(SUBSTITUTE(_xlfn.ARRAYTOTEXT(IFERROR(CONCATENATE(SUMIF(INDIRECT("'"&amp;Assemblies[Assy]&amp;"'!"&amp;"C$5:C1000"), $E47, INDIRECT("'"&amp;Assemblies[Assy]&amp;"'!"&amp;"O$5:O1000")), "x",Assemblies[Assy],".",IF(SUMIF(INDIRECT("'"&amp;Assemblies[Assy]&amp;"'!"&amp;"C$5:C1000"), $E47, INDIRECT("'"&amp;Assemblies[Assy]&amp;"'!"&amp;"B$5:B1000"))=0,NA(),SUMIF(INDIRECT("'"&amp;Assemblies[Assy]&amp;"'!"&amp;"C$5:C1000"), $E47, INDIRECT("'"&amp;Assemblies[Assy]&amp;"'!"&amp;"A$5:A1000")))),"")), " ,", ""))</f>
        <v>, 4x1.3.0, 6x2.3.0, 4x6.9.0, 4x6.10.0,</v>
      </c>
      <c r="I47" s="285" t="s">
        <v>1473</v>
      </c>
      <c r="J47" s="218" t="str">
        <f>Assemblies[[#This Row],[Assy]]</f>
        <v>1.3.7</v>
      </c>
    </row>
    <row r="48" spans="1:10" x14ac:dyDescent="0.25">
      <c r="A48" t="str">
        <f ca="1">'PG10'!$E$2</f>
        <v>PG10</v>
      </c>
      <c r="B48" s="196" t="s">
        <v>1559</v>
      </c>
      <c r="C48" s="24" t="s">
        <v>1470</v>
      </c>
      <c r="D48" s="134" t="s">
        <v>54</v>
      </c>
      <c r="E48" t="str">
        <f t="shared" ca="1" si="0"/>
        <v>PG10.1.4.0.A</v>
      </c>
      <c r="F48" t="s">
        <v>1560</v>
      </c>
      <c r="G48" s="19" cm="1">
        <f t="array" aca="1" ref="G48" ca="1">SUMPRODUCT(SUMIF(INDIRECT("'"&amp;Assemblies[Assy]&amp;"'!"&amp;"C5:C1000"),E48,(INDIRECT("'"&amp;Assemblies[Assy]&amp;"'!"&amp;"O5:O1000"))))</f>
        <v>1</v>
      </c>
      <c r="H48" t="str" cm="1">
        <f t="array" aca="1" ref="H48" ca="1">TRIM(SUBSTITUTE(_xlfn.ARRAYTOTEXT(IFERROR(CONCATENATE(SUMIF(INDIRECT("'"&amp;Assemblies[Assy]&amp;"'!"&amp;"C$5:C1000"), $E48, INDIRECT("'"&amp;Assemblies[Assy]&amp;"'!"&amp;"O$5:O1000")), "x",Assemblies[Assy],".",IF(SUMIF(INDIRECT("'"&amp;Assemblies[Assy]&amp;"'!"&amp;"C$5:C1000"), $E48, INDIRECT("'"&amp;Assemblies[Assy]&amp;"'!"&amp;"B$5:B1000"))=0,NA(),SUMIF(INDIRECT("'"&amp;Assemblies[Assy]&amp;"'!"&amp;"C$5:C1000"), $E48, INDIRECT("'"&amp;Assemblies[Assy]&amp;"'!"&amp;"A$5:A1000")))),"")), " ,", ""))</f>
        <v>, 1x1.0,</v>
      </c>
      <c r="I48" s="285" t="s">
        <v>1473</v>
      </c>
      <c r="J48" s="219" t="str">
        <f>Assemblies[[#This Row],[Assy]]</f>
        <v>1.4</v>
      </c>
    </row>
    <row r="49" spans="1:10" x14ac:dyDescent="0.25">
      <c r="A49" t="str">
        <f ca="1">'PG10'!$E$2</f>
        <v>PG10</v>
      </c>
      <c r="B49" s="205" t="s">
        <v>1561</v>
      </c>
      <c r="C49" s="24" t="s">
        <v>1470</v>
      </c>
      <c r="D49" s="134" t="s">
        <v>54</v>
      </c>
      <c r="E49" t="str">
        <f t="shared" ca="1" si="0"/>
        <v>PG10.1.4.1.0.A</v>
      </c>
      <c r="F49" t="s">
        <v>1562</v>
      </c>
      <c r="G49" s="19" cm="1">
        <f t="array" aca="1" ref="G49" ca="1">SUMPRODUCT(SUMIF(INDIRECT("'"&amp;Assemblies[Assy]&amp;"'!"&amp;"C5:C1000"),E49,(INDIRECT("'"&amp;Assemblies[Assy]&amp;"'!"&amp;"O5:O1000"))))</f>
        <v>16</v>
      </c>
      <c r="H49" t="str" cm="1">
        <f t="array" aca="1" ref="H49" ca="1">TRIM(SUBSTITUTE(_xlfn.ARRAYTOTEXT(IFERROR(CONCATENATE(SUMIF(INDIRECT("'"&amp;Assemblies[Assy]&amp;"'!"&amp;"C$5:C1000"), $E49, INDIRECT("'"&amp;Assemblies[Assy]&amp;"'!"&amp;"O$5:O1000")), "x",Assemblies[Assy],".",IF(SUMIF(INDIRECT("'"&amp;Assemblies[Assy]&amp;"'!"&amp;"C$5:C1000"), $E49, INDIRECT("'"&amp;Assemblies[Assy]&amp;"'!"&amp;"B$5:B1000"))=0,NA(),SUMIF(INDIRECT("'"&amp;Assemblies[Assy]&amp;"'!"&amp;"C$5:C1000"), $E49, INDIRECT("'"&amp;Assemblies[Assy]&amp;"'!"&amp;"A$5:A1000")))),"")), " ,", ""))</f>
        <v>, 1x1.4.0, 1x1.5.0, 1x2.2.1.0, 1x2.2.2.0, 1x2.2.3.0, 1x2.2.4.0, 1x3.2.7.0, 1x3.2.8.0, 1x4.2.4.0, 1x4.2.5.0, 1x4.2.6.0, 1x4.2.7.0, 1x4.2.8.0, 1x4.2.9.0, 2x10.1.1.0,</v>
      </c>
      <c r="I49" s="285" t="s">
        <v>1473</v>
      </c>
      <c r="J49" s="219" t="str">
        <f>Assemblies[[#This Row],[Assy]]</f>
        <v>1.4.1</v>
      </c>
    </row>
    <row r="50" spans="1:10" x14ac:dyDescent="0.25">
      <c r="A50" t="str">
        <f ca="1">'PG10'!$E$2</f>
        <v>PG10</v>
      </c>
      <c r="B50" s="202" t="s">
        <v>1563</v>
      </c>
      <c r="C50" s="24" t="s">
        <v>1470</v>
      </c>
      <c r="D50" s="134" t="s">
        <v>54</v>
      </c>
      <c r="E50" t="str">
        <f t="shared" ca="1" si="0"/>
        <v>PG10.1.4.2.0.A</v>
      </c>
      <c r="F50" t="s">
        <v>1564</v>
      </c>
      <c r="G50" s="19" cm="1">
        <f t="array" aca="1" ref="G50" ca="1">SUMPRODUCT(SUMIF(INDIRECT("'"&amp;Assemblies[Assy]&amp;"'!"&amp;"C5:C1000"),E50,(INDIRECT("'"&amp;Assemblies[Assy]&amp;"'!"&amp;"O5:O1000"))))</f>
        <v>36</v>
      </c>
      <c r="H50" t="str" cm="1">
        <f t="array" aca="1" ref="H50" ca="1">TRIM(SUBSTITUTE(_xlfn.ARRAYTOTEXT(IFERROR(CONCATENATE(SUMIF(INDIRECT("'"&amp;Assemblies[Assy]&amp;"'!"&amp;"C$5:C1000"), $E50, INDIRECT("'"&amp;Assemblies[Assy]&amp;"'!"&amp;"O$5:O1000")), "x",Assemblies[Assy],".",IF(SUMIF(INDIRECT("'"&amp;Assemblies[Assy]&amp;"'!"&amp;"C$5:C1000"), $E50, INDIRECT("'"&amp;Assemblies[Assy]&amp;"'!"&amp;"B$5:B1000"))=0,NA(),SUMIF(INDIRECT("'"&amp;Assemblies[Assy]&amp;"'!"&amp;"C$5:C1000"), $E50, INDIRECT("'"&amp;Assemblies[Assy]&amp;"'!"&amp;"A$5:A1000")))),"")), " ,", ""))</f>
        <v>, 1x1.4.0, 1x1.5.0, 2x2.2.1.0, 2x2.2.2.0, 2x2.2.3.0, 2x2.2.4.0, 4x3.2.5.0, 4x3.2.6.0, 2x3.2.7.0, 2x3.2.8.0, 2x4.2.4.0, 2x4.2.5.0, 2x4.2.6.0, 2x4.2.7.0, 2x4.2.8.0, 2x4.2.9.0, 2x10.1.1.0,</v>
      </c>
      <c r="I50" s="285" t="s">
        <v>1473</v>
      </c>
      <c r="J50" s="219" t="str">
        <f>Assemblies[[#This Row],[Assy]]</f>
        <v>1.4.2</v>
      </c>
    </row>
    <row r="51" spans="1:10" x14ac:dyDescent="0.25">
      <c r="A51" t="str">
        <f ca="1">'PG10'!$E$2</f>
        <v>PG10</v>
      </c>
      <c r="B51" s="196" t="s">
        <v>1565</v>
      </c>
      <c r="C51" s="24" t="s">
        <v>1470</v>
      </c>
      <c r="D51" s="134" t="s">
        <v>54</v>
      </c>
      <c r="E51" t="str">
        <f t="shared" ca="1" si="0"/>
        <v>PG10.1.5.0.A</v>
      </c>
      <c r="F51" t="s">
        <v>1566</v>
      </c>
      <c r="G51" s="19" cm="1">
        <f t="array" aca="1" ref="G51" ca="1">SUMPRODUCT(SUMIF(INDIRECT("'"&amp;Assemblies[Assy]&amp;"'!"&amp;"C5:C1000"),E51,(INDIRECT("'"&amp;Assemblies[Assy]&amp;"'!"&amp;"O5:O1000"))))</f>
        <v>1</v>
      </c>
      <c r="H51" t="str" cm="1">
        <f t="array" aca="1" ref="H51" ca="1">TRIM(SUBSTITUTE(_xlfn.ARRAYTOTEXT(IFERROR(CONCATENATE(SUMIF(INDIRECT("'"&amp;Assemblies[Assy]&amp;"'!"&amp;"C$5:C1000"), $E51, INDIRECT("'"&amp;Assemblies[Assy]&amp;"'!"&amp;"O$5:O1000")), "x",Assemblies[Assy],".",IF(SUMIF(INDIRECT("'"&amp;Assemblies[Assy]&amp;"'!"&amp;"C$5:C1000"), $E51, INDIRECT("'"&amp;Assemblies[Assy]&amp;"'!"&amp;"B$5:B1000"))=0,NA(),SUMIF(INDIRECT("'"&amp;Assemblies[Assy]&amp;"'!"&amp;"C$5:C1000"), $E51, INDIRECT("'"&amp;Assemblies[Assy]&amp;"'!"&amp;"A$5:A1000")))),"")), " ,", ""))</f>
        <v>, 1x1.0,</v>
      </c>
      <c r="I51" s="285" t="s">
        <v>1473</v>
      </c>
      <c r="J51" s="220" t="str">
        <f>Assemblies[[#This Row],[Assy]]</f>
        <v>1.5</v>
      </c>
    </row>
    <row r="52" spans="1:10" x14ac:dyDescent="0.25">
      <c r="A52" t="str">
        <f ca="1">'PG10'!$E$2</f>
        <v>PG10</v>
      </c>
      <c r="B52" s="196" t="s">
        <v>1567</v>
      </c>
      <c r="C52" s="24" t="s">
        <v>1470</v>
      </c>
      <c r="D52" s="134" t="s">
        <v>54</v>
      </c>
      <c r="E52" t="str">
        <f t="shared" ca="1" si="0"/>
        <v>PG10.1.6.0.A</v>
      </c>
      <c r="F52" t="s">
        <v>1568</v>
      </c>
      <c r="G52" s="19" cm="1">
        <f t="array" aca="1" ref="G52" ca="1">SUMPRODUCT(SUMIF(INDIRECT("'"&amp;Assemblies[Assy]&amp;"'!"&amp;"C5:C1000"),E52,(INDIRECT("'"&amp;Assemblies[Assy]&amp;"'!"&amp;"O5:O1000"))))</f>
        <v>2</v>
      </c>
      <c r="H52" t="str" cm="1">
        <f t="array" aca="1" ref="H52" ca="1">TRIM(SUBSTITUTE(_xlfn.ARRAYTOTEXT(IFERROR(CONCATENATE(SUMIF(INDIRECT("'"&amp;Assemblies[Assy]&amp;"'!"&amp;"C$5:C1000"), $E52, INDIRECT("'"&amp;Assemblies[Assy]&amp;"'!"&amp;"O$5:O1000")), "x",Assemblies[Assy],".",IF(SUMIF(INDIRECT("'"&amp;Assemblies[Assy]&amp;"'!"&amp;"C$5:C1000"), $E52, INDIRECT("'"&amp;Assemblies[Assy]&amp;"'!"&amp;"B$5:B1000"))=0,NA(),SUMIF(INDIRECT("'"&amp;Assemblies[Assy]&amp;"'!"&amp;"C$5:C1000"), $E52, INDIRECT("'"&amp;Assemblies[Assy]&amp;"'!"&amp;"A$5:A1000")))),"")), " ,", ""))</f>
        <v>, 1x1.0, 1x4.2.0,</v>
      </c>
      <c r="I52" s="285" t="s">
        <v>1473</v>
      </c>
      <c r="J52" s="221" t="str">
        <f>Assemblies[[#This Row],[Assy]]</f>
        <v>1.6</v>
      </c>
    </row>
    <row r="53" spans="1:10" x14ac:dyDescent="0.25">
      <c r="A53" t="str">
        <f ca="1">'PG10'!$E$2</f>
        <v>PG10</v>
      </c>
      <c r="B53" s="196" t="s">
        <v>1569</v>
      </c>
      <c r="C53" s="24" t="s">
        <v>1470</v>
      </c>
      <c r="D53" s="134" t="s">
        <v>54</v>
      </c>
      <c r="E53" t="str">
        <f t="shared" ca="1" si="0"/>
        <v>PG10.1.7.0.A</v>
      </c>
      <c r="F53" t="s">
        <v>1570</v>
      </c>
      <c r="G53" s="19" cm="1">
        <f t="array" aca="1" ref="G53" ca="1">SUMPRODUCT(SUMIF(INDIRECT("'"&amp;Assemblies[Assy]&amp;"'!"&amp;"C5:C1000"),E53,(INDIRECT("'"&amp;Assemblies[Assy]&amp;"'!"&amp;"O5:O1000"))))</f>
        <v>1</v>
      </c>
      <c r="H53" t="str" cm="1">
        <f t="array" aca="1" ref="H53" ca="1">TRIM(SUBSTITUTE(_xlfn.ARRAYTOTEXT(IFERROR(CONCATENATE(SUMIF(INDIRECT("'"&amp;Assemblies[Assy]&amp;"'!"&amp;"C$5:C1000"), $E53, INDIRECT("'"&amp;Assemblies[Assy]&amp;"'!"&amp;"O$5:O1000")), "x",Assemblies[Assy],".",IF(SUMIF(INDIRECT("'"&amp;Assemblies[Assy]&amp;"'!"&amp;"C$5:C1000"), $E53, INDIRECT("'"&amp;Assemblies[Assy]&amp;"'!"&amp;"B$5:B1000"))=0,NA(),SUMIF(INDIRECT("'"&amp;Assemblies[Assy]&amp;"'!"&amp;"C$5:C1000"), $E53, INDIRECT("'"&amp;Assemblies[Assy]&amp;"'!"&amp;"A$5:A1000")))),"")), " ,", ""))</f>
        <v>, 1x1.0,</v>
      </c>
      <c r="I53" s="285" t="s">
        <v>1473</v>
      </c>
      <c r="J53" s="222" t="str">
        <f>Assemblies[[#This Row],[Assy]]</f>
        <v>1.7</v>
      </c>
    </row>
    <row r="54" spans="1:10" x14ac:dyDescent="0.25">
      <c r="A54" t="str">
        <f ca="1">'PG10'!$E$2</f>
        <v>PG10</v>
      </c>
      <c r="B54" s="202" t="s">
        <v>1571</v>
      </c>
      <c r="C54" s="24" t="s">
        <v>1470</v>
      </c>
      <c r="D54" s="134" t="s">
        <v>54</v>
      </c>
      <c r="E54" t="str">
        <f t="shared" ca="1" si="0"/>
        <v>PG10.1.7.1.0.A</v>
      </c>
      <c r="F54" t="s">
        <v>1572</v>
      </c>
      <c r="G54" s="19" cm="1">
        <f t="array" aca="1" ref="G54" ca="1">SUMPRODUCT(SUMIF(INDIRECT("'"&amp;Assemblies[Assy]&amp;"'!"&amp;"C5:C1000"),E54,(INDIRECT("'"&amp;Assemblies[Assy]&amp;"'!"&amp;"O5:O1000"))))</f>
        <v>93</v>
      </c>
      <c r="H54" t="str" cm="1">
        <f t="array" aca="1" ref="H54" ca="1">TRIM(SUBSTITUTE(_xlfn.ARRAYTOTEXT(IFERROR(CONCATENATE(SUMIF(INDIRECT("'"&amp;Assemblies[Assy]&amp;"'!"&amp;"C$5:C1000"), $E54, INDIRECT("'"&amp;Assemblies[Assy]&amp;"'!"&amp;"O$5:O1000")), "x",Assemblies[Assy],".",IF(SUMIF(INDIRECT("'"&amp;Assemblies[Assy]&amp;"'!"&amp;"C$5:C1000"), $E54, INDIRECT("'"&amp;Assemblies[Assy]&amp;"'!"&amp;"B$5:B1000"))=0,NA(),SUMIF(INDIRECT("'"&amp;Assemblies[Assy]&amp;"'!"&amp;"C$5:C1000"), $E54, INDIRECT("'"&amp;Assemblies[Assy]&amp;"'!"&amp;"A$5:A1000")))),"")), " ,", ""))</f>
        <v>, 24x1.7.0, 10x10.1.2.0, 20x10.1.3.0, 12x10.1.4.0, 10x10.1.6.0, 10x10.1.8.0, 7x10.1.11.0,</v>
      </c>
      <c r="I54" s="285" t="s">
        <v>1473</v>
      </c>
      <c r="J54" s="222" t="str">
        <f>Assemblies[[#This Row],[Assy]]</f>
        <v>1.7.1</v>
      </c>
    </row>
    <row r="55" spans="1:10" x14ac:dyDescent="0.25">
      <c r="A55" t="s">
        <v>1475</v>
      </c>
      <c r="B55" s="195" t="s">
        <v>624</v>
      </c>
      <c r="C55" s="24" t="s">
        <v>1470</v>
      </c>
      <c r="D55" s="134" t="s">
        <v>54</v>
      </c>
      <c r="E55" t="str">
        <f t="shared" si="0"/>
        <v>PG10.2.0.A</v>
      </c>
      <c r="F55" t="s">
        <v>1573</v>
      </c>
      <c r="G55" s="19" cm="1">
        <f t="array" aca="1" ref="G55" ca="1">SUMPRODUCT(SUMIF(INDIRECT("'"&amp;Assemblies[Assy]&amp;"'!"&amp;"C5:C1000"),E55,(INDIRECT("'"&amp;Assemblies[Assy]&amp;"'!"&amp;"O5:O1000"))))</f>
        <v>1</v>
      </c>
      <c r="H55" t="str" cm="1">
        <f t="array" aca="1" ref="H55" ca="1">TRIM(SUBSTITUTE(_xlfn.ARRAYTOTEXT(IFERROR(CONCATENATE(SUMIF(INDIRECT("'"&amp;Assemblies[Assy]&amp;"'!"&amp;"C$5:C1000"), $E55, INDIRECT("'"&amp;Assemblies[Assy]&amp;"'!"&amp;"O$5:O1000")), "x",Assemblies[Assy],".",IF(SUMIF(INDIRECT("'"&amp;Assemblies[Assy]&amp;"'!"&amp;"C$5:C1000"), $E55, INDIRECT("'"&amp;Assemblies[Assy]&amp;"'!"&amp;"B$5:B1000"))=0,NA(),SUMIF(INDIRECT("'"&amp;Assemblies[Assy]&amp;"'!"&amp;"C$5:C1000"), $E55, INDIRECT("'"&amp;Assemblies[Assy]&amp;"'!"&amp;"A$5:A1000")))),"")), " ,", ""))</f>
        <v>1x0.0,</v>
      </c>
      <c r="I55" s="285" t="s">
        <v>1473</v>
      </c>
      <c r="J55" s="224" t="str">
        <f>Assemblies[[#This Row],[Assy]]</f>
        <v>2</v>
      </c>
    </row>
    <row r="56" spans="1:10" x14ac:dyDescent="0.25">
      <c r="A56" t="s">
        <v>1475</v>
      </c>
      <c r="B56" s="196" t="s">
        <v>1574</v>
      </c>
      <c r="C56" s="24" t="s">
        <v>1470</v>
      </c>
      <c r="D56" s="134" t="s">
        <v>54</v>
      </c>
      <c r="E56" t="str">
        <f t="shared" si="0"/>
        <v>PG10.2.1.0.A</v>
      </c>
      <c r="F56" t="s">
        <v>1575</v>
      </c>
      <c r="G56" s="19" cm="1">
        <f t="array" aca="1" ref="G56" ca="1">SUMPRODUCT(SUMIF(INDIRECT("'"&amp;Assemblies[Assy]&amp;"'!"&amp;"C5:C1000"),E56,(INDIRECT("'"&amp;Assemblies[Assy]&amp;"'!"&amp;"O5:O1000"))))</f>
        <v>1</v>
      </c>
      <c r="H56" t="str" cm="1">
        <f t="array" aca="1" ref="H56" ca="1">TRIM(SUBSTITUTE(_xlfn.ARRAYTOTEXT(IFERROR(CONCATENATE(SUMIF(INDIRECT("'"&amp;Assemblies[Assy]&amp;"'!"&amp;"C$5:C1000"), $E56, INDIRECT("'"&amp;Assemblies[Assy]&amp;"'!"&amp;"O$5:O1000")), "x",Assemblies[Assy],".",IF(SUMIF(INDIRECT("'"&amp;Assemblies[Assy]&amp;"'!"&amp;"C$5:C1000"), $E56, INDIRECT("'"&amp;Assemblies[Assy]&amp;"'!"&amp;"B$5:B1000"))=0,NA(),SUMIF(INDIRECT("'"&amp;Assemblies[Assy]&amp;"'!"&amp;"C$5:C1000"), $E56, INDIRECT("'"&amp;Assemblies[Assy]&amp;"'!"&amp;"A$5:A1000")))),"")), " ,", ""))</f>
        <v>, 1x2.0,</v>
      </c>
      <c r="I56" s="285" t="s">
        <v>1473</v>
      </c>
      <c r="J56" s="225" t="str">
        <f>Assemblies[[#This Row],[Assy]]</f>
        <v>2.1</v>
      </c>
    </row>
    <row r="57" spans="1:10" x14ac:dyDescent="0.25">
      <c r="A57" t="s">
        <v>1475</v>
      </c>
      <c r="B57" s="202" t="s">
        <v>1576</v>
      </c>
      <c r="C57" s="24" t="s">
        <v>1470</v>
      </c>
      <c r="D57" s="134" t="s">
        <v>54</v>
      </c>
      <c r="E57" t="str">
        <f t="shared" si="0"/>
        <v>PG10.2.1.1.0.A</v>
      </c>
      <c r="F57" t="s">
        <v>1577</v>
      </c>
      <c r="G57" s="19" cm="1">
        <f t="array" aca="1" ref="G57" ca="1">SUMPRODUCT(SUMIF(INDIRECT("'"&amp;Assemblies[Assy]&amp;"'!"&amp;"C5:C1000"),E57,(INDIRECT("'"&amp;Assemblies[Assy]&amp;"'!"&amp;"O5:O1000"))))</f>
        <v>14</v>
      </c>
      <c r="H57" t="str" cm="1">
        <f t="array" aca="1" ref="H57" ca="1">TRIM(SUBSTITUTE(_xlfn.ARRAYTOTEXT(IFERROR(CONCATENATE(SUMIF(INDIRECT("'"&amp;Assemblies[Assy]&amp;"'!"&amp;"C$5:C1000"), $E57, INDIRECT("'"&amp;Assemblies[Assy]&amp;"'!"&amp;"O$5:O1000")), "x",Assemblies[Assy],".",IF(SUMIF(INDIRECT("'"&amp;Assemblies[Assy]&amp;"'!"&amp;"C$5:C1000"), $E57, INDIRECT("'"&amp;Assemblies[Assy]&amp;"'!"&amp;"B$5:B1000"))=0,NA(),SUMIF(INDIRECT("'"&amp;Assemblies[Assy]&amp;"'!"&amp;"C$5:C1000"), $E57, INDIRECT("'"&amp;Assemblies[Assy]&amp;"'!"&amp;"A$5:A1000")))),"")), " ,", ""))</f>
        <v>, 4x2.1.0, 4x3.1.0, 2x4.1.0, 2x4.2.0, 2x10.0,</v>
      </c>
      <c r="I57" s="285" t="s">
        <v>1473</v>
      </c>
      <c r="J57" s="225" t="str">
        <f>Assemblies[[#This Row],[Assy]]</f>
        <v>2.1.1</v>
      </c>
    </row>
    <row r="58" spans="1:10" x14ac:dyDescent="0.25">
      <c r="A58" t="s">
        <v>1475</v>
      </c>
      <c r="B58" s="204" t="s">
        <v>1578</v>
      </c>
      <c r="C58" s="24" t="s">
        <v>1470</v>
      </c>
      <c r="D58" s="134" t="s">
        <v>54</v>
      </c>
      <c r="E58" t="str">
        <f t="shared" si="0"/>
        <v>PG10.2.1.2.0.A</v>
      </c>
      <c r="F58" t="s">
        <v>1579</v>
      </c>
      <c r="G58" s="19" cm="1">
        <f t="array" aca="1" ref="G58" ca="1">SUMPRODUCT(SUMIF(INDIRECT("'"&amp;Assemblies[Assy]&amp;"'!"&amp;"C5:C1000"),E58,(INDIRECT("'"&amp;Assemblies[Assy]&amp;"'!"&amp;"O5:O1000"))))</f>
        <v>2</v>
      </c>
      <c r="H58" t="str" cm="1">
        <f t="array" aca="1" ref="H58" ca="1">TRIM(SUBSTITUTE(_xlfn.ARRAYTOTEXT(IFERROR(CONCATENATE(SUMIF(INDIRECT("'"&amp;Assemblies[Assy]&amp;"'!"&amp;"C$5:C1000"), $E58, INDIRECT("'"&amp;Assemblies[Assy]&amp;"'!"&amp;"O$5:O1000")), "x",Assemblies[Assy],".",IF(SUMIF(INDIRECT("'"&amp;Assemblies[Assy]&amp;"'!"&amp;"C$5:C1000"), $E58, INDIRECT("'"&amp;Assemblies[Assy]&amp;"'!"&amp;"B$5:B1000"))=0,NA(),SUMIF(INDIRECT("'"&amp;Assemblies[Assy]&amp;"'!"&amp;"C$5:C1000"), $E58, INDIRECT("'"&amp;Assemblies[Assy]&amp;"'!"&amp;"A$5:A1000")))),"")), " ,", ""))</f>
        <v>, 2x2.1.0,</v>
      </c>
      <c r="I58" s="285" t="s">
        <v>1473</v>
      </c>
      <c r="J58" s="225" t="str">
        <f>Assemblies[[#This Row],[Assy]]</f>
        <v>2.1.2</v>
      </c>
    </row>
    <row r="59" spans="1:10" x14ac:dyDescent="0.25">
      <c r="A59" t="s">
        <v>1475</v>
      </c>
      <c r="B59" s="204" t="s">
        <v>1580</v>
      </c>
      <c r="C59" s="24" t="s">
        <v>1470</v>
      </c>
      <c r="D59" s="134" t="s">
        <v>54</v>
      </c>
      <c r="E59" t="str">
        <f t="shared" si="0"/>
        <v>PG10.2.1.3.0.A</v>
      </c>
      <c r="F59" t="s">
        <v>1581</v>
      </c>
      <c r="G59" s="19" cm="1">
        <f t="array" aca="1" ref="G59" ca="1">SUMPRODUCT(SUMIF(INDIRECT("'"&amp;Assemblies[Assy]&amp;"'!"&amp;"C5:C1000"),E59,(INDIRECT("'"&amp;Assemblies[Assy]&amp;"'!"&amp;"O5:O1000"))))</f>
        <v>2</v>
      </c>
      <c r="H59" t="str" cm="1">
        <f t="array" aca="1" ref="H59" ca="1">TRIM(SUBSTITUTE(_xlfn.ARRAYTOTEXT(IFERROR(CONCATENATE(SUMIF(INDIRECT("'"&amp;Assemblies[Assy]&amp;"'!"&amp;"C$5:C1000"), $E59, INDIRECT("'"&amp;Assemblies[Assy]&amp;"'!"&amp;"O$5:O1000")), "x",Assemblies[Assy],".",IF(SUMIF(INDIRECT("'"&amp;Assemblies[Assy]&amp;"'!"&amp;"C$5:C1000"), $E59, INDIRECT("'"&amp;Assemblies[Assy]&amp;"'!"&amp;"B$5:B1000"))=0,NA(),SUMIF(INDIRECT("'"&amp;Assemblies[Assy]&amp;"'!"&amp;"C$5:C1000"), $E59, INDIRECT("'"&amp;Assemblies[Assy]&amp;"'!"&amp;"A$5:A1000")))),"")), " ,", ""))</f>
        <v>, 2x2.1.0,</v>
      </c>
      <c r="I59" s="285" t="s">
        <v>1473</v>
      </c>
      <c r="J59" s="225" t="str">
        <f>Assemblies[[#This Row],[Assy]]</f>
        <v>2.1.3</v>
      </c>
    </row>
    <row r="60" spans="1:10" x14ac:dyDescent="0.25">
      <c r="A60" t="s">
        <v>1475</v>
      </c>
      <c r="B60" s="204" t="s">
        <v>1582</v>
      </c>
      <c r="C60" s="24" t="s">
        <v>1470</v>
      </c>
      <c r="D60" s="134" t="s">
        <v>54</v>
      </c>
      <c r="E60" t="str">
        <f t="shared" si="0"/>
        <v>PG10.2.1.4.0.A</v>
      </c>
      <c r="F60" t="s">
        <v>1583</v>
      </c>
      <c r="G60" s="19" cm="1">
        <f t="array" aca="1" ref="G60" ca="1">SUMPRODUCT(SUMIF(INDIRECT("'"&amp;Assemblies[Assy]&amp;"'!"&amp;"C5:C1000"),E60,(INDIRECT("'"&amp;Assemblies[Assy]&amp;"'!"&amp;"O5:O1000"))))</f>
        <v>1</v>
      </c>
      <c r="H60" t="str" cm="1">
        <f t="array" aca="1" ref="H60" ca="1">TRIM(SUBSTITUTE(_xlfn.ARRAYTOTEXT(IFERROR(CONCATENATE(SUMIF(INDIRECT("'"&amp;Assemblies[Assy]&amp;"'!"&amp;"C$5:C1000"), $E60, INDIRECT("'"&amp;Assemblies[Assy]&amp;"'!"&amp;"O$5:O1000")), "x",Assemblies[Assy],".",IF(SUMIF(INDIRECT("'"&amp;Assemblies[Assy]&amp;"'!"&amp;"C$5:C1000"), $E60, INDIRECT("'"&amp;Assemblies[Assy]&amp;"'!"&amp;"B$5:B1000"))=0,NA(),SUMIF(INDIRECT("'"&amp;Assemblies[Assy]&amp;"'!"&amp;"C$5:C1000"), $E60, INDIRECT("'"&amp;Assemblies[Assy]&amp;"'!"&amp;"A$5:A1000")))),"")), " ,", ""))</f>
        <v>, 1x2.1.0,</v>
      </c>
      <c r="I60" s="285" t="s">
        <v>1473</v>
      </c>
      <c r="J60" s="225" t="str">
        <f>Assemblies[[#This Row],[Assy]]</f>
        <v>2.1.4</v>
      </c>
    </row>
    <row r="61" spans="1:10" x14ac:dyDescent="0.25">
      <c r="A61" t="s">
        <v>1475</v>
      </c>
      <c r="B61" s="204" t="s">
        <v>1584</v>
      </c>
      <c r="C61" s="24" t="s">
        <v>1470</v>
      </c>
      <c r="D61" s="134" t="s">
        <v>54</v>
      </c>
      <c r="E61" t="str">
        <f t="shared" si="0"/>
        <v>PG10.2.1.5.0.A</v>
      </c>
      <c r="F61" t="s">
        <v>1585</v>
      </c>
      <c r="G61" s="19" cm="1">
        <f t="array" aca="1" ref="G61" ca="1">SUMPRODUCT(SUMIF(INDIRECT("'"&amp;Assemblies[Assy]&amp;"'!"&amp;"C5:C1000"),E61,(INDIRECT("'"&amp;Assemblies[Assy]&amp;"'!"&amp;"O5:O1000"))))</f>
        <v>1</v>
      </c>
      <c r="H61" t="str" cm="1">
        <f t="array" aca="1" ref="H61" ca="1">TRIM(SUBSTITUTE(_xlfn.ARRAYTOTEXT(IFERROR(CONCATENATE(SUMIF(INDIRECT("'"&amp;Assemblies[Assy]&amp;"'!"&amp;"C$5:C1000"), $E61, INDIRECT("'"&amp;Assemblies[Assy]&amp;"'!"&amp;"O$5:O1000")), "x",Assemblies[Assy],".",IF(SUMIF(INDIRECT("'"&amp;Assemblies[Assy]&amp;"'!"&amp;"C$5:C1000"), $E61, INDIRECT("'"&amp;Assemblies[Assy]&amp;"'!"&amp;"B$5:B1000"))=0,NA(),SUMIF(INDIRECT("'"&amp;Assemblies[Assy]&amp;"'!"&amp;"C$5:C1000"), $E61, INDIRECT("'"&amp;Assemblies[Assy]&amp;"'!"&amp;"A$5:A1000")))),"")), " ,", ""))</f>
        <v>, 1x2.1.0,</v>
      </c>
      <c r="I61" s="285" t="s">
        <v>1473</v>
      </c>
      <c r="J61" s="225" t="str">
        <f>Assemblies[[#This Row],[Assy]]</f>
        <v>2.1.5</v>
      </c>
    </row>
    <row r="62" spans="1:10" x14ac:dyDescent="0.25">
      <c r="A62" t="s">
        <v>1475</v>
      </c>
      <c r="B62" s="204" t="s">
        <v>3730</v>
      </c>
      <c r="C62" s="24" t="s">
        <v>1470</v>
      </c>
      <c r="D62" s="134" t="s">
        <v>54</v>
      </c>
      <c r="E62" t="str">
        <f t="shared" si="0"/>
        <v>PG10.2.1.6.0.A</v>
      </c>
      <c r="F62" t="s">
        <v>1911</v>
      </c>
      <c r="G62" s="19" cm="1">
        <f t="array" aca="1" ref="G62" ca="1">SUMPRODUCT(SUMIF(INDIRECT("'"&amp;Assemblies[Assy]&amp;"'!"&amp;"C5:C1000"),E62,(INDIRECT("'"&amp;Assemblies[Assy]&amp;"'!"&amp;"O5:O1000"))))</f>
        <v>1</v>
      </c>
      <c r="H62" t="str" cm="1">
        <f t="array" aca="1" ref="H62" ca="1">TRIM(SUBSTITUTE(_xlfn.ARRAYTOTEXT(IFERROR(CONCATENATE(SUMIF(INDIRECT("'"&amp;Assemblies[Assy]&amp;"'!"&amp;"C$5:C1000"), $E62, INDIRECT("'"&amp;Assemblies[Assy]&amp;"'!"&amp;"O$5:O1000")), "x",Assemblies[Assy],".",IF(SUMIF(INDIRECT("'"&amp;Assemblies[Assy]&amp;"'!"&amp;"C$5:C1000"), $E62, INDIRECT("'"&amp;Assemblies[Assy]&amp;"'!"&amp;"B$5:B1000"))=0,NA(),SUMIF(INDIRECT("'"&amp;Assemblies[Assy]&amp;"'!"&amp;"C$5:C1000"), $E62, INDIRECT("'"&amp;Assemblies[Assy]&amp;"'!"&amp;"A$5:A1000")))),"")), " ,", ""))</f>
        <v>, 1x2.1.0,</v>
      </c>
      <c r="I62" s="285" t="s">
        <v>1473</v>
      </c>
      <c r="J62" s="225" t="str">
        <f>Assemblies[[#This Row],[Assy]]</f>
        <v>2.1.6</v>
      </c>
    </row>
    <row r="63" spans="1:10" x14ac:dyDescent="0.25">
      <c r="A63" t="s">
        <v>1475</v>
      </c>
      <c r="B63" s="204" t="s">
        <v>3731</v>
      </c>
      <c r="C63" s="24" t="s">
        <v>1470</v>
      </c>
      <c r="D63" s="134" t="s">
        <v>54</v>
      </c>
      <c r="E63" t="str">
        <f t="shared" si="0"/>
        <v>PG10.2.1.7.0.A</v>
      </c>
      <c r="F63" t="s">
        <v>1913</v>
      </c>
      <c r="G63" s="19" cm="1">
        <f t="array" aca="1" ref="G63" ca="1">SUMPRODUCT(SUMIF(INDIRECT("'"&amp;Assemblies[Assy]&amp;"'!"&amp;"C5:C1000"),E63,(INDIRECT("'"&amp;Assemblies[Assy]&amp;"'!"&amp;"O5:O1000"))))</f>
        <v>1</v>
      </c>
      <c r="H63" t="str" cm="1">
        <f t="array" aca="1" ref="H63" ca="1">TRIM(SUBSTITUTE(_xlfn.ARRAYTOTEXT(IFERROR(CONCATENATE(SUMIF(INDIRECT("'"&amp;Assemblies[Assy]&amp;"'!"&amp;"C$5:C1000"), $E63, INDIRECT("'"&amp;Assemblies[Assy]&amp;"'!"&amp;"O$5:O1000")), "x",Assemblies[Assy],".",IF(SUMIF(INDIRECT("'"&amp;Assemblies[Assy]&amp;"'!"&amp;"C$5:C1000"), $E63, INDIRECT("'"&amp;Assemblies[Assy]&amp;"'!"&amp;"B$5:B1000"))=0,NA(),SUMIF(INDIRECT("'"&amp;Assemblies[Assy]&amp;"'!"&amp;"C$5:C1000"), $E63, INDIRECT("'"&amp;Assemblies[Assy]&amp;"'!"&amp;"A$5:A1000")))),"")), " ,", ""))</f>
        <v>, 1x2.1.0,</v>
      </c>
      <c r="I63" s="285" t="s">
        <v>1473</v>
      </c>
      <c r="J63" s="225" t="str">
        <f>Assemblies[[#This Row],[Assy]]</f>
        <v>2.1.7</v>
      </c>
    </row>
    <row r="64" spans="1:10" x14ac:dyDescent="0.25">
      <c r="A64" t="s">
        <v>1475</v>
      </c>
      <c r="B64" s="204" t="s">
        <v>3732</v>
      </c>
      <c r="C64" s="24" t="s">
        <v>1470</v>
      </c>
      <c r="D64" s="134" t="s">
        <v>54</v>
      </c>
      <c r="E64" t="str">
        <f t="shared" si="0"/>
        <v>PG10.2.1.8.0.A</v>
      </c>
      <c r="F64" t="s">
        <v>3733</v>
      </c>
      <c r="G64" s="19" cm="1">
        <f t="array" aca="1" ref="G64" ca="1">SUMPRODUCT(SUMIF(INDIRECT("'"&amp;Assemblies[Assy]&amp;"'!"&amp;"C5:C1000"),E64,(INDIRECT("'"&amp;Assemblies[Assy]&amp;"'!"&amp;"O5:O1000"))))</f>
        <v>1</v>
      </c>
      <c r="H64" t="str" cm="1">
        <f t="array" aca="1" ref="H64" ca="1">TRIM(SUBSTITUTE(_xlfn.ARRAYTOTEXT(IFERROR(CONCATENATE(SUMIF(INDIRECT("'"&amp;Assemblies[Assy]&amp;"'!"&amp;"C$5:C1000"), $E64, INDIRECT("'"&amp;Assemblies[Assy]&amp;"'!"&amp;"O$5:O1000")), "x",Assemblies[Assy],".",IF(SUMIF(INDIRECT("'"&amp;Assemblies[Assy]&amp;"'!"&amp;"C$5:C1000"), $E64, INDIRECT("'"&amp;Assemblies[Assy]&amp;"'!"&amp;"B$5:B1000"))=0,NA(),SUMIF(INDIRECT("'"&amp;Assemblies[Assy]&amp;"'!"&amp;"C$5:C1000"), $E64, INDIRECT("'"&amp;Assemblies[Assy]&amp;"'!"&amp;"A$5:A1000")))),"")), " ,", ""))</f>
        <v>, 1x2.1.0,</v>
      </c>
      <c r="I64" s="285" t="s">
        <v>1473</v>
      </c>
      <c r="J64" s="225" t="str">
        <f>Assemblies[[#This Row],[Assy]]</f>
        <v>2.1.8</v>
      </c>
    </row>
    <row r="65" spans="1:10" x14ac:dyDescent="0.25">
      <c r="A65" t="s">
        <v>1475</v>
      </c>
      <c r="B65" s="196" t="s">
        <v>1586</v>
      </c>
      <c r="C65" s="24" t="s">
        <v>1470</v>
      </c>
      <c r="D65" s="134" t="s">
        <v>54</v>
      </c>
      <c r="E65" t="str">
        <f t="shared" si="0"/>
        <v>PG10.2.2.0.A</v>
      </c>
      <c r="F65" t="s">
        <v>1587</v>
      </c>
      <c r="G65" s="19" cm="1">
        <f t="array" aca="1" ref="G65" ca="1">SUMPRODUCT(SUMIF(INDIRECT("'"&amp;Assemblies[Assy]&amp;"'!"&amp;"C5:C1000"),E65,(INDIRECT("'"&amp;Assemblies[Assy]&amp;"'!"&amp;"O5:O1000"))))</f>
        <v>1</v>
      </c>
      <c r="H65" t="str" cm="1">
        <f t="array" aca="1" ref="H65" ca="1">TRIM(SUBSTITUTE(_xlfn.ARRAYTOTEXT(IFERROR(CONCATENATE(SUMIF(INDIRECT("'"&amp;Assemblies[Assy]&amp;"'!"&amp;"C$5:C1000"), $E65, INDIRECT("'"&amp;Assemblies[Assy]&amp;"'!"&amp;"O$5:O1000")), "x",Assemblies[Assy],".",IF(SUMIF(INDIRECT("'"&amp;Assemblies[Assy]&amp;"'!"&amp;"C$5:C1000"), $E65, INDIRECT("'"&amp;Assemblies[Assy]&amp;"'!"&amp;"B$5:B1000"))=0,NA(),SUMIF(INDIRECT("'"&amp;Assemblies[Assy]&amp;"'!"&amp;"C$5:C1000"), $E65, INDIRECT("'"&amp;Assemblies[Assy]&amp;"'!"&amp;"A$5:A1000")))),"")), " ,", ""))</f>
        <v>, 1x2.0,</v>
      </c>
      <c r="I65" s="285" t="s">
        <v>1473</v>
      </c>
      <c r="J65" s="226" t="str">
        <f>Assemblies[[#This Row],[Assy]]</f>
        <v>2.2</v>
      </c>
    </row>
    <row r="66" spans="1:10" x14ac:dyDescent="0.25">
      <c r="A66" t="s">
        <v>1475</v>
      </c>
      <c r="B66" s="206" t="s">
        <v>1588</v>
      </c>
      <c r="C66" s="24" t="s">
        <v>1470</v>
      </c>
      <c r="D66" s="134" t="s">
        <v>54</v>
      </c>
      <c r="E66" t="str">
        <f t="shared" si="0"/>
        <v>PG10.2.2.1.0.A</v>
      </c>
      <c r="F66" t="s">
        <v>1589</v>
      </c>
      <c r="G66" s="19" cm="1">
        <f t="array" aca="1" ref="G66" ca="1">SUMPRODUCT(SUMIF(INDIRECT("'"&amp;Assemblies[Assy]&amp;"'!"&amp;"C5:C1000"),E66,(INDIRECT("'"&amp;Assemblies[Assy]&amp;"'!"&amp;"O5:O1000"))))</f>
        <v>1</v>
      </c>
      <c r="H66" t="str" cm="1">
        <f t="array" aca="1" ref="H66" ca="1">TRIM(SUBSTITUTE(_xlfn.ARRAYTOTEXT(IFERROR(CONCATENATE(SUMIF(INDIRECT("'"&amp;Assemblies[Assy]&amp;"'!"&amp;"C$5:C1000"), $E66, INDIRECT("'"&amp;Assemblies[Assy]&amp;"'!"&amp;"O$5:O1000")), "x",Assemblies[Assy],".",IF(SUMIF(INDIRECT("'"&amp;Assemblies[Assy]&amp;"'!"&amp;"C$5:C1000"), $E66, INDIRECT("'"&amp;Assemblies[Assy]&amp;"'!"&amp;"B$5:B1000"))=0,NA(),SUMIF(INDIRECT("'"&amp;Assemblies[Assy]&amp;"'!"&amp;"C$5:C1000"), $E66, INDIRECT("'"&amp;Assemblies[Assy]&amp;"'!"&amp;"A$5:A1000")))),"")), " ,", ""))</f>
        <v>, 1x2.2.0,</v>
      </c>
      <c r="I66" s="285" t="s">
        <v>1473</v>
      </c>
      <c r="J66" s="226" t="str">
        <f>Assemblies[[#This Row],[Assy]]</f>
        <v>2.2.1</v>
      </c>
    </row>
    <row r="67" spans="1:10" x14ac:dyDescent="0.25">
      <c r="A67" t="s">
        <v>1475</v>
      </c>
      <c r="B67" s="207" t="s">
        <v>1590</v>
      </c>
      <c r="C67" s="24" t="s">
        <v>1470</v>
      </c>
      <c r="D67" s="134" t="s">
        <v>54</v>
      </c>
      <c r="E67" t="str">
        <f t="shared" ref="E67:E131" si="1">_xlfn.CONCAT(A67,".",B67,".",C67,".",D67)</f>
        <v>PG10.2.2.1.2.0.A</v>
      </c>
      <c r="F67" t="s">
        <v>1591</v>
      </c>
      <c r="G67" s="19" cm="1">
        <f t="array" aca="1" ref="G67" ca="1">SUMPRODUCT(SUMIF(INDIRECT("'"&amp;Assemblies[Assy]&amp;"'!"&amp;"C5:C1000"),E67,(INDIRECT("'"&amp;Assemblies[Assy]&amp;"'!"&amp;"O5:O1000"))))</f>
        <v>36</v>
      </c>
      <c r="H67" t="str" cm="1">
        <f t="array" aca="1" ref="H67" ca="1">TRIM(SUBSTITUTE(_xlfn.ARRAYTOTEXT(IFERROR(CONCATENATE(SUMIF(INDIRECT("'"&amp;Assemblies[Assy]&amp;"'!"&amp;"C$5:C1000"), $E67, INDIRECT("'"&amp;Assemblies[Assy]&amp;"'!"&amp;"O$5:O1000")), "x",Assemblies[Assy],".",IF(SUMIF(INDIRECT("'"&amp;Assemblies[Assy]&amp;"'!"&amp;"C$5:C1000"), $E67, INDIRECT("'"&amp;Assemblies[Assy]&amp;"'!"&amp;"B$5:B1000"))=0,NA(),SUMIF(INDIRECT("'"&amp;Assemblies[Assy]&amp;"'!"&amp;"C$5:C1000"), $E67, INDIRECT("'"&amp;Assemblies[Assy]&amp;"'!"&amp;"A$5:A1000")))),"")), " ,", ""))</f>
        <v>, 2x2.2.1.0, 2x2.2.2.0, 2x2.2.3.0, 2x2.2.4.0, 4x3.2.5.0, 4x3.2.6.0, 2x3.2.7.0, 2x3.2.8.0, 2x4.2.4.0, 2x4.2.5.0, 2x4.2.6.0, 2x4.2.7.0, 2x4.2.8.0, 2x4.2.9.0, 4x10.1.1.0,</v>
      </c>
      <c r="I67" s="285" t="s">
        <v>1473</v>
      </c>
      <c r="J67" s="226" t="str">
        <f>Assemblies[[#This Row],[Assy]]</f>
        <v>2.2.1.2</v>
      </c>
    </row>
    <row r="68" spans="1:10" x14ac:dyDescent="0.25">
      <c r="A68" t="s">
        <v>1475</v>
      </c>
      <c r="B68" s="207" t="s">
        <v>1592</v>
      </c>
      <c r="C68" s="24" t="s">
        <v>1470</v>
      </c>
      <c r="D68" s="134" t="s">
        <v>54</v>
      </c>
      <c r="E68" t="str">
        <f t="shared" si="1"/>
        <v>PG10.2.2.1.1.0.A</v>
      </c>
      <c r="F68" t="s">
        <v>1593</v>
      </c>
      <c r="G68" s="19" cm="1">
        <f t="array" aca="1" ref="G68" ca="1">SUMPRODUCT(SUMIF(INDIRECT("'"&amp;Assemblies[Assy]&amp;"'!"&amp;"C5:C1000"),E68,(INDIRECT("'"&amp;Assemblies[Assy]&amp;"'!"&amp;"O5:O1000"))))</f>
        <v>24</v>
      </c>
      <c r="H68" t="str" cm="1">
        <f t="array" aca="1" ref="H68" ca="1">TRIM(SUBSTITUTE(_xlfn.ARRAYTOTEXT(IFERROR(CONCATENATE(SUMIF(INDIRECT("'"&amp;Assemblies[Assy]&amp;"'!"&amp;"C$5:C1000"), $E68, INDIRECT("'"&amp;Assemblies[Assy]&amp;"'!"&amp;"O$5:O1000")), "x",Assemblies[Assy],".",IF(SUMIF(INDIRECT("'"&amp;Assemblies[Assy]&amp;"'!"&amp;"C$5:C1000"), $E68, INDIRECT("'"&amp;Assemblies[Assy]&amp;"'!"&amp;"B$5:B1000"))=0,NA(),SUMIF(INDIRECT("'"&amp;Assemblies[Assy]&amp;"'!"&amp;"C$5:C1000"), $E68, INDIRECT("'"&amp;Assemblies[Assy]&amp;"'!"&amp;"A$5:A1000")))),"")), " ,", ""))</f>
        <v>, 2x2.2.1.0, 2x2.2.2.0, 4x3.2.5.0, 4x3.2.6.0, 2x3.2.7.0, 2x3.2.8.0, 2x4.2.6.0, 2x4.2.7.0, 4x10.1.1.0,</v>
      </c>
      <c r="I68" s="285" t="s">
        <v>1473</v>
      </c>
      <c r="J68" s="226" t="str">
        <f>Assemblies[[#This Row],[Assy]]</f>
        <v>2.2.1.1</v>
      </c>
    </row>
    <row r="69" spans="1:10" x14ac:dyDescent="0.25">
      <c r="A69" t="s">
        <v>1475</v>
      </c>
      <c r="B69" s="204" t="s">
        <v>1594</v>
      </c>
      <c r="C69" s="24" t="s">
        <v>1470</v>
      </c>
      <c r="D69" s="134" t="s">
        <v>54</v>
      </c>
      <c r="E69" t="str">
        <f t="shared" si="1"/>
        <v>PG10.2.2.2.0.A</v>
      </c>
      <c r="F69" t="s">
        <v>1595</v>
      </c>
      <c r="G69" s="19" cm="1">
        <f t="array" aca="1" ref="G69" ca="1">SUMPRODUCT(SUMIF(INDIRECT("'"&amp;Assemblies[Assy]&amp;"'!"&amp;"C5:C1000"),E69,(INDIRECT("'"&amp;Assemblies[Assy]&amp;"'!"&amp;"O5:O1000"))))</f>
        <v>1</v>
      </c>
      <c r="H69" t="str" cm="1">
        <f t="array" aca="1" ref="H69" ca="1">TRIM(SUBSTITUTE(_xlfn.ARRAYTOTEXT(IFERROR(CONCATENATE(SUMIF(INDIRECT("'"&amp;Assemblies[Assy]&amp;"'!"&amp;"C$5:C1000"), $E69, INDIRECT("'"&amp;Assemblies[Assy]&amp;"'!"&amp;"O$5:O1000")), "x",Assemblies[Assy],".",IF(SUMIF(INDIRECT("'"&amp;Assemblies[Assy]&amp;"'!"&amp;"C$5:C1000"), $E69, INDIRECT("'"&amp;Assemblies[Assy]&amp;"'!"&amp;"B$5:B1000"))=0,NA(),SUMIF(INDIRECT("'"&amp;Assemblies[Assy]&amp;"'!"&amp;"C$5:C1000"), $E69, INDIRECT("'"&amp;Assemblies[Assy]&amp;"'!"&amp;"A$5:A1000")))),"")), " ,", ""))</f>
        <v>, 1x2.2.0,</v>
      </c>
      <c r="I69" s="285" t="s">
        <v>1473</v>
      </c>
      <c r="J69" s="281" t="str">
        <f>Assemblies[[#This Row],[Assy]]</f>
        <v>2.2.2</v>
      </c>
    </row>
    <row r="70" spans="1:10" x14ac:dyDescent="0.25">
      <c r="A70" t="s">
        <v>1475</v>
      </c>
      <c r="B70" s="204" t="s">
        <v>1596</v>
      </c>
      <c r="C70" s="24" t="s">
        <v>1470</v>
      </c>
      <c r="D70" s="134" t="s">
        <v>54</v>
      </c>
      <c r="E70" t="str">
        <f t="shared" si="1"/>
        <v>PG10.2.2.3.0.A</v>
      </c>
      <c r="F70" t="s">
        <v>1597</v>
      </c>
      <c r="G70" s="19" cm="1">
        <f t="array" aca="1" ref="G70" ca="1">SUMPRODUCT(SUMIF(INDIRECT("'"&amp;Assemblies[Assy]&amp;"'!"&amp;"C5:C1000"),E70,(INDIRECT("'"&amp;Assemblies[Assy]&amp;"'!"&amp;"O5:O1000"))))</f>
        <v>1</v>
      </c>
      <c r="H70" t="str" cm="1">
        <f t="array" aca="1" ref="H70" ca="1">TRIM(SUBSTITUTE(_xlfn.ARRAYTOTEXT(IFERROR(CONCATENATE(SUMIF(INDIRECT("'"&amp;Assemblies[Assy]&amp;"'!"&amp;"C$5:C1000"), $E70, INDIRECT("'"&amp;Assemblies[Assy]&amp;"'!"&amp;"O$5:O1000")), "x",Assemblies[Assy],".",IF(SUMIF(INDIRECT("'"&amp;Assemblies[Assy]&amp;"'!"&amp;"C$5:C1000"), $E70, INDIRECT("'"&amp;Assemblies[Assy]&amp;"'!"&amp;"B$5:B1000"))=0,NA(),SUMIF(INDIRECT("'"&amp;Assemblies[Assy]&amp;"'!"&amp;"C$5:C1000"), $E70, INDIRECT("'"&amp;Assemblies[Assy]&amp;"'!"&amp;"A$5:A1000")))),"")), " ,", ""))</f>
        <v>, 1x2.2.0,</v>
      </c>
      <c r="I70" s="285" t="s">
        <v>1473</v>
      </c>
      <c r="J70" s="281" t="str">
        <f>Assemblies[[#This Row],[Assy]]</f>
        <v>2.2.3</v>
      </c>
    </row>
    <row r="71" spans="1:10" x14ac:dyDescent="0.25">
      <c r="A71" t="s">
        <v>1475</v>
      </c>
      <c r="B71" s="204" t="s">
        <v>1598</v>
      </c>
      <c r="C71" s="24" t="s">
        <v>1470</v>
      </c>
      <c r="D71" s="134" t="s">
        <v>54</v>
      </c>
      <c r="E71" t="str">
        <f t="shared" si="1"/>
        <v>PG10.2.2.4.0.A</v>
      </c>
      <c r="F71" t="s">
        <v>1599</v>
      </c>
      <c r="G71" s="19" cm="1">
        <f t="array" aca="1" ref="G71" ca="1">SUMPRODUCT(SUMIF(INDIRECT("'"&amp;Assemblies[Assy]&amp;"'!"&amp;"C5:C1000"),E71,(INDIRECT("'"&amp;Assemblies[Assy]&amp;"'!"&amp;"O5:O1000"))))</f>
        <v>1</v>
      </c>
      <c r="H71" t="str" cm="1">
        <f t="array" aca="1" ref="H71" ca="1">TRIM(SUBSTITUTE(_xlfn.ARRAYTOTEXT(IFERROR(CONCATENATE(SUMIF(INDIRECT("'"&amp;Assemblies[Assy]&amp;"'!"&amp;"C$5:C1000"), $E71, INDIRECT("'"&amp;Assemblies[Assy]&amp;"'!"&amp;"O$5:O1000")), "x",Assemblies[Assy],".",IF(SUMIF(INDIRECT("'"&amp;Assemblies[Assy]&amp;"'!"&amp;"C$5:C1000"), $E71, INDIRECT("'"&amp;Assemblies[Assy]&amp;"'!"&amp;"B$5:B1000"))=0,NA(),SUMIF(INDIRECT("'"&amp;Assemblies[Assy]&amp;"'!"&amp;"C$5:C1000"), $E71, INDIRECT("'"&amp;Assemblies[Assy]&amp;"'!"&amp;"A$5:A1000")))),"")), " ,", ""))</f>
        <v>, 1x2.2.0,</v>
      </c>
      <c r="I71" s="285" t="s">
        <v>1473</v>
      </c>
      <c r="J71" s="281" t="str">
        <f>Assemblies[[#This Row],[Assy]]</f>
        <v>2.2.4</v>
      </c>
    </row>
    <row r="72" spans="1:10" x14ac:dyDescent="0.25">
      <c r="A72" t="s">
        <v>1475</v>
      </c>
      <c r="B72" s="204" t="s">
        <v>1600</v>
      </c>
      <c r="C72" s="24" t="s">
        <v>1470</v>
      </c>
      <c r="D72" s="134" t="s">
        <v>54</v>
      </c>
      <c r="E72" t="str">
        <f t="shared" si="1"/>
        <v>PG10.2.2.5.0.A</v>
      </c>
      <c r="F72" t="s">
        <v>1601</v>
      </c>
      <c r="G72" s="19" cm="1">
        <f t="array" aca="1" ref="G72" ca="1">SUMPRODUCT(SUMIF(INDIRECT("'"&amp;Assemblies[Assy]&amp;"'!"&amp;"C5:C1000"),E72,(INDIRECT("'"&amp;Assemblies[Assy]&amp;"'!"&amp;"O5:O1000"))))</f>
        <v>1</v>
      </c>
      <c r="H72" t="str" cm="1">
        <f t="array" aca="1" ref="H72" ca="1">TRIM(SUBSTITUTE(_xlfn.ARRAYTOTEXT(IFERROR(CONCATENATE(SUMIF(INDIRECT("'"&amp;Assemblies[Assy]&amp;"'!"&amp;"C$5:C1000"), $E72, INDIRECT("'"&amp;Assemblies[Assy]&amp;"'!"&amp;"O$5:O1000")), "x",Assemblies[Assy],".",IF(SUMIF(INDIRECT("'"&amp;Assemblies[Assy]&amp;"'!"&amp;"C$5:C1000"), $E72, INDIRECT("'"&amp;Assemblies[Assy]&amp;"'!"&amp;"B$5:B1000"))=0,NA(),SUMIF(INDIRECT("'"&amp;Assemblies[Assy]&amp;"'!"&amp;"C$5:C1000"), $E72, INDIRECT("'"&amp;Assemblies[Assy]&amp;"'!"&amp;"A$5:A1000")))),"")), " ,", ""))</f>
        <v>, 1x2.2.0,</v>
      </c>
      <c r="I72" s="285" t="s">
        <v>1473</v>
      </c>
      <c r="J72" s="281" t="str">
        <f>Assemblies[[#This Row],[Assy]]</f>
        <v>2.2.5</v>
      </c>
    </row>
    <row r="73" spans="1:10" x14ac:dyDescent="0.25">
      <c r="A73" t="s">
        <v>1475</v>
      </c>
      <c r="B73" s="204" t="s">
        <v>1602</v>
      </c>
      <c r="C73" s="24" t="s">
        <v>1470</v>
      </c>
      <c r="D73" s="134" t="s">
        <v>54</v>
      </c>
      <c r="E73" t="str">
        <f t="shared" si="1"/>
        <v>PG10.2.2.6.0.A</v>
      </c>
      <c r="F73" t="s">
        <v>1603</v>
      </c>
      <c r="G73" s="19" cm="1">
        <f t="array" aca="1" ref="G73" ca="1">SUMPRODUCT(SUMIF(INDIRECT("'"&amp;Assemblies[Assy]&amp;"'!"&amp;"C5:C1000"),E73,(INDIRECT("'"&amp;Assemblies[Assy]&amp;"'!"&amp;"O5:O1000"))))</f>
        <v>1</v>
      </c>
      <c r="H73" t="str" cm="1">
        <f t="array" aca="1" ref="H73" ca="1">TRIM(SUBSTITUTE(_xlfn.ARRAYTOTEXT(IFERROR(CONCATENATE(SUMIF(INDIRECT("'"&amp;Assemblies[Assy]&amp;"'!"&amp;"C$5:C1000"), $E73, INDIRECT("'"&amp;Assemblies[Assy]&amp;"'!"&amp;"O$5:O1000")), "x",Assemblies[Assy],".",IF(SUMIF(INDIRECT("'"&amp;Assemblies[Assy]&amp;"'!"&amp;"C$5:C1000"), $E73, INDIRECT("'"&amp;Assemblies[Assy]&amp;"'!"&amp;"B$5:B1000"))=0,NA(),SUMIF(INDIRECT("'"&amp;Assemblies[Assy]&amp;"'!"&amp;"C$5:C1000"), $E73, INDIRECT("'"&amp;Assemblies[Assy]&amp;"'!"&amp;"A$5:A1000")))),"")), " ,", ""))</f>
        <v>, 1x2.2.0,</v>
      </c>
      <c r="I73" s="285" t="s">
        <v>1473</v>
      </c>
      <c r="J73" s="281" t="str">
        <f>Assemblies[[#This Row],[Assy]]</f>
        <v>2.2.6</v>
      </c>
    </row>
    <row r="74" spans="1:10" x14ac:dyDescent="0.25">
      <c r="A74" t="s">
        <v>1475</v>
      </c>
      <c r="B74" s="196" t="s">
        <v>1604</v>
      </c>
      <c r="C74" s="24" t="s">
        <v>1470</v>
      </c>
      <c r="D74" s="134" t="s">
        <v>54</v>
      </c>
      <c r="E74" t="str">
        <f t="shared" si="1"/>
        <v>PG10.2.3.0.A</v>
      </c>
      <c r="F74" t="s">
        <v>1605</v>
      </c>
      <c r="G74" s="19" cm="1">
        <f t="array" aca="1" ref="G74" ca="1">SUMPRODUCT(SUMIF(INDIRECT("'"&amp;Assemblies[Assy]&amp;"'!"&amp;"C5:C1000"),E74,(INDIRECT("'"&amp;Assemblies[Assy]&amp;"'!"&amp;"O5:O1000"))))</f>
        <v>3</v>
      </c>
      <c r="H74" t="str" cm="1">
        <f t="array" aca="1" ref="H74" ca="1">TRIM(SUBSTITUTE(_xlfn.ARRAYTOTEXT(IFERROR(CONCATENATE(SUMIF(INDIRECT("'"&amp;Assemblies[Assy]&amp;"'!"&amp;"C$5:C1000"), $E74, INDIRECT("'"&amp;Assemblies[Assy]&amp;"'!"&amp;"O$5:O1000")), "x",Assemblies[Assy],".",IF(SUMIF(INDIRECT("'"&amp;Assemblies[Assy]&amp;"'!"&amp;"C$5:C1000"), $E74, INDIRECT("'"&amp;Assemblies[Assy]&amp;"'!"&amp;"B$5:B1000"))=0,NA(),SUMIF(INDIRECT("'"&amp;Assemblies[Assy]&amp;"'!"&amp;"C$5:C1000"), $E74, INDIRECT("'"&amp;Assemblies[Assy]&amp;"'!"&amp;"A$5:A1000")))),"")), " ,", ""))</f>
        <v>, 1x2.0, 1x3.0, 1x4.0,</v>
      </c>
      <c r="I74" s="285" t="s">
        <v>1473</v>
      </c>
      <c r="J74" s="282" t="str">
        <f>Assemblies[[#This Row],[Assy]]</f>
        <v>2.3</v>
      </c>
    </row>
    <row r="75" spans="1:10" x14ac:dyDescent="0.25">
      <c r="A75" t="str">
        <f ca="1">'PG10'!$E$2</f>
        <v>PG10</v>
      </c>
      <c r="B75" s="202" t="s">
        <v>1606</v>
      </c>
      <c r="C75" s="24" t="s">
        <v>1470</v>
      </c>
      <c r="D75" s="134" t="s">
        <v>54</v>
      </c>
      <c r="E75" t="str">
        <f t="shared" ca="1" si="1"/>
        <v>PG10.2.3.1.0.A</v>
      </c>
      <c r="F75" t="s">
        <v>1607</v>
      </c>
      <c r="G75" s="19" cm="1">
        <f t="array" aca="1" ref="G75" ca="1">SUMPRODUCT(SUMIF(INDIRECT("'"&amp;Assemblies[Assy]&amp;"'!"&amp;"C5:C1000"),E75,(INDIRECT("'"&amp;Assemblies[Assy]&amp;"'!"&amp;"O5:O1000"))))</f>
        <v>3</v>
      </c>
      <c r="H75" t="str" cm="1">
        <f t="array" aca="1" ref="H75" ca="1">TRIM(SUBSTITUTE(_xlfn.ARRAYTOTEXT(IFERROR(CONCATENATE(SUMIF(INDIRECT("'"&amp;Assemblies[Assy]&amp;"'!"&amp;"C$5:C1000"), $E75, INDIRECT("'"&amp;Assemblies[Assy]&amp;"'!"&amp;"O$5:O1000")), "x",Assemblies[Assy],".",IF(SUMIF(INDIRECT("'"&amp;Assemblies[Assy]&amp;"'!"&amp;"C$5:C1000"), $E75, INDIRECT("'"&amp;Assemblies[Assy]&amp;"'!"&amp;"B$5:B1000"))=0,NA(),SUMIF(INDIRECT("'"&amp;Assemblies[Assy]&amp;"'!"&amp;"C$5:C1000"), $E75, INDIRECT("'"&amp;Assemblies[Assy]&amp;"'!"&amp;"A$5:A1000")))),"")), " ,", ""))</f>
        <v>, 3x2.3.0,</v>
      </c>
      <c r="I75" s="285" t="s">
        <v>1473</v>
      </c>
      <c r="J75" s="282" t="str">
        <f>Assemblies[[#This Row],[Assy]]</f>
        <v>2.3.1</v>
      </c>
    </row>
    <row r="76" spans="1:10" x14ac:dyDescent="0.25">
      <c r="A76" t="s">
        <v>1475</v>
      </c>
      <c r="B76" s="204" t="s">
        <v>1608</v>
      </c>
      <c r="C76" s="24" t="s">
        <v>1470</v>
      </c>
      <c r="D76" s="134" t="s">
        <v>54</v>
      </c>
      <c r="E76" t="str">
        <f t="shared" si="1"/>
        <v>PG10.2.3.4.0.A</v>
      </c>
      <c r="F76" t="s">
        <v>1609</v>
      </c>
      <c r="G76" s="19" cm="1">
        <f t="array" aca="1" ref="G76" ca="1">SUMPRODUCT(SUMIF(INDIRECT("'"&amp;Assemblies[Assy]&amp;"'!"&amp;"C5:C1000"),E76,(INDIRECT("'"&amp;Assemblies[Assy]&amp;"'!"&amp;"O5:O1000"))))</f>
        <v>3</v>
      </c>
      <c r="H76" t="str" cm="1">
        <f t="array" aca="1" ref="H76" ca="1">TRIM(SUBSTITUTE(_xlfn.ARRAYTOTEXT(IFERROR(CONCATENATE(SUMIF(INDIRECT("'"&amp;Assemblies[Assy]&amp;"'!"&amp;"C$5:C1000"), $E76, INDIRECT("'"&amp;Assemblies[Assy]&amp;"'!"&amp;"O$5:O1000")), "x",Assemblies[Assy],".",IF(SUMIF(INDIRECT("'"&amp;Assemblies[Assy]&amp;"'!"&amp;"C$5:C1000"), $E76, INDIRECT("'"&amp;Assemblies[Assy]&amp;"'!"&amp;"B$5:B1000"))=0,NA(),SUMIF(INDIRECT("'"&amp;Assemblies[Assy]&amp;"'!"&amp;"C$5:C1000"), $E76, INDIRECT("'"&amp;Assemblies[Assy]&amp;"'!"&amp;"A$5:A1000")))),"")), " ,", ""))</f>
        <v>, 3x2.3.0,</v>
      </c>
      <c r="I76" s="285" t="s">
        <v>1473</v>
      </c>
      <c r="J76" s="282" t="str">
        <f>Assemblies[[#This Row],[Assy]]</f>
        <v>2.3.4</v>
      </c>
    </row>
    <row r="77" spans="1:10" x14ac:dyDescent="0.25">
      <c r="A77" t="s">
        <v>1475</v>
      </c>
      <c r="B77" s="204" t="s">
        <v>1610</v>
      </c>
      <c r="C77" s="24" t="s">
        <v>1470</v>
      </c>
      <c r="D77" s="134" t="s">
        <v>54</v>
      </c>
      <c r="E77" t="str">
        <f t="shared" si="1"/>
        <v>PG10.2.3.7.0.A</v>
      </c>
      <c r="F77" t="s">
        <v>1611</v>
      </c>
      <c r="G77" s="19" cm="1">
        <f t="array" aca="1" ref="G77" ca="1">SUMPRODUCT(SUMIF(INDIRECT("'"&amp;Assemblies[Assy]&amp;"'!"&amp;"C5:C1000"),E77,(INDIRECT("'"&amp;Assemblies[Assy]&amp;"'!"&amp;"O5:O1000"))))</f>
        <v>1</v>
      </c>
      <c r="H77" t="str" cm="1">
        <f t="array" aca="1" ref="H77" ca="1">TRIM(SUBSTITUTE(_xlfn.ARRAYTOTEXT(IFERROR(CONCATENATE(SUMIF(INDIRECT("'"&amp;Assemblies[Assy]&amp;"'!"&amp;"C$5:C1000"), $E77, INDIRECT("'"&amp;Assemblies[Assy]&amp;"'!"&amp;"O$5:O1000")), "x",Assemblies[Assy],".",IF(SUMIF(INDIRECT("'"&amp;Assemblies[Assy]&amp;"'!"&amp;"C$5:C1000"), $E77, INDIRECT("'"&amp;Assemblies[Assy]&amp;"'!"&amp;"B$5:B1000"))=0,NA(),SUMIF(INDIRECT("'"&amp;Assemblies[Assy]&amp;"'!"&amp;"C$5:C1000"), $E77, INDIRECT("'"&amp;Assemblies[Assy]&amp;"'!"&amp;"A$5:A1000")))),"")), " ,", ""))</f>
        <v>, 1x2.3.0,</v>
      </c>
      <c r="I77" s="285" t="s">
        <v>1473</v>
      </c>
      <c r="J77" s="282" t="str">
        <f>Assemblies[[#This Row],[Assy]]</f>
        <v>2.3.7</v>
      </c>
    </row>
    <row r="78" spans="1:10" x14ac:dyDescent="0.25">
      <c r="A78" t="s">
        <v>1475</v>
      </c>
      <c r="B78" s="204" t="s">
        <v>3841</v>
      </c>
      <c r="C78" s="24" t="s">
        <v>1470</v>
      </c>
      <c r="D78" s="134" t="s">
        <v>54</v>
      </c>
      <c r="E78" t="str">
        <f>_xlfn.CONCAT(A78,".",B78,".",C78,".",D78)</f>
        <v>PG10.2.3.8.0.A</v>
      </c>
      <c r="F78" t="s">
        <v>3842</v>
      </c>
      <c r="G78" s="19" cm="1">
        <f t="array" aca="1" ref="G78" ca="1">SUMPRODUCT(SUMIF(INDIRECT("'"&amp;Assemblies[Assy]&amp;"'!"&amp;"C5:C1000"),E78,(INDIRECT("'"&amp;Assemblies[Assy]&amp;"'!"&amp;"O5:O1000"))))</f>
        <v>6</v>
      </c>
      <c r="H78" t="str" cm="1">
        <f t="array" aca="1" ref="H78" ca="1">TRIM(SUBSTITUTE(_xlfn.ARRAYTOTEXT(IFERROR(CONCATENATE(SUMIF(INDIRECT("'"&amp;Assemblies[Assy]&amp;"'!"&amp;"C$5:C1000"), $E78, INDIRECT("'"&amp;Assemblies[Assy]&amp;"'!"&amp;"O$5:O1000")), "x",Assemblies[Assy],".",IF(SUMIF(INDIRECT("'"&amp;Assemblies[Assy]&amp;"'!"&amp;"C$5:C1000"), $E78, INDIRECT("'"&amp;Assemblies[Assy]&amp;"'!"&amp;"B$5:B1000"))=0,NA(),SUMIF(INDIRECT("'"&amp;Assemblies[Assy]&amp;"'!"&amp;"C$5:C1000"), $E78, INDIRECT("'"&amp;Assemblies[Assy]&amp;"'!"&amp;"A$5:A1000")))),"")), " ,", ""))</f>
        <v>, 6x2.3.0,</v>
      </c>
      <c r="I78" s="285" t="s">
        <v>1473</v>
      </c>
      <c r="J78" s="282" t="str">
        <f>Assemblies[[#This Row],[Assy]]</f>
        <v>2.3.8</v>
      </c>
    </row>
    <row r="79" spans="1:10" x14ac:dyDescent="0.25">
      <c r="A79" t="s">
        <v>1475</v>
      </c>
      <c r="B79" s="195" t="s">
        <v>626</v>
      </c>
      <c r="C79" s="24" t="s">
        <v>1470</v>
      </c>
      <c r="D79" s="134" t="s">
        <v>54</v>
      </c>
      <c r="E79" t="str">
        <f t="shared" si="1"/>
        <v>PG10.3.0.A</v>
      </c>
      <c r="F79" t="s">
        <v>1612</v>
      </c>
      <c r="G79" s="19" cm="1">
        <f t="array" aca="1" ref="G79" ca="1">SUMPRODUCT(SUMIF(INDIRECT("'"&amp;Assemblies[Assy]&amp;"'!"&amp;"C5:C1000"),E79,(INDIRECT("'"&amp;Assemblies[Assy]&amp;"'!"&amp;"O5:O1000"))))</f>
        <v>1</v>
      </c>
      <c r="H79" t="str" cm="1">
        <f t="array" aca="1" ref="H79" ca="1">TRIM(SUBSTITUTE(_xlfn.ARRAYTOTEXT(IFERROR(CONCATENATE(SUMIF(INDIRECT("'"&amp;Assemblies[Assy]&amp;"'!"&amp;"C$5:C1000"), $E79, INDIRECT("'"&amp;Assemblies[Assy]&amp;"'!"&amp;"O$5:O1000")), "x",Assemblies[Assy],".",IF(SUMIF(INDIRECT("'"&amp;Assemblies[Assy]&amp;"'!"&amp;"C$5:C1000"), $E79, INDIRECT("'"&amp;Assemblies[Assy]&amp;"'!"&amp;"B$5:B1000"))=0,NA(),SUMIF(INDIRECT("'"&amp;Assemblies[Assy]&amp;"'!"&amp;"C$5:C1000"), $E79, INDIRECT("'"&amp;Assemblies[Assy]&amp;"'!"&amp;"A$5:A1000")))),"")), " ,", ""))</f>
        <v>1x0.0,</v>
      </c>
      <c r="I79" s="285" t="s">
        <v>1473</v>
      </c>
      <c r="J79" s="278" t="str">
        <f>Assemblies[[#This Row],[Assy]]</f>
        <v>3</v>
      </c>
    </row>
    <row r="80" spans="1:10" x14ac:dyDescent="0.25">
      <c r="A80" t="s">
        <v>1475</v>
      </c>
      <c r="B80" s="197" t="s">
        <v>1613</v>
      </c>
      <c r="C80" s="24" t="s">
        <v>1470</v>
      </c>
      <c r="D80" s="134" t="s">
        <v>54</v>
      </c>
      <c r="E80" t="str">
        <f t="shared" si="1"/>
        <v>PG10.3.1.0.A</v>
      </c>
      <c r="F80" t="s">
        <v>1614</v>
      </c>
      <c r="G80" s="19" cm="1">
        <f t="array" aca="1" ref="G80" ca="1">SUMPRODUCT(SUMIF(INDIRECT("'"&amp;Assemblies[Assy]&amp;"'!"&amp;"C5:C1000"),E80,(INDIRECT("'"&amp;Assemblies[Assy]&amp;"'!"&amp;"O5:O1000"))))</f>
        <v>1</v>
      </c>
      <c r="H80" t="str" cm="1">
        <f t="array" aca="1" ref="H80" ca="1">TRIM(SUBSTITUTE(_xlfn.ARRAYTOTEXT(IFERROR(CONCATENATE(SUMIF(INDIRECT("'"&amp;Assemblies[Assy]&amp;"'!"&amp;"C$5:C1000"), $E80, INDIRECT("'"&amp;Assemblies[Assy]&amp;"'!"&amp;"O$5:O1000")), "x",Assemblies[Assy],".",IF(SUMIF(INDIRECT("'"&amp;Assemblies[Assy]&amp;"'!"&amp;"C$5:C1000"), $E80, INDIRECT("'"&amp;Assemblies[Assy]&amp;"'!"&amp;"B$5:B1000"))=0,NA(),SUMIF(INDIRECT("'"&amp;Assemblies[Assy]&amp;"'!"&amp;"C$5:C1000"), $E80, INDIRECT("'"&amp;Assemblies[Assy]&amp;"'!"&amp;"A$5:A1000")))),"")), " ,", ""))</f>
        <v>, 1x3.0,</v>
      </c>
      <c r="I80" s="285" t="s">
        <v>1473</v>
      </c>
      <c r="J80" s="227" t="str">
        <f>Assemblies[[#This Row],[Assy]]</f>
        <v>3.1</v>
      </c>
    </row>
    <row r="81" spans="1:10" x14ac:dyDescent="0.25">
      <c r="A81" t="s">
        <v>1475</v>
      </c>
      <c r="B81" s="204" t="s">
        <v>1615</v>
      </c>
      <c r="C81" s="24" t="s">
        <v>1470</v>
      </c>
      <c r="D81" s="134" t="s">
        <v>54</v>
      </c>
      <c r="E81" t="str">
        <f t="shared" si="1"/>
        <v>PG10.3.1.1.0.A</v>
      </c>
      <c r="F81" t="s">
        <v>1616</v>
      </c>
      <c r="G81" s="19" cm="1">
        <f t="array" aca="1" ref="G81" ca="1">SUMPRODUCT(SUMIF(INDIRECT("'"&amp;Assemblies[Assy]&amp;"'!"&amp;"C5:C1000"),E81,(INDIRECT("'"&amp;Assemblies[Assy]&amp;"'!"&amp;"O5:O1000"))))</f>
        <v>2</v>
      </c>
      <c r="H81" t="str" cm="1">
        <f t="array" aca="1" ref="H81" ca="1">TRIM(SUBSTITUTE(_xlfn.ARRAYTOTEXT(IFERROR(CONCATENATE(SUMIF(INDIRECT("'"&amp;Assemblies[Assy]&amp;"'!"&amp;"C$5:C1000"), $E81, INDIRECT("'"&amp;Assemblies[Assy]&amp;"'!"&amp;"O$5:O1000")), "x",Assemblies[Assy],".",IF(SUMIF(INDIRECT("'"&amp;Assemblies[Assy]&amp;"'!"&amp;"C$5:C1000"), $E81, INDIRECT("'"&amp;Assemblies[Assy]&amp;"'!"&amp;"B$5:B1000"))=0,NA(),SUMIF(INDIRECT("'"&amp;Assemblies[Assy]&amp;"'!"&amp;"C$5:C1000"), $E81, INDIRECT("'"&amp;Assemblies[Assy]&amp;"'!"&amp;"A$5:A1000")))),"")), " ,", ""))</f>
        <v>, 2x3.1.0,</v>
      </c>
      <c r="I81" s="285" t="s">
        <v>1473</v>
      </c>
      <c r="J81" s="227" t="str">
        <f>Assemblies[[#This Row],[Assy]]</f>
        <v>3.1.1</v>
      </c>
    </row>
    <row r="82" spans="1:10" x14ac:dyDescent="0.25">
      <c r="A82" t="s">
        <v>1475</v>
      </c>
      <c r="B82" s="204" t="s">
        <v>1617</v>
      </c>
      <c r="C82" s="24" t="s">
        <v>1470</v>
      </c>
      <c r="D82" s="134" t="s">
        <v>54</v>
      </c>
      <c r="E82" t="str">
        <f t="shared" si="1"/>
        <v>PG10.3.1.2.0.A</v>
      </c>
      <c r="F82" t="s">
        <v>1618</v>
      </c>
      <c r="G82" s="19" cm="1">
        <f t="array" aca="1" ref="G82" ca="1">SUMPRODUCT(SUMIF(INDIRECT("'"&amp;Assemblies[Assy]&amp;"'!"&amp;"C5:C1000"),E82,(INDIRECT("'"&amp;Assemblies[Assy]&amp;"'!"&amp;"O5:O1000"))))</f>
        <v>2</v>
      </c>
      <c r="H82" t="str" cm="1">
        <f t="array" aca="1" ref="H82" ca="1">TRIM(SUBSTITUTE(_xlfn.ARRAYTOTEXT(IFERROR(CONCATENATE(SUMIF(INDIRECT("'"&amp;Assemblies[Assy]&amp;"'!"&amp;"C$5:C1000"), $E82, INDIRECT("'"&amp;Assemblies[Assy]&amp;"'!"&amp;"O$5:O1000")), "x",Assemblies[Assy],".",IF(SUMIF(INDIRECT("'"&amp;Assemblies[Assy]&amp;"'!"&amp;"C$5:C1000"), $E82, INDIRECT("'"&amp;Assemblies[Assy]&amp;"'!"&amp;"B$5:B1000"))=0,NA(),SUMIF(INDIRECT("'"&amp;Assemblies[Assy]&amp;"'!"&amp;"C$5:C1000"), $E82, INDIRECT("'"&amp;Assemblies[Assy]&amp;"'!"&amp;"A$5:A1000")))),"")), " ,", ""))</f>
        <v>, 2x3.1.0,</v>
      </c>
      <c r="I82" s="285" t="s">
        <v>1473</v>
      </c>
      <c r="J82" s="227" t="str">
        <f>Assemblies[[#This Row],[Assy]]</f>
        <v>3.1.2</v>
      </c>
    </row>
    <row r="83" spans="1:10" x14ac:dyDescent="0.25">
      <c r="A83" t="s">
        <v>1475</v>
      </c>
      <c r="B83" s="204" t="s">
        <v>3713</v>
      </c>
      <c r="C83" s="24" t="s">
        <v>1470</v>
      </c>
      <c r="D83" s="134" t="s">
        <v>54</v>
      </c>
      <c r="E83" t="str">
        <f t="shared" si="1"/>
        <v>PG10.3.1.3.0.A</v>
      </c>
      <c r="F83" t="s">
        <v>3708</v>
      </c>
      <c r="G83" s="19" cm="1">
        <f t="array" aca="1" ref="G83" ca="1">SUMPRODUCT(SUMIF(INDIRECT("'"&amp;Assemblies[Assy]&amp;"'!"&amp;"C5:C1000"),E83,(INDIRECT("'"&amp;Assemblies[Assy]&amp;"'!"&amp;"O5:O1000"))))</f>
        <v>1</v>
      </c>
      <c r="H83" t="str" cm="1">
        <f t="array" aca="1" ref="H83" ca="1">TRIM(SUBSTITUTE(_xlfn.ARRAYTOTEXT(IFERROR(CONCATENATE(SUMIF(INDIRECT("'"&amp;Assemblies[Assy]&amp;"'!"&amp;"C$5:C1000"), $E83, INDIRECT("'"&amp;Assemblies[Assy]&amp;"'!"&amp;"O$5:O1000")), "x",Assemblies[Assy],".",IF(SUMIF(INDIRECT("'"&amp;Assemblies[Assy]&amp;"'!"&amp;"C$5:C1000"), $E83, INDIRECT("'"&amp;Assemblies[Assy]&amp;"'!"&amp;"B$5:B1000"))=0,NA(),SUMIF(INDIRECT("'"&amp;Assemblies[Assy]&amp;"'!"&amp;"C$5:C1000"), $E83, INDIRECT("'"&amp;Assemblies[Assy]&amp;"'!"&amp;"A$5:A1000")))),"")), " ,", ""))</f>
        <v>, 1x3.1.0,</v>
      </c>
      <c r="I83" s="285" t="s">
        <v>1473</v>
      </c>
      <c r="J83" s="227" t="str">
        <f>Assemblies[[#This Row],[Assy]]</f>
        <v>3.1.3</v>
      </c>
    </row>
    <row r="84" spans="1:10" x14ac:dyDescent="0.25">
      <c r="A84" t="s">
        <v>1475</v>
      </c>
      <c r="B84" s="204" t="s">
        <v>3714</v>
      </c>
      <c r="C84" s="24" t="s">
        <v>1470</v>
      </c>
      <c r="D84" s="134" t="s">
        <v>54</v>
      </c>
      <c r="E84" t="str">
        <f t="shared" si="1"/>
        <v>PG10.3.1.4.0.A</v>
      </c>
      <c r="F84" t="s">
        <v>3709</v>
      </c>
      <c r="G84" s="19" cm="1">
        <f t="array" aca="1" ref="G84" ca="1">SUMPRODUCT(SUMIF(INDIRECT("'"&amp;Assemblies[Assy]&amp;"'!"&amp;"C5:C1000"),E84,(INDIRECT("'"&amp;Assemblies[Assy]&amp;"'!"&amp;"O5:O1000"))))</f>
        <v>1</v>
      </c>
      <c r="H84" t="str" cm="1">
        <f t="array" aca="1" ref="H84" ca="1">TRIM(SUBSTITUTE(_xlfn.ARRAYTOTEXT(IFERROR(CONCATENATE(SUMIF(INDIRECT("'"&amp;Assemblies[Assy]&amp;"'!"&amp;"C$5:C1000"), $E84, INDIRECT("'"&amp;Assemblies[Assy]&amp;"'!"&amp;"O$5:O1000")), "x",Assemblies[Assy],".",IF(SUMIF(INDIRECT("'"&amp;Assemblies[Assy]&amp;"'!"&amp;"C$5:C1000"), $E84, INDIRECT("'"&amp;Assemblies[Assy]&amp;"'!"&amp;"B$5:B1000"))=0,NA(),SUMIF(INDIRECT("'"&amp;Assemblies[Assy]&amp;"'!"&amp;"C$5:C1000"), $E84, INDIRECT("'"&amp;Assemblies[Assy]&amp;"'!"&amp;"A$5:A1000")))),"")), " ,", ""))</f>
        <v>, 1x3.1.0,</v>
      </c>
      <c r="I84" s="285" t="s">
        <v>1473</v>
      </c>
      <c r="J84" s="227" t="str">
        <f>Assemblies[[#This Row],[Assy]]</f>
        <v>3.1.4</v>
      </c>
    </row>
    <row r="85" spans="1:10" x14ac:dyDescent="0.25">
      <c r="A85" t="s">
        <v>1475</v>
      </c>
      <c r="B85" s="204" t="s">
        <v>3715</v>
      </c>
      <c r="C85" s="24" t="s">
        <v>1470</v>
      </c>
      <c r="D85" s="134" t="s">
        <v>54</v>
      </c>
      <c r="E85" t="str">
        <f t="shared" si="1"/>
        <v>PG10.3.1.5.0.A</v>
      </c>
      <c r="F85" t="s">
        <v>3710</v>
      </c>
      <c r="G85" s="19" cm="1">
        <f t="array" aca="1" ref="G85" ca="1">SUMPRODUCT(SUMIF(INDIRECT("'"&amp;Assemblies[Assy]&amp;"'!"&amp;"C5:C1000"),E85,(INDIRECT("'"&amp;Assemblies[Assy]&amp;"'!"&amp;"O5:O1000"))))</f>
        <v>1</v>
      </c>
      <c r="H85" t="str" cm="1">
        <f t="array" aca="1" ref="H85" ca="1">TRIM(SUBSTITUTE(_xlfn.ARRAYTOTEXT(IFERROR(CONCATENATE(SUMIF(INDIRECT("'"&amp;Assemblies[Assy]&amp;"'!"&amp;"C$5:C1000"), $E85, INDIRECT("'"&amp;Assemblies[Assy]&amp;"'!"&amp;"O$5:O1000")), "x",Assemblies[Assy],".",IF(SUMIF(INDIRECT("'"&amp;Assemblies[Assy]&amp;"'!"&amp;"C$5:C1000"), $E85, INDIRECT("'"&amp;Assemblies[Assy]&amp;"'!"&amp;"B$5:B1000"))=0,NA(),SUMIF(INDIRECT("'"&amp;Assemblies[Assy]&amp;"'!"&amp;"C$5:C1000"), $E85, INDIRECT("'"&amp;Assemblies[Assy]&amp;"'!"&amp;"A$5:A1000")))),"")), " ,", ""))</f>
        <v>, 1x3.1.0,</v>
      </c>
      <c r="I85" s="285" t="s">
        <v>1473</v>
      </c>
      <c r="J85" s="227" t="str">
        <f>Assemblies[[#This Row],[Assy]]</f>
        <v>3.1.5</v>
      </c>
    </row>
    <row r="86" spans="1:10" x14ac:dyDescent="0.25">
      <c r="A86" t="s">
        <v>1475</v>
      </c>
      <c r="B86" s="204" t="s">
        <v>3716</v>
      </c>
      <c r="C86" s="24" t="s">
        <v>1470</v>
      </c>
      <c r="D86" s="134" t="s">
        <v>54</v>
      </c>
      <c r="E86" t="str">
        <f t="shared" si="1"/>
        <v>PG10.3.1.6.0.A</v>
      </c>
      <c r="F86" t="s">
        <v>3711</v>
      </c>
      <c r="G86" s="19" cm="1">
        <f t="array" aca="1" ref="G86" ca="1">SUMPRODUCT(SUMIF(INDIRECT("'"&amp;Assemblies[Assy]&amp;"'!"&amp;"C5:C1000"),E86,(INDIRECT("'"&amp;Assemblies[Assy]&amp;"'!"&amp;"O5:O1000"))))</f>
        <v>1</v>
      </c>
      <c r="H86" t="str" cm="1">
        <f t="array" aca="1" ref="H86" ca="1">TRIM(SUBSTITUTE(_xlfn.ARRAYTOTEXT(IFERROR(CONCATENATE(SUMIF(INDIRECT("'"&amp;Assemblies[Assy]&amp;"'!"&amp;"C$5:C1000"), $E86, INDIRECT("'"&amp;Assemblies[Assy]&amp;"'!"&amp;"O$5:O1000")), "x",Assemblies[Assy],".",IF(SUMIF(INDIRECT("'"&amp;Assemblies[Assy]&amp;"'!"&amp;"C$5:C1000"), $E86, INDIRECT("'"&amp;Assemblies[Assy]&amp;"'!"&amp;"B$5:B1000"))=0,NA(),SUMIF(INDIRECT("'"&amp;Assemblies[Assy]&amp;"'!"&amp;"C$5:C1000"), $E86, INDIRECT("'"&amp;Assemblies[Assy]&amp;"'!"&amp;"A$5:A1000")))),"")), " ,", ""))</f>
        <v>, 1x3.1.0,</v>
      </c>
      <c r="I86" s="285" t="s">
        <v>1473</v>
      </c>
      <c r="J86" s="227" t="str">
        <f>Assemblies[[#This Row],[Assy]]</f>
        <v>3.1.6</v>
      </c>
    </row>
    <row r="87" spans="1:10" x14ac:dyDescent="0.25">
      <c r="A87" t="s">
        <v>1475</v>
      </c>
      <c r="B87" s="204" t="s">
        <v>3717</v>
      </c>
      <c r="C87" s="24" t="s">
        <v>1470</v>
      </c>
      <c r="D87" s="134" t="s">
        <v>54</v>
      </c>
      <c r="E87" t="str">
        <f t="shared" si="1"/>
        <v>PG10.3.1.7.0.A</v>
      </c>
      <c r="F87" t="s">
        <v>3712</v>
      </c>
      <c r="G87" s="19" cm="1">
        <f t="array" aca="1" ref="G87" ca="1">SUMPRODUCT(SUMIF(INDIRECT("'"&amp;Assemblies[Assy]&amp;"'!"&amp;"C5:C1000"),E87,(INDIRECT("'"&amp;Assemblies[Assy]&amp;"'!"&amp;"O5:O1000"))))</f>
        <v>1</v>
      </c>
      <c r="H87" t="str" cm="1">
        <f t="array" aca="1" ref="H87" ca="1">TRIM(SUBSTITUTE(_xlfn.ARRAYTOTEXT(IFERROR(CONCATENATE(SUMIF(INDIRECT("'"&amp;Assemblies[Assy]&amp;"'!"&amp;"C$5:C1000"), $E87, INDIRECT("'"&amp;Assemblies[Assy]&amp;"'!"&amp;"O$5:O1000")), "x",Assemblies[Assy],".",IF(SUMIF(INDIRECT("'"&amp;Assemblies[Assy]&amp;"'!"&amp;"C$5:C1000"), $E87, INDIRECT("'"&amp;Assemblies[Assy]&amp;"'!"&amp;"B$5:B1000"))=0,NA(),SUMIF(INDIRECT("'"&amp;Assemblies[Assy]&amp;"'!"&amp;"C$5:C1000"), $E87, INDIRECT("'"&amp;Assemblies[Assy]&amp;"'!"&amp;"A$5:A1000")))),"")), " ,", ""))</f>
        <v>, 1x3.1.0,</v>
      </c>
      <c r="I87" s="285" t="s">
        <v>1473</v>
      </c>
      <c r="J87" s="227" t="str">
        <f>Assemblies[[#This Row],[Assy]]</f>
        <v>3.1.7</v>
      </c>
    </row>
    <row r="88" spans="1:10" x14ac:dyDescent="0.25">
      <c r="A88" t="s">
        <v>1475</v>
      </c>
      <c r="B88" s="197" t="s">
        <v>1619</v>
      </c>
      <c r="C88" s="24" t="s">
        <v>1470</v>
      </c>
      <c r="D88" s="134" t="s">
        <v>54</v>
      </c>
      <c r="E88" t="str">
        <f t="shared" si="1"/>
        <v>PG10.3.2.0.A</v>
      </c>
      <c r="F88" t="s">
        <v>1620</v>
      </c>
      <c r="G88" s="19" cm="1">
        <f t="array" aca="1" ref="G88" ca="1">SUMPRODUCT(SUMIF(INDIRECT("'"&amp;Assemblies[Assy]&amp;"'!"&amp;"C5:C1000"),E88,(INDIRECT("'"&amp;Assemblies[Assy]&amp;"'!"&amp;"O5:O1000"))))</f>
        <v>1</v>
      </c>
      <c r="H88" t="str" cm="1">
        <f t="array" aca="1" ref="H88" ca="1">TRIM(SUBSTITUTE(_xlfn.ARRAYTOTEXT(IFERROR(CONCATENATE(SUMIF(INDIRECT("'"&amp;Assemblies[Assy]&amp;"'!"&amp;"C$5:C1000"), $E88, INDIRECT("'"&amp;Assemblies[Assy]&amp;"'!"&amp;"O$5:O1000")), "x",Assemblies[Assy],".",IF(SUMIF(INDIRECT("'"&amp;Assemblies[Assy]&amp;"'!"&amp;"C$5:C1000"), $E88, INDIRECT("'"&amp;Assemblies[Assy]&amp;"'!"&amp;"B$5:B1000"))=0,NA(),SUMIF(INDIRECT("'"&amp;Assemblies[Assy]&amp;"'!"&amp;"C$5:C1000"), $E88, INDIRECT("'"&amp;Assemblies[Assy]&amp;"'!"&amp;"A$5:A1000")))),"")), " ,", ""))</f>
        <v>, 1x3.0,</v>
      </c>
      <c r="I88" s="285" t="s">
        <v>1473</v>
      </c>
      <c r="J88" s="228" t="str">
        <f>Assemblies[[#This Row],[Assy]]</f>
        <v>3.2</v>
      </c>
    </row>
    <row r="89" spans="1:10" x14ac:dyDescent="0.25">
      <c r="A89" t="s">
        <v>1475</v>
      </c>
      <c r="B89" s="204" t="s">
        <v>1621</v>
      </c>
      <c r="C89" s="24" t="s">
        <v>1470</v>
      </c>
      <c r="D89" s="134" t="s">
        <v>54</v>
      </c>
      <c r="E89" t="str">
        <f t="shared" si="1"/>
        <v>PG10.3.2.1.0.A</v>
      </c>
      <c r="F89" t="s">
        <v>1622</v>
      </c>
      <c r="G89" s="19" cm="1">
        <f t="array" aca="1" ref="G89" ca="1">SUMPRODUCT(SUMIF(INDIRECT("'"&amp;Assemblies[Assy]&amp;"'!"&amp;"C5:C1000"),E89,(INDIRECT("'"&amp;Assemblies[Assy]&amp;"'!"&amp;"O5:O1000"))))</f>
        <v>1</v>
      </c>
      <c r="H89" t="str" cm="1">
        <f t="array" aca="1" ref="H89" ca="1">TRIM(SUBSTITUTE(_xlfn.ARRAYTOTEXT(IFERROR(CONCATENATE(SUMIF(INDIRECT("'"&amp;Assemblies[Assy]&amp;"'!"&amp;"C$5:C1000"), $E89, INDIRECT("'"&amp;Assemblies[Assy]&amp;"'!"&amp;"O$5:O1000")), "x",Assemblies[Assy],".",IF(SUMIF(INDIRECT("'"&amp;Assemblies[Assy]&amp;"'!"&amp;"C$5:C1000"), $E89, INDIRECT("'"&amp;Assemblies[Assy]&amp;"'!"&amp;"B$5:B1000"))=0,NA(),SUMIF(INDIRECT("'"&amp;Assemblies[Assy]&amp;"'!"&amp;"C$5:C1000"), $E89, INDIRECT("'"&amp;Assemblies[Assy]&amp;"'!"&amp;"A$5:A1000")))),"")), " ,", ""))</f>
        <v>, 1x3.2.0,</v>
      </c>
      <c r="I89" s="285" t="s">
        <v>1473</v>
      </c>
      <c r="J89" s="228" t="str">
        <f>Assemblies[[#This Row],[Assy]]</f>
        <v>3.2.1</v>
      </c>
    </row>
    <row r="90" spans="1:10" x14ac:dyDescent="0.25">
      <c r="A90" t="s">
        <v>1475</v>
      </c>
      <c r="B90" s="208" t="s">
        <v>1623</v>
      </c>
      <c r="C90" s="24" t="s">
        <v>1470</v>
      </c>
      <c r="D90" s="134" t="s">
        <v>54</v>
      </c>
      <c r="E90" t="str">
        <f t="shared" si="1"/>
        <v>PG10.3.2.1.1.0.A</v>
      </c>
      <c r="F90" t="s">
        <v>1624</v>
      </c>
      <c r="G90" s="19" cm="1">
        <f t="array" aca="1" ref="G90" ca="1">SUMPRODUCT(SUMIF(INDIRECT("'"&amp;Assemblies[Assy]&amp;"'!"&amp;"C5:C1000"),E90,(INDIRECT("'"&amp;Assemblies[Assy]&amp;"'!"&amp;"O5:O1000"))))</f>
        <v>24</v>
      </c>
      <c r="H90" t="str" cm="1">
        <f t="array" aca="1" ref="H90" ca="1">TRIM(SUBSTITUTE(_xlfn.ARRAYTOTEXT(IFERROR(CONCATENATE(SUMIF(INDIRECT("'"&amp;Assemblies[Assy]&amp;"'!"&amp;"C$5:C1000"), $E90, INDIRECT("'"&amp;Assemblies[Assy]&amp;"'!"&amp;"O$5:O1000")), "x",Assemblies[Assy],".",IF(SUMIF(INDIRECT("'"&amp;Assemblies[Assy]&amp;"'!"&amp;"C$5:C1000"), $E90, INDIRECT("'"&amp;Assemblies[Assy]&amp;"'!"&amp;"B$5:B1000"))=0,NA(),SUMIF(INDIRECT("'"&amp;Assemblies[Assy]&amp;"'!"&amp;"C$5:C1000"), $E90, INDIRECT("'"&amp;Assemblies[Assy]&amp;"'!"&amp;"A$5:A1000")))),"")), " ,", ""))</f>
        <v>, 6x3.2.1.0, 6x3.2.2.0, 6x3.2.3.0, 6x3.2.4.0,</v>
      </c>
      <c r="I90" s="285" t="s">
        <v>1473</v>
      </c>
      <c r="J90" s="228" t="str">
        <f>Assemblies[[#This Row],[Assy]]</f>
        <v>3.2.1.1</v>
      </c>
    </row>
    <row r="91" spans="1:10" x14ac:dyDescent="0.25">
      <c r="A91" t="s">
        <v>1475</v>
      </c>
      <c r="B91" s="208" t="s">
        <v>1625</v>
      </c>
      <c r="C91" s="24" t="s">
        <v>1470</v>
      </c>
      <c r="D91" s="134" t="s">
        <v>54</v>
      </c>
      <c r="E91" t="str">
        <f t="shared" si="1"/>
        <v>PG10.3.2.1.2.0.A</v>
      </c>
      <c r="F91" t="s">
        <v>1626</v>
      </c>
      <c r="G91" s="19" cm="1">
        <f t="array" aca="1" ref="G91" ca="1">SUMPRODUCT(SUMIF(INDIRECT("'"&amp;Assemblies[Assy]&amp;"'!"&amp;"C5:C1000"),E91,(INDIRECT("'"&amp;Assemblies[Assy]&amp;"'!"&amp;"O5:O1000"))))</f>
        <v>4</v>
      </c>
      <c r="H91" t="str" cm="1">
        <f t="array" aca="1" ref="H91" ca="1">TRIM(SUBSTITUTE(_xlfn.ARRAYTOTEXT(IFERROR(CONCATENATE(SUMIF(INDIRECT("'"&amp;Assemblies[Assy]&amp;"'!"&amp;"C$5:C1000"), $E91, INDIRECT("'"&amp;Assemblies[Assy]&amp;"'!"&amp;"O$5:O1000")), "x",Assemblies[Assy],".",IF(SUMIF(INDIRECT("'"&amp;Assemblies[Assy]&amp;"'!"&amp;"C$5:C1000"), $E91, INDIRECT("'"&amp;Assemblies[Assy]&amp;"'!"&amp;"B$5:B1000"))=0,NA(),SUMIF(INDIRECT("'"&amp;Assemblies[Assy]&amp;"'!"&amp;"C$5:C1000"), $E91, INDIRECT("'"&amp;Assemblies[Assy]&amp;"'!"&amp;"A$5:A1000")))),"")), " ,", ""))</f>
        <v>, 1x3.2.1.0, 1x3.2.2.0, 1x3.2.3.0, 1x3.2.4.0,</v>
      </c>
      <c r="I91" s="285" t="s">
        <v>1473</v>
      </c>
      <c r="J91" s="228" t="str">
        <f>Assemblies[[#This Row],[Assy]]</f>
        <v>3.2.1.2</v>
      </c>
    </row>
    <row r="92" spans="1:10" x14ac:dyDescent="0.25">
      <c r="A92" t="s">
        <v>1475</v>
      </c>
      <c r="B92" s="204" t="s">
        <v>1627</v>
      </c>
      <c r="C92" s="24" t="s">
        <v>1470</v>
      </c>
      <c r="D92" s="134" t="s">
        <v>54</v>
      </c>
      <c r="E92" t="str">
        <f t="shared" si="1"/>
        <v>PG10.3.2.2.0.A</v>
      </c>
      <c r="F92" t="s">
        <v>1628</v>
      </c>
      <c r="G92" s="19" cm="1">
        <f t="array" aca="1" ref="G92" ca="1">SUMPRODUCT(SUMIF(INDIRECT("'"&amp;Assemblies[Assy]&amp;"'!"&amp;"C5:C1000"),E92,(INDIRECT("'"&amp;Assemblies[Assy]&amp;"'!"&amp;"O5:O1000"))))</f>
        <v>1</v>
      </c>
      <c r="H92" t="str" cm="1">
        <f t="array" aca="1" ref="H92" ca="1">TRIM(SUBSTITUTE(_xlfn.ARRAYTOTEXT(IFERROR(CONCATENATE(SUMIF(INDIRECT("'"&amp;Assemblies[Assy]&amp;"'!"&amp;"C$5:C1000"), $E92, INDIRECT("'"&amp;Assemblies[Assy]&amp;"'!"&amp;"O$5:O1000")), "x",Assemblies[Assy],".",IF(SUMIF(INDIRECT("'"&amp;Assemblies[Assy]&amp;"'!"&amp;"C$5:C1000"), $E92, INDIRECT("'"&amp;Assemblies[Assy]&amp;"'!"&amp;"B$5:B1000"))=0,NA(),SUMIF(INDIRECT("'"&amp;Assemblies[Assy]&amp;"'!"&amp;"C$5:C1000"), $E92, INDIRECT("'"&amp;Assemblies[Assy]&amp;"'!"&amp;"A$5:A1000")))),"")), " ,", ""))</f>
        <v>, 1x3.2.0,</v>
      </c>
      <c r="I92" s="285" t="s">
        <v>1473</v>
      </c>
      <c r="J92" s="228" t="str">
        <f>Assemblies[[#This Row],[Assy]]</f>
        <v>3.2.2</v>
      </c>
    </row>
    <row r="93" spans="1:10" x14ac:dyDescent="0.25">
      <c r="A93" t="s">
        <v>1475</v>
      </c>
      <c r="B93" s="204" t="s">
        <v>1629</v>
      </c>
      <c r="C93" s="24" t="s">
        <v>1470</v>
      </c>
      <c r="D93" s="134" t="s">
        <v>54</v>
      </c>
      <c r="E93" t="str">
        <f t="shared" si="1"/>
        <v>PG10.3.2.3.0.A</v>
      </c>
      <c r="F93" t="s">
        <v>1630</v>
      </c>
      <c r="G93" s="19" cm="1">
        <f t="array" aca="1" ref="G93" ca="1">SUMPRODUCT(SUMIF(INDIRECT("'"&amp;Assemblies[Assy]&amp;"'!"&amp;"C5:C1000"),E93,(INDIRECT("'"&amp;Assemblies[Assy]&amp;"'!"&amp;"O5:O1000"))))</f>
        <v>1</v>
      </c>
      <c r="H93" t="str" cm="1">
        <f t="array" aca="1" ref="H93" ca="1">TRIM(SUBSTITUTE(_xlfn.ARRAYTOTEXT(IFERROR(CONCATENATE(SUMIF(INDIRECT("'"&amp;Assemblies[Assy]&amp;"'!"&amp;"C$5:C1000"), $E93, INDIRECT("'"&amp;Assemblies[Assy]&amp;"'!"&amp;"O$5:O1000")), "x",Assemblies[Assy],".",IF(SUMIF(INDIRECT("'"&amp;Assemblies[Assy]&amp;"'!"&amp;"C$5:C1000"), $E93, INDIRECT("'"&amp;Assemblies[Assy]&amp;"'!"&amp;"B$5:B1000"))=0,NA(),SUMIF(INDIRECT("'"&amp;Assemblies[Assy]&amp;"'!"&amp;"C$5:C1000"), $E93, INDIRECT("'"&amp;Assemblies[Assy]&amp;"'!"&amp;"A$5:A1000")))),"")), " ,", ""))</f>
        <v>, 1x3.2.0,</v>
      </c>
      <c r="I93" s="285" t="s">
        <v>1473</v>
      </c>
      <c r="J93" s="228" t="str">
        <f>Assemblies[[#This Row],[Assy]]</f>
        <v>3.2.3</v>
      </c>
    </row>
    <row r="94" spans="1:10" x14ac:dyDescent="0.25">
      <c r="A94" t="s">
        <v>1475</v>
      </c>
      <c r="B94" s="204" t="s">
        <v>1631</v>
      </c>
      <c r="C94" s="24" t="s">
        <v>1470</v>
      </c>
      <c r="D94" s="134" t="s">
        <v>54</v>
      </c>
      <c r="E94" t="str">
        <f t="shared" si="1"/>
        <v>PG10.3.2.4.0.A</v>
      </c>
      <c r="F94" t="s">
        <v>1632</v>
      </c>
      <c r="G94" s="19" cm="1">
        <f t="array" aca="1" ref="G94" ca="1">SUMPRODUCT(SUMIF(INDIRECT("'"&amp;Assemblies[Assy]&amp;"'!"&amp;"C5:C1000"),E94,(INDIRECT("'"&amp;Assemblies[Assy]&amp;"'!"&amp;"O5:O1000"))))</f>
        <v>1</v>
      </c>
      <c r="H94" t="str" cm="1">
        <f t="array" aca="1" ref="H94" ca="1">TRIM(SUBSTITUTE(_xlfn.ARRAYTOTEXT(IFERROR(CONCATENATE(SUMIF(INDIRECT("'"&amp;Assemblies[Assy]&amp;"'!"&amp;"C$5:C1000"), $E94, INDIRECT("'"&amp;Assemblies[Assy]&amp;"'!"&amp;"O$5:O1000")), "x",Assemblies[Assy],".",IF(SUMIF(INDIRECT("'"&amp;Assemblies[Assy]&amp;"'!"&amp;"C$5:C1000"), $E94, INDIRECT("'"&amp;Assemblies[Assy]&amp;"'!"&amp;"B$5:B1000"))=0,NA(),SUMIF(INDIRECT("'"&amp;Assemblies[Assy]&amp;"'!"&amp;"C$5:C1000"), $E94, INDIRECT("'"&amp;Assemblies[Assy]&amp;"'!"&amp;"A$5:A1000")))),"")), " ,", ""))</f>
        <v>, 1x3.2.0,</v>
      </c>
      <c r="I94" s="285" t="s">
        <v>1473</v>
      </c>
      <c r="J94" s="228" t="str">
        <f>Assemblies[[#This Row],[Assy]]</f>
        <v>3.2.4</v>
      </c>
    </row>
    <row r="95" spans="1:10" x14ac:dyDescent="0.25">
      <c r="A95" t="s">
        <v>1475</v>
      </c>
      <c r="B95" s="204" t="s">
        <v>1633</v>
      </c>
      <c r="C95" s="24" t="s">
        <v>1470</v>
      </c>
      <c r="D95" s="134" t="s">
        <v>54</v>
      </c>
      <c r="E95" t="str">
        <f t="shared" si="1"/>
        <v>PG10.3.2.5.0.A</v>
      </c>
      <c r="F95" t="s">
        <v>1634</v>
      </c>
      <c r="G95" s="19" cm="1">
        <f t="array" aca="1" ref="G95" ca="1">SUMPRODUCT(SUMIF(INDIRECT("'"&amp;Assemblies[Assy]&amp;"'!"&amp;"C5:C1000"),E95,(INDIRECT("'"&amp;Assemblies[Assy]&amp;"'!"&amp;"O5:O1000"))))</f>
        <v>1</v>
      </c>
      <c r="H95" t="str" cm="1">
        <f t="array" aca="1" ref="H95" ca="1">TRIM(SUBSTITUTE(_xlfn.ARRAYTOTEXT(IFERROR(CONCATENATE(SUMIF(INDIRECT("'"&amp;Assemblies[Assy]&amp;"'!"&amp;"C$5:C1000"), $E95, INDIRECT("'"&amp;Assemblies[Assy]&amp;"'!"&amp;"O$5:O1000")), "x",Assemblies[Assy],".",IF(SUMIF(INDIRECT("'"&amp;Assemblies[Assy]&amp;"'!"&amp;"C$5:C1000"), $E95, INDIRECT("'"&amp;Assemblies[Assy]&amp;"'!"&amp;"B$5:B1000"))=0,NA(),SUMIF(INDIRECT("'"&amp;Assemblies[Assy]&amp;"'!"&amp;"C$5:C1000"), $E95, INDIRECT("'"&amp;Assemblies[Assy]&amp;"'!"&amp;"A$5:A1000")))),"")), " ,", ""))</f>
        <v>, 1x3.2.0,</v>
      </c>
      <c r="I95" s="285" t="s">
        <v>1473</v>
      </c>
      <c r="J95" s="228" t="str">
        <f>Assemblies[[#This Row],[Assy]]</f>
        <v>3.2.5</v>
      </c>
    </row>
    <row r="96" spans="1:10" x14ac:dyDescent="0.25">
      <c r="A96" t="s">
        <v>1475</v>
      </c>
      <c r="B96" s="204" t="s">
        <v>1635</v>
      </c>
      <c r="C96" s="24" t="s">
        <v>1470</v>
      </c>
      <c r="D96" s="134" t="s">
        <v>54</v>
      </c>
      <c r="E96" t="str">
        <f t="shared" si="1"/>
        <v>PG10.3.2.6.0.A</v>
      </c>
      <c r="F96" t="s">
        <v>1636</v>
      </c>
      <c r="G96" s="19" cm="1">
        <f t="array" aca="1" ref="G96" ca="1">SUMPRODUCT(SUMIF(INDIRECT("'"&amp;Assemblies[Assy]&amp;"'!"&amp;"C5:C1000"),E96,(INDIRECT("'"&amp;Assemblies[Assy]&amp;"'!"&amp;"O5:O1000"))))</f>
        <v>1</v>
      </c>
      <c r="H96" t="str" cm="1">
        <f t="array" aca="1" ref="H96" ca="1">TRIM(SUBSTITUTE(_xlfn.ARRAYTOTEXT(IFERROR(CONCATENATE(SUMIF(INDIRECT("'"&amp;Assemblies[Assy]&amp;"'!"&amp;"C$5:C1000"), $E96, INDIRECT("'"&amp;Assemblies[Assy]&amp;"'!"&amp;"O$5:O1000")), "x",Assemblies[Assy],".",IF(SUMIF(INDIRECT("'"&amp;Assemblies[Assy]&amp;"'!"&amp;"C$5:C1000"), $E96, INDIRECT("'"&amp;Assemblies[Assy]&amp;"'!"&amp;"B$5:B1000"))=0,NA(),SUMIF(INDIRECT("'"&amp;Assemblies[Assy]&amp;"'!"&amp;"C$5:C1000"), $E96, INDIRECT("'"&amp;Assemblies[Assy]&amp;"'!"&amp;"A$5:A1000")))),"")), " ,", ""))</f>
        <v>, 1x3.2.0,</v>
      </c>
      <c r="I96" s="285" t="s">
        <v>1473</v>
      </c>
      <c r="J96" s="228" t="str">
        <f>Assemblies[[#This Row],[Assy]]</f>
        <v>3.2.6</v>
      </c>
    </row>
    <row r="97" spans="1:10" x14ac:dyDescent="0.25">
      <c r="A97" t="s">
        <v>1475</v>
      </c>
      <c r="B97" s="204" t="s">
        <v>1637</v>
      </c>
      <c r="C97" s="24" t="s">
        <v>1470</v>
      </c>
      <c r="D97" s="134" t="s">
        <v>54</v>
      </c>
      <c r="E97" t="str">
        <f t="shared" si="1"/>
        <v>PG10.3.2.7.0.A</v>
      </c>
      <c r="F97" t="s">
        <v>1638</v>
      </c>
      <c r="G97" s="19" cm="1">
        <f t="array" aca="1" ref="G97" ca="1">SUMPRODUCT(SUMIF(INDIRECT("'"&amp;Assemblies[Assy]&amp;"'!"&amp;"C5:C1000"),E97,(INDIRECT("'"&amp;Assemblies[Assy]&amp;"'!"&amp;"O5:O1000"))))</f>
        <v>1</v>
      </c>
      <c r="H97" t="str" cm="1">
        <f t="array" aca="1" ref="H97" ca="1">TRIM(SUBSTITUTE(_xlfn.ARRAYTOTEXT(IFERROR(CONCATENATE(SUMIF(INDIRECT("'"&amp;Assemblies[Assy]&amp;"'!"&amp;"C$5:C1000"), $E97, INDIRECT("'"&amp;Assemblies[Assy]&amp;"'!"&amp;"O$5:O1000")), "x",Assemblies[Assy],".",IF(SUMIF(INDIRECT("'"&amp;Assemblies[Assy]&amp;"'!"&amp;"C$5:C1000"), $E97, INDIRECT("'"&amp;Assemblies[Assy]&amp;"'!"&amp;"B$5:B1000"))=0,NA(),SUMIF(INDIRECT("'"&amp;Assemblies[Assy]&amp;"'!"&amp;"C$5:C1000"), $E97, INDIRECT("'"&amp;Assemblies[Assy]&amp;"'!"&amp;"A$5:A1000")))),"")), " ,", ""))</f>
        <v>, 1x3.2.0,</v>
      </c>
      <c r="I97" s="285" t="s">
        <v>1473</v>
      </c>
      <c r="J97" s="228" t="str">
        <f>Assemblies[[#This Row],[Assy]]</f>
        <v>3.2.7</v>
      </c>
    </row>
    <row r="98" spans="1:10" x14ac:dyDescent="0.25">
      <c r="A98" t="s">
        <v>1475</v>
      </c>
      <c r="B98" s="204" t="s">
        <v>1639</v>
      </c>
      <c r="C98" s="24" t="s">
        <v>1470</v>
      </c>
      <c r="D98" s="134" t="s">
        <v>54</v>
      </c>
      <c r="E98" t="str">
        <f t="shared" si="1"/>
        <v>PG10.3.2.8.0.A</v>
      </c>
      <c r="F98" t="s">
        <v>1640</v>
      </c>
      <c r="G98" s="19" cm="1">
        <f t="array" aca="1" ref="G98" ca="1">SUMPRODUCT(SUMIF(INDIRECT("'"&amp;Assemblies[Assy]&amp;"'!"&amp;"C5:C1000"),E98,(INDIRECT("'"&amp;Assemblies[Assy]&amp;"'!"&amp;"O5:O1000"))))</f>
        <v>1</v>
      </c>
      <c r="H98" t="str" cm="1">
        <f t="array" aca="1" ref="H98" ca="1">TRIM(SUBSTITUTE(_xlfn.ARRAYTOTEXT(IFERROR(CONCATENATE(SUMIF(INDIRECT("'"&amp;Assemblies[Assy]&amp;"'!"&amp;"C$5:C1000"), $E98, INDIRECT("'"&amp;Assemblies[Assy]&amp;"'!"&amp;"O$5:O1000")), "x",Assemblies[Assy],".",IF(SUMIF(INDIRECT("'"&amp;Assemblies[Assy]&amp;"'!"&amp;"C$5:C1000"), $E98, INDIRECT("'"&amp;Assemblies[Assy]&amp;"'!"&amp;"B$5:B1000"))=0,NA(),SUMIF(INDIRECT("'"&amp;Assemblies[Assy]&amp;"'!"&amp;"C$5:C1000"), $E98, INDIRECT("'"&amp;Assemblies[Assy]&amp;"'!"&amp;"A$5:A1000")))),"")), " ,", ""))</f>
        <v>, 1x3.2.0,</v>
      </c>
      <c r="I98" s="285" t="s">
        <v>1473</v>
      </c>
      <c r="J98" s="228" t="str">
        <f>Assemblies[[#This Row],[Assy]]</f>
        <v>3.2.8</v>
      </c>
    </row>
    <row r="99" spans="1:10" x14ac:dyDescent="0.25">
      <c r="A99" t="s">
        <v>1475</v>
      </c>
      <c r="B99" s="204" t="s">
        <v>1641</v>
      </c>
      <c r="C99" s="24" t="s">
        <v>1470</v>
      </c>
      <c r="D99" s="134" t="s">
        <v>54</v>
      </c>
      <c r="E99" t="str">
        <f t="shared" si="1"/>
        <v>PG10.3.2.9.0.A</v>
      </c>
      <c r="F99" t="s">
        <v>1642</v>
      </c>
      <c r="G99" s="19" cm="1">
        <f t="array" aca="1" ref="G99" ca="1">SUMPRODUCT(SUMIF(INDIRECT("'"&amp;Assemblies[Assy]&amp;"'!"&amp;"C5:C1000"),E99,(INDIRECT("'"&amp;Assemblies[Assy]&amp;"'!"&amp;"O5:O1000"))))</f>
        <v>1</v>
      </c>
      <c r="H99" t="str" cm="1">
        <f t="array" aca="1" ref="H99" ca="1">TRIM(SUBSTITUTE(_xlfn.ARRAYTOTEXT(IFERROR(CONCATENATE(SUMIF(INDIRECT("'"&amp;Assemblies[Assy]&amp;"'!"&amp;"C$5:C1000"), $E99, INDIRECT("'"&amp;Assemblies[Assy]&amp;"'!"&amp;"O$5:O1000")), "x",Assemblies[Assy],".",IF(SUMIF(INDIRECT("'"&amp;Assemblies[Assy]&amp;"'!"&amp;"C$5:C1000"), $E99, INDIRECT("'"&amp;Assemblies[Assy]&amp;"'!"&amp;"B$5:B1000"))=0,NA(),SUMIF(INDIRECT("'"&amp;Assemblies[Assy]&amp;"'!"&amp;"C$5:C1000"), $E99, INDIRECT("'"&amp;Assemblies[Assy]&amp;"'!"&amp;"A$5:A1000")))),"")), " ,", ""))</f>
        <v>, 1x3.2.0,</v>
      </c>
      <c r="I99" s="285" t="s">
        <v>1473</v>
      </c>
      <c r="J99" s="228" t="str">
        <f>Assemblies[[#This Row],[Assy]]</f>
        <v>3.2.9</v>
      </c>
    </row>
    <row r="100" spans="1:10" x14ac:dyDescent="0.25">
      <c r="A100" t="s">
        <v>1475</v>
      </c>
      <c r="B100" s="204" t="s">
        <v>1643</v>
      </c>
      <c r="C100" s="24" t="s">
        <v>1470</v>
      </c>
      <c r="D100" s="134" t="s">
        <v>54</v>
      </c>
      <c r="E100" t="str">
        <f t="shared" si="1"/>
        <v>PG10.3.2.10.0.A</v>
      </c>
      <c r="F100" t="s">
        <v>1644</v>
      </c>
      <c r="G100" s="19" cm="1">
        <f t="array" aca="1" ref="G100" ca="1">SUMPRODUCT(SUMIF(INDIRECT("'"&amp;Assemblies[Assy]&amp;"'!"&amp;"C5:C1000"),E100,(INDIRECT("'"&amp;Assemblies[Assy]&amp;"'!"&amp;"O5:O1000"))))</f>
        <v>1</v>
      </c>
      <c r="H100" t="str" cm="1">
        <f t="array" aca="1" ref="H100" ca="1">TRIM(SUBSTITUTE(_xlfn.ARRAYTOTEXT(IFERROR(CONCATENATE(SUMIF(INDIRECT("'"&amp;Assemblies[Assy]&amp;"'!"&amp;"C$5:C1000"), $E100, INDIRECT("'"&amp;Assemblies[Assy]&amp;"'!"&amp;"O$5:O1000")), "x",Assemblies[Assy],".",IF(SUMIF(INDIRECT("'"&amp;Assemblies[Assy]&amp;"'!"&amp;"C$5:C1000"), $E100, INDIRECT("'"&amp;Assemblies[Assy]&amp;"'!"&amp;"B$5:B1000"))=0,NA(),SUMIF(INDIRECT("'"&amp;Assemblies[Assy]&amp;"'!"&amp;"C$5:C1000"), $E100, INDIRECT("'"&amp;Assemblies[Assy]&amp;"'!"&amp;"A$5:A1000")))),"")), " ,", ""))</f>
        <v>, 1x3.2.0,</v>
      </c>
      <c r="I100" s="285" t="s">
        <v>1473</v>
      </c>
      <c r="J100" s="228" t="str">
        <f>Assemblies[[#This Row],[Assy]]</f>
        <v>3.2.10</v>
      </c>
    </row>
    <row r="101" spans="1:10" x14ac:dyDescent="0.25">
      <c r="A101" t="s">
        <v>1475</v>
      </c>
      <c r="B101" s="197" t="s">
        <v>1645</v>
      </c>
      <c r="C101" s="24" t="s">
        <v>1470</v>
      </c>
      <c r="D101" s="134" t="s">
        <v>54</v>
      </c>
      <c r="E101" t="str">
        <f t="shared" si="1"/>
        <v>PG10.3.4.0.A</v>
      </c>
      <c r="F101" t="s">
        <v>1646</v>
      </c>
      <c r="G101" s="19" cm="1">
        <f t="array" aca="1" ref="G101" ca="1">SUMPRODUCT(SUMIF(INDIRECT("'"&amp;Assemblies[Assy]&amp;"'!"&amp;"C5:C1000"),E101,(INDIRECT("'"&amp;Assemblies[Assy]&amp;"'!"&amp;"O5:O1000"))))</f>
        <v>1</v>
      </c>
      <c r="H101" t="str" cm="1">
        <f t="array" aca="1" ref="H101" ca="1">TRIM(SUBSTITUTE(_xlfn.ARRAYTOTEXT(IFERROR(CONCATENATE(SUMIF(INDIRECT("'"&amp;Assemblies[Assy]&amp;"'!"&amp;"C$5:C1000"), $E101, INDIRECT("'"&amp;Assemblies[Assy]&amp;"'!"&amp;"O$5:O1000")), "x",Assemblies[Assy],".",IF(SUMIF(INDIRECT("'"&amp;Assemblies[Assy]&amp;"'!"&amp;"C$5:C1000"), $E101, INDIRECT("'"&amp;Assemblies[Assy]&amp;"'!"&amp;"B$5:B1000"))=0,NA(),SUMIF(INDIRECT("'"&amp;Assemblies[Assy]&amp;"'!"&amp;"C$5:C1000"), $E101, INDIRECT("'"&amp;Assemblies[Assy]&amp;"'!"&amp;"A$5:A1000")))),"")), " ,", ""))</f>
        <v>, 1x3.0,</v>
      </c>
      <c r="I101" s="285" t="s">
        <v>1473</v>
      </c>
      <c r="J101" s="229" t="str">
        <f>Assemblies[[#This Row],[Assy]]</f>
        <v>3.4</v>
      </c>
    </row>
    <row r="102" spans="1:10" x14ac:dyDescent="0.25">
      <c r="A102" t="s">
        <v>1475</v>
      </c>
      <c r="B102" s="195" t="s">
        <v>1647</v>
      </c>
      <c r="C102" s="24" t="s">
        <v>1470</v>
      </c>
      <c r="D102" s="134" t="s">
        <v>54</v>
      </c>
      <c r="E102" t="str">
        <f t="shared" si="1"/>
        <v>PG10.4.0.A</v>
      </c>
      <c r="F102" t="s">
        <v>1648</v>
      </c>
      <c r="G102" s="19" cm="1">
        <f t="array" aca="1" ref="G102" ca="1">SUMPRODUCT(SUMIF(INDIRECT("'"&amp;Assemblies[Assy]&amp;"'!"&amp;"C5:C1000"),E102,(INDIRECT("'"&amp;Assemblies[Assy]&amp;"'!"&amp;"O5:O1000"))))</f>
        <v>1</v>
      </c>
      <c r="H102" t="str" cm="1">
        <f t="array" aca="1" ref="H102" ca="1">TRIM(SUBSTITUTE(_xlfn.ARRAYTOTEXT(IFERROR(CONCATENATE(SUMIF(INDIRECT("'"&amp;Assemblies[Assy]&amp;"'!"&amp;"C$5:C1000"), $E102, INDIRECT("'"&amp;Assemblies[Assy]&amp;"'!"&amp;"O$5:O1000")), "x",Assemblies[Assy],".",IF(SUMIF(INDIRECT("'"&amp;Assemblies[Assy]&amp;"'!"&amp;"C$5:C1000"), $E102, INDIRECT("'"&amp;Assemblies[Assy]&amp;"'!"&amp;"B$5:B1000"))=0,NA(),SUMIF(INDIRECT("'"&amp;Assemblies[Assy]&amp;"'!"&amp;"C$5:C1000"), $E102, INDIRECT("'"&amp;Assemblies[Assy]&amp;"'!"&amp;"A$5:A1000")))),"")), " ,", ""))</f>
        <v>1x0.0,</v>
      </c>
      <c r="I102" s="285" t="s">
        <v>1473</v>
      </c>
      <c r="J102" s="280" t="s">
        <v>1647</v>
      </c>
    </row>
    <row r="103" spans="1:10" x14ac:dyDescent="0.25">
      <c r="A103" t="s">
        <v>1475</v>
      </c>
      <c r="B103" s="197" t="s">
        <v>1649</v>
      </c>
      <c r="C103" s="24" t="s">
        <v>1470</v>
      </c>
      <c r="D103" s="134" t="s">
        <v>54</v>
      </c>
      <c r="E103" t="str">
        <f t="shared" si="1"/>
        <v>PG10.4.1.0.A</v>
      </c>
      <c r="F103" t="s">
        <v>1650</v>
      </c>
      <c r="G103" s="19" cm="1">
        <f t="array" aca="1" ref="G103" ca="1">SUMPRODUCT(SUMIF(INDIRECT("'"&amp;Assemblies[Assy]&amp;"'!"&amp;"C5:C1000"),E103,(INDIRECT("'"&amp;Assemblies[Assy]&amp;"'!"&amp;"O5:O1000"))))</f>
        <v>1</v>
      </c>
      <c r="H103" t="str" cm="1">
        <f t="array" aca="1" ref="H103" ca="1">TRIM(SUBSTITUTE(_xlfn.ARRAYTOTEXT(IFERROR(CONCATENATE(SUMIF(INDIRECT("'"&amp;Assemblies[Assy]&amp;"'!"&amp;"C$5:C1000"), $E103, INDIRECT("'"&amp;Assemblies[Assy]&amp;"'!"&amp;"O$5:O1000")), "x",Assemblies[Assy],".",IF(SUMIF(INDIRECT("'"&amp;Assemblies[Assy]&amp;"'!"&amp;"C$5:C1000"), $E103, INDIRECT("'"&amp;Assemblies[Assy]&amp;"'!"&amp;"B$5:B1000"))=0,NA(),SUMIF(INDIRECT("'"&amp;Assemblies[Assy]&amp;"'!"&amp;"C$5:C1000"), $E103, INDIRECT("'"&amp;Assemblies[Assy]&amp;"'!"&amp;"A$5:A1000")))),"")), " ,", ""))</f>
        <v>, 1x4.0,</v>
      </c>
      <c r="I103" s="285" t="s">
        <v>1473</v>
      </c>
      <c r="J103" s="280" t="s">
        <v>1649</v>
      </c>
    </row>
    <row r="104" spans="1:10" x14ac:dyDescent="0.25">
      <c r="A104" t="s">
        <v>1475</v>
      </c>
      <c r="B104" s="204" t="s">
        <v>1651</v>
      </c>
      <c r="C104" s="24" t="s">
        <v>1470</v>
      </c>
      <c r="D104" s="134" t="s">
        <v>54</v>
      </c>
      <c r="E104" t="str">
        <f t="shared" si="1"/>
        <v>PG10.4.1.1.0.A</v>
      </c>
      <c r="F104" t="s">
        <v>1652</v>
      </c>
      <c r="G104" s="19" cm="1">
        <f t="array" aca="1" ref="G104" ca="1">SUMPRODUCT(SUMIF(INDIRECT("'"&amp;Assemblies[Assy]&amp;"'!"&amp;"C5:C1000"),E104,(INDIRECT("'"&amp;Assemblies[Assy]&amp;"'!"&amp;"O5:O1000"))))</f>
        <v>2</v>
      </c>
      <c r="H104" t="str" cm="1">
        <f t="array" aca="1" ref="H104" ca="1">TRIM(SUBSTITUTE(_xlfn.ARRAYTOTEXT(IFERROR(CONCATENATE(SUMIF(INDIRECT("'"&amp;Assemblies[Assy]&amp;"'!"&amp;"C$5:C1000"), $E104, INDIRECT("'"&amp;Assemblies[Assy]&amp;"'!"&amp;"O$5:O1000")), "x",Assemblies[Assy],".",IF(SUMIF(INDIRECT("'"&amp;Assemblies[Assy]&amp;"'!"&amp;"C$5:C1000"), $E104, INDIRECT("'"&amp;Assemblies[Assy]&amp;"'!"&amp;"B$5:B1000"))=0,NA(),SUMIF(INDIRECT("'"&amp;Assemblies[Assy]&amp;"'!"&amp;"C$5:C1000"), $E104, INDIRECT("'"&amp;Assemblies[Assy]&amp;"'!"&amp;"A$5:A1000")))),"")), " ,", ""))</f>
        <v>, 2x4.1.0,</v>
      </c>
      <c r="I104" s="285" t="s">
        <v>1473</v>
      </c>
      <c r="J104" s="230" t="str">
        <f>Assemblies[[#This Row],[Assy]]</f>
        <v>4.1.1</v>
      </c>
    </row>
    <row r="105" spans="1:10" x14ac:dyDescent="0.25">
      <c r="A105" t="s">
        <v>1475</v>
      </c>
      <c r="B105" s="204" t="s">
        <v>1653</v>
      </c>
      <c r="C105" s="24" t="s">
        <v>1470</v>
      </c>
      <c r="D105" s="134" t="s">
        <v>54</v>
      </c>
      <c r="E105" t="str">
        <f t="shared" si="1"/>
        <v>PG10.4.1.2.0.A</v>
      </c>
      <c r="F105" t="s">
        <v>1654</v>
      </c>
      <c r="G105" s="19" cm="1">
        <f t="array" aca="1" ref="G105" ca="1">SUMPRODUCT(SUMIF(INDIRECT("'"&amp;Assemblies[Assy]&amp;"'!"&amp;"C5:C1000"),E105,(INDIRECT("'"&amp;Assemblies[Assy]&amp;"'!"&amp;"O5:O1000"))))</f>
        <v>2</v>
      </c>
      <c r="H105" t="str" cm="1">
        <f t="array" aca="1" ref="H105" ca="1">TRIM(SUBSTITUTE(_xlfn.ARRAYTOTEXT(IFERROR(CONCATENATE(SUMIF(INDIRECT("'"&amp;Assemblies[Assy]&amp;"'!"&amp;"C$5:C1000"), $E105, INDIRECT("'"&amp;Assemblies[Assy]&amp;"'!"&amp;"O$5:O1000")), "x",Assemblies[Assy],".",IF(SUMIF(INDIRECT("'"&amp;Assemblies[Assy]&amp;"'!"&amp;"C$5:C1000"), $E105, INDIRECT("'"&amp;Assemblies[Assy]&amp;"'!"&amp;"B$5:B1000"))=0,NA(),SUMIF(INDIRECT("'"&amp;Assemblies[Assy]&amp;"'!"&amp;"C$5:C1000"), $E105, INDIRECT("'"&amp;Assemblies[Assy]&amp;"'!"&amp;"A$5:A1000")))),"")), " ,", ""))</f>
        <v>, 2x4.1.0,</v>
      </c>
      <c r="I105" s="285" t="s">
        <v>1473</v>
      </c>
      <c r="J105" s="230" t="str">
        <f>Assemblies[[#This Row],[Assy]]</f>
        <v>4.1.2</v>
      </c>
    </row>
    <row r="106" spans="1:10" x14ac:dyDescent="0.25">
      <c r="A106" t="s">
        <v>1475</v>
      </c>
      <c r="B106" s="204" t="s">
        <v>1655</v>
      </c>
      <c r="C106" s="24" t="s">
        <v>1470</v>
      </c>
      <c r="D106" s="134" t="s">
        <v>54</v>
      </c>
      <c r="E106" t="str">
        <f t="shared" si="1"/>
        <v>PG10.4.1.3.0.A</v>
      </c>
      <c r="F106" t="s">
        <v>1656</v>
      </c>
      <c r="G106" s="19" cm="1">
        <f t="array" aca="1" ref="G106" ca="1">SUMPRODUCT(SUMIF(INDIRECT("'"&amp;Assemblies[Assy]&amp;"'!"&amp;"C5:C1000"),E106,(INDIRECT("'"&amp;Assemblies[Assy]&amp;"'!"&amp;"O5:O1000"))))</f>
        <v>4</v>
      </c>
      <c r="H106" t="str" cm="1">
        <f t="array" aca="1" ref="H106" ca="1">TRIM(SUBSTITUTE(_xlfn.ARRAYTOTEXT(IFERROR(CONCATENATE(SUMIF(INDIRECT("'"&amp;Assemblies[Assy]&amp;"'!"&amp;"C$5:C1000"), $E106, INDIRECT("'"&amp;Assemblies[Assy]&amp;"'!"&amp;"O$5:O1000")), "x",Assemblies[Assy],".",IF(SUMIF(INDIRECT("'"&amp;Assemblies[Assy]&amp;"'!"&amp;"C$5:C1000"), $E106, INDIRECT("'"&amp;Assemblies[Assy]&amp;"'!"&amp;"B$5:B1000"))=0,NA(),SUMIF(INDIRECT("'"&amp;Assemblies[Assy]&amp;"'!"&amp;"C$5:C1000"), $E106, INDIRECT("'"&amp;Assemblies[Assy]&amp;"'!"&amp;"A$5:A1000")))),"")), " ,", ""))</f>
        <v>, 4x4.1.0,</v>
      </c>
      <c r="I106" s="285" t="s">
        <v>1473</v>
      </c>
      <c r="J106" s="230" t="str">
        <f>Assemblies[[#This Row],[Assy]]</f>
        <v>4.1.3</v>
      </c>
    </row>
    <row r="107" spans="1:10" x14ac:dyDescent="0.25">
      <c r="A107" t="s">
        <v>1475</v>
      </c>
      <c r="B107" s="204" t="s">
        <v>1657</v>
      </c>
      <c r="C107" s="24" t="s">
        <v>1470</v>
      </c>
      <c r="D107" s="134" t="s">
        <v>54</v>
      </c>
      <c r="E107" t="str">
        <f t="shared" si="1"/>
        <v>PG10.4.1.4.0.A</v>
      </c>
      <c r="F107" t="s">
        <v>1658</v>
      </c>
      <c r="G107" s="19" cm="1">
        <f t="array" aca="1" ref="G107" ca="1">SUMPRODUCT(SUMIF(INDIRECT("'"&amp;Assemblies[Assy]&amp;"'!"&amp;"C5:C1000"),E107,(INDIRECT("'"&amp;Assemblies[Assy]&amp;"'!"&amp;"O5:O1000"))))</f>
        <v>2</v>
      </c>
      <c r="H107" t="str" cm="1">
        <f t="array" aca="1" ref="H107" ca="1">TRIM(SUBSTITUTE(_xlfn.ARRAYTOTEXT(IFERROR(CONCATENATE(SUMIF(INDIRECT("'"&amp;Assemblies[Assy]&amp;"'!"&amp;"C$5:C1000"), $E107, INDIRECT("'"&amp;Assemblies[Assy]&amp;"'!"&amp;"O$5:O1000")), "x",Assemblies[Assy],".",IF(SUMIF(INDIRECT("'"&amp;Assemblies[Assy]&amp;"'!"&amp;"C$5:C1000"), $E107, INDIRECT("'"&amp;Assemblies[Assy]&amp;"'!"&amp;"B$5:B1000"))=0,NA(),SUMIF(INDIRECT("'"&amp;Assemblies[Assy]&amp;"'!"&amp;"C$5:C1000"), $E107, INDIRECT("'"&amp;Assemblies[Assy]&amp;"'!"&amp;"A$5:A1000")))),"")), " ,", ""))</f>
        <v>, 2x4.1.0,</v>
      </c>
      <c r="I107" s="285" t="s">
        <v>1473</v>
      </c>
      <c r="J107" s="230" t="str">
        <f>Assemblies[[#This Row],[Assy]]</f>
        <v>4.1.4</v>
      </c>
    </row>
    <row r="108" spans="1:10" x14ac:dyDescent="0.25">
      <c r="A108" t="s">
        <v>1475</v>
      </c>
      <c r="B108" s="204" t="s">
        <v>1659</v>
      </c>
      <c r="C108" s="24" t="s">
        <v>1470</v>
      </c>
      <c r="D108" s="134" t="s">
        <v>54</v>
      </c>
      <c r="E108" t="str">
        <f t="shared" si="1"/>
        <v>PG10.4.1.5.0.A</v>
      </c>
      <c r="F108" t="s">
        <v>1660</v>
      </c>
      <c r="G108" s="19" cm="1">
        <f t="array" aca="1" ref="G108" ca="1">SUMPRODUCT(SUMIF(INDIRECT("'"&amp;Assemblies[Assy]&amp;"'!"&amp;"C5:C1000"),E108,(INDIRECT("'"&amp;Assemblies[Assy]&amp;"'!"&amp;"O5:O1000"))))</f>
        <v>2</v>
      </c>
      <c r="H108" t="str" cm="1">
        <f t="array" aca="1" ref="H108" ca="1">TRIM(SUBSTITUTE(_xlfn.ARRAYTOTEXT(IFERROR(CONCATENATE(SUMIF(INDIRECT("'"&amp;Assemblies[Assy]&amp;"'!"&amp;"C$5:C1000"), $E108, INDIRECT("'"&amp;Assemblies[Assy]&amp;"'!"&amp;"O$5:O1000")), "x",Assemblies[Assy],".",IF(SUMIF(INDIRECT("'"&amp;Assemblies[Assy]&amp;"'!"&amp;"C$5:C1000"), $E108, INDIRECT("'"&amp;Assemblies[Assy]&amp;"'!"&amp;"B$5:B1000"))=0,NA(),SUMIF(INDIRECT("'"&amp;Assemblies[Assy]&amp;"'!"&amp;"C$5:C1000"), $E108, INDIRECT("'"&amp;Assemblies[Assy]&amp;"'!"&amp;"A$5:A1000")))),"")), " ,", ""))</f>
        <v>, 2x4.1.0,</v>
      </c>
      <c r="I108" s="285" t="s">
        <v>1473</v>
      </c>
      <c r="J108" s="230" t="str">
        <f>Assemblies[[#This Row],[Assy]]</f>
        <v>4.1.5</v>
      </c>
    </row>
    <row r="109" spans="1:10" x14ac:dyDescent="0.25">
      <c r="A109" t="s">
        <v>1475</v>
      </c>
      <c r="B109" s="204" t="s">
        <v>1661</v>
      </c>
      <c r="C109" s="24" t="s">
        <v>1470</v>
      </c>
      <c r="D109" s="134" t="s">
        <v>54</v>
      </c>
      <c r="E109" t="str">
        <f t="shared" si="1"/>
        <v>PG10.4.1.6.0.A</v>
      </c>
      <c r="F109" t="s">
        <v>1662</v>
      </c>
      <c r="G109" s="19" cm="1">
        <f t="array" aca="1" ref="G109" ca="1">SUMPRODUCT(SUMIF(INDIRECT("'"&amp;Assemblies[Assy]&amp;"'!"&amp;"C5:C1000"),E109,(INDIRECT("'"&amp;Assemblies[Assy]&amp;"'!"&amp;"O5:O1000"))))</f>
        <v>2</v>
      </c>
      <c r="H109" t="str" cm="1">
        <f t="array" aca="1" ref="H109" ca="1">TRIM(SUBSTITUTE(_xlfn.ARRAYTOTEXT(IFERROR(CONCATENATE(SUMIF(INDIRECT("'"&amp;Assemblies[Assy]&amp;"'!"&amp;"C$5:C1000"), $E109, INDIRECT("'"&amp;Assemblies[Assy]&amp;"'!"&amp;"O$5:O1000")), "x",Assemblies[Assy],".",IF(SUMIF(INDIRECT("'"&amp;Assemblies[Assy]&amp;"'!"&amp;"C$5:C1000"), $E109, INDIRECT("'"&amp;Assemblies[Assy]&amp;"'!"&amp;"B$5:B1000"))=0,NA(),SUMIF(INDIRECT("'"&amp;Assemblies[Assy]&amp;"'!"&amp;"C$5:C1000"), $E109, INDIRECT("'"&amp;Assemblies[Assy]&amp;"'!"&amp;"A$5:A1000")))),"")), " ,", ""))</f>
        <v>, 2x4.1.0,</v>
      </c>
      <c r="I109" s="285" t="s">
        <v>1473</v>
      </c>
      <c r="J109" s="230" t="str">
        <f>Assemblies[[#This Row],[Assy]]</f>
        <v>4.1.6</v>
      </c>
    </row>
    <row r="110" spans="1:10" x14ac:dyDescent="0.25">
      <c r="A110" t="s">
        <v>1475</v>
      </c>
      <c r="B110" s="204" t="s">
        <v>1663</v>
      </c>
      <c r="C110" s="24" t="s">
        <v>1470</v>
      </c>
      <c r="D110" s="134" t="s">
        <v>54</v>
      </c>
      <c r="E110" t="str">
        <f t="shared" si="1"/>
        <v>PG10.4.1.7.0.A</v>
      </c>
      <c r="F110" t="s">
        <v>1664</v>
      </c>
      <c r="G110" s="19" cm="1">
        <f t="array" aca="1" ref="G110" ca="1">SUMPRODUCT(SUMIF(INDIRECT("'"&amp;Assemblies[Assy]&amp;"'!"&amp;"C5:C1000"),E110,(INDIRECT("'"&amp;Assemblies[Assy]&amp;"'!"&amp;"O5:O1000"))))</f>
        <v>1</v>
      </c>
      <c r="H110" t="str" cm="1">
        <f t="array" aca="1" ref="H110" ca="1">TRIM(SUBSTITUTE(_xlfn.ARRAYTOTEXT(IFERROR(CONCATENATE(SUMIF(INDIRECT("'"&amp;Assemblies[Assy]&amp;"'!"&amp;"C$5:C1000"), $E110, INDIRECT("'"&amp;Assemblies[Assy]&amp;"'!"&amp;"O$5:O1000")), "x",Assemblies[Assy],".",IF(SUMIF(INDIRECT("'"&amp;Assemblies[Assy]&amp;"'!"&amp;"C$5:C1000"), $E110, INDIRECT("'"&amp;Assemblies[Assy]&amp;"'!"&amp;"B$5:B1000"))=0,NA(),SUMIF(INDIRECT("'"&amp;Assemblies[Assy]&amp;"'!"&amp;"C$5:C1000"), $E110, INDIRECT("'"&amp;Assemblies[Assy]&amp;"'!"&amp;"A$5:A1000")))),"")), " ,", ""))</f>
        <v>, 1x4.1.0,</v>
      </c>
      <c r="I110" s="285" t="s">
        <v>1473</v>
      </c>
      <c r="J110" s="230" t="str">
        <f>Assemblies[[#This Row],[Assy]]</f>
        <v>4.1.7</v>
      </c>
    </row>
    <row r="111" spans="1:10" x14ac:dyDescent="0.25">
      <c r="A111" t="s">
        <v>1475</v>
      </c>
      <c r="B111" s="204" t="s">
        <v>1665</v>
      </c>
      <c r="C111" s="24" t="s">
        <v>1470</v>
      </c>
      <c r="D111" s="134" t="s">
        <v>54</v>
      </c>
      <c r="E111" t="str">
        <f t="shared" si="1"/>
        <v>PG10.4.1.8.0.A</v>
      </c>
      <c r="F111" t="s">
        <v>1666</v>
      </c>
      <c r="G111" s="19" cm="1">
        <f t="array" aca="1" ref="G111" ca="1">SUMPRODUCT(SUMIF(INDIRECT("'"&amp;Assemblies[Assy]&amp;"'!"&amp;"C5:C1000"),E111,(INDIRECT("'"&amp;Assemblies[Assy]&amp;"'!"&amp;"O5:O1000"))))</f>
        <v>1</v>
      </c>
      <c r="H111" t="str" cm="1">
        <f t="array" aca="1" ref="H111" ca="1">TRIM(SUBSTITUTE(_xlfn.ARRAYTOTEXT(IFERROR(CONCATENATE(SUMIF(INDIRECT("'"&amp;Assemblies[Assy]&amp;"'!"&amp;"C$5:C1000"), $E111, INDIRECT("'"&amp;Assemblies[Assy]&amp;"'!"&amp;"O$5:O1000")), "x",Assemblies[Assy],".",IF(SUMIF(INDIRECT("'"&amp;Assemblies[Assy]&amp;"'!"&amp;"C$5:C1000"), $E111, INDIRECT("'"&amp;Assemblies[Assy]&amp;"'!"&amp;"B$5:B1000"))=0,NA(),SUMIF(INDIRECT("'"&amp;Assemblies[Assy]&amp;"'!"&amp;"C$5:C1000"), $E111, INDIRECT("'"&amp;Assemblies[Assy]&amp;"'!"&amp;"A$5:A1000")))),"")), " ,", ""))</f>
        <v>, 1x4.1.0,</v>
      </c>
      <c r="I111" s="285" t="s">
        <v>1473</v>
      </c>
      <c r="J111" s="230" t="str">
        <f>Assemblies[[#This Row],[Assy]]</f>
        <v>4.1.8</v>
      </c>
    </row>
    <row r="112" spans="1:10" x14ac:dyDescent="0.25">
      <c r="A112" t="s">
        <v>1475</v>
      </c>
      <c r="B112" s="204" t="s">
        <v>1667</v>
      </c>
      <c r="C112" s="24" t="s">
        <v>1470</v>
      </c>
      <c r="D112" s="134" t="s">
        <v>54</v>
      </c>
      <c r="E112" t="str">
        <f t="shared" si="1"/>
        <v>PG10.4.1.9.0.A</v>
      </c>
      <c r="F112" t="s">
        <v>1668</v>
      </c>
      <c r="G112" s="19" cm="1">
        <f t="array" aca="1" ref="G112" ca="1">SUMPRODUCT(SUMIF(INDIRECT("'"&amp;Assemblies[Assy]&amp;"'!"&amp;"C5:C1000"),E112,(INDIRECT("'"&amp;Assemblies[Assy]&amp;"'!"&amp;"O5:O1000"))))</f>
        <v>1</v>
      </c>
      <c r="H112" t="str" cm="1">
        <f t="array" aca="1" ref="H112" ca="1">TRIM(SUBSTITUTE(_xlfn.ARRAYTOTEXT(IFERROR(CONCATENATE(SUMIF(INDIRECT("'"&amp;Assemblies[Assy]&amp;"'!"&amp;"C$5:C1000"), $E112, INDIRECT("'"&amp;Assemblies[Assy]&amp;"'!"&amp;"O$5:O1000")), "x",Assemblies[Assy],".",IF(SUMIF(INDIRECT("'"&amp;Assemblies[Assy]&amp;"'!"&amp;"C$5:C1000"), $E112, INDIRECT("'"&amp;Assemblies[Assy]&amp;"'!"&amp;"B$5:B1000"))=0,NA(),SUMIF(INDIRECT("'"&amp;Assemblies[Assy]&amp;"'!"&amp;"C$5:C1000"), $E112, INDIRECT("'"&amp;Assemblies[Assy]&amp;"'!"&amp;"A$5:A1000")))),"")), " ,", ""))</f>
        <v>, 1x4.1.0,</v>
      </c>
      <c r="I112" s="285" t="s">
        <v>1473</v>
      </c>
      <c r="J112" s="230" t="str">
        <f>Assemblies[[#This Row],[Assy]]</f>
        <v>4.1.9</v>
      </c>
    </row>
    <row r="113" spans="1:10" x14ac:dyDescent="0.25">
      <c r="A113" t="s">
        <v>1475</v>
      </c>
      <c r="B113" s="204" t="s">
        <v>1669</v>
      </c>
      <c r="C113" s="24" t="s">
        <v>1470</v>
      </c>
      <c r="D113" s="134" t="s">
        <v>54</v>
      </c>
      <c r="E113" t="str">
        <f t="shared" si="1"/>
        <v>PG10.4.1.10.0.A</v>
      </c>
      <c r="F113" t="s">
        <v>1670</v>
      </c>
      <c r="G113" s="19" cm="1">
        <f t="array" aca="1" ref="G113" ca="1">SUMPRODUCT(SUMIF(INDIRECT("'"&amp;Assemblies[Assy]&amp;"'!"&amp;"C5:C1000"),E113,(INDIRECT("'"&amp;Assemblies[Assy]&amp;"'!"&amp;"O5:O1000"))))</f>
        <v>1</v>
      </c>
      <c r="H113" t="str" cm="1">
        <f t="array" aca="1" ref="H113" ca="1">TRIM(SUBSTITUTE(_xlfn.ARRAYTOTEXT(IFERROR(CONCATENATE(SUMIF(INDIRECT("'"&amp;Assemblies[Assy]&amp;"'!"&amp;"C$5:C1000"), $E113, INDIRECT("'"&amp;Assemblies[Assy]&amp;"'!"&amp;"O$5:O1000")), "x",Assemblies[Assy],".",IF(SUMIF(INDIRECT("'"&amp;Assemblies[Assy]&amp;"'!"&amp;"C$5:C1000"), $E113, INDIRECT("'"&amp;Assemblies[Assy]&amp;"'!"&amp;"B$5:B1000"))=0,NA(),SUMIF(INDIRECT("'"&amp;Assemblies[Assy]&amp;"'!"&amp;"C$5:C1000"), $E113, INDIRECT("'"&amp;Assemblies[Assy]&amp;"'!"&amp;"A$5:A1000")))),"")), " ,", ""))</f>
        <v>, 1x4.1.0,</v>
      </c>
      <c r="I113" s="285" t="s">
        <v>1473</v>
      </c>
      <c r="J113" s="231" t="str">
        <f>Assemblies[[#This Row],[Assy]]</f>
        <v>4.1.10</v>
      </c>
    </row>
    <row r="114" spans="1:10" x14ac:dyDescent="0.25">
      <c r="A114" t="s">
        <v>1475</v>
      </c>
      <c r="B114" s="204" t="s">
        <v>1671</v>
      </c>
      <c r="C114" s="24" t="s">
        <v>1470</v>
      </c>
      <c r="D114" s="134" t="s">
        <v>54</v>
      </c>
      <c r="E114" t="str">
        <f t="shared" si="1"/>
        <v>PG10.4.1.11.0.A</v>
      </c>
      <c r="F114" t="s">
        <v>1672</v>
      </c>
      <c r="G114" s="19" cm="1">
        <f t="array" aca="1" ref="G114" ca="1">SUMPRODUCT(SUMIF(INDIRECT("'"&amp;Assemblies[Assy]&amp;"'!"&amp;"C5:C1000"),E114,(INDIRECT("'"&amp;Assemblies[Assy]&amp;"'!"&amp;"O5:O1000"))))</f>
        <v>2</v>
      </c>
      <c r="H114" t="str" cm="1">
        <f t="array" aca="1" ref="H114" ca="1">TRIM(SUBSTITUTE(_xlfn.ARRAYTOTEXT(IFERROR(CONCATENATE(SUMIF(INDIRECT("'"&amp;Assemblies[Assy]&amp;"'!"&amp;"C$5:C1000"), $E114, INDIRECT("'"&amp;Assemblies[Assy]&amp;"'!"&amp;"O$5:O1000")), "x",Assemblies[Assy],".",IF(SUMIF(INDIRECT("'"&amp;Assemblies[Assy]&amp;"'!"&amp;"C$5:C1000"), $E114, INDIRECT("'"&amp;Assemblies[Assy]&amp;"'!"&amp;"B$5:B1000"))=0,NA(),SUMIF(INDIRECT("'"&amp;Assemblies[Assy]&amp;"'!"&amp;"C$5:C1000"), $E114, INDIRECT("'"&amp;Assemblies[Assy]&amp;"'!"&amp;"A$5:A1000")))),"")), " ,", ""))</f>
        <v>, 2x4.1.0,</v>
      </c>
      <c r="I114" s="285" t="s">
        <v>1473</v>
      </c>
      <c r="J114" s="231" t="str">
        <f>Assemblies[[#This Row],[Assy]]</f>
        <v>4.1.11</v>
      </c>
    </row>
    <row r="115" spans="1:10" x14ac:dyDescent="0.25">
      <c r="A115" t="s">
        <v>1475</v>
      </c>
      <c r="B115" s="204" t="s">
        <v>1673</v>
      </c>
      <c r="C115" s="24" t="s">
        <v>1470</v>
      </c>
      <c r="D115" s="134" t="s">
        <v>54</v>
      </c>
      <c r="E115" t="str">
        <f t="shared" si="1"/>
        <v>PG10.4.1.12.0.A</v>
      </c>
      <c r="F115" t="s">
        <v>1674</v>
      </c>
      <c r="G115" s="19" cm="1">
        <f t="array" aca="1" ref="G115" ca="1">SUMPRODUCT(SUMIF(INDIRECT("'"&amp;Assemblies[Assy]&amp;"'!"&amp;"C5:C1000"),E115,(INDIRECT("'"&amp;Assemblies[Assy]&amp;"'!"&amp;"O5:O1000"))))</f>
        <v>1</v>
      </c>
      <c r="H115" t="str" cm="1">
        <f t="array" aca="1" ref="H115" ca="1">TRIM(SUBSTITUTE(_xlfn.ARRAYTOTEXT(IFERROR(CONCATENATE(SUMIF(INDIRECT("'"&amp;Assemblies[Assy]&amp;"'!"&amp;"C$5:C1000"), $E115, INDIRECT("'"&amp;Assemblies[Assy]&amp;"'!"&amp;"O$5:O1000")), "x",Assemblies[Assy],".",IF(SUMIF(INDIRECT("'"&amp;Assemblies[Assy]&amp;"'!"&amp;"C$5:C1000"), $E115, INDIRECT("'"&amp;Assemblies[Assy]&amp;"'!"&amp;"B$5:B1000"))=0,NA(),SUMIF(INDIRECT("'"&amp;Assemblies[Assy]&amp;"'!"&amp;"C$5:C1000"), $E115, INDIRECT("'"&amp;Assemblies[Assy]&amp;"'!"&amp;"A$5:A1000")))),"")), " ,", ""))</f>
        <v>, 1x4.1.0,</v>
      </c>
      <c r="I115" s="285" t="s">
        <v>1473</v>
      </c>
      <c r="J115" s="231" t="str">
        <f>Assemblies[[#This Row],[Assy]]</f>
        <v>4.1.12</v>
      </c>
    </row>
    <row r="116" spans="1:10" x14ac:dyDescent="0.25">
      <c r="A116" t="s">
        <v>1475</v>
      </c>
      <c r="B116" s="204" t="s">
        <v>3747</v>
      </c>
      <c r="C116" s="24" t="s">
        <v>1470</v>
      </c>
      <c r="D116" s="134" t="s">
        <v>54</v>
      </c>
      <c r="E116" t="str">
        <f t="shared" si="1"/>
        <v>PG10.4.1.13.0.A</v>
      </c>
      <c r="F116" t="s">
        <v>3754</v>
      </c>
      <c r="G116" s="19" cm="1">
        <f t="array" aca="1" ref="G116" ca="1">SUMPRODUCT(SUMIF(INDIRECT("'"&amp;Assemblies[Assy]&amp;"'!"&amp;"C5:C1000"),E116,(INDIRECT("'"&amp;Assemblies[Assy]&amp;"'!"&amp;"O5:O1000"))))</f>
        <v>1</v>
      </c>
      <c r="H116" t="str" cm="1">
        <f t="array" aca="1" ref="H116" ca="1">TRIM(SUBSTITUTE(_xlfn.ARRAYTOTEXT(IFERROR(CONCATENATE(SUMIF(INDIRECT("'"&amp;Assemblies[Assy]&amp;"'!"&amp;"C$5:C1000"), $E116, INDIRECT("'"&amp;Assemblies[Assy]&amp;"'!"&amp;"O$5:O1000")), "x",Assemblies[Assy],".",IF(SUMIF(INDIRECT("'"&amp;Assemblies[Assy]&amp;"'!"&amp;"C$5:C1000"), $E116, INDIRECT("'"&amp;Assemblies[Assy]&amp;"'!"&amp;"B$5:B1000"))=0,NA(),SUMIF(INDIRECT("'"&amp;Assemblies[Assy]&amp;"'!"&amp;"C$5:C1000"), $E116, INDIRECT("'"&amp;Assemblies[Assy]&amp;"'!"&amp;"A$5:A1000")))),"")), " ,", ""))</f>
        <v>, 1x4.1.0,</v>
      </c>
      <c r="I116" s="285" t="s">
        <v>1473</v>
      </c>
      <c r="J116" s="231" t="str">
        <f>Assemblies[[#This Row],[Assy]]</f>
        <v>4.1.13</v>
      </c>
    </row>
    <row r="117" spans="1:10" x14ac:dyDescent="0.25">
      <c r="A117" t="s">
        <v>1475</v>
      </c>
      <c r="B117" s="204" t="s">
        <v>3748</v>
      </c>
      <c r="C117" s="24" t="s">
        <v>1470</v>
      </c>
      <c r="D117" s="134" t="s">
        <v>54</v>
      </c>
      <c r="E117" t="str">
        <f t="shared" si="1"/>
        <v>PG10.4.1.14.0.A</v>
      </c>
      <c r="F117" t="s">
        <v>3755</v>
      </c>
      <c r="G117" s="19" cm="1">
        <f t="array" aca="1" ref="G117" ca="1">SUMPRODUCT(SUMIF(INDIRECT("'"&amp;Assemblies[Assy]&amp;"'!"&amp;"C5:C1000"),E117,(INDIRECT("'"&amp;Assemblies[Assy]&amp;"'!"&amp;"O5:O1000"))))</f>
        <v>1</v>
      </c>
      <c r="H117" t="str" cm="1">
        <f t="array" aca="1" ref="H117" ca="1">TRIM(SUBSTITUTE(_xlfn.ARRAYTOTEXT(IFERROR(CONCATENATE(SUMIF(INDIRECT("'"&amp;Assemblies[Assy]&amp;"'!"&amp;"C$5:C1000"), $E117, INDIRECT("'"&amp;Assemblies[Assy]&amp;"'!"&amp;"O$5:O1000")), "x",Assemblies[Assy],".",IF(SUMIF(INDIRECT("'"&amp;Assemblies[Assy]&amp;"'!"&amp;"C$5:C1000"), $E117, INDIRECT("'"&amp;Assemblies[Assy]&amp;"'!"&amp;"B$5:B1000"))=0,NA(),SUMIF(INDIRECT("'"&amp;Assemblies[Assy]&amp;"'!"&amp;"C$5:C1000"), $E117, INDIRECT("'"&amp;Assemblies[Assy]&amp;"'!"&amp;"A$5:A1000")))),"")), " ,", ""))</f>
        <v>, 1x4.1.0,</v>
      </c>
      <c r="I117" s="285" t="s">
        <v>1473</v>
      </c>
      <c r="J117" s="231" t="str">
        <f>Assemblies[[#This Row],[Assy]]</f>
        <v>4.1.14</v>
      </c>
    </row>
    <row r="118" spans="1:10" x14ac:dyDescent="0.25">
      <c r="A118" t="s">
        <v>1475</v>
      </c>
      <c r="B118" s="204" t="s">
        <v>3749</v>
      </c>
      <c r="C118" s="24" t="s">
        <v>1470</v>
      </c>
      <c r="D118" s="134" t="s">
        <v>54</v>
      </c>
      <c r="E118" t="str">
        <f t="shared" si="1"/>
        <v>PG10.4.1.15.0.A</v>
      </c>
      <c r="F118" t="s">
        <v>3756</v>
      </c>
      <c r="G118" s="19" cm="1">
        <f t="array" aca="1" ref="G118" ca="1">SUMPRODUCT(SUMIF(INDIRECT("'"&amp;Assemblies[Assy]&amp;"'!"&amp;"C5:C1000"),E118,(INDIRECT("'"&amp;Assemblies[Assy]&amp;"'!"&amp;"O5:O1000"))))</f>
        <v>1</v>
      </c>
      <c r="H118" t="str" cm="1">
        <f t="array" aca="1" ref="H118" ca="1">TRIM(SUBSTITUTE(_xlfn.ARRAYTOTEXT(IFERROR(CONCATENATE(SUMIF(INDIRECT("'"&amp;Assemblies[Assy]&amp;"'!"&amp;"C$5:C1000"), $E118, INDIRECT("'"&amp;Assemblies[Assy]&amp;"'!"&amp;"O$5:O1000")), "x",Assemblies[Assy],".",IF(SUMIF(INDIRECT("'"&amp;Assemblies[Assy]&amp;"'!"&amp;"C$5:C1000"), $E118, INDIRECT("'"&amp;Assemblies[Assy]&amp;"'!"&amp;"B$5:B1000"))=0,NA(),SUMIF(INDIRECT("'"&amp;Assemblies[Assy]&amp;"'!"&amp;"C$5:C1000"), $E118, INDIRECT("'"&amp;Assemblies[Assy]&amp;"'!"&amp;"A$5:A1000")))),"")), " ,", ""))</f>
        <v>, 1x4.1.0,</v>
      </c>
      <c r="I118" s="285" t="s">
        <v>1473</v>
      </c>
      <c r="J118" s="231" t="str">
        <f>Assemblies[[#This Row],[Assy]]</f>
        <v>4.1.15</v>
      </c>
    </row>
    <row r="119" spans="1:10" x14ac:dyDescent="0.25">
      <c r="A119" t="s">
        <v>1475</v>
      </c>
      <c r="B119" s="204" t="s">
        <v>3750</v>
      </c>
      <c r="C119" s="24" t="s">
        <v>1470</v>
      </c>
      <c r="D119" s="134" t="s">
        <v>54</v>
      </c>
      <c r="E119" t="str">
        <f t="shared" si="1"/>
        <v>PG10.4.1.16.0.A</v>
      </c>
      <c r="F119" t="s">
        <v>3757</v>
      </c>
      <c r="G119" s="19" cm="1">
        <f t="array" aca="1" ref="G119" ca="1">SUMPRODUCT(SUMIF(INDIRECT("'"&amp;Assemblies[Assy]&amp;"'!"&amp;"C5:C1000"),E119,(INDIRECT("'"&amp;Assemblies[Assy]&amp;"'!"&amp;"O5:O1000"))))</f>
        <v>1</v>
      </c>
      <c r="H119" t="str" cm="1">
        <f t="array" aca="1" ref="H119" ca="1">TRIM(SUBSTITUTE(_xlfn.ARRAYTOTEXT(IFERROR(CONCATENATE(SUMIF(INDIRECT("'"&amp;Assemblies[Assy]&amp;"'!"&amp;"C$5:C1000"), $E119, INDIRECT("'"&amp;Assemblies[Assy]&amp;"'!"&amp;"O$5:O1000")), "x",Assemblies[Assy],".",IF(SUMIF(INDIRECT("'"&amp;Assemblies[Assy]&amp;"'!"&amp;"C$5:C1000"), $E119, INDIRECT("'"&amp;Assemblies[Assy]&amp;"'!"&amp;"B$5:B1000"))=0,NA(),SUMIF(INDIRECT("'"&amp;Assemblies[Assy]&amp;"'!"&amp;"C$5:C1000"), $E119, INDIRECT("'"&amp;Assemblies[Assy]&amp;"'!"&amp;"A$5:A1000")))),"")), " ,", ""))</f>
        <v>, 1x4.1.0,</v>
      </c>
      <c r="I119" s="285" t="s">
        <v>1473</v>
      </c>
      <c r="J119" s="231" t="str">
        <f>Assemblies[[#This Row],[Assy]]</f>
        <v>4.1.16</v>
      </c>
    </row>
    <row r="120" spans="1:10" x14ac:dyDescent="0.25">
      <c r="A120" t="s">
        <v>1475</v>
      </c>
      <c r="B120" s="204" t="s">
        <v>3751</v>
      </c>
      <c r="C120" s="24" t="s">
        <v>1470</v>
      </c>
      <c r="D120" s="134" t="s">
        <v>54</v>
      </c>
      <c r="E120" t="str">
        <f t="shared" si="1"/>
        <v>PG10.4.1.17.0.A</v>
      </c>
      <c r="F120" t="s">
        <v>3758</v>
      </c>
      <c r="G120" s="19" cm="1">
        <f t="array" aca="1" ref="G120" ca="1">SUMPRODUCT(SUMIF(INDIRECT("'"&amp;Assemblies[Assy]&amp;"'!"&amp;"C5:C1000"),E120,(INDIRECT("'"&amp;Assemblies[Assy]&amp;"'!"&amp;"O5:O1000"))))</f>
        <v>1</v>
      </c>
      <c r="H120" t="str" cm="1">
        <f t="array" aca="1" ref="H120" ca="1">TRIM(SUBSTITUTE(_xlfn.ARRAYTOTEXT(IFERROR(CONCATENATE(SUMIF(INDIRECT("'"&amp;Assemblies[Assy]&amp;"'!"&amp;"C$5:C1000"), $E120, INDIRECT("'"&amp;Assemblies[Assy]&amp;"'!"&amp;"O$5:O1000")), "x",Assemblies[Assy],".",IF(SUMIF(INDIRECT("'"&amp;Assemblies[Assy]&amp;"'!"&amp;"C$5:C1000"), $E120, INDIRECT("'"&amp;Assemblies[Assy]&amp;"'!"&amp;"B$5:B1000"))=0,NA(),SUMIF(INDIRECT("'"&amp;Assemblies[Assy]&amp;"'!"&amp;"C$5:C1000"), $E120, INDIRECT("'"&amp;Assemblies[Assy]&amp;"'!"&amp;"A$5:A1000")))),"")), " ,", ""))</f>
        <v>, 1x4.1.0,</v>
      </c>
      <c r="I120" s="285" t="s">
        <v>1473</v>
      </c>
      <c r="J120" s="231" t="str">
        <f>Assemblies[[#This Row],[Assy]]</f>
        <v>4.1.17</v>
      </c>
    </row>
    <row r="121" spans="1:10" x14ac:dyDescent="0.25">
      <c r="A121" t="s">
        <v>1475</v>
      </c>
      <c r="B121" s="204" t="s">
        <v>3752</v>
      </c>
      <c r="C121" s="24" t="s">
        <v>1470</v>
      </c>
      <c r="D121" s="134" t="s">
        <v>54</v>
      </c>
      <c r="E121" t="str">
        <f t="shared" si="1"/>
        <v>PG10.4.1.18.0.A</v>
      </c>
      <c r="F121" t="s">
        <v>3759</v>
      </c>
      <c r="G121" s="19" cm="1">
        <f t="array" aca="1" ref="G121" ca="1">SUMPRODUCT(SUMIF(INDIRECT("'"&amp;Assemblies[Assy]&amp;"'!"&amp;"C5:C1000"),E121,(INDIRECT("'"&amp;Assemblies[Assy]&amp;"'!"&amp;"O5:O1000"))))</f>
        <v>1</v>
      </c>
      <c r="H121" t="str" cm="1">
        <f t="array" aca="1" ref="H121" ca="1">TRIM(SUBSTITUTE(_xlfn.ARRAYTOTEXT(IFERROR(CONCATENATE(SUMIF(INDIRECT("'"&amp;Assemblies[Assy]&amp;"'!"&amp;"C$5:C1000"), $E121, INDIRECT("'"&amp;Assemblies[Assy]&amp;"'!"&amp;"O$5:O1000")), "x",Assemblies[Assy],".",IF(SUMIF(INDIRECT("'"&amp;Assemblies[Assy]&amp;"'!"&amp;"C$5:C1000"), $E121, INDIRECT("'"&amp;Assemblies[Assy]&amp;"'!"&amp;"B$5:B1000"))=0,NA(),SUMIF(INDIRECT("'"&amp;Assemblies[Assy]&amp;"'!"&amp;"C$5:C1000"), $E121, INDIRECT("'"&amp;Assemblies[Assy]&amp;"'!"&amp;"A$5:A1000")))),"")), " ,", ""))</f>
        <v>, 1x4.1.0,</v>
      </c>
      <c r="I121" s="285" t="s">
        <v>1473</v>
      </c>
      <c r="J121" s="231" t="str">
        <f>Assemblies[[#This Row],[Assy]]</f>
        <v>4.1.18</v>
      </c>
    </row>
    <row r="122" spans="1:10" x14ac:dyDescent="0.25">
      <c r="A122" t="s">
        <v>1475</v>
      </c>
      <c r="B122" s="204" t="s">
        <v>3753</v>
      </c>
      <c r="C122" s="24" t="s">
        <v>1470</v>
      </c>
      <c r="D122" s="134" t="s">
        <v>54</v>
      </c>
      <c r="E122" t="str">
        <f t="shared" si="1"/>
        <v>PG10.4.1.19.0.A</v>
      </c>
      <c r="F122" t="s">
        <v>3760</v>
      </c>
      <c r="G122" s="19" cm="1">
        <f t="array" aca="1" ref="G122" ca="1">SUMPRODUCT(SUMIF(INDIRECT("'"&amp;Assemblies[Assy]&amp;"'!"&amp;"C5:C1000"),E122,(INDIRECT("'"&amp;Assemblies[Assy]&amp;"'!"&amp;"O5:O1000"))))</f>
        <v>1</v>
      </c>
      <c r="H122" t="str" cm="1">
        <f t="array" aca="1" ref="H122" ca="1">TRIM(SUBSTITUTE(_xlfn.ARRAYTOTEXT(IFERROR(CONCATENATE(SUMIF(INDIRECT("'"&amp;Assemblies[Assy]&amp;"'!"&amp;"C$5:C1000"), $E122, INDIRECT("'"&amp;Assemblies[Assy]&amp;"'!"&amp;"O$5:O1000")), "x",Assemblies[Assy],".",IF(SUMIF(INDIRECT("'"&amp;Assemblies[Assy]&amp;"'!"&amp;"C$5:C1000"), $E122, INDIRECT("'"&amp;Assemblies[Assy]&amp;"'!"&amp;"B$5:B1000"))=0,NA(),SUMIF(INDIRECT("'"&amp;Assemblies[Assy]&amp;"'!"&amp;"C$5:C1000"), $E122, INDIRECT("'"&amp;Assemblies[Assy]&amp;"'!"&amp;"A$5:A1000")))),"")), " ,", ""))</f>
        <v>, 1x4.1.0,</v>
      </c>
      <c r="I122" s="285" t="s">
        <v>1473</v>
      </c>
      <c r="J122" s="231" t="str">
        <f>Assemblies[[#This Row],[Assy]]</f>
        <v>4.1.19</v>
      </c>
    </row>
    <row r="123" spans="1:10" x14ac:dyDescent="0.25">
      <c r="A123" t="s">
        <v>1475</v>
      </c>
      <c r="B123" s="197" t="s">
        <v>1675</v>
      </c>
      <c r="C123" s="24" t="s">
        <v>1470</v>
      </c>
      <c r="D123" s="134" t="s">
        <v>54</v>
      </c>
      <c r="E123" t="str">
        <f t="shared" si="1"/>
        <v>PG10.4.2.0.A</v>
      </c>
      <c r="F123" t="s">
        <v>1676</v>
      </c>
      <c r="G123" s="19" cm="1">
        <f t="array" aca="1" ref="G123" ca="1">SUMPRODUCT(SUMIF(INDIRECT("'"&amp;Assemblies[Assy]&amp;"'!"&amp;"C5:C1000"),E123,(INDIRECT("'"&amp;Assemblies[Assy]&amp;"'!"&amp;"O5:O1000"))))</f>
        <v>1</v>
      </c>
      <c r="H123" t="str" cm="1">
        <f t="array" aca="1" ref="H123" ca="1">TRIM(SUBSTITUTE(_xlfn.ARRAYTOTEXT(IFERROR(CONCATENATE(SUMIF(INDIRECT("'"&amp;Assemblies[Assy]&amp;"'!"&amp;"C$5:C1000"), $E123, INDIRECT("'"&amp;Assemblies[Assy]&amp;"'!"&amp;"O$5:O1000")), "x",Assemblies[Assy],".",IF(SUMIF(INDIRECT("'"&amp;Assemblies[Assy]&amp;"'!"&amp;"C$5:C1000"), $E123, INDIRECT("'"&amp;Assemblies[Assy]&amp;"'!"&amp;"B$5:B1000"))=0,NA(),SUMIF(INDIRECT("'"&amp;Assemblies[Assy]&amp;"'!"&amp;"C$5:C1000"), $E123, INDIRECT("'"&amp;Assemblies[Assy]&amp;"'!"&amp;"A$5:A1000")))),"")), " ,", ""))</f>
        <v>, 1x4.0,</v>
      </c>
      <c r="I123" s="285" t="s">
        <v>1473</v>
      </c>
      <c r="J123" s="231" t="str">
        <f>Assemblies[[#This Row],[Assy]]</f>
        <v>4.2</v>
      </c>
    </row>
    <row r="124" spans="1:10" x14ac:dyDescent="0.25">
      <c r="A124" t="s">
        <v>1475</v>
      </c>
      <c r="B124" s="204" t="s">
        <v>1677</v>
      </c>
      <c r="C124" s="24" t="s">
        <v>1470</v>
      </c>
      <c r="D124" s="134" t="s">
        <v>54</v>
      </c>
      <c r="E124" t="str">
        <f t="shared" si="1"/>
        <v>PG10.4.2.1.0.A</v>
      </c>
      <c r="F124" t="s">
        <v>1678</v>
      </c>
      <c r="G124" s="19" cm="1">
        <f t="array" aca="1" ref="G124" ca="1">SUMPRODUCT(SUMIF(INDIRECT("'"&amp;Assemblies[Assy]&amp;"'!"&amp;"C5:C1000"),E124,(INDIRECT("'"&amp;Assemblies[Assy]&amp;"'!"&amp;"O5:O1000"))))</f>
        <v>1</v>
      </c>
      <c r="H124" t="str" cm="1">
        <f t="array" aca="1" ref="H124" ca="1">TRIM(SUBSTITUTE(_xlfn.ARRAYTOTEXT(IFERROR(CONCATENATE(SUMIF(INDIRECT("'"&amp;Assemblies[Assy]&amp;"'!"&amp;"C$5:C1000"), $E124, INDIRECT("'"&amp;Assemblies[Assy]&amp;"'!"&amp;"O$5:O1000")), "x",Assemblies[Assy],".",IF(SUMIF(INDIRECT("'"&amp;Assemblies[Assy]&amp;"'!"&amp;"C$5:C1000"), $E124, INDIRECT("'"&amp;Assemblies[Assy]&amp;"'!"&amp;"B$5:B1000"))=0,NA(),SUMIF(INDIRECT("'"&amp;Assemblies[Assy]&amp;"'!"&amp;"C$5:C1000"), $E124, INDIRECT("'"&amp;Assemblies[Assy]&amp;"'!"&amp;"A$5:A1000")))),"")), " ,", ""))</f>
        <v>, 1x4.2.0,</v>
      </c>
      <c r="I124" s="285" t="s">
        <v>1473</v>
      </c>
      <c r="J124" s="231" t="str">
        <f>Assemblies[[#This Row],[Assy]]</f>
        <v>4.2.1</v>
      </c>
    </row>
    <row r="125" spans="1:10" x14ac:dyDescent="0.25">
      <c r="A125" t="s">
        <v>1475</v>
      </c>
      <c r="B125" s="204" t="s">
        <v>1679</v>
      </c>
      <c r="C125" s="24" t="s">
        <v>1470</v>
      </c>
      <c r="D125" s="134" t="s">
        <v>54</v>
      </c>
      <c r="E125" t="str">
        <f t="shared" si="1"/>
        <v>PG10.4.2.2.0.A</v>
      </c>
      <c r="F125" t="s">
        <v>1680</v>
      </c>
      <c r="G125" s="19" cm="1">
        <f t="array" aca="1" ref="G125" ca="1">SUMPRODUCT(SUMIF(INDIRECT("'"&amp;Assemblies[Assy]&amp;"'!"&amp;"C5:C1000"),E125,(INDIRECT("'"&amp;Assemblies[Assy]&amp;"'!"&amp;"O5:O1000"))))</f>
        <v>2</v>
      </c>
      <c r="H125" t="str" cm="1">
        <f t="array" aca="1" ref="H125" ca="1">TRIM(SUBSTITUTE(_xlfn.ARRAYTOTEXT(IFERROR(CONCATENATE(SUMIF(INDIRECT("'"&amp;Assemblies[Assy]&amp;"'!"&amp;"C$5:C1000"), $E125, INDIRECT("'"&amp;Assemblies[Assy]&amp;"'!"&amp;"O$5:O1000")), "x",Assemblies[Assy],".",IF(SUMIF(INDIRECT("'"&amp;Assemblies[Assy]&amp;"'!"&amp;"C$5:C1000"), $E125, INDIRECT("'"&amp;Assemblies[Assy]&amp;"'!"&amp;"B$5:B1000"))=0,NA(),SUMIF(INDIRECT("'"&amp;Assemblies[Assy]&amp;"'!"&amp;"C$5:C1000"), $E125, INDIRECT("'"&amp;Assemblies[Assy]&amp;"'!"&amp;"A$5:A1000")))),"")), " ,", ""))</f>
        <v>, 2x4.2.0,</v>
      </c>
      <c r="I125" s="285" t="s">
        <v>1473</v>
      </c>
      <c r="J125" s="231" t="str">
        <f>Assemblies[[#This Row],[Assy]]</f>
        <v>4.2.2</v>
      </c>
    </row>
    <row r="126" spans="1:10" x14ac:dyDescent="0.25">
      <c r="A126" t="s">
        <v>1475</v>
      </c>
      <c r="B126" s="204" t="s">
        <v>1681</v>
      </c>
      <c r="C126" s="24" t="s">
        <v>1470</v>
      </c>
      <c r="D126" s="134" t="s">
        <v>54</v>
      </c>
      <c r="E126" t="str">
        <f t="shared" si="1"/>
        <v>PG10.4.2.3.0.A</v>
      </c>
      <c r="F126" t="s">
        <v>1682</v>
      </c>
      <c r="G126" s="19" cm="1">
        <f t="array" aca="1" ref="G126" ca="1">SUMPRODUCT(SUMIF(INDIRECT("'"&amp;Assemblies[Assy]&amp;"'!"&amp;"C5:C1000"),E126,(INDIRECT("'"&amp;Assemblies[Assy]&amp;"'!"&amp;"O5:O1000"))))</f>
        <v>1</v>
      </c>
      <c r="H126" t="str" cm="1">
        <f t="array" aca="1" ref="H126" ca="1">TRIM(SUBSTITUTE(_xlfn.ARRAYTOTEXT(IFERROR(CONCATENATE(SUMIF(INDIRECT("'"&amp;Assemblies[Assy]&amp;"'!"&amp;"C$5:C1000"), $E126, INDIRECT("'"&amp;Assemblies[Assy]&amp;"'!"&amp;"O$5:O1000")), "x",Assemblies[Assy],".",IF(SUMIF(INDIRECT("'"&amp;Assemblies[Assy]&amp;"'!"&amp;"C$5:C1000"), $E126, INDIRECT("'"&amp;Assemblies[Assy]&amp;"'!"&amp;"B$5:B1000"))=0,NA(),SUMIF(INDIRECT("'"&amp;Assemblies[Assy]&amp;"'!"&amp;"C$5:C1000"), $E126, INDIRECT("'"&amp;Assemblies[Assy]&amp;"'!"&amp;"A$5:A1000")))),"")), " ,", ""))</f>
        <v>, 1x4.2.0,</v>
      </c>
      <c r="I126" s="285" t="s">
        <v>1473</v>
      </c>
      <c r="J126" s="231" t="str">
        <f>Assemblies[[#This Row],[Assy]]</f>
        <v>4.2.3</v>
      </c>
    </row>
    <row r="127" spans="1:10" x14ac:dyDescent="0.25">
      <c r="A127" t="s">
        <v>1475</v>
      </c>
      <c r="B127" s="204" t="s">
        <v>1683</v>
      </c>
      <c r="C127" s="24" t="s">
        <v>1470</v>
      </c>
      <c r="D127" s="134" t="s">
        <v>54</v>
      </c>
      <c r="E127" t="str">
        <f t="shared" si="1"/>
        <v>PG10.4.2.4.0.A</v>
      </c>
      <c r="F127" t="s">
        <v>1684</v>
      </c>
      <c r="G127" s="19" cm="1">
        <f t="array" aca="1" ref="G127" ca="1">SUMPRODUCT(SUMIF(INDIRECT("'"&amp;Assemblies[Assy]&amp;"'!"&amp;"C5:C1000"),E127,(INDIRECT("'"&amp;Assemblies[Assy]&amp;"'!"&amp;"O5:O1000"))))</f>
        <v>1</v>
      </c>
      <c r="H127" t="str" cm="1">
        <f t="array" aca="1" ref="H127" ca="1">TRIM(SUBSTITUTE(_xlfn.ARRAYTOTEXT(IFERROR(CONCATENATE(SUMIF(INDIRECT("'"&amp;Assemblies[Assy]&amp;"'!"&amp;"C$5:C1000"), $E127, INDIRECT("'"&amp;Assemblies[Assy]&amp;"'!"&amp;"O$5:O1000")), "x",Assemblies[Assy],".",IF(SUMIF(INDIRECT("'"&amp;Assemblies[Assy]&amp;"'!"&amp;"C$5:C1000"), $E127, INDIRECT("'"&amp;Assemblies[Assy]&amp;"'!"&amp;"B$5:B1000"))=0,NA(),SUMIF(INDIRECT("'"&amp;Assemblies[Assy]&amp;"'!"&amp;"C$5:C1000"), $E127, INDIRECT("'"&amp;Assemblies[Assy]&amp;"'!"&amp;"A$5:A1000")))),"")), " ,", ""))</f>
        <v>, 1x3.2.0,</v>
      </c>
      <c r="I127" s="285" t="s">
        <v>1473</v>
      </c>
      <c r="J127" s="231" t="str">
        <f>Assemblies[[#This Row],[Assy]]</f>
        <v>4.2.4</v>
      </c>
    </row>
    <row r="128" spans="1:10" x14ac:dyDescent="0.25">
      <c r="A128" t="s">
        <v>1475</v>
      </c>
      <c r="B128" s="204" t="s">
        <v>1685</v>
      </c>
      <c r="C128" s="24" t="s">
        <v>1470</v>
      </c>
      <c r="D128" s="134" t="s">
        <v>54</v>
      </c>
      <c r="E128" t="str">
        <f t="shared" si="1"/>
        <v>PG10.4.2.5.0.A</v>
      </c>
      <c r="F128" t="s">
        <v>1686</v>
      </c>
      <c r="G128" s="19" cm="1">
        <f t="array" aca="1" ref="G128" ca="1">SUMPRODUCT(SUMIF(INDIRECT("'"&amp;Assemblies[Assy]&amp;"'!"&amp;"C5:C1000"),E128,(INDIRECT("'"&amp;Assemblies[Assy]&amp;"'!"&amp;"O5:O1000"))))</f>
        <v>1</v>
      </c>
      <c r="H128" t="str" cm="1">
        <f t="array" aca="1" ref="H128" ca="1">TRIM(SUBSTITUTE(_xlfn.ARRAYTOTEXT(IFERROR(CONCATENATE(SUMIF(INDIRECT("'"&amp;Assemblies[Assy]&amp;"'!"&amp;"C$5:C1000"), $E128, INDIRECT("'"&amp;Assemblies[Assy]&amp;"'!"&amp;"O$5:O1000")), "x",Assemblies[Assy],".",IF(SUMIF(INDIRECT("'"&amp;Assemblies[Assy]&amp;"'!"&amp;"C$5:C1000"), $E128, INDIRECT("'"&amp;Assemblies[Assy]&amp;"'!"&amp;"B$5:B1000"))=0,NA(),SUMIF(INDIRECT("'"&amp;Assemblies[Assy]&amp;"'!"&amp;"C$5:C1000"), $E128, INDIRECT("'"&amp;Assemblies[Assy]&amp;"'!"&amp;"A$5:A1000")))),"")), " ,", ""))</f>
        <v>, 1x3.2.0,</v>
      </c>
      <c r="I128" s="285" t="s">
        <v>1473</v>
      </c>
      <c r="J128" s="231" t="str">
        <f>Assemblies[[#This Row],[Assy]]</f>
        <v>4.2.5</v>
      </c>
    </row>
    <row r="129" spans="1:10" x14ac:dyDescent="0.25">
      <c r="A129" t="s">
        <v>1475</v>
      </c>
      <c r="B129" s="204" t="s">
        <v>1687</v>
      </c>
      <c r="C129" s="24" t="s">
        <v>1470</v>
      </c>
      <c r="D129" s="134" t="s">
        <v>54</v>
      </c>
      <c r="E129" t="str">
        <f t="shared" si="1"/>
        <v>PG10.4.2.6.0.A</v>
      </c>
      <c r="F129" t="s">
        <v>1688</v>
      </c>
      <c r="G129" s="19" cm="1">
        <f t="array" aca="1" ref="G129" ca="1">SUMPRODUCT(SUMIF(INDIRECT("'"&amp;Assemblies[Assy]&amp;"'!"&amp;"C5:C1000"),E129,(INDIRECT("'"&amp;Assemblies[Assy]&amp;"'!"&amp;"O5:O1000"))))</f>
        <v>1</v>
      </c>
      <c r="H129" t="str" cm="1">
        <f t="array" aca="1" ref="H129" ca="1">TRIM(SUBSTITUTE(_xlfn.ARRAYTOTEXT(IFERROR(CONCATENATE(SUMIF(INDIRECT("'"&amp;Assemblies[Assy]&amp;"'!"&amp;"C$5:C1000"), $E129, INDIRECT("'"&amp;Assemblies[Assy]&amp;"'!"&amp;"O$5:O1000")), "x",Assemblies[Assy],".",IF(SUMIF(INDIRECT("'"&amp;Assemblies[Assy]&amp;"'!"&amp;"C$5:C1000"), $E129, INDIRECT("'"&amp;Assemblies[Assy]&amp;"'!"&amp;"B$5:B1000"))=0,NA(),SUMIF(INDIRECT("'"&amp;Assemblies[Assy]&amp;"'!"&amp;"C$5:C1000"), $E129, INDIRECT("'"&amp;Assemblies[Assy]&amp;"'!"&amp;"A$5:A1000")))),"")), " ,", ""))</f>
        <v>, 1x4.2.0,</v>
      </c>
      <c r="I129" s="285" t="s">
        <v>1473</v>
      </c>
      <c r="J129" s="231" t="str">
        <f>Assemblies[[#This Row],[Assy]]</f>
        <v>4.2.6</v>
      </c>
    </row>
    <row r="130" spans="1:10" x14ac:dyDescent="0.25">
      <c r="A130" t="s">
        <v>1475</v>
      </c>
      <c r="B130" s="204" t="s">
        <v>1689</v>
      </c>
      <c r="C130" s="24" t="s">
        <v>1470</v>
      </c>
      <c r="D130" s="134" t="s">
        <v>54</v>
      </c>
      <c r="E130" t="str">
        <f t="shared" si="1"/>
        <v>PG10.4.2.7.0.A</v>
      </c>
      <c r="F130" t="s">
        <v>1690</v>
      </c>
      <c r="G130" s="19" cm="1">
        <f t="array" aca="1" ref="G130" ca="1">SUMPRODUCT(SUMIF(INDIRECT("'"&amp;Assemblies[Assy]&amp;"'!"&amp;"C5:C1000"),E130,(INDIRECT("'"&amp;Assemblies[Assy]&amp;"'!"&amp;"O5:O1000"))))</f>
        <v>1</v>
      </c>
      <c r="H130" t="str" cm="1">
        <f t="array" aca="1" ref="H130" ca="1">TRIM(SUBSTITUTE(_xlfn.ARRAYTOTEXT(IFERROR(CONCATENATE(SUMIF(INDIRECT("'"&amp;Assemblies[Assy]&amp;"'!"&amp;"C$5:C1000"), $E130, INDIRECT("'"&amp;Assemblies[Assy]&amp;"'!"&amp;"O$5:O1000")), "x",Assemblies[Assy],".",IF(SUMIF(INDIRECT("'"&amp;Assemblies[Assy]&amp;"'!"&amp;"C$5:C1000"), $E130, INDIRECT("'"&amp;Assemblies[Assy]&amp;"'!"&amp;"B$5:B1000"))=0,NA(),SUMIF(INDIRECT("'"&amp;Assemblies[Assy]&amp;"'!"&amp;"C$5:C1000"), $E130, INDIRECT("'"&amp;Assemblies[Assy]&amp;"'!"&amp;"A$5:A1000")))),"")), " ,", ""))</f>
        <v>, 1x4.2.0,</v>
      </c>
      <c r="I130" s="285" t="s">
        <v>1473</v>
      </c>
      <c r="J130" s="231" t="str">
        <f>Assemblies[[#This Row],[Assy]]</f>
        <v>4.2.7</v>
      </c>
    </row>
    <row r="131" spans="1:10" x14ac:dyDescent="0.25">
      <c r="A131" t="s">
        <v>1475</v>
      </c>
      <c r="B131" s="204" t="s">
        <v>1691</v>
      </c>
      <c r="C131" s="24" t="s">
        <v>1470</v>
      </c>
      <c r="D131" s="134" t="s">
        <v>54</v>
      </c>
      <c r="E131" t="str">
        <f t="shared" si="1"/>
        <v>PG10.4.2.8.0.A</v>
      </c>
      <c r="F131" t="s">
        <v>1692</v>
      </c>
      <c r="G131" s="19" cm="1">
        <f t="array" aca="1" ref="G131" ca="1">SUMPRODUCT(SUMIF(INDIRECT("'"&amp;Assemblies[Assy]&amp;"'!"&amp;"C5:C1000"),E131,(INDIRECT("'"&amp;Assemblies[Assy]&amp;"'!"&amp;"O5:O1000"))))</f>
        <v>1</v>
      </c>
      <c r="H131" t="str" cm="1">
        <f t="array" aca="1" ref="H131" ca="1">TRIM(SUBSTITUTE(_xlfn.ARRAYTOTEXT(IFERROR(CONCATENATE(SUMIF(INDIRECT("'"&amp;Assemblies[Assy]&amp;"'!"&amp;"C$5:C1000"), $E131, INDIRECT("'"&amp;Assemblies[Assy]&amp;"'!"&amp;"O$5:O1000")), "x",Assemblies[Assy],".",IF(SUMIF(INDIRECT("'"&amp;Assemblies[Assy]&amp;"'!"&amp;"C$5:C1000"), $E131, INDIRECT("'"&amp;Assemblies[Assy]&amp;"'!"&amp;"B$5:B1000"))=0,NA(),SUMIF(INDIRECT("'"&amp;Assemblies[Assy]&amp;"'!"&amp;"C$5:C1000"), $E131, INDIRECT("'"&amp;Assemblies[Assy]&amp;"'!"&amp;"A$5:A1000")))),"")), " ,", ""))</f>
        <v>, 1x4.2.0,</v>
      </c>
      <c r="I131" s="285" t="s">
        <v>1473</v>
      </c>
      <c r="J131" s="231" t="str">
        <f>Assemblies[[#This Row],[Assy]]</f>
        <v>4.2.8</v>
      </c>
    </row>
    <row r="132" spans="1:10" x14ac:dyDescent="0.25">
      <c r="A132" t="s">
        <v>1475</v>
      </c>
      <c r="B132" s="204" t="s">
        <v>1693</v>
      </c>
      <c r="C132" s="24" t="s">
        <v>1470</v>
      </c>
      <c r="D132" s="134" t="s">
        <v>54</v>
      </c>
      <c r="E132" t="str">
        <f t="shared" ref="E132:E195" si="2">_xlfn.CONCAT(A132,".",B132,".",C132,".",D132)</f>
        <v>PG10.4.2.9.0.A</v>
      </c>
      <c r="F132" t="s">
        <v>1694</v>
      </c>
      <c r="G132" s="19" cm="1">
        <f t="array" aca="1" ref="G132" ca="1">SUMPRODUCT(SUMIF(INDIRECT("'"&amp;Assemblies[Assy]&amp;"'!"&amp;"C5:C1000"),E132,(INDIRECT("'"&amp;Assemblies[Assy]&amp;"'!"&amp;"O5:O1000"))))</f>
        <v>1</v>
      </c>
      <c r="H132" t="str" cm="1">
        <f t="array" aca="1" ref="H132" ca="1">TRIM(SUBSTITUTE(_xlfn.ARRAYTOTEXT(IFERROR(CONCATENATE(SUMIF(INDIRECT("'"&amp;Assemblies[Assy]&amp;"'!"&amp;"C$5:C1000"), $E132, INDIRECT("'"&amp;Assemblies[Assy]&amp;"'!"&amp;"O$5:O1000")), "x",Assemblies[Assy],".",IF(SUMIF(INDIRECT("'"&amp;Assemblies[Assy]&amp;"'!"&amp;"C$5:C1000"), $E132, INDIRECT("'"&amp;Assemblies[Assy]&amp;"'!"&amp;"B$5:B1000"))=0,NA(),SUMIF(INDIRECT("'"&amp;Assemblies[Assy]&amp;"'!"&amp;"C$5:C1000"), $E132, INDIRECT("'"&amp;Assemblies[Assy]&amp;"'!"&amp;"A$5:A1000")))),"")), " ,", ""))</f>
        <v>, 1x4.2.0,</v>
      </c>
      <c r="I132" s="285" t="s">
        <v>1473</v>
      </c>
      <c r="J132" s="231" t="str">
        <f>Assemblies[[#This Row],[Assy]]</f>
        <v>4.2.9</v>
      </c>
    </row>
    <row r="133" spans="1:10" x14ac:dyDescent="0.25">
      <c r="A133" t="s">
        <v>1475</v>
      </c>
      <c r="B133" s="289" t="s">
        <v>1695</v>
      </c>
      <c r="C133" s="24" t="s">
        <v>1470</v>
      </c>
      <c r="D133" s="134" t="s">
        <v>54</v>
      </c>
      <c r="E133" t="str">
        <f t="shared" si="2"/>
        <v>PG10.4.2.10.0.A</v>
      </c>
      <c r="F133" t="s">
        <v>1696</v>
      </c>
      <c r="G133" s="19" cm="1">
        <f t="array" aca="1" ref="G133" ca="1">SUMPRODUCT(SUMIF(INDIRECT("'"&amp;Assemblies[Assy]&amp;"'!"&amp;"C5:C1000"),E133,(INDIRECT("'"&amp;Assemblies[Assy]&amp;"'!"&amp;"O5:O1000"))))</f>
        <v>1</v>
      </c>
      <c r="H133" t="str" cm="1">
        <f t="array" aca="1" ref="H133" ca="1">TRIM(SUBSTITUTE(_xlfn.ARRAYTOTEXT(IFERROR(CONCATENATE(SUMIF(INDIRECT("'"&amp;Assemblies[Assy]&amp;"'!"&amp;"C$5:C1000"), $E133, INDIRECT("'"&amp;Assemblies[Assy]&amp;"'!"&amp;"O$5:O1000")), "x",Assemblies[Assy],".",IF(SUMIF(INDIRECT("'"&amp;Assemblies[Assy]&amp;"'!"&amp;"C$5:C1000"), $E133, INDIRECT("'"&amp;Assemblies[Assy]&amp;"'!"&amp;"B$5:B1000"))=0,NA(),SUMIF(INDIRECT("'"&amp;Assemblies[Assy]&amp;"'!"&amp;"C$5:C1000"), $E133, INDIRECT("'"&amp;Assemblies[Assy]&amp;"'!"&amp;"A$5:A1000")))),"")), " ,", ""))</f>
        <v>, 1x4.2.0,</v>
      </c>
      <c r="I133" s="285" t="s">
        <v>1473</v>
      </c>
      <c r="J133" s="232" t="str">
        <f>Assemblies[[#This Row],[Assy]]</f>
        <v>4.2.10</v>
      </c>
    </row>
    <row r="134" spans="1:10" x14ac:dyDescent="0.25">
      <c r="A134" t="s">
        <v>1475</v>
      </c>
      <c r="B134" s="289" t="s">
        <v>1697</v>
      </c>
      <c r="C134" s="24" t="s">
        <v>1470</v>
      </c>
      <c r="D134" s="134" t="s">
        <v>54</v>
      </c>
      <c r="E134" t="str">
        <f t="shared" si="2"/>
        <v>PG10.4.2.11.0.A</v>
      </c>
      <c r="F134" t="s">
        <v>1698</v>
      </c>
      <c r="G134" s="19" cm="1">
        <f t="array" aca="1" ref="G134" ca="1">SUMPRODUCT(SUMIF(INDIRECT("'"&amp;Assemblies[Assy]&amp;"'!"&amp;"C5:C1000"),E134,(INDIRECT("'"&amp;Assemblies[Assy]&amp;"'!"&amp;"O5:O1000"))))</f>
        <v>1</v>
      </c>
      <c r="H134" t="str" cm="1">
        <f t="array" aca="1" ref="H134" ca="1">TRIM(SUBSTITUTE(_xlfn.ARRAYTOTEXT(IFERROR(CONCATENATE(SUMIF(INDIRECT("'"&amp;Assemblies[Assy]&amp;"'!"&amp;"C$5:C1000"), $E134, INDIRECT("'"&amp;Assemblies[Assy]&amp;"'!"&amp;"O$5:O1000")), "x",Assemblies[Assy],".",IF(SUMIF(INDIRECT("'"&amp;Assemblies[Assy]&amp;"'!"&amp;"C$5:C1000"), $E134, INDIRECT("'"&amp;Assemblies[Assy]&amp;"'!"&amp;"B$5:B1000"))=0,NA(),SUMIF(INDIRECT("'"&amp;Assemblies[Assy]&amp;"'!"&amp;"C$5:C1000"), $E134, INDIRECT("'"&amp;Assemblies[Assy]&amp;"'!"&amp;"A$5:A1000")))),"")), " ,", ""))</f>
        <v>, 1x4.2.0,</v>
      </c>
      <c r="I134" s="285" t="s">
        <v>1473</v>
      </c>
      <c r="J134" s="232" t="str">
        <f>Assemblies[[#This Row],[Assy]]</f>
        <v>4.2.11</v>
      </c>
    </row>
    <row r="135" spans="1:10" x14ac:dyDescent="0.25">
      <c r="A135" t="s">
        <v>1475</v>
      </c>
      <c r="B135" s="289" t="s">
        <v>1699</v>
      </c>
      <c r="C135" s="24" t="s">
        <v>1470</v>
      </c>
      <c r="D135" s="134" t="s">
        <v>54</v>
      </c>
      <c r="E135" t="str">
        <f t="shared" si="2"/>
        <v>PG10.4.2.12.0.A</v>
      </c>
      <c r="F135" t="s">
        <v>1700</v>
      </c>
      <c r="G135" s="19" cm="1">
        <f t="array" aca="1" ref="G135" ca="1">SUMPRODUCT(SUMIF(INDIRECT("'"&amp;Assemblies[Assy]&amp;"'!"&amp;"C5:C1000"),E135,(INDIRECT("'"&amp;Assemblies[Assy]&amp;"'!"&amp;"O5:O1000"))))</f>
        <v>1</v>
      </c>
      <c r="H135" t="str" cm="1">
        <f t="array" aca="1" ref="H135" ca="1">TRIM(SUBSTITUTE(_xlfn.ARRAYTOTEXT(IFERROR(CONCATENATE(SUMIF(INDIRECT("'"&amp;Assemblies[Assy]&amp;"'!"&amp;"C$5:C1000"), $E135, INDIRECT("'"&amp;Assemblies[Assy]&amp;"'!"&amp;"O$5:O1000")), "x",Assemblies[Assy],".",IF(SUMIF(INDIRECT("'"&amp;Assemblies[Assy]&amp;"'!"&amp;"C$5:C1000"), $E135, INDIRECT("'"&amp;Assemblies[Assy]&amp;"'!"&amp;"B$5:B1000"))=0,NA(),SUMIF(INDIRECT("'"&amp;Assemblies[Assy]&amp;"'!"&amp;"C$5:C1000"), $E135, INDIRECT("'"&amp;Assemblies[Assy]&amp;"'!"&amp;"A$5:A1000")))),"")), " ,", ""))</f>
        <v>, 1x4.2.0,</v>
      </c>
      <c r="I135" s="285" t="s">
        <v>1473</v>
      </c>
      <c r="J135" s="232" t="str">
        <f>Assemblies[[#This Row],[Assy]]</f>
        <v>4.2.12</v>
      </c>
    </row>
    <row r="136" spans="1:10" x14ac:dyDescent="0.25">
      <c r="A136" t="s">
        <v>1475</v>
      </c>
      <c r="B136" s="198" t="s">
        <v>1701</v>
      </c>
      <c r="C136" s="24" t="s">
        <v>1470</v>
      </c>
      <c r="D136" s="134" t="s">
        <v>54</v>
      </c>
      <c r="E136" t="str">
        <f t="shared" si="2"/>
        <v>PG10.4.3.0.A</v>
      </c>
      <c r="F136" t="s">
        <v>1702</v>
      </c>
      <c r="G136" s="19" cm="1">
        <f t="array" aca="1" ref="G136" ca="1">SUMPRODUCT(SUMIF(INDIRECT("'"&amp;Assemblies[Assy]&amp;"'!"&amp;"C5:C1000"),E136,(INDIRECT("'"&amp;Assemblies[Assy]&amp;"'!"&amp;"O5:O1000"))))</f>
        <v>1</v>
      </c>
      <c r="H136" t="str" cm="1">
        <f t="array" aca="1" ref="H136" ca="1">TRIM(SUBSTITUTE(_xlfn.ARRAYTOTEXT(IFERROR(CONCATENATE(SUMIF(INDIRECT("'"&amp;Assemblies[Assy]&amp;"'!"&amp;"C$5:C1000"), $E136, INDIRECT("'"&amp;Assemblies[Assy]&amp;"'!"&amp;"O$5:O1000")), "x",Assemblies[Assy],".",IF(SUMIF(INDIRECT("'"&amp;Assemblies[Assy]&amp;"'!"&amp;"C$5:C1000"), $E136, INDIRECT("'"&amp;Assemblies[Assy]&amp;"'!"&amp;"B$5:B1000"))=0,NA(),SUMIF(INDIRECT("'"&amp;Assemblies[Assy]&amp;"'!"&amp;"C$5:C1000"), $E136, INDIRECT("'"&amp;Assemblies[Assy]&amp;"'!"&amp;"A$5:A1000")))),"")), " ,", ""))</f>
        <v>, 1x4.0,</v>
      </c>
      <c r="I136" s="285" t="s">
        <v>1473</v>
      </c>
      <c r="J136" s="232" t="str">
        <f>Assemblies[[#This Row],[Assy]]</f>
        <v>4.3</v>
      </c>
    </row>
    <row r="137" spans="1:10" x14ac:dyDescent="0.25">
      <c r="A137" t="s">
        <v>1475</v>
      </c>
      <c r="B137" s="197" t="s">
        <v>1703</v>
      </c>
      <c r="C137" s="24" t="s">
        <v>1470</v>
      </c>
      <c r="D137" s="134" t="s">
        <v>54</v>
      </c>
      <c r="E137" t="str">
        <f t="shared" si="2"/>
        <v>PG10.4.4.0.A</v>
      </c>
      <c r="F137" t="s">
        <v>1704</v>
      </c>
      <c r="G137" s="19" cm="1">
        <f t="array" aca="1" ref="G137" ca="1">SUMPRODUCT(SUMIF(INDIRECT("'"&amp;Assemblies[Assy]&amp;"'!"&amp;"C5:C1000"),E137,(INDIRECT("'"&amp;Assemblies[Assy]&amp;"'!"&amp;"O5:O1000"))))</f>
        <v>1</v>
      </c>
      <c r="H137" t="str" cm="1">
        <f t="array" aca="1" ref="H137" ca="1">TRIM(SUBSTITUTE(_xlfn.ARRAYTOTEXT(IFERROR(CONCATENATE(SUMIF(INDIRECT("'"&amp;Assemblies[Assy]&amp;"'!"&amp;"C$5:C1000"), $E137, INDIRECT("'"&amp;Assemblies[Assy]&amp;"'!"&amp;"O$5:O1000")), "x",Assemblies[Assy],".",IF(SUMIF(INDIRECT("'"&amp;Assemblies[Assy]&amp;"'!"&amp;"C$5:C1000"), $E137, INDIRECT("'"&amp;Assemblies[Assy]&amp;"'!"&amp;"B$5:B1000"))=0,NA(),SUMIF(INDIRECT("'"&amp;Assemblies[Assy]&amp;"'!"&amp;"C$5:C1000"), $E137, INDIRECT("'"&amp;Assemblies[Assy]&amp;"'!"&amp;"A$5:A1000")))),"")), " ,", ""))</f>
        <v>, 1x4.0,</v>
      </c>
      <c r="I137" s="285" t="s">
        <v>1473</v>
      </c>
      <c r="J137" s="233" t="str">
        <f>Assemblies[[#This Row],[Assy]]</f>
        <v>4.4</v>
      </c>
    </row>
    <row r="138" spans="1:10" x14ac:dyDescent="0.25">
      <c r="A138" t="s">
        <v>1475</v>
      </c>
      <c r="B138" s="204" t="s">
        <v>1705</v>
      </c>
      <c r="C138" s="24" t="s">
        <v>1470</v>
      </c>
      <c r="D138" s="134" t="s">
        <v>54</v>
      </c>
      <c r="E138" t="str">
        <f t="shared" si="2"/>
        <v>PG10.4.4.1.0.A</v>
      </c>
      <c r="F138" t="s">
        <v>1706</v>
      </c>
      <c r="G138" s="19" cm="1">
        <f t="array" aca="1" ref="G138" ca="1">SUMPRODUCT(SUMIF(INDIRECT("'"&amp;Assemblies[Assy]&amp;"'!"&amp;"C5:C1000"),E138,(INDIRECT("'"&amp;Assemblies[Assy]&amp;"'!"&amp;"O5:O1000"))))</f>
        <v>2</v>
      </c>
      <c r="H138" t="str" cm="1">
        <f t="array" aca="1" ref="H138" ca="1">TRIM(SUBSTITUTE(_xlfn.ARRAYTOTEXT(IFERROR(CONCATENATE(SUMIF(INDIRECT("'"&amp;Assemblies[Assy]&amp;"'!"&amp;"C$5:C1000"), $E138, INDIRECT("'"&amp;Assemblies[Assy]&amp;"'!"&amp;"O$5:O1000")), "x",Assemblies[Assy],".",IF(SUMIF(INDIRECT("'"&amp;Assemblies[Assy]&amp;"'!"&amp;"C$5:C1000"), $E138, INDIRECT("'"&amp;Assemblies[Assy]&amp;"'!"&amp;"B$5:B1000"))=0,NA(),SUMIF(INDIRECT("'"&amp;Assemblies[Assy]&amp;"'!"&amp;"C$5:C1000"), $E138, INDIRECT("'"&amp;Assemblies[Assy]&amp;"'!"&amp;"A$5:A1000")))),"")), " ,", ""))</f>
        <v>, 2x4.4.0,</v>
      </c>
      <c r="I138" s="285" t="s">
        <v>1473</v>
      </c>
      <c r="J138" s="233" t="str">
        <f>Assemblies[[#This Row],[Assy]]</f>
        <v>4.4.1</v>
      </c>
    </row>
    <row r="139" spans="1:10" x14ac:dyDescent="0.25">
      <c r="A139" t="s">
        <v>1475</v>
      </c>
      <c r="B139" s="204" t="s">
        <v>1707</v>
      </c>
      <c r="C139" s="24" t="s">
        <v>1470</v>
      </c>
      <c r="D139" s="134" t="s">
        <v>54</v>
      </c>
      <c r="E139" t="str">
        <f t="shared" si="2"/>
        <v>PG10.4.4.2.0.A</v>
      </c>
      <c r="F139" t="s">
        <v>1708</v>
      </c>
      <c r="G139" s="19" cm="1">
        <f t="array" aca="1" ref="G139" ca="1">SUMPRODUCT(SUMIF(INDIRECT("'"&amp;Assemblies[Assy]&amp;"'!"&amp;"C5:C1000"),E139,(INDIRECT("'"&amp;Assemblies[Assy]&amp;"'!"&amp;"O5:O1000"))))</f>
        <v>1</v>
      </c>
      <c r="H139" t="str" cm="1">
        <f t="array" aca="1" ref="H139" ca="1">TRIM(SUBSTITUTE(_xlfn.ARRAYTOTEXT(IFERROR(CONCATENATE(SUMIF(INDIRECT("'"&amp;Assemblies[Assy]&amp;"'!"&amp;"C$5:C1000"), $E139, INDIRECT("'"&amp;Assemblies[Assy]&amp;"'!"&amp;"O$5:O1000")), "x",Assemblies[Assy],".",IF(SUMIF(INDIRECT("'"&amp;Assemblies[Assy]&amp;"'!"&amp;"C$5:C1000"), $E139, INDIRECT("'"&amp;Assemblies[Assy]&amp;"'!"&amp;"B$5:B1000"))=0,NA(),SUMIF(INDIRECT("'"&amp;Assemblies[Assy]&amp;"'!"&amp;"C$5:C1000"), $E139, INDIRECT("'"&amp;Assemblies[Assy]&amp;"'!"&amp;"A$5:A1000")))),"")), " ,", ""))</f>
        <v>, 1x4.4.0,</v>
      </c>
      <c r="I139" s="286" t="s">
        <v>1473</v>
      </c>
      <c r="J139" s="233" t="str">
        <f>Assemblies[[#This Row],[Assy]]</f>
        <v>4.4.2</v>
      </c>
    </row>
    <row r="140" spans="1:10" x14ac:dyDescent="0.25">
      <c r="A140" t="s">
        <v>1475</v>
      </c>
      <c r="B140" s="197" t="s">
        <v>1709</v>
      </c>
      <c r="C140" s="24" t="s">
        <v>1470</v>
      </c>
      <c r="D140" s="134" t="s">
        <v>54</v>
      </c>
      <c r="E140" t="str">
        <f t="shared" si="2"/>
        <v>PG10.4.5.0.A</v>
      </c>
      <c r="F140" t="s">
        <v>1710</v>
      </c>
      <c r="G140" s="19" cm="1">
        <f t="array" aca="1" ref="G140" ca="1">SUMPRODUCT(SUMIF(INDIRECT("'"&amp;Assemblies[Assy]&amp;"'!"&amp;"C5:C1000"),E140,(INDIRECT("'"&amp;Assemblies[Assy]&amp;"'!"&amp;"O5:O1000"))))</f>
        <v>1</v>
      </c>
      <c r="H140" t="str" cm="1">
        <f t="array" aca="1" ref="H140" ca="1">TRIM(SUBSTITUTE(_xlfn.ARRAYTOTEXT(IFERROR(CONCATENATE(SUMIF(INDIRECT("'"&amp;Assemblies[Assy]&amp;"'!"&amp;"C$5:C1000"), $E140, INDIRECT("'"&amp;Assemblies[Assy]&amp;"'!"&amp;"O$5:O1000")), "x",Assemblies[Assy],".",IF(SUMIF(INDIRECT("'"&amp;Assemblies[Assy]&amp;"'!"&amp;"C$5:C1000"), $E140, INDIRECT("'"&amp;Assemblies[Assy]&amp;"'!"&amp;"B$5:B1000"))=0,NA(),SUMIF(INDIRECT("'"&amp;Assemblies[Assy]&amp;"'!"&amp;"C$5:C1000"), $E140, INDIRECT("'"&amp;Assemblies[Assy]&amp;"'!"&amp;"A$5:A1000")))),"")), " ,", ""))</f>
        <v>, 1x4.0,</v>
      </c>
      <c r="I140" s="286" t="s">
        <v>1473</v>
      </c>
      <c r="J140" s="234" t="str">
        <f>Assemblies[[#This Row],[Assy]]</f>
        <v>4.5</v>
      </c>
    </row>
    <row r="141" spans="1:10" x14ac:dyDescent="0.25">
      <c r="A141" t="s">
        <v>1475</v>
      </c>
      <c r="B141" s="204" t="s">
        <v>1711</v>
      </c>
      <c r="C141" s="24" t="s">
        <v>1470</v>
      </c>
      <c r="D141" s="134" t="s">
        <v>54</v>
      </c>
      <c r="E141" t="str">
        <f t="shared" si="2"/>
        <v>PG10.4.5.1.0.A</v>
      </c>
      <c r="F141" t="s">
        <v>1712</v>
      </c>
      <c r="G141" s="19" cm="1">
        <f t="array" aca="1" ref="G141" ca="1">SUMPRODUCT(SUMIF(INDIRECT("'"&amp;Assemblies[Assy]&amp;"'!"&amp;"C5:C1000"),E141,(INDIRECT("'"&amp;Assemblies[Assy]&amp;"'!"&amp;"O5:O1000"))))</f>
        <v>1</v>
      </c>
      <c r="H141" t="str" cm="1">
        <f t="array" aca="1" ref="H141" ca="1">TRIM(SUBSTITUTE(_xlfn.ARRAYTOTEXT(IFERROR(CONCATENATE(SUMIF(INDIRECT("'"&amp;Assemblies[Assy]&amp;"'!"&amp;"C$5:C1000"), $E141, INDIRECT("'"&amp;Assemblies[Assy]&amp;"'!"&amp;"O$5:O1000")), "x",Assemblies[Assy],".",IF(SUMIF(INDIRECT("'"&amp;Assemblies[Assy]&amp;"'!"&amp;"C$5:C1000"), $E141, INDIRECT("'"&amp;Assemblies[Assy]&amp;"'!"&amp;"B$5:B1000"))=0,NA(),SUMIF(INDIRECT("'"&amp;Assemblies[Assy]&amp;"'!"&amp;"C$5:C1000"), $E141, INDIRECT("'"&amp;Assemblies[Assy]&amp;"'!"&amp;"A$5:A1000")))),"")), " ,", ""))</f>
        <v>, 1x4.5.0,</v>
      </c>
      <c r="I141" s="286" t="s">
        <v>1473</v>
      </c>
      <c r="J141" s="234" t="str">
        <f>Assemblies[[#This Row],[Assy]]</f>
        <v>4.5.1</v>
      </c>
    </row>
    <row r="142" spans="1:10" x14ac:dyDescent="0.25">
      <c r="A142" t="s">
        <v>1475</v>
      </c>
      <c r="B142" s="197" t="s">
        <v>1713</v>
      </c>
      <c r="C142" s="24" t="s">
        <v>1470</v>
      </c>
      <c r="D142" s="134" t="s">
        <v>54</v>
      </c>
      <c r="E142" t="str">
        <f t="shared" si="2"/>
        <v>PG10.4.6.0.A</v>
      </c>
      <c r="F142" t="s">
        <v>1714</v>
      </c>
      <c r="G142" s="19" cm="1">
        <f t="array" aca="1" ref="G142" ca="1">SUMPRODUCT(SUMIF(INDIRECT("'"&amp;Assemblies[Assy]&amp;"'!"&amp;"C5:C1000"),E142,(INDIRECT("'"&amp;Assemblies[Assy]&amp;"'!"&amp;"O5:O1000"))))</f>
        <v>1</v>
      </c>
      <c r="H142" t="str" cm="1">
        <f t="array" aca="1" ref="H142" ca="1">TRIM(SUBSTITUTE(_xlfn.ARRAYTOTEXT(IFERROR(CONCATENATE(SUMIF(INDIRECT("'"&amp;Assemblies[Assy]&amp;"'!"&amp;"C$5:C1000"), $E142, INDIRECT("'"&amp;Assemblies[Assy]&amp;"'!"&amp;"O$5:O1000")), "x",Assemblies[Assy],".",IF(SUMIF(INDIRECT("'"&amp;Assemblies[Assy]&amp;"'!"&amp;"C$5:C1000"), $E142, INDIRECT("'"&amp;Assemblies[Assy]&amp;"'!"&amp;"B$5:B1000"))=0,NA(),SUMIF(INDIRECT("'"&amp;Assemblies[Assy]&amp;"'!"&amp;"C$5:C1000"), $E142, INDIRECT("'"&amp;Assemblies[Assy]&amp;"'!"&amp;"A$5:A1000")))),"")), " ,", ""))</f>
        <v>, 1x4.0,</v>
      </c>
      <c r="I142" s="286" t="s">
        <v>1473</v>
      </c>
      <c r="J142" s="235" t="str">
        <f>Assemblies[[#This Row],[Assy]]</f>
        <v>4.6</v>
      </c>
    </row>
    <row r="143" spans="1:10" x14ac:dyDescent="0.25">
      <c r="A143" t="s">
        <v>1475</v>
      </c>
      <c r="B143" s="197" t="s">
        <v>3664</v>
      </c>
      <c r="C143" s="24" t="s">
        <v>1470</v>
      </c>
      <c r="D143" s="134" t="s">
        <v>54</v>
      </c>
      <c r="E143" t="str">
        <f t="shared" si="2"/>
        <v>PG10.4.7.0.A</v>
      </c>
      <c r="F143" t="s">
        <v>3666</v>
      </c>
      <c r="G143" s="19" cm="1">
        <f t="array" aca="1" ref="G143" ca="1">SUMPRODUCT(SUMIF(INDIRECT("'"&amp;Assemblies[Assy]&amp;"'!"&amp;"C5:C1000"),E143,(INDIRECT("'"&amp;Assemblies[Assy]&amp;"'!"&amp;"O5:O1000"))))</f>
        <v>2</v>
      </c>
      <c r="H143" t="str" cm="1">
        <f t="array" aca="1" ref="H143" ca="1">TRIM(SUBSTITUTE(_xlfn.ARRAYTOTEXT(IFERROR(CONCATENATE(SUMIF(INDIRECT("'"&amp;Assemblies[Assy]&amp;"'!"&amp;"C$5:C1000"), $E143, INDIRECT("'"&amp;Assemblies[Assy]&amp;"'!"&amp;"O$5:O1000")), "x",Assemblies[Assy],".",IF(SUMIF(INDIRECT("'"&amp;Assemblies[Assy]&amp;"'!"&amp;"C$5:C1000"), $E143, INDIRECT("'"&amp;Assemblies[Assy]&amp;"'!"&amp;"B$5:B1000"))=0,NA(),SUMIF(INDIRECT("'"&amp;Assemblies[Assy]&amp;"'!"&amp;"C$5:C1000"), $E143, INDIRECT("'"&amp;Assemblies[Assy]&amp;"'!"&amp;"A$5:A1000")))),"")), " ,", ""))</f>
        <v>, 2x4.0,</v>
      </c>
      <c r="I143" s="286" t="s">
        <v>1473</v>
      </c>
      <c r="J143" s="235" t="str">
        <f>Assemblies[[#This Row],[Assy]]</f>
        <v>4.7</v>
      </c>
    </row>
    <row r="144" spans="1:10" x14ac:dyDescent="0.25">
      <c r="A144" t="s">
        <v>1475</v>
      </c>
      <c r="B144" s="202" t="s">
        <v>3665</v>
      </c>
      <c r="C144" s="24" t="s">
        <v>1470</v>
      </c>
      <c r="D144" s="134" t="s">
        <v>54</v>
      </c>
      <c r="E144" t="str">
        <f t="shared" si="2"/>
        <v>PG10.4.7.1.0.A</v>
      </c>
      <c r="F144" t="s">
        <v>3667</v>
      </c>
      <c r="G144" s="19" cm="1">
        <f t="array" aca="1" ref="G144" ca="1">SUMPRODUCT(SUMIF(INDIRECT("'"&amp;Assemblies[Assy]&amp;"'!"&amp;"C5:C1000"),E144,(INDIRECT("'"&amp;Assemblies[Assy]&amp;"'!"&amp;"O5:O1000"))))</f>
        <v>2</v>
      </c>
      <c r="H144" t="str" cm="1">
        <f t="array" aca="1" ref="H144" ca="1">TRIM(SUBSTITUTE(_xlfn.ARRAYTOTEXT(IFERROR(CONCATENATE(SUMIF(INDIRECT("'"&amp;Assemblies[Assy]&amp;"'!"&amp;"C$5:C1000"), $E144, INDIRECT("'"&amp;Assemblies[Assy]&amp;"'!"&amp;"O$5:O1000")), "x",Assemblies[Assy],".",IF(SUMIF(INDIRECT("'"&amp;Assemblies[Assy]&amp;"'!"&amp;"C$5:C1000"), $E144, INDIRECT("'"&amp;Assemblies[Assy]&amp;"'!"&amp;"B$5:B1000"))=0,NA(),SUMIF(INDIRECT("'"&amp;Assemblies[Assy]&amp;"'!"&amp;"C$5:C1000"), $E144, INDIRECT("'"&amp;Assemblies[Assy]&amp;"'!"&amp;"A$5:A1000")))),"")), " ,", ""))</f>
        <v>, 2x4.7.0,</v>
      </c>
      <c r="I144" s="286" t="s">
        <v>1473</v>
      </c>
      <c r="J144" s="235" t="str">
        <f>Assemblies[[#This Row],[Assy]]</f>
        <v>4.7.1</v>
      </c>
    </row>
    <row r="145" spans="1:10" x14ac:dyDescent="0.25">
      <c r="A145" t="s">
        <v>1475</v>
      </c>
      <c r="B145" s="199" t="s">
        <v>1715</v>
      </c>
      <c r="C145" s="24" t="s">
        <v>1470</v>
      </c>
      <c r="D145" s="134" t="s">
        <v>54</v>
      </c>
      <c r="E145" t="str">
        <f t="shared" si="2"/>
        <v>PG10.5.0.A</v>
      </c>
      <c r="F145" t="s">
        <v>1716</v>
      </c>
      <c r="G145" s="19" cm="1">
        <f t="array" aca="1" ref="G145" ca="1">SUMPRODUCT(SUMIF(INDIRECT("'"&amp;Assemblies[Assy]&amp;"'!"&amp;"C5:C1000"),E145,(INDIRECT("'"&amp;Assemblies[Assy]&amp;"'!"&amp;"O5:O1000"))))</f>
        <v>1</v>
      </c>
      <c r="H145" t="str" cm="1">
        <f t="array" aca="1" ref="H145" ca="1">TRIM(SUBSTITUTE(_xlfn.ARRAYTOTEXT(IFERROR(CONCATENATE(SUMIF(INDIRECT("'"&amp;Assemblies[Assy]&amp;"'!"&amp;"C$5:C1000"), $E145, INDIRECT("'"&amp;Assemblies[Assy]&amp;"'!"&amp;"O$5:O1000")), "x",Assemblies[Assy],".",IF(SUMIF(INDIRECT("'"&amp;Assemblies[Assy]&amp;"'!"&amp;"C$5:C1000"), $E145, INDIRECT("'"&amp;Assemblies[Assy]&amp;"'!"&amp;"B$5:B1000"))=0,NA(),SUMIF(INDIRECT("'"&amp;Assemblies[Assy]&amp;"'!"&amp;"C$5:C1000"), $E145, INDIRECT("'"&amp;Assemblies[Assy]&amp;"'!"&amp;"A$5:A1000")))),"")), " ,", ""))</f>
        <v>1x0.0,</v>
      </c>
      <c r="I145" s="286" t="s">
        <v>1473</v>
      </c>
      <c r="J145" s="236" t="str">
        <f>Assemblies[[#This Row],[Assy]]</f>
        <v>5</v>
      </c>
    </row>
    <row r="146" spans="1:10" x14ac:dyDescent="0.25">
      <c r="A146" t="s">
        <v>1475</v>
      </c>
      <c r="B146" s="197" t="s">
        <v>1717</v>
      </c>
      <c r="C146" s="24" t="s">
        <v>1470</v>
      </c>
      <c r="D146" s="134" t="s">
        <v>54</v>
      </c>
      <c r="E146" t="str">
        <f t="shared" si="2"/>
        <v>PG10.5.1.0.A</v>
      </c>
      <c r="F146" t="s">
        <v>1718</v>
      </c>
      <c r="G146" s="19" cm="1">
        <f t="array" aca="1" ref="G146" ca="1">SUMPRODUCT(SUMIF(INDIRECT("'"&amp;Assemblies[Assy]&amp;"'!"&amp;"C5:C1000"),E146,(INDIRECT("'"&amp;Assemblies[Assy]&amp;"'!"&amp;"O5:O1000"))))</f>
        <v>1</v>
      </c>
      <c r="H146" t="str" cm="1">
        <f t="array" aca="1" ref="H146" ca="1">TRIM(SUBSTITUTE(_xlfn.ARRAYTOTEXT(IFERROR(CONCATENATE(SUMIF(INDIRECT("'"&amp;Assemblies[Assy]&amp;"'!"&amp;"C$5:C1000"), $E146, INDIRECT("'"&amp;Assemblies[Assy]&amp;"'!"&amp;"O$5:O1000")), "x",Assemblies[Assy],".",IF(SUMIF(INDIRECT("'"&amp;Assemblies[Assy]&amp;"'!"&amp;"C$5:C1000"), $E146, INDIRECT("'"&amp;Assemblies[Assy]&amp;"'!"&amp;"B$5:B1000"))=0,NA(),SUMIF(INDIRECT("'"&amp;Assemblies[Assy]&amp;"'!"&amp;"C$5:C1000"), $E146, INDIRECT("'"&amp;Assemblies[Assy]&amp;"'!"&amp;"A$5:A1000")))),"")), " ,", ""))</f>
        <v>, 1x5.0,</v>
      </c>
      <c r="I146" s="286" t="s">
        <v>1473</v>
      </c>
      <c r="J146" s="237" t="str">
        <f>Assemblies[[#This Row],[Assy]]</f>
        <v>5.1</v>
      </c>
    </row>
    <row r="147" spans="1:10" x14ac:dyDescent="0.25">
      <c r="A147" t="s">
        <v>1475</v>
      </c>
      <c r="B147" s="204" t="s">
        <v>1719</v>
      </c>
      <c r="C147" s="24" t="s">
        <v>1470</v>
      </c>
      <c r="D147" s="134" t="s">
        <v>54</v>
      </c>
      <c r="E147" t="str">
        <f t="shared" si="2"/>
        <v>PG10.5.1.1.0.A</v>
      </c>
      <c r="F147" t="s">
        <v>1720</v>
      </c>
      <c r="G147" s="19" cm="1">
        <f t="array" aca="1" ref="G147" ca="1">SUMPRODUCT(SUMIF(INDIRECT("'"&amp;Assemblies[Assy]&amp;"'!"&amp;"C5:C1000"),E147,(INDIRECT("'"&amp;Assemblies[Assy]&amp;"'!"&amp;"O5:O1000"))))</f>
        <v>24</v>
      </c>
      <c r="H147" t="str" cm="1">
        <f t="array" aca="1" ref="H147" ca="1">TRIM(SUBSTITUTE(_xlfn.ARRAYTOTEXT(IFERROR(CONCATENATE(SUMIF(INDIRECT("'"&amp;Assemblies[Assy]&amp;"'!"&amp;"C$5:C1000"), $E147, INDIRECT("'"&amp;Assemblies[Assy]&amp;"'!"&amp;"O$5:O1000")), "x",Assemblies[Assy],".",IF(SUMIF(INDIRECT("'"&amp;Assemblies[Assy]&amp;"'!"&amp;"C$5:C1000"), $E147, INDIRECT("'"&amp;Assemblies[Assy]&amp;"'!"&amp;"B$5:B1000"))=0,NA(),SUMIF(INDIRECT("'"&amp;Assemblies[Assy]&amp;"'!"&amp;"C$5:C1000"), $E147, INDIRECT("'"&amp;Assemblies[Assy]&amp;"'!"&amp;"A$5:A1000")))),"")), " ,", ""))</f>
        <v>, 8x5.1.0, 16x6.8.0,</v>
      </c>
      <c r="I147" s="286" t="s">
        <v>1473</v>
      </c>
      <c r="J147" s="237" t="str">
        <f>Assemblies[[#This Row],[Assy]]</f>
        <v>5.1.1</v>
      </c>
    </row>
    <row r="148" spans="1:10" x14ac:dyDescent="0.25">
      <c r="A148" t="s">
        <v>1475</v>
      </c>
      <c r="B148" s="197" t="s">
        <v>1721</v>
      </c>
      <c r="C148" s="24" t="s">
        <v>1470</v>
      </c>
      <c r="D148" s="134" t="s">
        <v>54</v>
      </c>
      <c r="E148" t="str">
        <f t="shared" si="2"/>
        <v>PG10.5.2.0.A</v>
      </c>
      <c r="F148" t="s">
        <v>1722</v>
      </c>
      <c r="G148" s="19" cm="1">
        <f t="array" aca="1" ref="G148" ca="1">SUMPRODUCT(SUMIF(INDIRECT("'"&amp;Assemblies[Assy]&amp;"'!"&amp;"C5:C1000"),E148,(INDIRECT("'"&amp;Assemblies[Assy]&amp;"'!"&amp;"O5:O1000"))))</f>
        <v>1</v>
      </c>
      <c r="H148" t="str" cm="1">
        <f t="array" aca="1" ref="H148" ca="1">TRIM(SUBSTITUTE(_xlfn.ARRAYTOTEXT(IFERROR(CONCATENATE(SUMIF(INDIRECT("'"&amp;Assemblies[Assy]&amp;"'!"&amp;"C$5:C1000"), $E148, INDIRECT("'"&amp;Assemblies[Assy]&amp;"'!"&amp;"O$5:O1000")), "x",Assemblies[Assy],".",IF(SUMIF(INDIRECT("'"&amp;Assemblies[Assy]&amp;"'!"&amp;"C$5:C1000"), $E148, INDIRECT("'"&amp;Assemblies[Assy]&amp;"'!"&amp;"B$5:B1000"))=0,NA(),SUMIF(INDIRECT("'"&amp;Assemblies[Assy]&amp;"'!"&amp;"C$5:C1000"), $E148, INDIRECT("'"&amp;Assemblies[Assy]&amp;"'!"&amp;"A$5:A1000")))),"")), " ,", ""))</f>
        <v>, 1x5.0,</v>
      </c>
      <c r="I148" s="286" t="s">
        <v>1473</v>
      </c>
      <c r="J148" s="238" t="str">
        <f>Assemblies[[#This Row],[Assy]]</f>
        <v>5.2</v>
      </c>
    </row>
    <row r="149" spans="1:10" x14ac:dyDescent="0.25">
      <c r="A149" t="s">
        <v>1475</v>
      </c>
      <c r="B149" s="197" t="s">
        <v>1723</v>
      </c>
      <c r="C149" s="24" t="s">
        <v>1470</v>
      </c>
      <c r="D149" s="134" t="s">
        <v>54</v>
      </c>
      <c r="E149" t="str">
        <f t="shared" si="2"/>
        <v>PG10.5.3.0.A</v>
      </c>
      <c r="F149" t="s">
        <v>1724</v>
      </c>
      <c r="G149" s="19" cm="1">
        <f t="array" aca="1" ref="G149" ca="1">SUMPRODUCT(SUMIF(INDIRECT("'"&amp;Assemblies[Assy]&amp;"'!"&amp;"C5:C1000"),E149,(INDIRECT("'"&amp;Assemblies[Assy]&amp;"'!"&amp;"O5:O1000"))))</f>
        <v>1</v>
      </c>
      <c r="H149" t="str" cm="1">
        <f t="array" aca="1" ref="H149" ca="1">TRIM(SUBSTITUTE(_xlfn.ARRAYTOTEXT(IFERROR(CONCATENATE(SUMIF(INDIRECT("'"&amp;Assemblies[Assy]&amp;"'!"&amp;"C$5:C1000"), $E149, INDIRECT("'"&amp;Assemblies[Assy]&amp;"'!"&amp;"O$5:O1000")), "x",Assemblies[Assy],".",IF(SUMIF(INDIRECT("'"&amp;Assemblies[Assy]&amp;"'!"&amp;"C$5:C1000"), $E149, INDIRECT("'"&amp;Assemblies[Assy]&amp;"'!"&amp;"B$5:B1000"))=0,NA(),SUMIF(INDIRECT("'"&amp;Assemblies[Assy]&amp;"'!"&amp;"C$5:C1000"), $E149, INDIRECT("'"&amp;Assemblies[Assy]&amp;"'!"&amp;"A$5:A1000")))),"")), " ,", ""))</f>
        <v>, 1x5.0,</v>
      </c>
      <c r="I149" s="286" t="s">
        <v>1473</v>
      </c>
      <c r="J149" s="239" t="str">
        <f>Assemblies[[#This Row],[Assy]]</f>
        <v>5.3</v>
      </c>
    </row>
    <row r="150" spans="1:10" x14ac:dyDescent="0.25">
      <c r="A150" t="s">
        <v>1475</v>
      </c>
      <c r="B150" s="197" t="s">
        <v>1725</v>
      </c>
      <c r="C150" s="24" t="s">
        <v>1470</v>
      </c>
      <c r="D150" s="134" t="s">
        <v>54</v>
      </c>
      <c r="E150" t="str">
        <f t="shared" si="2"/>
        <v>PG10.5.4.0.A</v>
      </c>
      <c r="F150" t="s">
        <v>1726</v>
      </c>
      <c r="G150" s="19" cm="1">
        <f t="array" aca="1" ref="G150" ca="1">SUMPRODUCT(SUMIF(INDIRECT("'"&amp;Assemblies[Assy]&amp;"'!"&amp;"C5:C1000"),E150,(INDIRECT("'"&amp;Assemblies[Assy]&amp;"'!"&amp;"O5:O1000"))))</f>
        <v>1</v>
      </c>
      <c r="H150" t="str" cm="1">
        <f t="array" aca="1" ref="H150" ca="1">TRIM(SUBSTITUTE(_xlfn.ARRAYTOTEXT(IFERROR(CONCATENATE(SUMIF(INDIRECT("'"&amp;Assemblies[Assy]&amp;"'!"&amp;"C$5:C1000"), $E150, INDIRECT("'"&amp;Assemblies[Assy]&amp;"'!"&amp;"O$5:O1000")), "x",Assemblies[Assy],".",IF(SUMIF(INDIRECT("'"&amp;Assemblies[Assy]&amp;"'!"&amp;"C$5:C1000"), $E150, INDIRECT("'"&amp;Assemblies[Assy]&amp;"'!"&amp;"B$5:B1000"))=0,NA(),SUMIF(INDIRECT("'"&amp;Assemblies[Assy]&amp;"'!"&amp;"C$5:C1000"), $E150, INDIRECT("'"&amp;Assemblies[Assy]&amp;"'!"&amp;"A$5:A1000")))),"")), " ,", ""))</f>
        <v>, 1x5.0,</v>
      </c>
      <c r="I150" s="286" t="s">
        <v>1473</v>
      </c>
      <c r="J150" s="240" t="str">
        <f>Assemblies[[#This Row],[Assy]]</f>
        <v>5.4</v>
      </c>
    </row>
    <row r="151" spans="1:10" x14ac:dyDescent="0.25">
      <c r="A151" t="s">
        <v>1475</v>
      </c>
      <c r="B151" s="204" t="s">
        <v>1727</v>
      </c>
      <c r="C151" s="24" t="s">
        <v>1470</v>
      </c>
      <c r="D151" s="134" t="s">
        <v>54</v>
      </c>
      <c r="E151" t="str">
        <f t="shared" si="2"/>
        <v>PG10.5.4.1.0.A</v>
      </c>
      <c r="F151" t="s">
        <v>1728</v>
      </c>
      <c r="G151" s="19" cm="1">
        <f t="array" aca="1" ref="G151" ca="1">SUMPRODUCT(SUMIF(INDIRECT("'"&amp;Assemblies[Assy]&amp;"'!"&amp;"C5:C1000"),E151,(INDIRECT("'"&amp;Assemblies[Assy]&amp;"'!"&amp;"O5:O1000"))))</f>
        <v>1</v>
      </c>
      <c r="H151" t="str" cm="1">
        <f t="array" aca="1" ref="H151" ca="1">TRIM(SUBSTITUTE(_xlfn.ARRAYTOTEXT(IFERROR(CONCATENATE(SUMIF(INDIRECT("'"&amp;Assemblies[Assy]&amp;"'!"&amp;"C$5:C1000"), $E151, INDIRECT("'"&amp;Assemblies[Assy]&amp;"'!"&amp;"O$5:O1000")), "x",Assemblies[Assy],".",IF(SUMIF(INDIRECT("'"&amp;Assemblies[Assy]&amp;"'!"&amp;"C$5:C1000"), $E151, INDIRECT("'"&amp;Assemblies[Assy]&amp;"'!"&amp;"B$5:B1000"))=0,NA(),SUMIF(INDIRECT("'"&amp;Assemblies[Assy]&amp;"'!"&amp;"C$5:C1000"), $E151, INDIRECT("'"&amp;Assemblies[Assy]&amp;"'!"&amp;"A$5:A1000")))),"")), " ,", ""))</f>
        <v>, 1x5.4.0,</v>
      </c>
      <c r="I151" s="286" t="s">
        <v>1473</v>
      </c>
      <c r="J151" s="240" t="str">
        <f>Assemblies[[#This Row],[Assy]]</f>
        <v>5.4.1</v>
      </c>
    </row>
    <row r="152" spans="1:10" ht="14.45" customHeight="1" x14ac:dyDescent="0.25">
      <c r="A152" t="s">
        <v>1475</v>
      </c>
      <c r="B152" s="204" t="s">
        <v>1729</v>
      </c>
      <c r="C152" s="24" t="s">
        <v>1470</v>
      </c>
      <c r="D152" s="134" t="s">
        <v>54</v>
      </c>
      <c r="E152" t="str">
        <f t="shared" si="2"/>
        <v>PG10.5.4.2.0.A</v>
      </c>
      <c r="F152" t="s">
        <v>1730</v>
      </c>
      <c r="G152" s="19" cm="1">
        <f t="array" aca="1" ref="G152" ca="1">SUMPRODUCT(SUMIF(INDIRECT("'"&amp;Assemblies[Assy]&amp;"'!"&amp;"C5:C1000"),E152,(INDIRECT("'"&amp;Assemblies[Assy]&amp;"'!"&amp;"O5:O1000"))))</f>
        <v>1</v>
      </c>
      <c r="H152" t="str" cm="1">
        <f t="array" aca="1" ref="H152" ca="1">TRIM(SUBSTITUTE(_xlfn.ARRAYTOTEXT(IFERROR(CONCATENATE(SUMIF(INDIRECT("'"&amp;Assemblies[Assy]&amp;"'!"&amp;"C$5:C1000"), $E152, INDIRECT("'"&amp;Assemblies[Assy]&amp;"'!"&amp;"O$5:O1000")), "x",Assemblies[Assy],".",IF(SUMIF(INDIRECT("'"&amp;Assemblies[Assy]&amp;"'!"&amp;"C$5:C1000"), $E152, INDIRECT("'"&amp;Assemblies[Assy]&amp;"'!"&amp;"B$5:B1000"))=0,NA(),SUMIF(INDIRECT("'"&amp;Assemblies[Assy]&amp;"'!"&amp;"C$5:C1000"), $E152, INDIRECT("'"&amp;Assemblies[Assy]&amp;"'!"&amp;"A$5:A1000")))),"")), " ,", ""))</f>
        <v>, 1x5.4.0,</v>
      </c>
      <c r="I152" s="286" t="s">
        <v>1473</v>
      </c>
      <c r="J152" s="240" t="str">
        <f>Assemblies[[#This Row],[Assy]]</f>
        <v>5.4.2</v>
      </c>
    </row>
    <row r="153" spans="1:10" x14ac:dyDescent="0.25">
      <c r="A153" t="s">
        <v>1475</v>
      </c>
      <c r="B153" s="197" t="s">
        <v>1731</v>
      </c>
      <c r="C153" s="24" t="s">
        <v>1470</v>
      </c>
      <c r="D153" s="134" t="s">
        <v>54</v>
      </c>
      <c r="E153" t="str">
        <f t="shared" si="2"/>
        <v>PG10.5.5.0.A</v>
      </c>
      <c r="F153" t="s">
        <v>1732</v>
      </c>
      <c r="G153" s="19" cm="1">
        <f t="array" aca="1" ref="G153" ca="1">SUMPRODUCT(SUMIF(INDIRECT("'"&amp;Assemblies[Assy]&amp;"'!"&amp;"C5:C1000"),E153,(INDIRECT("'"&amp;Assemblies[Assy]&amp;"'!"&amp;"O5:O1000"))))</f>
        <v>1</v>
      </c>
      <c r="H153" t="str" cm="1">
        <f t="array" aca="1" ref="H153" ca="1">TRIM(SUBSTITUTE(_xlfn.ARRAYTOTEXT(IFERROR(CONCATENATE(SUMIF(INDIRECT("'"&amp;Assemblies[Assy]&amp;"'!"&amp;"C$5:C1000"), $E153, INDIRECT("'"&amp;Assemblies[Assy]&amp;"'!"&amp;"O$5:O1000")), "x",Assemblies[Assy],".",IF(SUMIF(INDIRECT("'"&amp;Assemblies[Assy]&amp;"'!"&amp;"C$5:C1000"), $E153, INDIRECT("'"&amp;Assemblies[Assy]&amp;"'!"&amp;"B$5:B1000"))=0,NA(),SUMIF(INDIRECT("'"&amp;Assemblies[Assy]&amp;"'!"&amp;"C$5:C1000"), $E153, INDIRECT("'"&amp;Assemblies[Assy]&amp;"'!"&amp;"A$5:A1000")))),"")), " ,", ""))</f>
        <v>, 1x5.0,</v>
      </c>
      <c r="I153" s="286" t="s">
        <v>1473</v>
      </c>
      <c r="J153" s="241" t="str">
        <f>Assemblies[[#This Row],[Assy]]</f>
        <v>5.5</v>
      </c>
    </row>
    <row r="154" spans="1:10" x14ac:dyDescent="0.25">
      <c r="A154" t="s">
        <v>1475</v>
      </c>
      <c r="B154" s="204" t="s">
        <v>1733</v>
      </c>
      <c r="C154" s="24" t="s">
        <v>1470</v>
      </c>
      <c r="D154" s="134" t="s">
        <v>54</v>
      </c>
      <c r="E154" t="str">
        <f t="shared" si="2"/>
        <v>PG10.5.5.1.0.A</v>
      </c>
      <c r="F154" t="s">
        <v>1734</v>
      </c>
      <c r="G154" s="19" cm="1">
        <f t="array" aca="1" ref="G154" ca="1">SUMPRODUCT(SUMIF(INDIRECT("'"&amp;Assemblies[Assy]&amp;"'!"&amp;"C5:C1000"),E154,(INDIRECT("'"&amp;Assemblies[Assy]&amp;"'!"&amp;"O5:O1000"))))</f>
        <v>1</v>
      </c>
      <c r="H154" t="str" cm="1">
        <f t="array" aca="1" ref="H154" ca="1">TRIM(SUBSTITUTE(_xlfn.ARRAYTOTEXT(IFERROR(CONCATENATE(SUMIF(INDIRECT("'"&amp;Assemblies[Assy]&amp;"'!"&amp;"C$5:C1000"), $E154, INDIRECT("'"&amp;Assemblies[Assy]&amp;"'!"&amp;"O$5:O1000")), "x",Assemblies[Assy],".",IF(SUMIF(INDIRECT("'"&amp;Assemblies[Assy]&amp;"'!"&amp;"C$5:C1000"), $E154, INDIRECT("'"&amp;Assemblies[Assy]&amp;"'!"&amp;"B$5:B1000"))=0,NA(),SUMIF(INDIRECT("'"&amp;Assemblies[Assy]&amp;"'!"&amp;"C$5:C1000"), $E154, INDIRECT("'"&amp;Assemblies[Assy]&amp;"'!"&amp;"A$5:A1000")))),"")), " ,", ""))</f>
        <v>, 1x5.5.0,</v>
      </c>
      <c r="I154" s="286" t="s">
        <v>1473</v>
      </c>
      <c r="J154" s="241" t="str">
        <f>Assemblies[[#This Row],[Assy]]</f>
        <v>5.5.1</v>
      </c>
    </row>
    <row r="155" spans="1:10" x14ac:dyDescent="0.25">
      <c r="A155" t="s">
        <v>1475</v>
      </c>
      <c r="B155" s="204" t="s">
        <v>1735</v>
      </c>
      <c r="C155" s="24" t="s">
        <v>1470</v>
      </c>
      <c r="D155" s="134" t="s">
        <v>54</v>
      </c>
      <c r="E155" t="str">
        <f t="shared" si="2"/>
        <v>PG10.5.5.2.0.A</v>
      </c>
      <c r="F155" t="s">
        <v>1736</v>
      </c>
      <c r="G155" s="19" cm="1">
        <f t="array" aca="1" ref="G155" ca="1">SUMPRODUCT(SUMIF(INDIRECT("'"&amp;Assemblies[Assy]&amp;"'!"&amp;"C5:C1000"),E155,(INDIRECT("'"&amp;Assemblies[Assy]&amp;"'!"&amp;"O5:O1000"))))</f>
        <v>1</v>
      </c>
      <c r="H155" t="str" cm="1">
        <f t="array" aca="1" ref="H155" ca="1">TRIM(SUBSTITUTE(_xlfn.ARRAYTOTEXT(IFERROR(CONCATENATE(SUMIF(INDIRECT("'"&amp;Assemblies[Assy]&amp;"'!"&amp;"C$5:C1000"), $E155, INDIRECT("'"&amp;Assemblies[Assy]&amp;"'!"&amp;"O$5:O1000")), "x",Assemblies[Assy],".",IF(SUMIF(INDIRECT("'"&amp;Assemblies[Assy]&amp;"'!"&amp;"C$5:C1000"), $E155, INDIRECT("'"&amp;Assemblies[Assy]&amp;"'!"&amp;"B$5:B1000"))=0,NA(),SUMIF(INDIRECT("'"&amp;Assemblies[Assy]&amp;"'!"&amp;"C$5:C1000"), $E155, INDIRECT("'"&amp;Assemblies[Assy]&amp;"'!"&amp;"A$5:A1000")))),"")), " ,", ""))</f>
        <v>, 1x5.5.0,</v>
      </c>
      <c r="I155" s="286" t="s">
        <v>1473</v>
      </c>
      <c r="J155" s="241" t="str">
        <f>Assemblies[[#This Row],[Assy]]</f>
        <v>5.5.2</v>
      </c>
    </row>
    <row r="156" spans="1:10" x14ac:dyDescent="0.25">
      <c r="A156" t="s">
        <v>1475</v>
      </c>
      <c r="B156" s="208" t="s">
        <v>1737</v>
      </c>
      <c r="C156" s="24" t="s">
        <v>1470</v>
      </c>
      <c r="D156" s="134" t="s">
        <v>54</v>
      </c>
      <c r="E156" t="str">
        <f t="shared" si="2"/>
        <v>PG10.5.5.2.1.0.A</v>
      </c>
      <c r="F156" t="s">
        <v>1738</v>
      </c>
      <c r="G156" s="19" cm="1">
        <f t="array" aca="1" ref="G156" ca="1">SUMPRODUCT(SUMIF(INDIRECT("'"&amp;Assemblies[Assy]&amp;"'!"&amp;"C5:C1000"),E156,(INDIRECT("'"&amp;Assemblies[Assy]&amp;"'!"&amp;"O5:O1000"))))</f>
        <v>2</v>
      </c>
      <c r="H156" t="str" cm="1">
        <f t="array" aca="1" ref="H156" ca="1">TRIM(SUBSTITUTE(_xlfn.ARRAYTOTEXT(IFERROR(CONCATENATE(SUMIF(INDIRECT("'"&amp;Assemblies[Assy]&amp;"'!"&amp;"C$5:C1000"), $E156, INDIRECT("'"&amp;Assemblies[Assy]&amp;"'!"&amp;"O$5:O1000")), "x",Assemblies[Assy],".",IF(SUMIF(INDIRECT("'"&amp;Assemblies[Assy]&amp;"'!"&amp;"C$5:C1000"), $E156, INDIRECT("'"&amp;Assemblies[Assy]&amp;"'!"&amp;"B$5:B1000"))=0,NA(),SUMIF(INDIRECT("'"&amp;Assemblies[Assy]&amp;"'!"&amp;"C$5:C1000"), $E156, INDIRECT("'"&amp;Assemblies[Assy]&amp;"'!"&amp;"A$5:A1000")))),"")), " ,", ""))</f>
        <v>, 1x5.5.2.0, 1x5.6.2.0,</v>
      </c>
      <c r="I156" s="286" t="s">
        <v>1473</v>
      </c>
      <c r="J156" s="241" t="str">
        <f>Assemblies[[#This Row],[Assy]]</f>
        <v>5.5.2.1</v>
      </c>
    </row>
    <row r="157" spans="1:10" x14ac:dyDescent="0.25">
      <c r="A157" t="s">
        <v>1475</v>
      </c>
      <c r="B157" s="204" t="s">
        <v>1739</v>
      </c>
      <c r="C157" s="24" t="s">
        <v>1470</v>
      </c>
      <c r="D157" s="134" t="s">
        <v>54</v>
      </c>
      <c r="E157" t="str">
        <f t="shared" si="2"/>
        <v>PG10.5.5.3.0.A</v>
      </c>
      <c r="F157" t="s">
        <v>1740</v>
      </c>
      <c r="G157" s="19" cm="1">
        <f t="array" aca="1" ref="G157" ca="1">SUMPRODUCT(SUMIF(INDIRECT("'"&amp;Assemblies[Assy]&amp;"'!"&amp;"C5:C1000"),E157,(INDIRECT("'"&amp;Assemblies[Assy]&amp;"'!"&amp;"O5:O1000"))))</f>
        <v>2</v>
      </c>
      <c r="H157" t="str" cm="1">
        <f t="array" aca="1" ref="H157" ca="1">TRIM(SUBSTITUTE(_xlfn.ARRAYTOTEXT(IFERROR(CONCATENATE(SUMIF(INDIRECT("'"&amp;Assemblies[Assy]&amp;"'!"&amp;"C$5:C1000"), $E157, INDIRECT("'"&amp;Assemblies[Assy]&amp;"'!"&amp;"O$5:O1000")), "x",Assemblies[Assy],".",IF(SUMIF(INDIRECT("'"&amp;Assemblies[Assy]&amp;"'!"&amp;"C$5:C1000"), $E157, INDIRECT("'"&amp;Assemblies[Assy]&amp;"'!"&amp;"B$5:B1000"))=0,NA(),SUMIF(INDIRECT("'"&amp;Assemblies[Assy]&amp;"'!"&amp;"C$5:C1000"), $E157, INDIRECT("'"&amp;Assemblies[Assy]&amp;"'!"&amp;"A$5:A1000")))),"")), " ,", ""))</f>
        <v>, 1x5.5.0, 1x5.6.0,</v>
      </c>
      <c r="I157" s="286" t="s">
        <v>1473</v>
      </c>
      <c r="J157" s="241" t="str">
        <f>Assemblies[[#This Row],[Assy]]</f>
        <v>5.5.3</v>
      </c>
    </row>
    <row r="158" spans="1:10" x14ac:dyDescent="0.25">
      <c r="A158" t="s">
        <v>1475</v>
      </c>
      <c r="B158" s="204" t="s">
        <v>1741</v>
      </c>
      <c r="C158" s="24" t="s">
        <v>1470</v>
      </c>
      <c r="D158" s="134" t="s">
        <v>54</v>
      </c>
      <c r="E158" t="str">
        <f t="shared" si="2"/>
        <v>PG10.5.5.4.0.A</v>
      </c>
      <c r="F158" t="s">
        <v>1742</v>
      </c>
      <c r="G158" s="19" cm="1">
        <f t="array" aca="1" ref="G158" ca="1">SUMPRODUCT(SUMIF(INDIRECT("'"&amp;Assemblies[Assy]&amp;"'!"&amp;"C5:C1000"),E158,(INDIRECT("'"&amp;Assemblies[Assy]&amp;"'!"&amp;"O5:O1000"))))</f>
        <v>2</v>
      </c>
      <c r="H158" t="str" cm="1">
        <f t="array" aca="1" ref="H158" ca="1">TRIM(SUBSTITUTE(_xlfn.ARRAYTOTEXT(IFERROR(CONCATENATE(SUMIF(INDIRECT("'"&amp;Assemblies[Assy]&amp;"'!"&amp;"C$5:C1000"), $E158, INDIRECT("'"&amp;Assemblies[Assy]&amp;"'!"&amp;"O$5:O1000")), "x",Assemblies[Assy],".",IF(SUMIF(INDIRECT("'"&amp;Assemblies[Assy]&amp;"'!"&amp;"C$5:C1000"), $E158, INDIRECT("'"&amp;Assemblies[Assy]&amp;"'!"&amp;"B$5:B1000"))=0,NA(),SUMIF(INDIRECT("'"&amp;Assemblies[Assy]&amp;"'!"&amp;"C$5:C1000"), $E158, INDIRECT("'"&amp;Assemblies[Assy]&amp;"'!"&amp;"A$5:A1000")))),"")), " ,", ""))</f>
        <v>, 1x5.5.0, 1x5.6.0,</v>
      </c>
      <c r="I158" s="286" t="s">
        <v>1473</v>
      </c>
      <c r="J158" s="241" t="str">
        <f>Assemblies[[#This Row],[Assy]]</f>
        <v>5.5.4</v>
      </c>
    </row>
    <row r="159" spans="1:10" x14ac:dyDescent="0.25">
      <c r="A159" t="s">
        <v>1475</v>
      </c>
      <c r="B159" s="197" t="s">
        <v>1743</v>
      </c>
      <c r="C159" s="24" t="s">
        <v>1470</v>
      </c>
      <c r="D159" s="134" t="s">
        <v>54</v>
      </c>
      <c r="E159" t="str">
        <f t="shared" si="2"/>
        <v>PG10.5.6.0.A</v>
      </c>
      <c r="F159" t="s">
        <v>1744</v>
      </c>
      <c r="G159" s="19" cm="1">
        <f t="array" aca="1" ref="G159" ca="1">SUMPRODUCT(SUMIF(INDIRECT("'"&amp;Assemblies[Assy]&amp;"'!"&amp;"C5:C1000"),E159,(INDIRECT("'"&amp;Assemblies[Assy]&amp;"'!"&amp;"O5:O1000"))))</f>
        <v>1</v>
      </c>
      <c r="H159" t="str" cm="1">
        <f t="array" aca="1" ref="H159" ca="1">TRIM(SUBSTITUTE(_xlfn.ARRAYTOTEXT(IFERROR(CONCATENATE(SUMIF(INDIRECT("'"&amp;Assemblies[Assy]&amp;"'!"&amp;"C$5:C1000"), $E159, INDIRECT("'"&amp;Assemblies[Assy]&amp;"'!"&amp;"O$5:O1000")), "x",Assemblies[Assy],".",IF(SUMIF(INDIRECT("'"&amp;Assemblies[Assy]&amp;"'!"&amp;"C$5:C1000"), $E159, INDIRECT("'"&amp;Assemblies[Assy]&amp;"'!"&amp;"B$5:B1000"))=0,NA(),SUMIF(INDIRECT("'"&amp;Assemblies[Assy]&amp;"'!"&amp;"C$5:C1000"), $E159, INDIRECT("'"&amp;Assemblies[Assy]&amp;"'!"&amp;"A$5:A1000")))),"")), " ,", ""))</f>
        <v>, 1x5.0,</v>
      </c>
      <c r="I159" s="286" t="s">
        <v>1473</v>
      </c>
      <c r="J159" s="242" t="str">
        <f>Assemblies[[#This Row],[Assy]]</f>
        <v>5.6</v>
      </c>
    </row>
    <row r="160" spans="1:10" x14ac:dyDescent="0.25">
      <c r="A160" t="s">
        <v>1475</v>
      </c>
      <c r="B160" s="204" t="s">
        <v>1745</v>
      </c>
      <c r="C160" s="24" t="s">
        <v>1470</v>
      </c>
      <c r="D160" s="134" t="s">
        <v>54</v>
      </c>
      <c r="E160" t="str">
        <f t="shared" si="2"/>
        <v>PG10.5.6.1.0.A</v>
      </c>
      <c r="F160" t="s">
        <v>1746</v>
      </c>
      <c r="G160" s="19" cm="1">
        <f t="array" aca="1" ref="G160" ca="1">SUMPRODUCT(SUMIF(INDIRECT("'"&amp;Assemblies[Assy]&amp;"'!"&amp;"C5:C1000"),E160,(INDIRECT("'"&amp;Assemblies[Assy]&amp;"'!"&amp;"O5:O1000"))))</f>
        <v>1</v>
      </c>
      <c r="H160" t="str" cm="1">
        <f t="array" aca="1" ref="H160" ca="1">TRIM(SUBSTITUTE(_xlfn.ARRAYTOTEXT(IFERROR(CONCATENATE(SUMIF(INDIRECT("'"&amp;Assemblies[Assy]&amp;"'!"&amp;"C$5:C1000"), $E160, INDIRECT("'"&amp;Assemblies[Assy]&amp;"'!"&amp;"O$5:O1000")), "x",Assemblies[Assy],".",IF(SUMIF(INDIRECT("'"&amp;Assemblies[Assy]&amp;"'!"&amp;"C$5:C1000"), $E160, INDIRECT("'"&amp;Assemblies[Assy]&amp;"'!"&amp;"B$5:B1000"))=0,NA(),SUMIF(INDIRECT("'"&amp;Assemblies[Assy]&amp;"'!"&amp;"C$5:C1000"), $E160, INDIRECT("'"&amp;Assemblies[Assy]&amp;"'!"&amp;"A$5:A1000")))),"")), " ,", ""))</f>
        <v>, 1x5.6.0,</v>
      </c>
      <c r="I160" s="286" t="s">
        <v>1473</v>
      </c>
      <c r="J160" s="242" t="str">
        <f>Assemblies[[#This Row],[Assy]]</f>
        <v>5.6.1</v>
      </c>
    </row>
    <row r="161" spans="1:10" x14ac:dyDescent="0.25">
      <c r="A161" t="s">
        <v>1475</v>
      </c>
      <c r="B161" s="204" t="s">
        <v>1747</v>
      </c>
      <c r="C161" s="24" t="s">
        <v>1470</v>
      </c>
      <c r="D161" s="134" t="s">
        <v>54</v>
      </c>
      <c r="E161" t="str">
        <f t="shared" si="2"/>
        <v>PG10.5.6.2.0.A</v>
      </c>
      <c r="F161" t="s">
        <v>1748</v>
      </c>
      <c r="G161" s="19" cm="1">
        <f t="array" aca="1" ref="G161" ca="1">SUMPRODUCT(SUMIF(INDIRECT("'"&amp;Assemblies[Assy]&amp;"'!"&amp;"C5:C1000"),E161,(INDIRECT("'"&amp;Assemblies[Assy]&amp;"'!"&amp;"O5:O1000"))))</f>
        <v>1</v>
      </c>
      <c r="H161" t="str" cm="1">
        <f t="array" aca="1" ref="H161" ca="1">TRIM(SUBSTITUTE(_xlfn.ARRAYTOTEXT(IFERROR(CONCATENATE(SUMIF(INDIRECT("'"&amp;Assemblies[Assy]&amp;"'!"&amp;"C$5:C1000"), $E161, INDIRECT("'"&amp;Assemblies[Assy]&amp;"'!"&amp;"O$5:O1000")), "x",Assemblies[Assy],".",IF(SUMIF(INDIRECT("'"&amp;Assemblies[Assy]&amp;"'!"&amp;"C$5:C1000"), $E161, INDIRECT("'"&amp;Assemblies[Assy]&amp;"'!"&amp;"B$5:B1000"))=0,NA(),SUMIF(INDIRECT("'"&amp;Assemblies[Assy]&amp;"'!"&amp;"C$5:C1000"), $E161, INDIRECT("'"&amp;Assemblies[Assy]&amp;"'!"&amp;"A$5:A1000")))),"")), " ,", ""))</f>
        <v>, 1x5.6.0,</v>
      </c>
      <c r="I161" s="286" t="s">
        <v>1473</v>
      </c>
      <c r="J161" s="242" t="str">
        <f>Assemblies[[#This Row],[Assy]]</f>
        <v>5.6.2</v>
      </c>
    </row>
    <row r="162" spans="1:10" x14ac:dyDescent="0.25">
      <c r="A162" t="s">
        <v>1475</v>
      </c>
      <c r="B162" s="197" t="s">
        <v>1749</v>
      </c>
      <c r="C162" s="24" t="s">
        <v>1470</v>
      </c>
      <c r="D162" s="134" t="s">
        <v>54</v>
      </c>
      <c r="E162" t="str">
        <f t="shared" si="2"/>
        <v>PG10.5.7.0.A</v>
      </c>
      <c r="F162" t="s">
        <v>1750</v>
      </c>
      <c r="G162" s="19" cm="1">
        <f t="array" aca="1" ref="G162" ca="1">SUMPRODUCT(SUMIF(INDIRECT("'"&amp;Assemblies[Assy]&amp;"'!"&amp;"C5:C1000"),E162,(INDIRECT("'"&amp;Assemblies[Assy]&amp;"'!"&amp;"O5:O1000"))))</f>
        <v>2</v>
      </c>
      <c r="H162" t="str" cm="1">
        <f t="array" aca="1" ref="H162" ca="1">TRIM(SUBSTITUTE(_xlfn.ARRAYTOTEXT(IFERROR(CONCATENATE(SUMIF(INDIRECT("'"&amp;Assemblies[Assy]&amp;"'!"&amp;"C$5:C1000"), $E162, INDIRECT("'"&amp;Assemblies[Assy]&amp;"'!"&amp;"O$5:O1000")), "x",Assemblies[Assy],".",IF(SUMIF(INDIRECT("'"&amp;Assemblies[Assy]&amp;"'!"&amp;"C$5:C1000"), $E162, INDIRECT("'"&amp;Assemblies[Assy]&amp;"'!"&amp;"B$5:B1000"))=0,NA(),SUMIF(INDIRECT("'"&amp;Assemblies[Assy]&amp;"'!"&amp;"C$5:C1000"), $E162, INDIRECT("'"&amp;Assemblies[Assy]&amp;"'!"&amp;"A$5:A1000")))),"")), " ,", ""))</f>
        <v>, 2x5.0,</v>
      </c>
      <c r="I162" s="286" t="s">
        <v>1473</v>
      </c>
      <c r="J162" s="243" t="str">
        <f>Assemblies[[#This Row],[Assy]]</f>
        <v>5.7</v>
      </c>
    </row>
    <row r="163" spans="1:10" x14ac:dyDescent="0.25">
      <c r="A163" t="s">
        <v>1475</v>
      </c>
      <c r="B163" s="199" t="s">
        <v>1751</v>
      </c>
      <c r="C163" s="24" t="s">
        <v>1470</v>
      </c>
      <c r="D163" s="134" t="s">
        <v>54</v>
      </c>
      <c r="E163" t="str">
        <f t="shared" si="2"/>
        <v>PG10.6.0.A</v>
      </c>
      <c r="F163" t="s">
        <v>1752</v>
      </c>
      <c r="G163" s="19" cm="1">
        <f t="array" aca="1" ref="G163" ca="1">SUMPRODUCT(SUMIF(INDIRECT("'"&amp;Assemblies[Assy]&amp;"'!"&amp;"C5:C1000"),E163,(INDIRECT("'"&amp;Assemblies[Assy]&amp;"'!"&amp;"O5:O1000"))))</f>
        <v>1</v>
      </c>
      <c r="H163" t="str" cm="1">
        <f t="array" aca="1" ref="H163" ca="1">TRIM(SUBSTITUTE(_xlfn.ARRAYTOTEXT(IFERROR(CONCATENATE(SUMIF(INDIRECT("'"&amp;Assemblies[Assy]&amp;"'!"&amp;"C$5:C1000"), $E163, INDIRECT("'"&amp;Assemblies[Assy]&amp;"'!"&amp;"O$5:O1000")), "x",Assemblies[Assy],".",IF(SUMIF(INDIRECT("'"&amp;Assemblies[Assy]&amp;"'!"&amp;"C$5:C1000"), $E163, INDIRECT("'"&amp;Assemblies[Assy]&amp;"'!"&amp;"B$5:B1000"))=0,NA(),SUMIF(INDIRECT("'"&amp;Assemblies[Assy]&amp;"'!"&amp;"C$5:C1000"), $E163, INDIRECT("'"&amp;Assemblies[Assy]&amp;"'!"&amp;"A$5:A1000")))),"")), " ,", ""))</f>
        <v>1x0.0,</v>
      </c>
      <c r="I163" s="286" t="s">
        <v>1473</v>
      </c>
      <c r="J163" s="244" t="str">
        <f>Assemblies[[#This Row],[Assy]]</f>
        <v>6</v>
      </c>
    </row>
    <row r="164" spans="1:10" x14ac:dyDescent="0.25">
      <c r="A164" t="s">
        <v>1475</v>
      </c>
      <c r="B164" s="197" t="s">
        <v>1753</v>
      </c>
      <c r="C164" s="24" t="s">
        <v>1470</v>
      </c>
      <c r="D164" s="134" t="s">
        <v>54</v>
      </c>
      <c r="E164" t="str">
        <f t="shared" si="2"/>
        <v>PG10.6.1.0.A</v>
      </c>
      <c r="F164" t="s">
        <v>1754</v>
      </c>
      <c r="G164" s="19" cm="1">
        <f t="array" aca="1" ref="G164" ca="1">SUMPRODUCT(SUMIF(INDIRECT("'"&amp;Assemblies[Assy]&amp;"'!"&amp;"C5:C1000"),E164,(INDIRECT("'"&amp;Assemblies[Assy]&amp;"'!"&amp;"O5:O1000"))))</f>
        <v>1</v>
      </c>
      <c r="H164" t="str" cm="1">
        <f t="array" aca="1" ref="H164" ca="1">TRIM(SUBSTITUTE(_xlfn.ARRAYTOTEXT(IFERROR(CONCATENATE(SUMIF(INDIRECT("'"&amp;Assemblies[Assy]&amp;"'!"&amp;"C$5:C1000"), $E164, INDIRECT("'"&amp;Assemblies[Assy]&amp;"'!"&amp;"O$5:O1000")), "x",Assemblies[Assy],".",IF(SUMIF(INDIRECT("'"&amp;Assemblies[Assy]&amp;"'!"&amp;"C$5:C1000"), $E164, INDIRECT("'"&amp;Assemblies[Assy]&amp;"'!"&amp;"B$5:B1000"))=0,NA(),SUMIF(INDIRECT("'"&amp;Assemblies[Assy]&amp;"'!"&amp;"C$5:C1000"), $E164, INDIRECT("'"&amp;Assemblies[Assy]&amp;"'!"&amp;"A$5:A1000")))),"")), " ,", ""))</f>
        <v>, 1x6.0,</v>
      </c>
      <c r="I164" s="286" t="s">
        <v>1473</v>
      </c>
      <c r="J164" s="245" t="str">
        <f>Assemblies[[#This Row],[Assy]]</f>
        <v>6.1</v>
      </c>
    </row>
    <row r="165" spans="1:10" x14ac:dyDescent="0.25">
      <c r="A165" t="s">
        <v>1475</v>
      </c>
      <c r="B165" s="204" t="s">
        <v>1755</v>
      </c>
      <c r="C165" s="24" t="s">
        <v>1470</v>
      </c>
      <c r="D165" s="134" t="s">
        <v>54</v>
      </c>
      <c r="E165" t="str">
        <f t="shared" si="2"/>
        <v>PG10.6.1.1.0.A</v>
      </c>
      <c r="F165" t="s">
        <v>1756</v>
      </c>
      <c r="G165" s="19" cm="1">
        <f t="array" aca="1" ref="G165" ca="1">SUMPRODUCT(SUMIF(INDIRECT("'"&amp;Assemblies[Assy]&amp;"'!"&amp;"C5:C1000"),E165,(INDIRECT("'"&amp;Assemblies[Assy]&amp;"'!"&amp;"O5:O1000"))))</f>
        <v>6</v>
      </c>
      <c r="H165" t="str" cm="1">
        <f t="array" aca="1" ref="H165" ca="1">TRIM(SUBSTITUTE(_xlfn.ARRAYTOTEXT(IFERROR(CONCATENATE(SUMIF(INDIRECT("'"&amp;Assemblies[Assy]&amp;"'!"&amp;"C$5:C1000"), $E165, INDIRECT("'"&amp;Assemblies[Assy]&amp;"'!"&amp;"O$5:O1000")), "x",Assemblies[Assy],".",IF(SUMIF(INDIRECT("'"&amp;Assemblies[Assy]&amp;"'!"&amp;"C$5:C1000"), $E165, INDIRECT("'"&amp;Assemblies[Assy]&amp;"'!"&amp;"B$5:B1000"))=0,NA(),SUMIF(INDIRECT("'"&amp;Assemblies[Assy]&amp;"'!"&amp;"C$5:C1000"), $E165, INDIRECT("'"&amp;Assemblies[Assy]&amp;"'!"&amp;"A$5:A1000")))),"")), " ,", ""))</f>
        <v>, 4x5.3.0, 2x6.1.0,</v>
      </c>
      <c r="I165" s="286" t="s">
        <v>1473</v>
      </c>
      <c r="J165" s="245" t="str">
        <f>Assemblies[[#This Row],[Assy]]</f>
        <v>6.1.1</v>
      </c>
    </row>
    <row r="166" spans="1:10" x14ac:dyDescent="0.25">
      <c r="A166" t="s">
        <v>1475</v>
      </c>
      <c r="B166" s="204" t="s">
        <v>1757</v>
      </c>
      <c r="C166" s="24" t="s">
        <v>1470</v>
      </c>
      <c r="D166" s="134" t="s">
        <v>54</v>
      </c>
      <c r="E166" t="str">
        <f t="shared" si="2"/>
        <v>PG10.6.1.2.0.A</v>
      </c>
      <c r="F166" t="s">
        <v>1758</v>
      </c>
      <c r="G166" s="19" cm="1">
        <f t="array" aca="1" ref="G166" ca="1">SUMPRODUCT(SUMIF(INDIRECT("'"&amp;Assemblies[Assy]&amp;"'!"&amp;"C5:C1000"),E166,(INDIRECT("'"&amp;Assemblies[Assy]&amp;"'!"&amp;"O5:O1000"))))</f>
        <v>4</v>
      </c>
      <c r="H166" t="str" cm="1">
        <f t="array" aca="1" ref="H166" ca="1">TRIM(SUBSTITUTE(_xlfn.ARRAYTOTEXT(IFERROR(CONCATENATE(SUMIF(INDIRECT("'"&amp;Assemblies[Assy]&amp;"'!"&amp;"C$5:C1000"), $E166, INDIRECT("'"&amp;Assemblies[Assy]&amp;"'!"&amp;"O$5:O1000")), "x",Assemblies[Assy],".",IF(SUMIF(INDIRECT("'"&amp;Assemblies[Assy]&amp;"'!"&amp;"C$5:C1000"), $E166, INDIRECT("'"&amp;Assemblies[Assy]&amp;"'!"&amp;"B$5:B1000"))=0,NA(),SUMIF(INDIRECT("'"&amp;Assemblies[Assy]&amp;"'!"&amp;"C$5:C1000"), $E166, INDIRECT("'"&amp;Assemblies[Assy]&amp;"'!"&amp;"A$5:A1000")))),"")), " ,", ""))</f>
        <v>, 4x6.1.0,</v>
      </c>
      <c r="I166" s="286" t="s">
        <v>1473</v>
      </c>
      <c r="J166" s="245" t="str">
        <f>Assemblies[[#This Row],[Assy]]</f>
        <v>6.1.2</v>
      </c>
    </row>
    <row r="167" spans="1:10" x14ac:dyDescent="0.25">
      <c r="A167" t="s">
        <v>1475</v>
      </c>
      <c r="B167" s="197" t="s">
        <v>1759</v>
      </c>
      <c r="C167" s="24" t="s">
        <v>1470</v>
      </c>
      <c r="D167" s="134" t="s">
        <v>54</v>
      </c>
      <c r="E167" t="str">
        <f t="shared" si="2"/>
        <v>PG10.6.2.0.A</v>
      </c>
      <c r="F167" t="s">
        <v>1760</v>
      </c>
      <c r="G167" s="19" cm="1">
        <f t="array" aca="1" ref="G167" ca="1">SUMPRODUCT(SUMIF(INDIRECT("'"&amp;Assemblies[Assy]&amp;"'!"&amp;"C5:C1000"),E167,(INDIRECT("'"&amp;Assemblies[Assy]&amp;"'!"&amp;"O5:O1000"))))</f>
        <v>1</v>
      </c>
      <c r="H167" t="str" cm="1">
        <f t="array" aca="1" ref="H167" ca="1">TRIM(SUBSTITUTE(_xlfn.ARRAYTOTEXT(IFERROR(CONCATENATE(SUMIF(INDIRECT("'"&amp;Assemblies[Assy]&amp;"'!"&amp;"C$5:C1000"), $E167, INDIRECT("'"&amp;Assemblies[Assy]&amp;"'!"&amp;"O$5:O1000")), "x",Assemblies[Assy],".",IF(SUMIF(INDIRECT("'"&amp;Assemblies[Assy]&amp;"'!"&amp;"C$5:C1000"), $E167, INDIRECT("'"&amp;Assemblies[Assy]&amp;"'!"&amp;"B$5:B1000"))=0,NA(),SUMIF(INDIRECT("'"&amp;Assemblies[Assy]&amp;"'!"&amp;"C$5:C1000"), $E167, INDIRECT("'"&amp;Assemblies[Assy]&amp;"'!"&amp;"A$5:A1000")))),"")), " ,", ""))</f>
        <v>, 1x6.0,</v>
      </c>
      <c r="I167" s="286" t="s">
        <v>1473</v>
      </c>
      <c r="J167" s="246" t="str">
        <f>Assemblies[[#This Row],[Assy]]</f>
        <v>6.2</v>
      </c>
    </row>
    <row r="168" spans="1:10" x14ac:dyDescent="0.25">
      <c r="A168" t="s">
        <v>1475</v>
      </c>
      <c r="B168" s="204" t="s">
        <v>1761</v>
      </c>
      <c r="C168" s="24" t="s">
        <v>1470</v>
      </c>
      <c r="D168" s="134" t="s">
        <v>54</v>
      </c>
      <c r="E168" t="str">
        <f t="shared" si="2"/>
        <v>PG10.6.2.1.0.A</v>
      </c>
      <c r="F168" t="s">
        <v>1762</v>
      </c>
      <c r="G168" s="19" cm="1">
        <f t="array" aca="1" ref="G168" ca="1">SUMPRODUCT(SUMIF(INDIRECT("'"&amp;Assemblies[Assy]&amp;"'!"&amp;"C5:C1000"),E168,(INDIRECT("'"&amp;Assemblies[Assy]&amp;"'!"&amp;"O5:O1000"))))</f>
        <v>1</v>
      </c>
      <c r="H168" t="str" cm="1">
        <f t="array" aca="1" ref="H168" ca="1">TRIM(SUBSTITUTE(_xlfn.ARRAYTOTEXT(IFERROR(CONCATENATE(SUMIF(INDIRECT("'"&amp;Assemblies[Assy]&amp;"'!"&amp;"C$5:C1000"), $E168, INDIRECT("'"&amp;Assemblies[Assy]&amp;"'!"&amp;"O$5:O1000")), "x",Assemblies[Assy],".",IF(SUMIF(INDIRECT("'"&amp;Assemblies[Assy]&amp;"'!"&amp;"C$5:C1000"), $E168, INDIRECT("'"&amp;Assemblies[Assy]&amp;"'!"&amp;"B$5:B1000"))=0,NA(),SUMIF(INDIRECT("'"&amp;Assemblies[Assy]&amp;"'!"&amp;"C$5:C1000"), $E168, INDIRECT("'"&amp;Assemblies[Assy]&amp;"'!"&amp;"A$5:A1000")))),"")), " ,", ""))</f>
        <v>, 1x6.2.0,</v>
      </c>
      <c r="I168" s="286" t="s">
        <v>1473</v>
      </c>
      <c r="J168" s="246" t="str">
        <f>Assemblies[[#This Row],[Assy]]</f>
        <v>6.2.1</v>
      </c>
    </row>
    <row r="169" spans="1:10" x14ac:dyDescent="0.25">
      <c r="A169" t="s">
        <v>1475</v>
      </c>
      <c r="B169" s="208" t="s">
        <v>1763</v>
      </c>
      <c r="C169" s="24" t="s">
        <v>1470</v>
      </c>
      <c r="D169" s="134" t="s">
        <v>54</v>
      </c>
      <c r="E169" t="str">
        <f t="shared" si="2"/>
        <v>PG10.6.2.1.1.0.A</v>
      </c>
      <c r="F169" t="s">
        <v>1764</v>
      </c>
      <c r="G169" s="19" cm="1">
        <f t="array" aca="1" ref="G169" ca="1">SUMPRODUCT(SUMIF(INDIRECT("'"&amp;Assemblies[Assy]&amp;"'!"&amp;"C5:C1000"),E169,(INDIRECT("'"&amp;Assemblies[Assy]&amp;"'!"&amp;"O5:O1000"))))</f>
        <v>1</v>
      </c>
      <c r="H169" t="str" cm="1">
        <f t="array" aca="1" ref="H169" ca="1">TRIM(SUBSTITUTE(_xlfn.ARRAYTOTEXT(IFERROR(CONCATENATE(SUMIF(INDIRECT("'"&amp;Assemblies[Assy]&amp;"'!"&amp;"C$5:C1000"), $E169, INDIRECT("'"&amp;Assemblies[Assy]&amp;"'!"&amp;"O$5:O1000")), "x",Assemblies[Assy],".",IF(SUMIF(INDIRECT("'"&amp;Assemblies[Assy]&amp;"'!"&amp;"C$5:C1000"), $E169, INDIRECT("'"&amp;Assemblies[Assy]&amp;"'!"&amp;"B$5:B1000"))=0,NA(),SUMIF(INDIRECT("'"&amp;Assemblies[Assy]&amp;"'!"&amp;"C$5:C1000"), $E169, INDIRECT("'"&amp;Assemblies[Assy]&amp;"'!"&amp;"A$5:A1000")))),"")), " ,", ""))</f>
        <v>, 1x6.2.1.0,</v>
      </c>
      <c r="I169" s="286" t="s">
        <v>1473</v>
      </c>
      <c r="J169" s="246" t="str">
        <f>Assemblies[[#This Row],[Assy]]</f>
        <v>6.2.1.1</v>
      </c>
    </row>
    <row r="170" spans="1:10" x14ac:dyDescent="0.25">
      <c r="A170" t="s">
        <v>1475</v>
      </c>
      <c r="B170" s="208" t="s">
        <v>1765</v>
      </c>
      <c r="C170" s="24" t="s">
        <v>1470</v>
      </c>
      <c r="D170" s="134" t="s">
        <v>54</v>
      </c>
      <c r="E170" t="str">
        <f t="shared" si="2"/>
        <v>PG10.6.2.1.2.0.A</v>
      </c>
      <c r="F170" t="s">
        <v>1766</v>
      </c>
      <c r="G170" s="19" cm="1">
        <f t="array" aca="1" ref="G170" ca="1">SUMPRODUCT(SUMIF(INDIRECT("'"&amp;Assemblies[Assy]&amp;"'!"&amp;"C5:C1000"),E170,(INDIRECT("'"&amp;Assemblies[Assy]&amp;"'!"&amp;"O5:O1000"))))</f>
        <v>1</v>
      </c>
      <c r="H170" t="str" cm="1">
        <f t="array" aca="1" ref="H170" ca="1">TRIM(SUBSTITUTE(_xlfn.ARRAYTOTEXT(IFERROR(CONCATENATE(SUMIF(INDIRECT("'"&amp;Assemblies[Assy]&amp;"'!"&amp;"C$5:C1000"), $E170, INDIRECT("'"&amp;Assemblies[Assy]&amp;"'!"&amp;"O$5:O1000")), "x",Assemblies[Assy],".",IF(SUMIF(INDIRECT("'"&amp;Assemblies[Assy]&amp;"'!"&amp;"C$5:C1000"), $E170, INDIRECT("'"&amp;Assemblies[Assy]&amp;"'!"&amp;"B$5:B1000"))=0,NA(),SUMIF(INDIRECT("'"&amp;Assemblies[Assy]&amp;"'!"&amp;"C$5:C1000"), $E170, INDIRECT("'"&amp;Assemblies[Assy]&amp;"'!"&amp;"A$5:A1000")))),"")), " ,", ""))</f>
        <v>, 1x6.2.1.0,</v>
      </c>
      <c r="I170" s="286" t="s">
        <v>1473</v>
      </c>
      <c r="J170" s="246" t="str">
        <f>Assemblies[[#This Row],[Assy]]</f>
        <v>6.2.1.2</v>
      </c>
    </row>
    <row r="171" spans="1:10" x14ac:dyDescent="0.25">
      <c r="A171" t="s">
        <v>1475</v>
      </c>
      <c r="B171" s="208" t="s">
        <v>1767</v>
      </c>
      <c r="C171" s="24" t="s">
        <v>1470</v>
      </c>
      <c r="D171" s="134" t="s">
        <v>54</v>
      </c>
      <c r="E171" t="str">
        <f t="shared" si="2"/>
        <v>PG10.6.2.1.3.0.A</v>
      </c>
      <c r="F171" t="s">
        <v>1768</v>
      </c>
      <c r="G171" s="19" cm="1">
        <f t="array" aca="1" ref="G171" ca="1">SUMPRODUCT(SUMIF(INDIRECT("'"&amp;Assemblies[Assy]&amp;"'!"&amp;"C5:C1000"),E171,(INDIRECT("'"&amp;Assemblies[Assy]&amp;"'!"&amp;"O5:O1000"))))</f>
        <v>1</v>
      </c>
      <c r="H171" t="str" cm="1">
        <f t="array" aca="1" ref="H171" ca="1">TRIM(SUBSTITUTE(_xlfn.ARRAYTOTEXT(IFERROR(CONCATENATE(SUMIF(INDIRECT("'"&amp;Assemblies[Assy]&amp;"'!"&amp;"C$5:C1000"), $E171, INDIRECT("'"&amp;Assemblies[Assy]&amp;"'!"&amp;"O$5:O1000")), "x",Assemblies[Assy],".",IF(SUMIF(INDIRECT("'"&amp;Assemblies[Assy]&amp;"'!"&amp;"C$5:C1000"), $E171, INDIRECT("'"&amp;Assemblies[Assy]&amp;"'!"&amp;"B$5:B1000"))=0,NA(),SUMIF(INDIRECT("'"&amp;Assemblies[Assy]&amp;"'!"&amp;"C$5:C1000"), $E171, INDIRECT("'"&amp;Assemblies[Assy]&amp;"'!"&amp;"A$5:A1000")))),"")), " ,", ""))</f>
        <v>, 1x6.2.1.0,</v>
      </c>
      <c r="I171" s="286" t="s">
        <v>1473</v>
      </c>
      <c r="J171" s="246" t="str">
        <f>Assemblies[[#This Row],[Assy]]</f>
        <v>6.2.1.3</v>
      </c>
    </row>
    <row r="172" spans="1:10" x14ac:dyDescent="0.25">
      <c r="A172" t="s">
        <v>1475</v>
      </c>
      <c r="B172" s="208" t="s">
        <v>1769</v>
      </c>
      <c r="C172" s="24" t="s">
        <v>1470</v>
      </c>
      <c r="D172" s="134" t="s">
        <v>54</v>
      </c>
      <c r="E172" t="str">
        <f t="shared" si="2"/>
        <v>PG10.6.2.1.4.0.A</v>
      </c>
      <c r="F172" t="s">
        <v>1770</v>
      </c>
      <c r="G172" s="19" cm="1">
        <f t="array" aca="1" ref="G172" ca="1">SUMPRODUCT(SUMIF(INDIRECT("'"&amp;Assemblies[Assy]&amp;"'!"&amp;"C5:C1000"),E172,(INDIRECT("'"&amp;Assemblies[Assy]&amp;"'!"&amp;"O5:O1000"))))</f>
        <v>1</v>
      </c>
      <c r="H172" t="str" cm="1">
        <f t="array" aca="1" ref="H172" ca="1">TRIM(SUBSTITUTE(_xlfn.ARRAYTOTEXT(IFERROR(CONCATENATE(SUMIF(INDIRECT("'"&amp;Assemblies[Assy]&amp;"'!"&amp;"C$5:C1000"), $E172, INDIRECT("'"&amp;Assemblies[Assy]&amp;"'!"&amp;"O$5:O1000")), "x",Assemblies[Assy],".",IF(SUMIF(INDIRECT("'"&amp;Assemblies[Assy]&amp;"'!"&amp;"C$5:C1000"), $E172, INDIRECT("'"&amp;Assemblies[Assy]&amp;"'!"&amp;"B$5:B1000"))=0,NA(),SUMIF(INDIRECT("'"&amp;Assemblies[Assy]&amp;"'!"&amp;"C$5:C1000"), $E172, INDIRECT("'"&amp;Assemblies[Assy]&amp;"'!"&amp;"A$5:A1000")))),"")), " ,", ""))</f>
        <v>, 1x6.2.1.0,</v>
      </c>
      <c r="I172" s="286" t="s">
        <v>1473</v>
      </c>
      <c r="J172" s="246" t="str">
        <f>Assemblies[[#This Row],[Assy]]</f>
        <v>6.2.1.4</v>
      </c>
    </row>
    <row r="173" spans="1:10" x14ac:dyDescent="0.25">
      <c r="A173" t="s">
        <v>1475</v>
      </c>
      <c r="B173" s="208" t="s">
        <v>1773</v>
      </c>
      <c r="C173" s="24" t="s">
        <v>1470</v>
      </c>
      <c r="D173" s="134" t="s">
        <v>54</v>
      </c>
      <c r="E173" t="str">
        <f t="shared" si="2"/>
        <v>PG10.6.2.1.5.0.A</v>
      </c>
      <c r="F173" t="s">
        <v>1774</v>
      </c>
      <c r="G173" s="19" cm="1">
        <f t="array" aca="1" ref="G173" ca="1">SUMPRODUCT(SUMIF(INDIRECT("'"&amp;Assemblies[Assy]&amp;"'!"&amp;"C5:C1000"),E173,(INDIRECT("'"&amp;Assemblies[Assy]&amp;"'!"&amp;"O5:O1000"))))</f>
        <v>2</v>
      </c>
      <c r="H173" t="str" cm="1">
        <f t="array" aca="1" ref="H173" ca="1">TRIM(SUBSTITUTE(_xlfn.ARRAYTOTEXT(IFERROR(CONCATENATE(SUMIF(INDIRECT("'"&amp;Assemblies[Assy]&amp;"'!"&amp;"C$5:C1000"), $E173, INDIRECT("'"&amp;Assemblies[Assy]&amp;"'!"&amp;"O$5:O1000")), "x",Assemblies[Assy],".",IF(SUMIF(INDIRECT("'"&amp;Assemblies[Assy]&amp;"'!"&amp;"C$5:C1000"), $E173, INDIRECT("'"&amp;Assemblies[Assy]&amp;"'!"&amp;"B$5:B1000"))=0,NA(),SUMIF(INDIRECT("'"&amp;Assemblies[Assy]&amp;"'!"&amp;"C$5:C1000"), $E173, INDIRECT("'"&amp;Assemblies[Assy]&amp;"'!"&amp;"A$5:A1000")))),"")), " ,", ""))</f>
        <v>, 1x6.2.1.0, 1x6.3.1.0,</v>
      </c>
      <c r="I173" s="286" t="s">
        <v>1473</v>
      </c>
      <c r="J173" s="246" t="str">
        <f>Assemblies[[#This Row],[Assy]]</f>
        <v>6.2.1.5</v>
      </c>
    </row>
    <row r="174" spans="1:10" x14ac:dyDescent="0.25">
      <c r="A174" t="s">
        <v>1475</v>
      </c>
      <c r="B174" s="204" t="s">
        <v>1779</v>
      </c>
      <c r="C174" s="24" t="s">
        <v>1470</v>
      </c>
      <c r="D174" s="134" t="s">
        <v>54</v>
      </c>
      <c r="E174" t="str">
        <f t="shared" si="2"/>
        <v>PG10.6.2.2.0.A</v>
      </c>
      <c r="F174" t="s">
        <v>1780</v>
      </c>
      <c r="G174" s="19" cm="1">
        <f t="array" aca="1" ref="G174" ca="1">SUMPRODUCT(SUMIF(INDIRECT("'"&amp;Assemblies[Assy]&amp;"'!"&amp;"C5:C1000"),E174,(INDIRECT("'"&amp;Assemblies[Assy]&amp;"'!"&amp;"O5:O1000"))))</f>
        <v>1</v>
      </c>
      <c r="H174" t="str" cm="1">
        <f t="array" aca="1" ref="H174" ca="1">TRIM(SUBSTITUTE(_xlfn.ARRAYTOTEXT(IFERROR(CONCATENATE(SUMIF(INDIRECT("'"&amp;Assemblies[Assy]&amp;"'!"&amp;"C$5:C1000"), $E174, INDIRECT("'"&amp;Assemblies[Assy]&amp;"'!"&amp;"O$5:O1000")), "x",Assemblies[Assy],".",IF(SUMIF(INDIRECT("'"&amp;Assemblies[Assy]&amp;"'!"&amp;"C$5:C1000"), $E174, INDIRECT("'"&amp;Assemblies[Assy]&amp;"'!"&amp;"B$5:B1000"))=0,NA(),SUMIF(INDIRECT("'"&amp;Assemblies[Assy]&amp;"'!"&amp;"C$5:C1000"), $E174, INDIRECT("'"&amp;Assemblies[Assy]&amp;"'!"&amp;"A$5:A1000")))),"")), " ,", ""))</f>
        <v>, 1x6.2.0,</v>
      </c>
      <c r="I174" s="286" t="s">
        <v>1473</v>
      </c>
      <c r="J174" s="246" t="str">
        <f>Assemblies[[#This Row],[Assy]]</f>
        <v>6.2.2</v>
      </c>
    </row>
    <row r="175" spans="1:10" x14ac:dyDescent="0.25">
      <c r="A175" t="s">
        <v>1475</v>
      </c>
      <c r="B175" s="204" t="s">
        <v>1781</v>
      </c>
      <c r="C175" s="24" t="s">
        <v>1470</v>
      </c>
      <c r="D175" s="134" t="s">
        <v>54</v>
      </c>
      <c r="E175" t="str">
        <f t="shared" si="2"/>
        <v>PG10.6.2.3.0.A</v>
      </c>
      <c r="F175" t="s">
        <v>1782</v>
      </c>
      <c r="G175" s="19" cm="1">
        <f t="array" aca="1" ref="G175" ca="1">SUMPRODUCT(SUMIF(INDIRECT("'"&amp;Assemblies[Assy]&amp;"'!"&amp;"C5:C1000"),E175,(INDIRECT("'"&amp;Assemblies[Assy]&amp;"'!"&amp;"O5:O1000"))))</f>
        <v>1</v>
      </c>
      <c r="H175" t="str" cm="1">
        <f t="array" aca="1" ref="H175" ca="1">TRIM(SUBSTITUTE(_xlfn.ARRAYTOTEXT(IFERROR(CONCATENATE(SUMIF(INDIRECT("'"&amp;Assemblies[Assy]&amp;"'!"&amp;"C$5:C1000"), $E175, INDIRECT("'"&amp;Assemblies[Assy]&amp;"'!"&amp;"O$5:O1000")), "x",Assemblies[Assy],".",IF(SUMIF(INDIRECT("'"&amp;Assemblies[Assy]&amp;"'!"&amp;"C$5:C1000"), $E175, INDIRECT("'"&amp;Assemblies[Assy]&amp;"'!"&amp;"B$5:B1000"))=0,NA(),SUMIF(INDIRECT("'"&amp;Assemblies[Assy]&amp;"'!"&amp;"C$5:C1000"), $E175, INDIRECT("'"&amp;Assemblies[Assy]&amp;"'!"&amp;"A$5:A1000")))),"")), " ,", ""))</f>
        <v>, 1x6.2.0,</v>
      </c>
      <c r="I175" s="286" t="s">
        <v>1473</v>
      </c>
      <c r="J175" s="246" t="str">
        <f>Assemblies[[#This Row],[Assy]]</f>
        <v>6.2.3</v>
      </c>
    </row>
    <row r="176" spans="1:10" x14ac:dyDescent="0.25">
      <c r="A176" t="s">
        <v>1475</v>
      </c>
      <c r="B176" s="208" t="s">
        <v>1771</v>
      </c>
      <c r="C176" s="24" t="s">
        <v>1470</v>
      </c>
      <c r="D176" s="134" t="s">
        <v>54</v>
      </c>
      <c r="E176" t="str">
        <f t="shared" si="2"/>
        <v>PG10.6.2.3.1.0.A</v>
      </c>
      <c r="F176" t="s">
        <v>1772</v>
      </c>
      <c r="G176" s="19" cm="1">
        <f t="array" aca="1" ref="G176" ca="1">SUMPRODUCT(SUMIF(INDIRECT("'"&amp;Assemblies[Assy]&amp;"'!"&amp;"C5:C1000"),E176,(INDIRECT("'"&amp;Assemblies[Assy]&amp;"'!"&amp;"O5:O1000"))))</f>
        <v>2</v>
      </c>
      <c r="H176" t="str" cm="1">
        <f t="array" aca="1" ref="H176" ca="1">TRIM(SUBSTITUTE(_xlfn.ARRAYTOTEXT(IFERROR(CONCATENATE(SUMIF(INDIRECT("'"&amp;Assemblies[Assy]&amp;"'!"&amp;"C$5:C1000"), $E176, INDIRECT("'"&amp;Assemblies[Assy]&amp;"'!"&amp;"O$5:O1000")), "x",Assemblies[Assy],".",IF(SUMIF(INDIRECT("'"&amp;Assemblies[Assy]&amp;"'!"&amp;"C$5:C1000"), $E176, INDIRECT("'"&amp;Assemblies[Assy]&amp;"'!"&amp;"B$5:B1000"))=0,NA(),SUMIF(INDIRECT("'"&amp;Assemblies[Assy]&amp;"'!"&amp;"C$5:C1000"), $E176, INDIRECT("'"&amp;Assemblies[Assy]&amp;"'!"&amp;"A$5:A1000")))),"")), " ,", ""))</f>
        <v>, 1x6.2.3.0, 1x6.3.3.0,</v>
      </c>
      <c r="I176" s="286" t="s">
        <v>1473</v>
      </c>
      <c r="J176" s="247" t="str">
        <f>Assemblies[[#This Row],[Assy]]</f>
        <v>6.2.3.1</v>
      </c>
    </row>
    <row r="177" spans="1:10" x14ac:dyDescent="0.25">
      <c r="A177" t="s">
        <v>1475</v>
      </c>
      <c r="B177" s="208" t="s">
        <v>1775</v>
      </c>
      <c r="C177" s="24" t="s">
        <v>1470</v>
      </c>
      <c r="D177" s="134" t="s">
        <v>54</v>
      </c>
      <c r="E177" t="str">
        <f t="shared" si="2"/>
        <v>PG10.6.2.3.2.0.A</v>
      </c>
      <c r="F177" t="s">
        <v>1776</v>
      </c>
      <c r="G177" s="19" cm="1">
        <f t="array" aca="1" ref="G177" ca="1">SUMPRODUCT(SUMIF(INDIRECT("'"&amp;Assemblies[Assy]&amp;"'!"&amp;"C5:C1000"),E177,(INDIRECT("'"&amp;Assemblies[Assy]&amp;"'!"&amp;"O5:O1000"))))</f>
        <v>2</v>
      </c>
      <c r="H177" t="str" cm="1">
        <f t="array" aca="1" ref="H177" ca="1">TRIM(SUBSTITUTE(_xlfn.ARRAYTOTEXT(IFERROR(CONCATENATE(SUMIF(INDIRECT("'"&amp;Assemblies[Assy]&amp;"'!"&amp;"C$5:C1000"), $E177, INDIRECT("'"&amp;Assemblies[Assy]&amp;"'!"&amp;"O$5:O1000")), "x",Assemblies[Assy],".",IF(SUMIF(INDIRECT("'"&amp;Assemblies[Assy]&amp;"'!"&amp;"C$5:C1000"), $E177, INDIRECT("'"&amp;Assemblies[Assy]&amp;"'!"&amp;"B$5:B1000"))=0,NA(),SUMIF(INDIRECT("'"&amp;Assemblies[Assy]&amp;"'!"&amp;"C$5:C1000"), $E177, INDIRECT("'"&amp;Assemblies[Assy]&amp;"'!"&amp;"A$5:A1000")))),"")), " ,", ""))</f>
        <v>, 1x6.2.3.0, 1x6.3.3.0,</v>
      </c>
      <c r="I177" s="286" t="s">
        <v>1473</v>
      </c>
      <c r="J177" s="247" t="str">
        <f>Assemblies[[#This Row],[Assy]]</f>
        <v>6.2.3.2</v>
      </c>
    </row>
    <row r="178" spans="1:10" x14ac:dyDescent="0.25">
      <c r="A178" t="s">
        <v>1475</v>
      </c>
      <c r="B178" s="208" t="s">
        <v>1777</v>
      </c>
      <c r="C178" s="24" t="s">
        <v>1470</v>
      </c>
      <c r="D178" s="134" t="s">
        <v>54</v>
      </c>
      <c r="E178" t="str">
        <f t="shared" si="2"/>
        <v>PG10.6.2.3.3.0.A</v>
      </c>
      <c r="F178" t="s">
        <v>1778</v>
      </c>
      <c r="G178" s="19" cm="1">
        <f t="array" aca="1" ref="G178" ca="1">SUMPRODUCT(SUMIF(INDIRECT("'"&amp;Assemblies[Assy]&amp;"'!"&amp;"C5:C1000"),E178,(INDIRECT("'"&amp;Assemblies[Assy]&amp;"'!"&amp;"O5:O1000"))))</f>
        <v>2</v>
      </c>
      <c r="H178" t="str" cm="1">
        <f t="array" aca="1" ref="H178" ca="1">TRIM(SUBSTITUTE(_xlfn.ARRAYTOTEXT(IFERROR(CONCATENATE(SUMIF(INDIRECT("'"&amp;Assemblies[Assy]&amp;"'!"&amp;"C$5:C1000"), $E178, INDIRECT("'"&amp;Assemblies[Assy]&amp;"'!"&amp;"O$5:O1000")), "x",Assemblies[Assy],".",IF(SUMIF(INDIRECT("'"&amp;Assemblies[Assy]&amp;"'!"&amp;"C$5:C1000"), $E178, INDIRECT("'"&amp;Assemblies[Assy]&amp;"'!"&amp;"B$5:B1000"))=0,NA(),SUMIF(INDIRECT("'"&amp;Assemblies[Assy]&amp;"'!"&amp;"C$5:C1000"), $E178, INDIRECT("'"&amp;Assemblies[Assy]&amp;"'!"&amp;"A$5:A1000")))),"")), " ,", ""))</f>
        <v>, 1x6.2.3.0, 1x6.3.3.0,</v>
      </c>
      <c r="I178" s="286" t="s">
        <v>1473</v>
      </c>
      <c r="J178" s="247" t="str">
        <f>Assemblies[[#This Row],[Assy]]</f>
        <v>6.2.3.3</v>
      </c>
    </row>
    <row r="179" spans="1:10" x14ac:dyDescent="0.25">
      <c r="A179" t="s">
        <v>1475</v>
      </c>
      <c r="B179" s="197" t="s">
        <v>1783</v>
      </c>
      <c r="C179" s="24" t="s">
        <v>1470</v>
      </c>
      <c r="D179" s="134" t="s">
        <v>54</v>
      </c>
      <c r="E179" t="str">
        <f t="shared" si="2"/>
        <v>PG10.6.3.0.A</v>
      </c>
      <c r="F179" t="s">
        <v>1784</v>
      </c>
      <c r="G179" s="19" cm="1">
        <f t="array" aca="1" ref="G179" ca="1">SUMPRODUCT(SUMIF(INDIRECT("'"&amp;Assemblies[Assy]&amp;"'!"&amp;"C5:C1000"),E179,(INDIRECT("'"&amp;Assemblies[Assy]&amp;"'!"&amp;"O5:O1000"))))</f>
        <v>1</v>
      </c>
      <c r="H179" t="str" cm="1">
        <f t="array" aca="1" ref="H179" ca="1">TRIM(SUBSTITUTE(_xlfn.ARRAYTOTEXT(IFERROR(CONCATENATE(SUMIF(INDIRECT("'"&amp;Assemblies[Assy]&amp;"'!"&amp;"C$5:C1000"), $E179, INDIRECT("'"&amp;Assemblies[Assy]&amp;"'!"&amp;"O$5:O1000")), "x",Assemblies[Assy],".",IF(SUMIF(INDIRECT("'"&amp;Assemblies[Assy]&amp;"'!"&amp;"C$5:C1000"), $E179, INDIRECT("'"&amp;Assemblies[Assy]&amp;"'!"&amp;"B$5:B1000"))=0,NA(),SUMIF(INDIRECT("'"&amp;Assemblies[Assy]&amp;"'!"&amp;"C$5:C1000"), $E179, INDIRECT("'"&amp;Assemblies[Assy]&amp;"'!"&amp;"A$5:A1000")))),"")), " ,", ""))</f>
        <v>, 1x6.0,</v>
      </c>
      <c r="I179" s="286" t="s">
        <v>1473</v>
      </c>
      <c r="J179" s="247" t="str">
        <f>Assemblies[[#This Row],[Assy]]</f>
        <v>6.3</v>
      </c>
    </row>
    <row r="180" spans="1:10" x14ac:dyDescent="0.25">
      <c r="A180" t="s">
        <v>1475</v>
      </c>
      <c r="B180" s="204" t="s">
        <v>1785</v>
      </c>
      <c r="C180" s="24" t="s">
        <v>1470</v>
      </c>
      <c r="D180" s="134" t="s">
        <v>54</v>
      </c>
      <c r="E180" t="str">
        <f t="shared" si="2"/>
        <v>PG10.6.3.1.0.A</v>
      </c>
      <c r="F180" t="s">
        <v>1786</v>
      </c>
      <c r="G180" s="19" cm="1">
        <f t="array" aca="1" ref="G180" ca="1">SUMPRODUCT(SUMIF(INDIRECT("'"&amp;Assemblies[Assy]&amp;"'!"&amp;"C5:C1000"),E180,(INDIRECT("'"&amp;Assemblies[Assy]&amp;"'!"&amp;"O5:O1000"))))</f>
        <v>1</v>
      </c>
      <c r="H180" t="str" cm="1">
        <f t="array" aca="1" ref="H180" ca="1">TRIM(SUBSTITUTE(_xlfn.ARRAYTOTEXT(IFERROR(CONCATENATE(SUMIF(INDIRECT("'"&amp;Assemblies[Assy]&amp;"'!"&amp;"C$5:C1000"), $E180, INDIRECT("'"&amp;Assemblies[Assy]&amp;"'!"&amp;"O$5:O1000")), "x",Assemblies[Assy],".",IF(SUMIF(INDIRECT("'"&amp;Assemblies[Assy]&amp;"'!"&amp;"C$5:C1000"), $E180, INDIRECT("'"&amp;Assemblies[Assy]&amp;"'!"&amp;"B$5:B1000"))=0,NA(),SUMIF(INDIRECT("'"&amp;Assemblies[Assy]&amp;"'!"&amp;"C$5:C1000"), $E180, INDIRECT("'"&amp;Assemblies[Assy]&amp;"'!"&amp;"A$5:A1000")))),"")), " ,", ""))</f>
        <v>, 1x6.3.0,</v>
      </c>
      <c r="I180" s="286" t="s">
        <v>1473</v>
      </c>
      <c r="J180" s="247" t="str">
        <f>Assemblies[[#This Row],[Assy]]</f>
        <v>6.3.1</v>
      </c>
    </row>
    <row r="181" spans="1:10" x14ac:dyDescent="0.25">
      <c r="A181" t="s">
        <v>1475</v>
      </c>
      <c r="B181" s="208" t="s">
        <v>1787</v>
      </c>
      <c r="C181" s="24" t="s">
        <v>1470</v>
      </c>
      <c r="D181" s="134" t="s">
        <v>54</v>
      </c>
      <c r="E181" t="str">
        <f t="shared" si="2"/>
        <v>PG10.6.3.1.1.0.A</v>
      </c>
      <c r="F181" t="s">
        <v>1788</v>
      </c>
      <c r="G181" s="19" cm="1">
        <f t="array" aca="1" ref="G181" ca="1">SUMPRODUCT(SUMIF(INDIRECT("'"&amp;Assemblies[Assy]&amp;"'!"&amp;"C5:C1000"),E181,(INDIRECT("'"&amp;Assemblies[Assy]&amp;"'!"&amp;"O5:O1000"))))</f>
        <v>1</v>
      </c>
      <c r="H181" t="str" cm="1">
        <f t="array" aca="1" ref="H181" ca="1">TRIM(SUBSTITUTE(_xlfn.ARRAYTOTEXT(IFERROR(CONCATENATE(SUMIF(INDIRECT("'"&amp;Assemblies[Assy]&amp;"'!"&amp;"C$5:C1000"), $E181, INDIRECT("'"&amp;Assemblies[Assy]&amp;"'!"&amp;"O$5:O1000")), "x",Assemblies[Assy],".",IF(SUMIF(INDIRECT("'"&amp;Assemblies[Assy]&amp;"'!"&amp;"C$5:C1000"), $E181, INDIRECT("'"&amp;Assemblies[Assy]&amp;"'!"&amp;"B$5:B1000"))=0,NA(),SUMIF(INDIRECT("'"&amp;Assemblies[Assy]&amp;"'!"&amp;"C$5:C1000"), $E181, INDIRECT("'"&amp;Assemblies[Assy]&amp;"'!"&amp;"A$5:A1000")))),"")), " ,", ""))</f>
        <v>, 1x6.3.1.0,</v>
      </c>
      <c r="I181" s="286" t="s">
        <v>1473</v>
      </c>
      <c r="J181" s="247" t="str">
        <f>Assemblies[[#This Row],[Assy]]</f>
        <v>6.3.1.1</v>
      </c>
    </row>
    <row r="182" spans="1:10" x14ac:dyDescent="0.25">
      <c r="A182" t="s">
        <v>1475</v>
      </c>
      <c r="B182" s="208" t="s">
        <v>1789</v>
      </c>
      <c r="C182" s="24" t="s">
        <v>1470</v>
      </c>
      <c r="D182" s="134" t="s">
        <v>54</v>
      </c>
      <c r="E182" t="str">
        <f t="shared" si="2"/>
        <v>PG10.6.3.1.2.0.A</v>
      </c>
      <c r="F182" t="s">
        <v>1790</v>
      </c>
      <c r="G182" s="19" cm="1">
        <f t="array" aca="1" ref="G182" ca="1">SUMPRODUCT(SUMIF(INDIRECT("'"&amp;Assemblies[Assy]&amp;"'!"&amp;"C5:C1000"),E182,(INDIRECT("'"&amp;Assemblies[Assy]&amp;"'!"&amp;"O5:O1000"))))</f>
        <v>1</v>
      </c>
      <c r="H182" t="str" cm="1">
        <f t="array" aca="1" ref="H182" ca="1">TRIM(SUBSTITUTE(_xlfn.ARRAYTOTEXT(IFERROR(CONCATENATE(SUMIF(INDIRECT("'"&amp;Assemblies[Assy]&amp;"'!"&amp;"C$5:C1000"), $E182, INDIRECT("'"&amp;Assemblies[Assy]&amp;"'!"&amp;"O$5:O1000")), "x",Assemblies[Assy],".",IF(SUMIF(INDIRECT("'"&amp;Assemblies[Assy]&amp;"'!"&amp;"C$5:C1000"), $E182, INDIRECT("'"&amp;Assemblies[Assy]&amp;"'!"&amp;"B$5:B1000"))=0,NA(),SUMIF(INDIRECT("'"&amp;Assemblies[Assy]&amp;"'!"&amp;"C$5:C1000"), $E182, INDIRECT("'"&amp;Assemblies[Assy]&amp;"'!"&amp;"A$5:A1000")))),"")), " ,", ""))</f>
        <v>, 1x6.3.1.0,</v>
      </c>
      <c r="I182" s="286" t="s">
        <v>1473</v>
      </c>
      <c r="J182" s="247" t="str">
        <f>Assemblies[[#This Row],[Assy]]</f>
        <v>6.3.1.2</v>
      </c>
    </row>
    <row r="183" spans="1:10" x14ac:dyDescent="0.25">
      <c r="A183" t="s">
        <v>1475</v>
      </c>
      <c r="B183" s="208" t="s">
        <v>1791</v>
      </c>
      <c r="C183" s="24" t="s">
        <v>1470</v>
      </c>
      <c r="D183" s="134" t="s">
        <v>54</v>
      </c>
      <c r="E183" t="str">
        <f t="shared" si="2"/>
        <v>PG10.6.3.1.3.0.A</v>
      </c>
      <c r="F183" t="s">
        <v>1792</v>
      </c>
      <c r="G183" s="19" cm="1">
        <f t="array" aca="1" ref="G183" ca="1">SUMPRODUCT(SUMIF(INDIRECT("'"&amp;Assemblies[Assy]&amp;"'!"&amp;"C5:C1000"),E183,(INDIRECT("'"&amp;Assemblies[Assy]&amp;"'!"&amp;"O5:O1000"))))</f>
        <v>1</v>
      </c>
      <c r="H183" t="str" cm="1">
        <f t="array" aca="1" ref="H183" ca="1">TRIM(SUBSTITUTE(_xlfn.ARRAYTOTEXT(IFERROR(CONCATENATE(SUMIF(INDIRECT("'"&amp;Assemblies[Assy]&amp;"'!"&amp;"C$5:C1000"), $E183, INDIRECT("'"&amp;Assemblies[Assy]&amp;"'!"&amp;"O$5:O1000")), "x",Assemblies[Assy],".",IF(SUMIF(INDIRECT("'"&amp;Assemblies[Assy]&amp;"'!"&amp;"C$5:C1000"), $E183, INDIRECT("'"&amp;Assemblies[Assy]&amp;"'!"&amp;"B$5:B1000"))=0,NA(),SUMIF(INDIRECT("'"&amp;Assemblies[Assy]&amp;"'!"&amp;"C$5:C1000"), $E183, INDIRECT("'"&amp;Assemblies[Assy]&amp;"'!"&amp;"A$5:A1000")))),"")), " ,", ""))</f>
        <v>, 1x6.3.1.0,</v>
      </c>
      <c r="I183" s="286" t="s">
        <v>1473</v>
      </c>
      <c r="J183" s="247" t="str">
        <f>Assemblies[[#This Row],[Assy]]</f>
        <v>6.3.1.3</v>
      </c>
    </row>
    <row r="184" spans="1:10" x14ac:dyDescent="0.25">
      <c r="A184" t="s">
        <v>1475</v>
      </c>
      <c r="B184" s="208" t="s">
        <v>1793</v>
      </c>
      <c r="C184" s="24" t="s">
        <v>1470</v>
      </c>
      <c r="D184" s="134" t="s">
        <v>54</v>
      </c>
      <c r="E184" t="str">
        <f t="shared" si="2"/>
        <v>PG10.6.3.1.4.0.A</v>
      </c>
      <c r="F184" t="s">
        <v>1794</v>
      </c>
      <c r="G184" s="19" cm="1">
        <f t="array" aca="1" ref="G184" ca="1">SUMPRODUCT(SUMIF(INDIRECT("'"&amp;Assemblies[Assy]&amp;"'!"&amp;"C5:C1000"),E184,(INDIRECT("'"&amp;Assemblies[Assy]&amp;"'!"&amp;"O5:O1000"))))</f>
        <v>1</v>
      </c>
      <c r="H184" t="str" cm="1">
        <f t="array" aca="1" ref="H184" ca="1">TRIM(SUBSTITUTE(_xlfn.ARRAYTOTEXT(IFERROR(CONCATENATE(SUMIF(INDIRECT("'"&amp;Assemblies[Assy]&amp;"'!"&amp;"C$5:C1000"), $E184, INDIRECT("'"&amp;Assemblies[Assy]&amp;"'!"&amp;"O$5:O1000")), "x",Assemblies[Assy],".",IF(SUMIF(INDIRECT("'"&amp;Assemblies[Assy]&amp;"'!"&amp;"C$5:C1000"), $E184, INDIRECT("'"&amp;Assemblies[Assy]&amp;"'!"&amp;"B$5:B1000"))=0,NA(),SUMIF(INDIRECT("'"&amp;Assemblies[Assy]&amp;"'!"&amp;"C$5:C1000"), $E184, INDIRECT("'"&amp;Assemblies[Assy]&amp;"'!"&amp;"A$5:A1000")))),"")), " ,", ""))</f>
        <v>, 1x6.3.1.0,</v>
      </c>
      <c r="I184" s="286" t="s">
        <v>1473</v>
      </c>
      <c r="J184" s="247" t="str">
        <f>Assemblies[[#This Row],[Assy]]</f>
        <v>6.3.1.4</v>
      </c>
    </row>
    <row r="185" spans="1:10" x14ac:dyDescent="0.25">
      <c r="A185" t="s">
        <v>1475</v>
      </c>
      <c r="B185" s="204" t="s">
        <v>1795</v>
      </c>
      <c r="C185" s="24" t="s">
        <v>1470</v>
      </c>
      <c r="D185" s="134" t="s">
        <v>54</v>
      </c>
      <c r="E185" t="str">
        <f t="shared" si="2"/>
        <v>PG10.6.3.2.0.A</v>
      </c>
      <c r="F185" t="s">
        <v>1796</v>
      </c>
      <c r="G185" s="19" cm="1">
        <f t="array" aca="1" ref="G185" ca="1">SUMPRODUCT(SUMIF(INDIRECT("'"&amp;Assemblies[Assy]&amp;"'!"&amp;"C5:C1000"),E185,(INDIRECT("'"&amp;Assemblies[Assy]&amp;"'!"&amp;"O5:O1000"))))</f>
        <v>1</v>
      </c>
      <c r="H185" t="str" cm="1">
        <f t="array" aca="1" ref="H185" ca="1">TRIM(SUBSTITUTE(_xlfn.ARRAYTOTEXT(IFERROR(CONCATENATE(SUMIF(INDIRECT("'"&amp;Assemblies[Assy]&amp;"'!"&amp;"C$5:C1000"), $E185, INDIRECT("'"&amp;Assemblies[Assy]&amp;"'!"&amp;"O$5:O1000")), "x",Assemblies[Assy],".",IF(SUMIF(INDIRECT("'"&amp;Assemblies[Assy]&amp;"'!"&amp;"C$5:C1000"), $E185, INDIRECT("'"&amp;Assemblies[Assy]&amp;"'!"&amp;"B$5:B1000"))=0,NA(),SUMIF(INDIRECT("'"&amp;Assemblies[Assy]&amp;"'!"&amp;"C$5:C1000"), $E185, INDIRECT("'"&amp;Assemblies[Assy]&amp;"'!"&amp;"A$5:A1000")))),"")), " ,", ""))</f>
        <v>, 1x6.3.0,</v>
      </c>
      <c r="I185" s="286" t="s">
        <v>1473</v>
      </c>
      <c r="J185" s="247" t="str">
        <f>Assemblies[[#This Row],[Assy]]</f>
        <v>6.3.2</v>
      </c>
    </row>
    <row r="186" spans="1:10" x14ac:dyDescent="0.25">
      <c r="A186" t="s">
        <v>1475</v>
      </c>
      <c r="B186" s="204" t="s">
        <v>1797</v>
      </c>
      <c r="C186" s="24" t="s">
        <v>1470</v>
      </c>
      <c r="D186" s="134" t="s">
        <v>54</v>
      </c>
      <c r="E186" t="str">
        <f t="shared" si="2"/>
        <v>PG10.6.3.3.0.A</v>
      </c>
      <c r="F186" t="s">
        <v>1798</v>
      </c>
      <c r="G186" s="19" cm="1">
        <f t="array" aca="1" ref="G186" ca="1">SUMPRODUCT(SUMIF(INDIRECT("'"&amp;Assemblies[Assy]&amp;"'!"&amp;"C5:C1000"),E186,(INDIRECT("'"&amp;Assemblies[Assy]&amp;"'!"&amp;"O5:O1000"))))</f>
        <v>1</v>
      </c>
      <c r="H186" t="str" cm="1">
        <f t="array" aca="1" ref="H186" ca="1">TRIM(SUBSTITUTE(_xlfn.ARRAYTOTEXT(IFERROR(CONCATENATE(SUMIF(INDIRECT("'"&amp;Assemblies[Assy]&amp;"'!"&amp;"C$5:C1000"), $E186, INDIRECT("'"&amp;Assemblies[Assy]&amp;"'!"&amp;"O$5:O1000")), "x",Assemblies[Assy],".",IF(SUMIF(INDIRECT("'"&amp;Assemblies[Assy]&amp;"'!"&amp;"C$5:C1000"), $E186, INDIRECT("'"&amp;Assemblies[Assy]&amp;"'!"&amp;"B$5:B1000"))=0,NA(),SUMIF(INDIRECT("'"&amp;Assemblies[Assy]&amp;"'!"&amp;"C$5:C1000"), $E186, INDIRECT("'"&amp;Assemblies[Assy]&amp;"'!"&amp;"A$5:A1000")))),"")), " ,", ""))</f>
        <v>, 1x6.3.0,</v>
      </c>
      <c r="I186" s="286" t="s">
        <v>1473</v>
      </c>
      <c r="J186" s="247" t="str">
        <f>Assemblies[[#This Row],[Assy]]</f>
        <v>6.3.3</v>
      </c>
    </row>
    <row r="187" spans="1:10" x14ac:dyDescent="0.25">
      <c r="A187" t="s">
        <v>1475</v>
      </c>
      <c r="B187" s="197" t="s">
        <v>1799</v>
      </c>
      <c r="C187" s="24" t="s">
        <v>1470</v>
      </c>
      <c r="D187" s="134" t="s">
        <v>54</v>
      </c>
      <c r="E187" t="str">
        <f t="shared" si="2"/>
        <v>PG10.6.4.0.A</v>
      </c>
      <c r="F187" t="s">
        <v>1800</v>
      </c>
      <c r="G187" s="19" cm="1">
        <f t="array" aca="1" ref="G187" ca="1">SUMPRODUCT(SUMIF(INDIRECT("'"&amp;Assemblies[Assy]&amp;"'!"&amp;"C5:C1000"),E187,(INDIRECT("'"&amp;Assemblies[Assy]&amp;"'!"&amp;"O5:O1000"))))</f>
        <v>1</v>
      </c>
      <c r="H187" t="str" cm="1">
        <f t="array" aca="1" ref="H187" ca="1">TRIM(SUBSTITUTE(_xlfn.ARRAYTOTEXT(IFERROR(CONCATENATE(SUMIF(INDIRECT("'"&amp;Assemblies[Assy]&amp;"'!"&amp;"C$5:C1000"), $E187, INDIRECT("'"&amp;Assemblies[Assy]&amp;"'!"&amp;"O$5:O1000")), "x",Assemblies[Assy],".",IF(SUMIF(INDIRECT("'"&amp;Assemblies[Assy]&amp;"'!"&amp;"C$5:C1000"), $E187, INDIRECT("'"&amp;Assemblies[Assy]&amp;"'!"&amp;"B$5:B1000"))=0,NA(),SUMIF(INDIRECT("'"&amp;Assemblies[Assy]&amp;"'!"&amp;"C$5:C1000"), $E187, INDIRECT("'"&amp;Assemblies[Assy]&amp;"'!"&amp;"A$5:A1000")))),"")), " ,", ""))</f>
        <v>, 1x6.0,</v>
      </c>
      <c r="I187" s="286" t="s">
        <v>1473</v>
      </c>
      <c r="J187" s="248" t="str">
        <f>Assemblies[[#This Row],[Assy]]</f>
        <v>6.4</v>
      </c>
    </row>
    <row r="188" spans="1:10" x14ac:dyDescent="0.25">
      <c r="A188" t="s">
        <v>1475</v>
      </c>
      <c r="B188" s="197" t="s">
        <v>1801</v>
      </c>
      <c r="C188" s="24" t="s">
        <v>1470</v>
      </c>
      <c r="D188" s="134" t="s">
        <v>54</v>
      </c>
      <c r="E188" t="str">
        <f t="shared" si="2"/>
        <v>PG10.6.5.0.A</v>
      </c>
      <c r="F188" t="s">
        <v>1802</v>
      </c>
      <c r="G188" s="19" cm="1">
        <f t="array" aca="1" ref="G188" ca="1">SUMPRODUCT(SUMIF(INDIRECT("'"&amp;Assemblies[Assy]&amp;"'!"&amp;"C5:C1000"),E188,(INDIRECT("'"&amp;Assemblies[Assy]&amp;"'!"&amp;"O5:O1000"))))</f>
        <v>1</v>
      </c>
      <c r="H188" t="str" cm="1">
        <f t="array" aca="1" ref="H188" ca="1">TRIM(SUBSTITUTE(_xlfn.ARRAYTOTEXT(IFERROR(CONCATENATE(SUMIF(INDIRECT("'"&amp;Assemblies[Assy]&amp;"'!"&amp;"C$5:C1000"), $E188, INDIRECT("'"&amp;Assemblies[Assy]&amp;"'!"&amp;"O$5:O1000")), "x",Assemblies[Assy],".",IF(SUMIF(INDIRECT("'"&amp;Assemblies[Assy]&amp;"'!"&amp;"C$5:C1000"), $E188, INDIRECT("'"&amp;Assemblies[Assy]&amp;"'!"&amp;"B$5:B1000"))=0,NA(),SUMIF(INDIRECT("'"&amp;Assemblies[Assy]&amp;"'!"&amp;"C$5:C1000"), $E188, INDIRECT("'"&amp;Assemblies[Assy]&amp;"'!"&amp;"A$5:A1000")))),"")), " ,", ""))</f>
        <v>, 1x6.0,</v>
      </c>
      <c r="I188" s="286" t="s">
        <v>1473</v>
      </c>
      <c r="J188" s="249" t="str">
        <f>Assemblies[[#This Row],[Assy]]</f>
        <v>6.5</v>
      </c>
    </row>
    <row r="189" spans="1:10" x14ac:dyDescent="0.25">
      <c r="A189" t="s">
        <v>1475</v>
      </c>
      <c r="B189" s="197" t="s">
        <v>1803</v>
      </c>
      <c r="C189" s="24" t="s">
        <v>1470</v>
      </c>
      <c r="D189" s="134" t="s">
        <v>54</v>
      </c>
      <c r="E189" t="str">
        <f t="shared" si="2"/>
        <v>PG10.6.6.0.A</v>
      </c>
      <c r="F189" t="s">
        <v>1804</v>
      </c>
      <c r="G189" s="19" cm="1">
        <f t="array" aca="1" ref="G189" ca="1">SUMPRODUCT(SUMIF(INDIRECT("'"&amp;Assemblies[Assy]&amp;"'!"&amp;"C5:C1000"),E189,(INDIRECT("'"&amp;Assemblies[Assy]&amp;"'!"&amp;"O5:O1000"))))</f>
        <v>1</v>
      </c>
      <c r="H189" t="str" cm="1">
        <f t="array" aca="1" ref="H189" ca="1">TRIM(SUBSTITUTE(_xlfn.ARRAYTOTEXT(IFERROR(CONCATENATE(SUMIF(INDIRECT("'"&amp;Assemblies[Assy]&amp;"'!"&amp;"C$5:C1000"), $E189, INDIRECT("'"&amp;Assemblies[Assy]&amp;"'!"&amp;"O$5:O1000")), "x",Assemblies[Assy],".",IF(SUMIF(INDIRECT("'"&amp;Assemblies[Assy]&amp;"'!"&amp;"C$5:C1000"), $E189, INDIRECT("'"&amp;Assemblies[Assy]&amp;"'!"&amp;"B$5:B1000"))=0,NA(),SUMIF(INDIRECT("'"&amp;Assemblies[Assy]&amp;"'!"&amp;"C$5:C1000"), $E189, INDIRECT("'"&amp;Assemblies[Assy]&amp;"'!"&amp;"A$5:A1000")))),"")), " ,", ""))</f>
        <v>, 1x6.0,</v>
      </c>
      <c r="I189" s="292" t="s">
        <v>2135</v>
      </c>
      <c r="J189" s="249" t="str">
        <f>Assemblies[[#This Row],[Assy]]</f>
        <v>6.6</v>
      </c>
    </row>
    <row r="190" spans="1:10" x14ac:dyDescent="0.25">
      <c r="A190" t="s">
        <v>1475</v>
      </c>
      <c r="B190" s="204" t="s">
        <v>1805</v>
      </c>
      <c r="C190" s="24" t="s">
        <v>1470</v>
      </c>
      <c r="D190" s="134" t="s">
        <v>54</v>
      </c>
      <c r="E190" t="str">
        <f t="shared" si="2"/>
        <v>PG10.6.6.1.0.A</v>
      </c>
      <c r="F190" t="s">
        <v>1806</v>
      </c>
      <c r="G190" s="19" cm="1">
        <f t="array" aca="1" ref="G190" ca="1">SUMPRODUCT(SUMIF(INDIRECT("'"&amp;Assemblies[Assy]&amp;"'!"&amp;"C5:C1000"),E190,(INDIRECT("'"&amp;Assemblies[Assy]&amp;"'!"&amp;"O5:O1000"))))</f>
        <v>268</v>
      </c>
      <c r="H190" t="str" cm="1">
        <f t="array" aca="1" ref="H190" ca="1">TRIM(SUBSTITUTE(_xlfn.ARRAYTOTEXT(IFERROR(CONCATENATE(SUMIF(INDIRECT("'"&amp;Assemblies[Assy]&amp;"'!"&amp;"C$5:C1000"), $E190, INDIRECT("'"&amp;Assemblies[Assy]&amp;"'!"&amp;"O$5:O1000")), "x",Assemblies[Assy],".",IF(SUMIF(INDIRECT("'"&amp;Assemblies[Assy]&amp;"'!"&amp;"C$5:C1000"), $E190, INDIRECT("'"&amp;Assemblies[Assy]&amp;"'!"&amp;"B$5:B1000"))=0,NA(),SUMIF(INDIRECT("'"&amp;Assemblies[Assy]&amp;"'!"&amp;"C$5:C1000"), $E190, INDIRECT("'"&amp;Assemblies[Assy]&amp;"'!"&amp;"A$5:A1000")))),"")), " ,", ""))</f>
        <v>, 134x6.6.0, 134x6.7.0,</v>
      </c>
      <c r="I190" s="292" t="s">
        <v>2135</v>
      </c>
      <c r="J190" s="249" t="str">
        <f>Assemblies[[#This Row],[Assy]]</f>
        <v>6.6.1</v>
      </c>
    </row>
    <row r="191" spans="1:10" x14ac:dyDescent="0.25">
      <c r="A191" t="s">
        <v>1475</v>
      </c>
      <c r="B191" s="204" t="s">
        <v>1807</v>
      </c>
      <c r="C191" s="24" t="s">
        <v>1470</v>
      </c>
      <c r="D191" s="134" t="s">
        <v>54</v>
      </c>
      <c r="E191" t="str">
        <f t="shared" si="2"/>
        <v>PG10.6.6.2.0.A</v>
      </c>
      <c r="F191" t="s">
        <v>1808</v>
      </c>
      <c r="G191" s="19" cm="1">
        <f t="array" aca="1" ref="G191" ca="1">SUMPRODUCT(SUMIF(INDIRECT("'"&amp;Assemblies[Assy]&amp;"'!"&amp;"C5:C1000"),E191,(INDIRECT("'"&amp;Assemblies[Assy]&amp;"'!"&amp;"O5:O1000"))))</f>
        <v>2</v>
      </c>
      <c r="H191" t="str" cm="1">
        <f t="array" aca="1" ref="H191" ca="1">TRIM(SUBSTITUTE(_xlfn.ARRAYTOTEXT(IFERROR(CONCATENATE(SUMIF(INDIRECT("'"&amp;Assemblies[Assy]&amp;"'!"&amp;"C$5:C1000"), $E191, INDIRECT("'"&amp;Assemblies[Assy]&amp;"'!"&amp;"O$5:O1000")), "x",Assemblies[Assy],".",IF(SUMIF(INDIRECT("'"&amp;Assemblies[Assy]&amp;"'!"&amp;"C$5:C1000"), $E191, INDIRECT("'"&amp;Assemblies[Assy]&amp;"'!"&amp;"B$5:B1000"))=0,NA(),SUMIF(INDIRECT("'"&amp;Assemblies[Assy]&amp;"'!"&amp;"C$5:C1000"), $E191, INDIRECT("'"&amp;Assemblies[Assy]&amp;"'!"&amp;"A$5:A1000")))),"")), " ,", ""))</f>
        <v>, 1x6.6.0, 1x6.7.0,</v>
      </c>
      <c r="I191" s="292" t="s">
        <v>2135</v>
      </c>
      <c r="J191" s="249" t="str">
        <f>Assemblies[[#This Row],[Assy]]</f>
        <v>6.6.2</v>
      </c>
    </row>
    <row r="192" spans="1:10" x14ac:dyDescent="0.25">
      <c r="A192" t="s">
        <v>1475</v>
      </c>
      <c r="B192" s="197" t="s">
        <v>1809</v>
      </c>
      <c r="C192" s="24" t="s">
        <v>1470</v>
      </c>
      <c r="D192" s="134" t="s">
        <v>54</v>
      </c>
      <c r="E192" t="str">
        <f t="shared" si="2"/>
        <v>PG10.6.7.0.A</v>
      </c>
      <c r="F192" t="s">
        <v>1810</v>
      </c>
      <c r="G192" s="19" cm="1">
        <f t="array" aca="1" ref="G192" ca="1">SUMPRODUCT(SUMIF(INDIRECT("'"&amp;Assemblies[Assy]&amp;"'!"&amp;"C5:C1000"),E192,(INDIRECT("'"&amp;Assemblies[Assy]&amp;"'!"&amp;"O5:O1000"))))</f>
        <v>1</v>
      </c>
      <c r="H192" t="str" cm="1">
        <f t="array" aca="1" ref="H192" ca="1">TRIM(SUBSTITUTE(_xlfn.ARRAYTOTEXT(IFERROR(CONCATENATE(SUMIF(INDIRECT("'"&amp;Assemblies[Assy]&amp;"'!"&amp;"C$5:C1000"), $E192, INDIRECT("'"&amp;Assemblies[Assy]&amp;"'!"&amp;"O$5:O1000")), "x",Assemblies[Assy],".",IF(SUMIF(INDIRECT("'"&amp;Assemblies[Assy]&amp;"'!"&amp;"C$5:C1000"), $E192, INDIRECT("'"&amp;Assemblies[Assy]&amp;"'!"&amp;"B$5:B1000"))=0,NA(),SUMIF(INDIRECT("'"&amp;Assemblies[Assy]&amp;"'!"&amp;"C$5:C1000"), $E192, INDIRECT("'"&amp;Assemblies[Assy]&amp;"'!"&amp;"A$5:A1000")))),"")), " ,", ""))</f>
        <v>, 1x6.0,</v>
      </c>
      <c r="I192" s="292" t="s">
        <v>2135</v>
      </c>
      <c r="J192" s="249" t="str">
        <f>Assemblies[[#This Row],[Assy]]</f>
        <v>6.7</v>
      </c>
    </row>
    <row r="193" spans="1:10" x14ac:dyDescent="0.25">
      <c r="A193" t="s">
        <v>1475</v>
      </c>
      <c r="B193" s="197" t="s">
        <v>1811</v>
      </c>
      <c r="C193" s="24" t="s">
        <v>1470</v>
      </c>
      <c r="D193" s="134" t="s">
        <v>54</v>
      </c>
      <c r="E193" t="str">
        <f t="shared" si="2"/>
        <v>PG10.6.8.0.A</v>
      </c>
      <c r="F193" t="s">
        <v>1812</v>
      </c>
      <c r="G193" s="19" cm="1">
        <f t="array" aca="1" ref="G193" ca="1">SUMPRODUCT(SUMIF(INDIRECT("'"&amp;Assemblies[Assy]&amp;"'!"&amp;"C5:C1000"),E193,(INDIRECT("'"&amp;Assemblies[Assy]&amp;"'!"&amp;"O5:O1000"))))</f>
        <v>2</v>
      </c>
      <c r="H193" t="str" cm="1">
        <f t="array" aca="1" ref="H193" ca="1">TRIM(SUBSTITUTE(_xlfn.ARRAYTOTEXT(IFERROR(CONCATENATE(SUMIF(INDIRECT("'"&amp;Assemblies[Assy]&amp;"'!"&amp;"C$5:C1000"), $E193, INDIRECT("'"&amp;Assemblies[Assy]&amp;"'!"&amp;"O$5:O1000")), "x",Assemblies[Assy],".",IF(SUMIF(INDIRECT("'"&amp;Assemblies[Assy]&amp;"'!"&amp;"C$5:C1000"), $E193, INDIRECT("'"&amp;Assemblies[Assy]&amp;"'!"&amp;"B$5:B1000"))=0,NA(),SUMIF(INDIRECT("'"&amp;Assemblies[Assy]&amp;"'!"&amp;"C$5:C1000"), $E193, INDIRECT("'"&amp;Assemblies[Assy]&amp;"'!"&amp;"A$5:A1000")))),"")), " ,", ""))</f>
        <v>, 2x6.0,</v>
      </c>
      <c r="I193" s="286"/>
      <c r="J193" s="249" t="str">
        <f>Assemblies[[#This Row],[Assy]]</f>
        <v>6.8</v>
      </c>
    </row>
    <row r="194" spans="1:10" x14ac:dyDescent="0.25">
      <c r="A194" t="s">
        <v>1475</v>
      </c>
      <c r="B194" s="197" t="s">
        <v>1813</v>
      </c>
      <c r="C194" s="24" t="s">
        <v>1470</v>
      </c>
      <c r="D194" s="134" t="s">
        <v>54</v>
      </c>
      <c r="E194" t="str">
        <f t="shared" si="2"/>
        <v>PG10.6.9.0.A</v>
      </c>
      <c r="F194" t="s">
        <v>1814</v>
      </c>
      <c r="G194" s="19" cm="1">
        <f t="array" aca="1" ref="G194" ca="1">SUMPRODUCT(SUMIF(INDIRECT("'"&amp;Assemblies[Assy]&amp;"'!"&amp;"C5:C1000"),E194,(INDIRECT("'"&amp;Assemblies[Assy]&amp;"'!"&amp;"O5:O1000"))))</f>
        <v>2</v>
      </c>
      <c r="H194" t="str" cm="1">
        <f t="array" aca="1" ref="H194" ca="1">TRIM(SUBSTITUTE(_xlfn.ARRAYTOTEXT(IFERROR(CONCATENATE(SUMIF(INDIRECT("'"&amp;Assemblies[Assy]&amp;"'!"&amp;"C$5:C1000"), $E194, INDIRECT("'"&amp;Assemblies[Assy]&amp;"'!"&amp;"O$5:O1000")), "x",Assemblies[Assy],".",IF(SUMIF(INDIRECT("'"&amp;Assemblies[Assy]&amp;"'!"&amp;"C$5:C1000"), $E194, INDIRECT("'"&amp;Assemblies[Assy]&amp;"'!"&amp;"B$5:B1000"))=0,NA(),SUMIF(INDIRECT("'"&amp;Assemblies[Assy]&amp;"'!"&amp;"C$5:C1000"), $E194, INDIRECT("'"&amp;Assemblies[Assy]&amp;"'!"&amp;"A$5:A1000")))),"")), " ,", ""))</f>
        <v>, 2x6.0,</v>
      </c>
      <c r="I194" s="286"/>
      <c r="J194" s="249" t="str">
        <f>Assemblies[[#This Row],[Assy]]</f>
        <v>6.9</v>
      </c>
    </row>
    <row r="195" spans="1:10" x14ac:dyDescent="0.25">
      <c r="A195" t="s">
        <v>1475</v>
      </c>
      <c r="B195" s="197" t="s">
        <v>1815</v>
      </c>
      <c r="C195" s="24" t="s">
        <v>1470</v>
      </c>
      <c r="D195" s="134" t="s">
        <v>54</v>
      </c>
      <c r="E195" t="str">
        <f t="shared" si="2"/>
        <v>PG10.6.10.0.A</v>
      </c>
      <c r="F195" t="s">
        <v>1816</v>
      </c>
      <c r="G195" s="19" cm="1">
        <f t="array" aca="1" ref="G195" ca="1">SUMPRODUCT(SUMIF(INDIRECT("'"&amp;Assemblies[Assy]&amp;"'!"&amp;"C5:C1000"),E195,(INDIRECT("'"&amp;Assemblies[Assy]&amp;"'!"&amp;"O5:O1000"))))</f>
        <v>2</v>
      </c>
      <c r="H195" t="str" cm="1">
        <f t="array" aca="1" ref="H195" ca="1">TRIM(SUBSTITUTE(_xlfn.ARRAYTOTEXT(IFERROR(CONCATENATE(SUMIF(INDIRECT("'"&amp;Assemblies[Assy]&amp;"'!"&amp;"C$5:C1000"), $E195, INDIRECT("'"&amp;Assemblies[Assy]&amp;"'!"&amp;"O$5:O1000")), "x",Assemblies[Assy],".",IF(SUMIF(INDIRECT("'"&amp;Assemblies[Assy]&amp;"'!"&amp;"C$5:C1000"), $E195, INDIRECT("'"&amp;Assemblies[Assy]&amp;"'!"&amp;"B$5:B1000"))=0,NA(),SUMIF(INDIRECT("'"&amp;Assemblies[Assy]&amp;"'!"&amp;"C$5:C1000"), $E195, INDIRECT("'"&amp;Assemblies[Assy]&amp;"'!"&amp;"A$5:A1000")))),"")), " ,", ""))</f>
        <v>, 2x6.0,</v>
      </c>
      <c r="I195" s="286"/>
      <c r="J195" s="250" t="str">
        <f>Assemblies[[#This Row],[Assy]]</f>
        <v>6.10</v>
      </c>
    </row>
    <row r="196" spans="1:10" x14ac:dyDescent="0.25">
      <c r="A196" t="s">
        <v>1475</v>
      </c>
      <c r="B196" s="204" t="s">
        <v>1817</v>
      </c>
      <c r="C196" s="24" t="s">
        <v>1470</v>
      </c>
      <c r="D196" s="134" t="s">
        <v>54</v>
      </c>
      <c r="E196" t="str">
        <f t="shared" ref="E196:E259" si="3">_xlfn.CONCAT(A196,".",B196,".",C196,".",D196)</f>
        <v>PG10.6.10.1.0.A</v>
      </c>
      <c r="F196" t="s">
        <v>1818</v>
      </c>
      <c r="G196" s="19" cm="1">
        <f t="array" aca="1" ref="G196" ca="1">SUMPRODUCT(SUMIF(INDIRECT("'"&amp;Assemblies[Assy]&amp;"'!"&amp;"C5:C1000"),E196,(INDIRECT("'"&amp;Assemblies[Assy]&amp;"'!"&amp;"O5:O1000"))))</f>
        <v>2</v>
      </c>
      <c r="H196" t="str" cm="1">
        <f t="array" aca="1" ref="H196" ca="1">TRIM(SUBSTITUTE(_xlfn.ARRAYTOTEXT(IFERROR(CONCATENATE(SUMIF(INDIRECT("'"&amp;Assemblies[Assy]&amp;"'!"&amp;"C$5:C1000"), $E196, INDIRECT("'"&amp;Assemblies[Assy]&amp;"'!"&amp;"O$5:O1000")), "x",Assemblies[Assy],".",IF(SUMIF(INDIRECT("'"&amp;Assemblies[Assy]&amp;"'!"&amp;"C$5:C1000"), $E196, INDIRECT("'"&amp;Assemblies[Assy]&amp;"'!"&amp;"B$5:B1000"))=0,NA(),SUMIF(INDIRECT("'"&amp;Assemblies[Assy]&amp;"'!"&amp;"C$5:C1000"), $E196, INDIRECT("'"&amp;Assemblies[Assy]&amp;"'!"&amp;"A$5:A1000")))),"")), " ,", ""))</f>
        <v>, 2x6.10.0,</v>
      </c>
      <c r="I196" s="286"/>
      <c r="J196" s="250" t="str">
        <f>Assemblies[[#This Row],[Assy]]</f>
        <v>6.10.1</v>
      </c>
    </row>
    <row r="197" spans="1:10" x14ac:dyDescent="0.25">
      <c r="A197" t="s">
        <v>1475</v>
      </c>
      <c r="B197" s="204" t="s">
        <v>1819</v>
      </c>
      <c r="C197" s="24" t="s">
        <v>1470</v>
      </c>
      <c r="D197" s="134" t="s">
        <v>54</v>
      </c>
      <c r="E197" t="str">
        <f t="shared" si="3"/>
        <v>PG10.6.10.2.0.A</v>
      </c>
      <c r="F197" t="s">
        <v>1820</v>
      </c>
      <c r="G197" s="19" cm="1">
        <f t="array" aca="1" ref="G197" ca="1">SUMPRODUCT(SUMIF(INDIRECT("'"&amp;Assemblies[Assy]&amp;"'!"&amp;"C5:C1000"),E197,(INDIRECT("'"&amp;Assemblies[Assy]&amp;"'!"&amp;"O5:O1000"))))</f>
        <v>2</v>
      </c>
      <c r="H197" t="str" cm="1">
        <f t="array" aca="1" ref="H197" ca="1">TRIM(SUBSTITUTE(_xlfn.ARRAYTOTEXT(IFERROR(CONCATENATE(SUMIF(INDIRECT("'"&amp;Assemblies[Assy]&amp;"'!"&amp;"C$5:C1000"), $E197, INDIRECT("'"&amp;Assemblies[Assy]&amp;"'!"&amp;"O$5:O1000")), "x",Assemblies[Assy],".",IF(SUMIF(INDIRECT("'"&amp;Assemblies[Assy]&amp;"'!"&amp;"C$5:C1000"), $E197, INDIRECT("'"&amp;Assemblies[Assy]&amp;"'!"&amp;"B$5:B1000"))=0,NA(),SUMIF(INDIRECT("'"&amp;Assemblies[Assy]&amp;"'!"&amp;"C$5:C1000"), $E197, INDIRECT("'"&amp;Assemblies[Assy]&amp;"'!"&amp;"A$5:A1000")))),"")), " ,", ""))</f>
        <v>, 2x6.10.0,</v>
      </c>
      <c r="I197" s="286"/>
      <c r="J197" s="250" t="str">
        <f>Assemblies[[#This Row],[Assy]]</f>
        <v>6.10.2</v>
      </c>
    </row>
    <row r="198" spans="1:10" x14ac:dyDescent="0.25">
      <c r="A198" t="str">
        <f ca="1">'PG10'!$E$2</f>
        <v>PG10</v>
      </c>
      <c r="B198" s="195" t="s">
        <v>1821</v>
      </c>
      <c r="C198" s="24" t="s">
        <v>1470</v>
      </c>
      <c r="D198" s="134" t="s">
        <v>54</v>
      </c>
      <c r="E198" t="str">
        <f t="shared" ca="1" si="3"/>
        <v>PG10.7.0.A</v>
      </c>
      <c r="F198" t="s">
        <v>1822</v>
      </c>
      <c r="G198" s="19" cm="1">
        <f t="array" aca="1" ref="G198" ca="1">SUMPRODUCT(SUMIF(INDIRECT("'"&amp;Assemblies[Assy]&amp;"'!"&amp;"C5:C1000"),E198,(INDIRECT("'"&amp;Assemblies[Assy]&amp;"'!"&amp;"O5:O1000"))))</f>
        <v>1</v>
      </c>
      <c r="H198" t="str" cm="1">
        <f t="array" aca="1" ref="H198" ca="1">TRIM(SUBSTITUTE(_xlfn.ARRAYTOTEXT(IFERROR(CONCATENATE(SUMIF(INDIRECT("'"&amp;Assemblies[Assy]&amp;"'!"&amp;"C$5:C1000"), $E198, INDIRECT("'"&amp;Assemblies[Assy]&amp;"'!"&amp;"O$5:O1000")), "x",Assemblies[Assy],".",IF(SUMIF(INDIRECT("'"&amp;Assemblies[Assy]&amp;"'!"&amp;"C$5:C1000"), $E198, INDIRECT("'"&amp;Assemblies[Assy]&amp;"'!"&amp;"B$5:B1000"))=0,NA(),SUMIF(INDIRECT("'"&amp;Assemblies[Assy]&amp;"'!"&amp;"C$5:C1000"), $E198, INDIRECT("'"&amp;Assemblies[Assy]&amp;"'!"&amp;"A$5:A1000")))),"")), " ,", ""))</f>
        <v>1x0.0,</v>
      </c>
      <c r="I198" s="287" t="s">
        <v>1473</v>
      </c>
      <c r="J198" s="251" t="str">
        <f>Assemblies[[#This Row],[Assy]]</f>
        <v>7</v>
      </c>
    </row>
    <row r="199" spans="1:10" x14ac:dyDescent="0.25">
      <c r="A199" t="str">
        <f ca="1">'PG10'!$E$2</f>
        <v>PG10</v>
      </c>
      <c r="B199" s="196">
        <v>7.1</v>
      </c>
      <c r="C199" s="24" t="s">
        <v>1470</v>
      </c>
      <c r="D199" s="134" t="s">
        <v>54</v>
      </c>
      <c r="E199" t="str">
        <f t="shared" ca="1" si="3"/>
        <v>PG10.7.1.0.A</v>
      </c>
      <c r="F199" t="s">
        <v>1823</v>
      </c>
      <c r="G199" s="19" cm="1">
        <f t="array" aca="1" ref="G199" ca="1">SUMPRODUCT(SUMIF(INDIRECT("'"&amp;Assemblies[Assy]&amp;"'!"&amp;"C5:C1000"),E199,(INDIRECT("'"&amp;Assemblies[Assy]&amp;"'!"&amp;"O5:O1000"))))</f>
        <v>1</v>
      </c>
      <c r="H199" t="str" cm="1">
        <f t="array" aca="1" ref="H199" ca="1">TRIM(SUBSTITUTE(_xlfn.ARRAYTOTEXT(IFERROR(CONCATENATE(SUMIF(INDIRECT("'"&amp;Assemblies[Assy]&amp;"'!"&amp;"C$5:C1000"), $E199, INDIRECT("'"&amp;Assemblies[Assy]&amp;"'!"&amp;"O$5:O1000")), "x",Assemblies[Assy],".",IF(SUMIF(INDIRECT("'"&amp;Assemblies[Assy]&amp;"'!"&amp;"C$5:C1000"), $E199, INDIRECT("'"&amp;Assemblies[Assy]&amp;"'!"&amp;"B$5:B1000"))=0,NA(),SUMIF(INDIRECT("'"&amp;Assemblies[Assy]&amp;"'!"&amp;"C$5:C1000"), $E199, INDIRECT("'"&amp;Assemblies[Assy]&amp;"'!"&amp;"A$5:A1000")))),"")), " ,", ""))</f>
        <v>, 1x7.0,</v>
      </c>
      <c r="I199" s="287" t="s">
        <v>1473</v>
      </c>
      <c r="J199" s="252">
        <f>Assemblies[[#This Row],[Assy]]</f>
        <v>7.1</v>
      </c>
    </row>
    <row r="200" spans="1:10" x14ac:dyDescent="0.25">
      <c r="A200" t="str">
        <f ca="1">'PG10'!$E$2</f>
        <v>PG10</v>
      </c>
      <c r="B200" s="202" t="s">
        <v>1824</v>
      </c>
      <c r="C200" s="24" t="s">
        <v>1470</v>
      </c>
      <c r="D200" s="134" t="s">
        <v>54</v>
      </c>
      <c r="E200" t="str">
        <f t="shared" ca="1" si="3"/>
        <v>PG10.7.1.1.0.A</v>
      </c>
      <c r="F200" t="s">
        <v>1825</v>
      </c>
      <c r="G200" s="19" cm="1">
        <f t="array" aca="1" ref="G200" ca="1">SUMPRODUCT(SUMIF(INDIRECT("'"&amp;Assemblies[Assy]&amp;"'!"&amp;"C5:C1000"),E200,(INDIRECT("'"&amp;Assemblies[Assy]&amp;"'!"&amp;"O5:O1000"))))</f>
        <v>1</v>
      </c>
      <c r="H200" t="str" cm="1">
        <f t="array" aca="1" ref="H200" ca="1">TRIM(SUBSTITUTE(_xlfn.ARRAYTOTEXT(IFERROR(CONCATENATE(SUMIF(INDIRECT("'"&amp;Assemblies[Assy]&amp;"'!"&amp;"C$5:C1000"), $E200, INDIRECT("'"&amp;Assemblies[Assy]&amp;"'!"&amp;"O$5:O1000")), "x",Assemblies[Assy],".",IF(SUMIF(INDIRECT("'"&amp;Assemblies[Assy]&amp;"'!"&amp;"C$5:C1000"), $E200, INDIRECT("'"&amp;Assemblies[Assy]&amp;"'!"&amp;"B$5:B1000"))=0,NA(),SUMIF(INDIRECT("'"&amp;Assemblies[Assy]&amp;"'!"&amp;"C$5:C1000"), $E200, INDIRECT("'"&amp;Assemblies[Assy]&amp;"'!"&amp;"A$5:A1000")))),"")), " ,", ""))</f>
        <v>, 1x7.1.0,</v>
      </c>
      <c r="I200" s="287" t="s">
        <v>1473</v>
      </c>
      <c r="J200" s="252" t="str">
        <f>Assemblies[[#This Row],[Assy]]</f>
        <v>7.1.1</v>
      </c>
    </row>
    <row r="201" spans="1:10" x14ac:dyDescent="0.25">
      <c r="A201" t="str">
        <f ca="1">'PG10'!$E$2</f>
        <v>PG10</v>
      </c>
      <c r="B201" s="202" t="s">
        <v>1826</v>
      </c>
      <c r="C201" s="24" t="s">
        <v>1470</v>
      </c>
      <c r="D201" s="134" t="s">
        <v>54</v>
      </c>
      <c r="E201" t="str">
        <f t="shared" ca="1" si="3"/>
        <v>PG10.7.1.2.0.A</v>
      </c>
      <c r="F201" t="s">
        <v>1827</v>
      </c>
      <c r="G201" s="19" cm="1">
        <f t="array" aca="1" ref="G201" ca="1">SUMPRODUCT(SUMIF(INDIRECT("'"&amp;Assemblies[Assy]&amp;"'!"&amp;"C5:C1000"),E201,(INDIRECT("'"&amp;Assemblies[Assy]&amp;"'!"&amp;"O5:O1000"))))</f>
        <v>24</v>
      </c>
      <c r="H201" t="str" cm="1">
        <f t="array" aca="1" ref="H201" ca="1">TRIM(SUBSTITUTE(_xlfn.ARRAYTOTEXT(IFERROR(CONCATENATE(SUMIF(INDIRECT("'"&amp;Assemblies[Assy]&amp;"'!"&amp;"C$5:C1000"), $E201, INDIRECT("'"&amp;Assemblies[Assy]&amp;"'!"&amp;"O$5:O1000")), "x",Assemblies[Assy],".",IF(SUMIF(INDIRECT("'"&amp;Assemblies[Assy]&amp;"'!"&amp;"C$5:C1000"), $E201, INDIRECT("'"&amp;Assemblies[Assy]&amp;"'!"&amp;"B$5:B1000"))=0,NA(),SUMIF(INDIRECT("'"&amp;Assemblies[Assy]&amp;"'!"&amp;"C$5:C1000"), $E201, INDIRECT("'"&amp;Assemblies[Assy]&amp;"'!"&amp;"A$5:A1000")))),"")), " ,", ""))</f>
        <v>, 24x7.1.0,</v>
      </c>
      <c r="I201" s="287" t="s">
        <v>1473</v>
      </c>
      <c r="J201" s="252" t="str">
        <f>Assemblies[[#This Row],[Assy]]</f>
        <v>7.1.2</v>
      </c>
    </row>
    <row r="202" spans="1:10" x14ac:dyDescent="0.25">
      <c r="A202" t="str">
        <f ca="1">'PG10'!$E$2</f>
        <v>PG10</v>
      </c>
      <c r="B202" s="202" t="s">
        <v>1828</v>
      </c>
      <c r="C202" s="24" t="s">
        <v>1470</v>
      </c>
      <c r="D202" s="134" t="s">
        <v>54</v>
      </c>
      <c r="E202" t="str">
        <f t="shared" ca="1" si="3"/>
        <v>PG10.7.1.3.0.A</v>
      </c>
      <c r="F202" t="s">
        <v>1829</v>
      </c>
      <c r="G202" s="19" cm="1">
        <f t="array" aca="1" ref="G202" ca="1">SUMPRODUCT(SUMIF(INDIRECT("'"&amp;Assemblies[Assy]&amp;"'!"&amp;"C5:C1000"),E202,(INDIRECT("'"&amp;Assemblies[Assy]&amp;"'!"&amp;"O5:O1000"))))</f>
        <v>2</v>
      </c>
      <c r="H202" t="str" cm="1">
        <f t="array" aca="1" ref="H202" ca="1">TRIM(SUBSTITUTE(_xlfn.ARRAYTOTEXT(IFERROR(CONCATENATE(SUMIF(INDIRECT("'"&amp;Assemblies[Assy]&amp;"'!"&amp;"C$5:C1000"), $E202, INDIRECT("'"&amp;Assemblies[Assy]&amp;"'!"&amp;"O$5:O1000")), "x",Assemblies[Assy],".",IF(SUMIF(INDIRECT("'"&amp;Assemblies[Assy]&amp;"'!"&amp;"C$5:C1000"), $E202, INDIRECT("'"&amp;Assemblies[Assy]&amp;"'!"&amp;"B$5:B1000"))=0,NA(),SUMIF(INDIRECT("'"&amp;Assemblies[Assy]&amp;"'!"&amp;"C$5:C1000"), $E202, INDIRECT("'"&amp;Assemblies[Assy]&amp;"'!"&amp;"A$5:A1000")))),"")), " ,", ""))</f>
        <v>, 2x7.1.0,</v>
      </c>
      <c r="I202" s="287" t="s">
        <v>1473</v>
      </c>
      <c r="J202" s="252" t="str">
        <f>Assemblies[[#This Row],[Assy]]</f>
        <v>7.1.3</v>
      </c>
    </row>
    <row r="203" spans="1:10" x14ac:dyDescent="0.25">
      <c r="A203" t="str">
        <f ca="1">'PG10'!$E$2</f>
        <v>PG10</v>
      </c>
      <c r="B203" s="202" t="s">
        <v>1830</v>
      </c>
      <c r="C203" s="24" t="s">
        <v>1470</v>
      </c>
      <c r="D203" s="134" t="s">
        <v>54</v>
      </c>
      <c r="E203" t="str">
        <f t="shared" ca="1" si="3"/>
        <v>PG10.7.1.4.0.A</v>
      </c>
      <c r="F203" t="s">
        <v>1831</v>
      </c>
      <c r="G203" s="19" cm="1">
        <f t="array" aca="1" ref="G203" ca="1">SUMPRODUCT(SUMIF(INDIRECT("'"&amp;Assemblies[Assy]&amp;"'!"&amp;"C5:C1000"),E203,(INDIRECT("'"&amp;Assemblies[Assy]&amp;"'!"&amp;"O5:O1000"))))</f>
        <v>2</v>
      </c>
      <c r="H203" t="str" cm="1">
        <f t="array" aca="1" ref="H203" ca="1">TRIM(SUBSTITUTE(_xlfn.ARRAYTOTEXT(IFERROR(CONCATENATE(SUMIF(INDIRECT("'"&amp;Assemblies[Assy]&amp;"'!"&amp;"C$5:C1000"), $E203, INDIRECT("'"&amp;Assemblies[Assy]&amp;"'!"&amp;"O$5:O1000")), "x",Assemblies[Assy],".",IF(SUMIF(INDIRECT("'"&amp;Assemblies[Assy]&amp;"'!"&amp;"C$5:C1000"), $E203, INDIRECT("'"&amp;Assemblies[Assy]&amp;"'!"&amp;"B$5:B1000"))=0,NA(),SUMIF(INDIRECT("'"&amp;Assemblies[Assy]&amp;"'!"&amp;"C$5:C1000"), $E203, INDIRECT("'"&amp;Assemblies[Assy]&amp;"'!"&amp;"A$5:A1000")))),"")), " ,", ""))</f>
        <v>, 2x7.1.0,</v>
      </c>
      <c r="I203" s="287" t="s">
        <v>1473</v>
      </c>
      <c r="J203" s="252" t="str">
        <f>Assemblies[[#This Row],[Assy]]</f>
        <v>7.1.4</v>
      </c>
    </row>
    <row r="204" spans="1:10" x14ac:dyDescent="0.25">
      <c r="A204" t="str">
        <f ca="1">'PG10'!$E$2</f>
        <v>PG10</v>
      </c>
      <c r="B204" s="202" t="s">
        <v>1832</v>
      </c>
      <c r="C204" s="24" t="s">
        <v>1470</v>
      </c>
      <c r="D204" s="134" t="s">
        <v>54</v>
      </c>
      <c r="E204" t="str">
        <f t="shared" ca="1" si="3"/>
        <v>PG10.7.1.5.0.A</v>
      </c>
      <c r="F204" t="s">
        <v>1833</v>
      </c>
      <c r="G204" s="19" cm="1">
        <f t="array" aca="1" ref="G204" ca="1">SUMPRODUCT(SUMIF(INDIRECT("'"&amp;Assemblies[Assy]&amp;"'!"&amp;"C5:C1000"),E204,(INDIRECT("'"&amp;Assemblies[Assy]&amp;"'!"&amp;"O5:O1000"))))</f>
        <v>6</v>
      </c>
      <c r="H204" t="str" cm="1">
        <f t="array" aca="1" ref="H204" ca="1">TRIM(SUBSTITUTE(_xlfn.ARRAYTOTEXT(IFERROR(CONCATENATE(SUMIF(INDIRECT("'"&amp;Assemblies[Assy]&amp;"'!"&amp;"C$5:C1000"), $E204, INDIRECT("'"&amp;Assemblies[Assy]&amp;"'!"&amp;"O$5:O1000")), "x",Assemblies[Assy],".",IF(SUMIF(INDIRECT("'"&amp;Assemblies[Assy]&amp;"'!"&amp;"C$5:C1000"), $E204, INDIRECT("'"&amp;Assemblies[Assy]&amp;"'!"&amp;"B$5:B1000"))=0,NA(),SUMIF(INDIRECT("'"&amp;Assemblies[Assy]&amp;"'!"&amp;"C$5:C1000"), $E204, INDIRECT("'"&amp;Assemblies[Assy]&amp;"'!"&amp;"A$5:A1000")))),"")), " ,", ""))</f>
        <v>, 6x7.1.0,</v>
      </c>
      <c r="I204" s="287" t="s">
        <v>1473</v>
      </c>
      <c r="J204" s="252" t="str">
        <f>Assemblies[[#This Row],[Assy]]</f>
        <v>7.1.5</v>
      </c>
    </row>
    <row r="205" spans="1:10" x14ac:dyDescent="0.25">
      <c r="A205" t="str">
        <f ca="1">'PG10'!$E$2</f>
        <v>PG10</v>
      </c>
      <c r="B205" s="196">
        <v>7.2</v>
      </c>
      <c r="C205" s="24" t="s">
        <v>1470</v>
      </c>
      <c r="D205" s="134" t="s">
        <v>54</v>
      </c>
      <c r="E205" t="str">
        <f t="shared" ca="1" si="3"/>
        <v>PG10.7.2.0.A</v>
      </c>
      <c r="F205" t="s">
        <v>1834</v>
      </c>
      <c r="G205" s="19" cm="1">
        <f t="array" aca="1" ref="G205" ca="1">SUMPRODUCT(SUMIF(INDIRECT("'"&amp;Assemblies[Assy]&amp;"'!"&amp;"C5:C1000"),E205,(INDIRECT("'"&amp;Assemblies[Assy]&amp;"'!"&amp;"O5:O1000"))))</f>
        <v>1</v>
      </c>
      <c r="H205" t="str" cm="1">
        <f t="array" aca="1" ref="H205" ca="1">TRIM(SUBSTITUTE(_xlfn.ARRAYTOTEXT(IFERROR(CONCATENATE(SUMIF(INDIRECT("'"&amp;Assemblies[Assy]&amp;"'!"&amp;"C$5:C1000"), $E205, INDIRECT("'"&amp;Assemblies[Assy]&amp;"'!"&amp;"O$5:O1000")), "x",Assemblies[Assy],".",IF(SUMIF(INDIRECT("'"&amp;Assemblies[Assy]&amp;"'!"&amp;"C$5:C1000"), $E205, INDIRECT("'"&amp;Assemblies[Assy]&amp;"'!"&amp;"B$5:B1000"))=0,NA(),SUMIF(INDIRECT("'"&amp;Assemblies[Assy]&amp;"'!"&amp;"C$5:C1000"), $E205, INDIRECT("'"&amp;Assemblies[Assy]&amp;"'!"&amp;"A$5:A1000")))),"")), " ,", ""))</f>
        <v>, 1x7.0,</v>
      </c>
      <c r="I205" s="287" t="s">
        <v>1473</v>
      </c>
      <c r="J205" s="253">
        <f>Assemblies[[#This Row],[Assy]]</f>
        <v>7.2</v>
      </c>
    </row>
    <row r="206" spans="1:10" x14ac:dyDescent="0.25">
      <c r="A206" t="str">
        <f ca="1">'PG10'!$E$2</f>
        <v>PG10</v>
      </c>
      <c r="B206" s="202" t="s">
        <v>1835</v>
      </c>
      <c r="C206" s="24" t="s">
        <v>1470</v>
      </c>
      <c r="D206" s="134" t="s">
        <v>54</v>
      </c>
      <c r="E206" t="str">
        <f t="shared" ca="1" si="3"/>
        <v>PG10.7.2.1.0.A</v>
      </c>
      <c r="F206" t="s">
        <v>1836</v>
      </c>
      <c r="G206" s="19" cm="1">
        <f t="array" aca="1" ref="G206" ca="1">SUMPRODUCT(SUMIF(INDIRECT("'"&amp;Assemblies[Assy]&amp;"'!"&amp;"C5:C1000"),E206,(INDIRECT("'"&amp;Assemblies[Assy]&amp;"'!"&amp;"O5:O1000"))))</f>
        <v>6</v>
      </c>
      <c r="H206" t="str" cm="1">
        <f t="array" aca="1" ref="H206" ca="1">TRIM(SUBSTITUTE(_xlfn.ARRAYTOTEXT(IFERROR(CONCATENATE(SUMIF(INDIRECT("'"&amp;Assemblies[Assy]&amp;"'!"&amp;"C$5:C1000"), $E206, INDIRECT("'"&amp;Assemblies[Assy]&amp;"'!"&amp;"O$5:O1000")), "x",Assemblies[Assy],".",IF(SUMIF(INDIRECT("'"&amp;Assemblies[Assy]&amp;"'!"&amp;"C$5:C1000"), $E206, INDIRECT("'"&amp;Assemblies[Assy]&amp;"'!"&amp;"B$5:B1000"))=0,NA(),SUMIF(INDIRECT("'"&amp;Assemblies[Assy]&amp;"'!"&amp;"C$5:C1000"), $E206, INDIRECT("'"&amp;Assemblies[Assy]&amp;"'!"&amp;"A$5:A1000")))),"")), " ,", ""))</f>
        <v>, 1x7.2.0, 1x7.3.0, 1x7.4.0, 1x7.5.0, 1x7.6.0, 1x7.7.0,</v>
      </c>
      <c r="I206" s="287" t="s">
        <v>1473</v>
      </c>
      <c r="J206" s="253" t="str">
        <f>Assemblies[[#This Row],[Assy]]</f>
        <v>7.2.1</v>
      </c>
    </row>
    <row r="207" spans="1:10" x14ac:dyDescent="0.25">
      <c r="A207" t="str">
        <f ca="1">'PG10'!$E$2</f>
        <v>PG10</v>
      </c>
      <c r="B207" s="202" t="s">
        <v>1837</v>
      </c>
      <c r="C207" s="24" t="s">
        <v>1470</v>
      </c>
      <c r="D207" s="134" t="s">
        <v>54</v>
      </c>
      <c r="E207" t="str">
        <f t="shared" ca="1" si="3"/>
        <v>PG10.7.2.10.0.A</v>
      </c>
      <c r="F207" t="s">
        <v>1838</v>
      </c>
      <c r="G207" s="19" cm="1">
        <f t="array" aca="1" ref="G207" ca="1">SUMPRODUCT(SUMIF(INDIRECT("'"&amp;Assemblies[Assy]&amp;"'!"&amp;"C5:C1000"),E207,(INDIRECT("'"&amp;Assemblies[Assy]&amp;"'!"&amp;"O5:O1000"))))</f>
        <v>2</v>
      </c>
      <c r="H207" t="str" cm="1">
        <f t="array" aca="1" ref="H207" ca="1">TRIM(SUBSTITUTE(_xlfn.ARRAYTOTEXT(IFERROR(CONCATENATE(SUMIF(INDIRECT("'"&amp;Assemblies[Assy]&amp;"'!"&amp;"C$5:C1000"), $E207, INDIRECT("'"&amp;Assemblies[Assy]&amp;"'!"&amp;"O$5:O1000")), "x",Assemblies[Assy],".",IF(SUMIF(INDIRECT("'"&amp;Assemblies[Assy]&amp;"'!"&amp;"C$5:C1000"), $E207, INDIRECT("'"&amp;Assemblies[Assy]&amp;"'!"&amp;"B$5:B1000"))=0,NA(),SUMIF(INDIRECT("'"&amp;Assemblies[Assy]&amp;"'!"&amp;"C$5:C1000"), $E207, INDIRECT("'"&amp;Assemblies[Assy]&amp;"'!"&amp;"A$5:A1000")))),"")), " ,", ""))</f>
        <v>, 1x7.2.0, 1x7.4.0,</v>
      </c>
      <c r="I207" s="287" t="s">
        <v>1473</v>
      </c>
      <c r="J207" s="253" t="str">
        <f>Assemblies[[#This Row],[Assy]]</f>
        <v>7.2.10</v>
      </c>
    </row>
    <row r="208" spans="1:10" x14ac:dyDescent="0.25">
      <c r="A208" t="str">
        <f ca="1">'PG10'!$E$2</f>
        <v>PG10</v>
      </c>
      <c r="B208" s="202" t="s">
        <v>1839</v>
      </c>
      <c r="C208" s="24" t="s">
        <v>1470</v>
      </c>
      <c r="D208" s="134" t="s">
        <v>54</v>
      </c>
      <c r="E208" t="str">
        <f t="shared" ca="1" si="3"/>
        <v>PG10.7.2.2.0.A</v>
      </c>
      <c r="F208" t="s">
        <v>1840</v>
      </c>
      <c r="G208" s="19" cm="1">
        <f t="array" aca="1" ref="G208" ca="1">SUMPRODUCT(SUMIF(INDIRECT("'"&amp;Assemblies[Assy]&amp;"'!"&amp;"C5:C1000"),E208,(INDIRECT("'"&amp;Assemblies[Assy]&amp;"'!"&amp;"O5:O1000"))))</f>
        <v>3</v>
      </c>
      <c r="H208" t="str" cm="1">
        <f t="array" aca="1" ref="H208" ca="1">TRIM(SUBSTITUTE(_xlfn.ARRAYTOTEXT(IFERROR(CONCATENATE(SUMIF(INDIRECT("'"&amp;Assemblies[Assy]&amp;"'!"&amp;"C$5:C1000"), $E208, INDIRECT("'"&amp;Assemblies[Assy]&amp;"'!"&amp;"O$5:O1000")), "x",Assemblies[Assy],".",IF(SUMIF(INDIRECT("'"&amp;Assemblies[Assy]&amp;"'!"&amp;"C$5:C1000"), $E208, INDIRECT("'"&amp;Assemblies[Assy]&amp;"'!"&amp;"B$5:B1000"))=0,NA(),SUMIF(INDIRECT("'"&amp;Assemblies[Assy]&amp;"'!"&amp;"C$5:C1000"), $E208, INDIRECT("'"&amp;Assemblies[Assy]&amp;"'!"&amp;"A$5:A1000")))),"")), " ,", ""))</f>
        <v>, 1x7.2.0, 1x7.4.0, 1x7.6.0,</v>
      </c>
      <c r="I208" s="287" t="s">
        <v>1473</v>
      </c>
      <c r="J208" s="253" t="str">
        <f>Assemblies[[#This Row],[Assy]]</f>
        <v>7.2.2</v>
      </c>
    </row>
    <row r="209" spans="1:10" x14ac:dyDescent="0.25">
      <c r="A209" t="str">
        <f ca="1">'PG10'!$E$2</f>
        <v>PG10</v>
      </c>
      <c r="B209" s="202" t="s">
        <v>1841</v>
      </c>
      <c r="C209" s="24" t="s">
        <v>1470</v>
      </c>
      <c r="D209" s="134" t="s">
        <v>54</v>
      </c>
      <c r="E209" t="str">
        <f t="shared" ca="1" si="3"/>
        <v>PG10.7.2.3.0.A</v>
      </c>
      <c r="F209" t="s">
        <v>1842</v>
      </c>
      <c r="G209" s="19" cm="1">
        <f t="array" aca="1" ref="G209" ca="1">SUMPRODUCT(SUMIF(INDIRECT("'"&amp;Assemblies[Assy]&amp;"'!"&amp;"C5:C1000"),E209,(INDIRECT("'"&amp;Assemblies[Assy]&amp;"'!"&amp;"O5:O1000"))))</f>
        <v>2</v>
      </c>
      <c r="H209" t="str" cm="1">
        <f t="array" aca="1" ref="H209" ca="1">TRIM(SUBSTITUTE(_xlfn.ARRAYTOTEXT(IFERROR(CONCATENATE(SUMIF(INDIRECT("'"&amp;Assemblies[Assy]&amp;"'!"&amp;"C$5:C1000"), $E209, INDIRECT("'"&amp;Assemblies[Assy]&amp;"'!"&amp;"O$5:O1000")), "x",Assemblies[Assy],".",IF(SUMIF(INDIRECT("'"&amp;Assemblies[Assy]&amp;"'!"&amp;"C$5:C1000"), $E209, INDIRECT("'"&amp;Assemblies[Assy]&amp;"'!"&amp;"B$5:B1000"))=0,NA(),SUMIF(INDIRECT("'"&amp;Assemblies[Assy]&amp;"'!"&amp;"C$5:C1000"), $E209, INDIRECT("'"&amp;Assemblies[Assy]&amp;"'!"&amp;"A$5:A1000")))),"")), " ,", ""))</f>
        <v>, 1x7.2.0, 1x7.4.0,</v>
      </c>
      <c r="I209" s="287" t="s">
        <v>1473</v>
      </c>
      <c r="J209" s="253" t="str">
        <f>Assemblies[[#This Row],[Assy]]</f>
        <v>7.2.3</v>
      </c>
    </row>
    <row r="210" spans="1:10" x14ac:dyDescent="0.25">
      <c r="A210" t="str">
        <f ca="1">'PG10'!$E$2</f>
        <v>PG10</v>
      </c>
      <c r="B210" s="202" t="s">
        <v>1843</v>
      </c>
      <c r="C210" s="24" t="s">
        <v>1470</v>
      </c>
      <c r="D210" s="134" t="s">
        <v>54</v>
      </c>
      <c r="E210" t="str">
        <f t="shared" ca="1" si="3"/>
        <v>PG10.7.2.4.0.A</v>
      </c>
      <c r="F210" t="s">
        <v>1844</v>
      </c>
      <c r="G210" s="19" cm="1">
        <f t="array" aca="1" ref="G210" ca="1">SUMPRODUCT(SUMIF(INDIRECT("'"&amp;Assemblies[Assy]&amp;"'!"&amp;"C5:C1000"),E210,(INDIRECT("'"&amp;Assemblies[Assy]&amp;"'!"&amp;"O5:O1000"))))</f>
        <v>12</v>
      </c>
      <c r="H210" t="str" cm="1">
        <f t="array" aca="1" ref="H210" ca="1">TRIM(SUBSTITUTE(_xlfn.ARRAYTOTEXT(IFERROR(CONCATENATE(SUMIF(INDIRECT("'"&amp;Assemblies[Assy]&amp;"'!"&amp;"C$5:C1000"), $E210, INDIRECT("'"&amp;Assemblies[Assy]&amp;"'!"&amp;"O$5:O1000")), "x",Assemblies[Assy],".",IF(SUMIF(INDIRECT("'"&amp;Assemblies[Assy]&amp;"'!"&amp;"C$5:C1000"), $E210, INDIRECT("'"&amp;Assemblies[Assy]&amp;"'!"&amp;"B$5:B1000"))=0,NA(),SUMIF(INDIRECT("'"&amp;Assemblies[Assy]&amp;"'!"&amp;"C$5:C1000"), $E210, INDIRECT("'"&amp;Assemblies[Assy]&amp;"'!"&amp;"A$5:A1000")))),"")), " ,", ""))</f>
        <v>, 2x7.2.0, 2x7.3.0, 2x7.4.0, 2x7.5.0, 2x7.6.0, 2x7.7.0,</v>
      </c>
      <c r="I210" s="287" t="s">
        <v>1473</v>
      </c>
      <c r="J210" s="253" t="str">
        <f>Assemblies[[#This Row],[Assy]]</f>
        <v>7.2.4</v>
      </c>
    </row>
    <row r="211" spans="1:10" x14ac:dyDescent="0.25">
      <c r="A211" t="str">
        <f ca="1">'PG10'!$E$2</f>
        <v>PG10</v>
      </c>
      <c r="B211" s="202" t="s">
        <v>1845</v>
      </c>
      <c r="C211" s="24" t="s">
        <v>1470</v>
      </c>
      <c r="D211" s="134" t="s">
        <v>54</v>
      </c>
      <c r="E211" t="str">
        <f t="shared" ca="1" si="3"/>
        <v>PG10.7.2.5.0.A</v>
      </c>
      <c r="F211" t="s">
        <v>1846</v>
      </c>
      <c r="G211" s="19" cm="1">
        <f t="array" aca="1" ref="G211" ca="1">SUMPRODUCT(SUMIF(INDIRECT("'"&amp;Assemblies[Assy]&amp;"'!"&amp;"C5:C1000"),E211,(INDIRECT("'"&amp;Assemblies[Assy]&amp;"'!"&amp;"O5:O1000"))))</f>
        <v>16</v>
      </c>
      <c r="H211" t="str" cm="1">
        <f t="array" aca="1" ref="H211" ca="1">TRIM(SUBSTITUTE(_xlfn.ARRAYTOTEXT(IFERROR(CONCATENATE(SUMIF(INDIRECT("'"&amp;Assemblies[Assy]&amp;"'!"&amp;"C$5:C1000"), $E211, INDIRECT("'"&amp;Assemblies[Assy]&amp;"'!"&amp;"O$5:O1000")), "x",Assemblies[Assy],".",IF(SUMIF(INDIRECT("'"&amp;Assemblies[Assy]&amp;"'!"&amp;"C$5:C1000"), $E211, INDIRECT("'"&amp;Assemblies[Assy]&amp;"'!"&amp;"B$5:B1000"))=0,NA(),SUMIF(INDIRECT("'"&amp;Assemblies[Assy]&amp;"'!"&amp;"C$5:C1000"), $E211, INDIRECT("'"&amp;Assemblies[Assy]&amp;"'!"&amp;"A$5:A1000")))),"")), " ,", ""))</f>
        <v>, 2x7.2.0, 2x7.3.0, 2x7.4.0, 2x7.5.0, 2x7.6.0, 2x7.7.0, 2x8.1.0, 2x8.2.0,</v>
      </c>
      <c r="I211" s="287" t="s">
        <v>1473</v>
      </c>
      <c r="J211" s="253" t="str">
        <f>Assemblies[[#This Row],[Assy]]</f>
        <v>7.2.5</v>
      </c>
    </row>
    <row r="212" spans="1:10" x14ac:dyDescent="0.25">
      <c r="A212" t="str">
        <f ca="1">'PG10'!$E$2</f>
        <v>PG10</v>
      </c>
      <c r="B212" s="202" t="s">
        <v>1847</v>
      </c>
      <c r="C212" s="24" t="s">
        <v>1470</v>
      </c>
      <c r="D212" s="134" t="s">
        <v>54</v>
      </c>
      <c r="E212" t="str">
        <f t="shared" ca="1" si="3"/>
        <v>PG10.7.2.6.0.A</v>
      </c>
      <c r="F212" t="s">
        <v>1848</v>
      </c>
      <c r="G212" s="19" cm="1">
        <f t="array" aca="1" ref="G212" ca="1">SUMPRODUCT(SUMIF(INDIRECT("'"&amp;Assemblies[Assy]&amp;"'!"&amp;"C5:C1000"),E212,(INDIRECT("'"&amp;Assemblies[Assy]&amp;"'!"&amp;"O5:O1000"))))</f>
        <v>4</v>
      </c>
      <c r="H212" t="str" cm="1">
        <f t="array" aca="1" ref="H212" ca="1">TRIM(SUBSTITUTE(_xlfn.ARRAYTOTEXT(IFERROR(CONCATENATE(SUMIF(INDIRECT("'"&amp;Assemblies[Assy]&amp;"'!"&amp;"C$5:C1000"), $E212, INDIRECT("'"&amp;Assemblies[Assy]&amp;"'!"&amp;"O$5:O1000")), "x",Assemblies[Assy],".",IF(SUMIF(INDIRECT("'"&amp;Assemblies[Assy]&amp;"'!"&amp;"C$5:C1000"), $E212, INDIRECT("'"&amp;Assemblies[Assy]&amp;"'!"&amp;"B$5:B1000"))=0,NA(),SUMIF(INDIRECT("'"&amp;Assemblies[Assy]&amp;"'!"&amp;"C$5:C1000"), $E212, INDIRECT("'"&amp;Assemblies[Assy]&amp;"'!"&amp;"A$5:A1000")))),"")), " ,", ""))</f>
        <v>, 1x7.2.0, 1x7.3.0, 1x7.4.0, 1x7.5.0,</v>
      </c>
      <c r="I212" s="287" t="s">
        <v>1473</v>
      </c>
      <c r="J212" s="253" t="str">
        <f>Assemblies[[#This Row],[Assy]]</f>
        <v>7.2.6</v>
      </c>
    </row>
    <row r="213" spans="1:10" x14ac:dyDescent="0.25">
      <c r="A213" t="str">
        <f ca="1">'PG10'!$E$2</f>
        <v>PG10</v>
      </c>
      <c r="B213" s="202" t="s">
        <v>1849</v>
      </c>
      <c r="C213" s="24" t="s">
        <v>1470</v>
      </c>
      <c r="D213" s="134" t="s">
        <v>54</v>
      </c>
      <c r="E213" t="str">
        <f t="shared" ca="1" si="3"/>
        <v>PG10.7.2.7.0.A</v>
      </c>
      <c r="F213" t="s">
        <v>1850</v>
      </c>
      <c r="G213" s="19" cm="1">
        <f t="array" aca="1" ref="G213" ca="1">SUMPRODUCT(SUMIF(INDIRECT("'"&amp;Assemblies[Assy]&amp;"'!"&amp;"C5:C1000"),E213,(INDIRECT("'"&amp;Assemblies[Assy]&amp;"'!"&amp;"O5:O1000"))))</f>
        <v>6</v>
      </c>
      <c r="H213" t="str" cm="1">
        <f t="array" aca="1" ref="H213" ca="1">TRIM(SUBSTITUTE(_xlfn.ARRAYTOTEXT(IFERROR(CONCATENATE(SUMIF(INDIRECT("'"&amp;Assemblies[Assy]&amp;"'!"&amp;"C$5:C1000"), $E213, INDIRECT("'"&amp;Assemblies[Assy]&amp;"'!"&amp;"O$5:O1000")), "x",Assemblies[Assy],".",IF(SUMIF(INDIRECT("'"&amp;Assemblies[Assy]&amp;"'!"&amp;"C$5:C1000"), $E213, INDIRECT("'"&amp;Assemblies[Assy]&amp;"'!"&amp;"B$5:B1000"))=0,NA(),SUMIF(INDIRECT("'"&amp;Assemblies[Assy]&amp;"'!"&amp;"C$5:C1000"), $E213, INDIRECT("'"&amp;Assemblies[Assy]&amp;"'!"&amp;"A$5:A1000")))),"")), " ,", ""))</f>
        <v>, 1x7.2.0, 1x7.3.0, 1x7.4.0, 1x7.5.0, 1x7.6.0, 1x7.7.0,</v>
      </c>
      <c r="I213" s="287" t="s">
        <v>1473</v>
      </c>
      <c r="J213" s="253" t="str">
        <f>Assemblies[[#This Row],[Assy]]</f>
        <v>7.2.7</v>
      </c>
    </row>
    <row r="214" spans="1:10" x14ac:dyDescent="0.25">
      <c r="A214" t="str">
        <f ca="1">'PG10'!$E$2</f>
        <v>PG10</v>
      </c>
      <c r="B214" s="202" t="s">
        <v>1851</v>
      </c>
      <c r="C214" s="24" t="s">
        <v>1470</v>
      </c>
      <c r="D214" s="134" t="s">
        <v>54</v>
      </c>
      <c r="E214" t="str">
        <f t="shared" ca="1" si="3"/>
        <v>PG10.7.2.8.0.A</v>
      </c>
      <c r="F214" t="s">
        <v>1852</v>
      </c>
      <c r="G214" s="19" cm="1">
        <f t="array" aca="1" ref="G214" ca="1">SUMPRODUCT(SUMIF(INDIRECT("'"&amp;Assemblies[Assy]&amp;"'!"&amp;"C5:C1000"),E214,(INDIRECT("'"&amp;Assemblies[Assy]&amp;"'!"&amp;"O5:O1000"))))</f>
        <v>12</v>
      </c>
      <c r="H214" t="str" cm="1">
        <f t="array" aca="1" ref="H214" ca="1">TRIM(SUBSTITUTE(_xlfn.ARRAYTOTEXT(IFERROR(CONCATENATE(SUMIF(INDIRECT("'"&amp;Assemblies[Assy]&amp;"'!"&amp;"C$5:C1000"), $E214, INDIRECT("'"&amp;Assemblies[Assy]&amp;"'!"&amp;"O$5:O1000")), "x",Assemblies[Assy],".",IF(SUMIF(INDIRECT("'"&amp;Assemblies[Assy]&amp;"'!"&amp;"C$5:C1000"), $E214, INDIRECT("'"&amp;Assemblies[Assy]&amp;"'!"&amp;"B$5:B1000"))=0,NA(),SUMIF(INDIRECT("'"&amp;Assemblies[Assy]&amp;"'!"&amp;"C$5:C1000"), $E214, INDIRECT("'"&amp;Assemblies[Assy]&amp;"'!"&amp;"A$5:A1000")))),"")), " ,", ""))</f>
        <v>, 2x7.2.0, 2x7.3.0, 2x7.4.0, 2x7.5.0, 2x7.6.0, 2x7.7.0,</v>
      </c>
      <c r="I214" s="287" t="s">
        <v>1473</v>
      </c>
      <c r="J214" s="253" t="str">
        <f>Assemblies[[#This Row],[Assy]]</f>
        <v>7.2.8</v>
      </c>
    </row>
    <row r="215" spans="1:10" x14ac:dyDescent="0.25">
      <c r="A215" t="str">
        <f ca="1">'PG10'!$E$2</f>
        <v>PG10</v>
      </c>
      <c r="B215" s="202" t="s">
        <v>1853</v>
      </c>
      <c r="C215" s="24" t="s">
        <v>1470</v>
      </c>
      <c r="D215" s="134" t="s">
        <v>54</v>
      </c>
      <c r="E215" t="str">
        <f t="shared" ca="1" si="3"/>
        <v>PG10.7.2.9.0.A</v>
      </c>
      <c r="F215" t="s">
        <v>1854</v>
      </c>
      <c r="G215" s="19" cm="1">
        <f t="array" aca="1" ref="G215" ca="1">SUMPRODUCT(SUMIF(INDIRECT("'"&amp;Assemblies[Assy]&amp;"'!"&amp;"C5:C1000"),E215,(INDIRECT("'"&amp;Assemblies[Assy]&amp;"'!"&amp;"O5:O1000"))))</f>
        <v>12</v>
      </c>
      <c r="H215" t="str" cm="1">
        <f t="array" aca="1" ref="H215" ca="1">TRIM(SUBSTITUTE(_xlfn.ARRAYTOTEXT(IFERROR(CONCATENATE(SUMIF(INDIRECT("'"&amp;Assemblies[Assy]&amp;"'!"&amp;"C$5:C1000"), $E215, INDIRECT("'"&amp;Assemblies[Assy]&amp;"'!"&amp;"O$5:O1000")), "x",Assemblies[Assy],".",IF(SUMIF(INDIRECT("'"&amp;Assemblies[Assy]&amp;"'!"&amp;"C$5:C1000"), $E215, INDIRECT("'"&amp;Assemblies[Assy]&amp;"'!"&amp;"B$5:B1000"))=0,NA(),SUMIF(INDIRECT("'"&amp;Assemblies[Assy]&amp;"'!"&amp;"C$5:C1000"), $E215, INDIRECT("'"&amp;Assemblies[Assy]&amp;"'!"&amp;"A$5:A1000")))),"")), " ,", ""))</f>
        <v>, 2x7.2.0, 2x7.3.0, 2x7.4.0, 2x7.5.0, 2x7.6.0, 2x7.7.0,</v>
      </c>
      <c r="I215" s="287" t="s">
        <v>1473</v>
      </c>
      <c r="J215" s="253" t="str">
        <f>Assemblies[[#This Row],[Assy]]</f>
        <v>7.2.9</v>
      </c>
    </row>
    <row r="216" spans="1:10" x14ac:dyDescent="0.25">
      <c r="A216" t="str">
        <f ca="1">'PG10'!$E$2</f>
        <v>PG10</v>
      </c>
      <c r="B216" s="196">
        <v>7.3</v>
      </c>
      <c r="C216" s="24" t="s">
        <v>1470</v>
      </c>
      <c r="D216" s="134" t="s">
        <v>54</v>
      </c>
      <c r="E216" t="str">
        <f t="shared" ca="1" si="3"/>
        <v>PG10.7.3.0.A</v>
      </c>
      <c r="F216" t="s">
        <v>1855</v>
      </c>
      <c r="G216" s="19" cm="1">
        <f t="array" aca="1" ref="G216" ca="1">SUMPRODUCT(SUMIF(INDIRECT("'"&amp;Assemblies[Assy]&amp;"'!"&amp;"C5:C1000"),E216,(INDIRECT("'"&amp;Assemblies[Assy]&amp;"'!"&amp;"O5:O1000"))))</f>
        <v>1</v>
      </c>
      <c r="H216" t="str" cm="1">
        <f t="array" aca="1" ref="H216" ca="1">TRIM(SUBSTITUTE(_xlfn.ARRAYTOTEXT(IFERROR(CONCATENATE(SUMIF(INDIRECT("'"&amp;Assemblies[Assy]&amp;"'!"&amp;"C$5:C1000"), $E216, INDIRECT("'"&amp;Assemblies[Assy]&amp;"'!"&amp;"O$5:O1000")), "x",Assemblies[Assy],".",IF(SUMIF(INDIRECT("'"&amp;Assemblies[Assy]&amp;"'!"&amp;"C$5:C1000"), $E216, INDIRECT("'"&amp;Assemblies[Assy]&amp;"'!"&amp;"B$5:B1000"))=0,NA(),SUMIF(INDIRECT("'"&amp;Assemblies[Assy]&amp;"'!"&amp;"C$5:C1000"), $E216, INDIRECT("'"&amp;Assemblies[Assy]&amp;"'!"&amp;"A$5:A1000")))),"")), " ,", ""))</f>
        <v>, 1x7.0,</v>
      </c>
      <c r="I216" s="287" t="s">
        <v>1473</v>
      </c>
      <c r="J216" s="254">
        <f>Assemblies[[#This Row],[Assy]]</f>
        <v>7.3</v>
      </c>
    </row>
    <row r="217" spans="1:10" x14ac:dyDescent="0.25">
      <c r="A217" t="str">
        <f ca="1">'PG10'!$E$2</f>
        <v>PG10</v>
      </c>
      <c r="B217" s="202" t="s">
        <v>1856</v>
      </c>
      <c r="C217" s="24" t="s">
        <v>1470</v>
      </c>
      <c r="D217" s="134" t="s">
        <v>54</v>
      </c>
      <c r="E217" t="str">
        <f t="shared" ca="1" si="3"/>
        <v>PG10.7.3.1.0.A</v>
      </c>
      <c r="F217" t="s">
        <v>1857</v>
      </c>
      <c r="G217" s="19" cm="1">
        <f t="array" aca="1" ref="G217" ca="1">SUMPRODUCT(SUMIF(INDIRECT("'"&amp;Assemblies[Assy]&amp;"'!"&amp;"C5:C1000"),E217,(INDIRECT("'"&amp;Assemblies[Assy]&amp;"'!"&amp;"O5:O1000"))))</f>
        <v>3</v>
      </c>
      <c r="H217" t="str" cm="1">
        <f t="array" aca="1" ref="H217" ca="1">TRIM(SUBSTITUTE(_xlfn.ARRAYTOTEXT(IFERROR(CONCATENATE(SUMIF(INDIRECT("'"&amp;Assemblies[Assy]&amp;"'!"&amp;"C$5:C1000"), $E217, INDIRECT("'"&amp;Assemblies[Assy]&amp;"'!"&amp;"O$5:O1000")), "x",Assemblies[Assy],".",IF(SUMIF(INDIRECT("'"&amp;Assemblies[Assy]&amp;"'!"&amp;"C$5:C1000"), $E217, INDIRECT("'"&amp;Assemblies[Assy]&amp;"'!"&amp;"B$5:B1000"))=0,NA(),SUMIF(INDIRECT("'"&amp;Assemblies[Assy]&amp;"'!"&amp;"C$5:C1000"), $E217, INDIRECT("'"&amp;Assemblies[Assy]&amp;"'!"&amp;"A$5:A1000")))),"")), " ,", ""))</f>
        <v>, 1x7.3.0, 1x7.5.0, 1x7.7.0,</v>
      </c>
      <c r="I217" s="287" t="s">
        <v>1473</v>
      </c>
      <c r="J217" s="254" t="str">
        <f>Assemblies[[#This Row],[Assy]]</f>
        <v>7.3.1</v>
      </c>
    </row>
    <row r="218" spans="1:10" x14ac:dyDescent="0.25">
      <c r="A218" t="str">
        <f ca="1">'PG10'!$E$2</f>
        <v>PG10</v>
      </c>
      <c r="B218" s="202" t="s">
        <v>1858</v>
      </c>
      <c r="C218" s="24" t="s">
        <v>1470</v>
      </c>
      <c r="D218" s="134" t="s">
        <v>54</v>
      </c>
      <c r="E218" t="str">
        <f t="shared" ca="1" si="3"/>
        <v>PG10.7.3.2.0.A</v>
      </c>
      <c r="F218" t="s">
        <v>1859</v>
      </c>
      <c r="G218" s="19" cm="1">
        <f t="array" aca="1" ref="G218" ca="1">SUMPRODUCT(SUMIF(INDIRECT("'"&amp;Assemblies[Assy]&amp;"'!"&amp;"C5:C1000"),E218,(INDIRECT("'"&amp;Assemblies[Assy]&amp;"'!"&amp;"O5:O1000"))))</f>
        <v>2</v>
      </c>
      <c r="H218" t="str" cm="1">
        <f t="array" aca="1" ref="H218" ca="1">TRIM(SUBSTITUTE(_xlfn.ARRAYTOTEXT(IFERROR(CONCATENATE(SUMIF(INDIRECT("'"&amp;Assemblies[Assy]&amp;"'!"&amp;"C$5:C1000"), $E218, INDIRECT("'"&amp;Assemblies[Assy]&amp;"'!"&amp;"O$5:O1000")), "x",Assemblies[Assy],".",IF(SUMIF(INDIRECT("'"&amp;Assemblies[Assy]&amp;"'!"&amp;"C$5:C1000"), $E218, INDIRECT("'"&amp;Assemblies[Assy]&amp;"'!"&amp;"B$5:B1000"))=0,NA(),SUMIF(INDIRECT("'"&amp;Assemblies[Assy]&amp;"'!"&amp;"C$5:C1000"), $E218, INDIRECT("'"&amp;Assemblies[Assy]&amp;"'!"&amp;"A$5:A1000")))),"")), " ,", ""))</f>
        <v>, 1x7.3.0, 1x7.5.0,</v>
      </c>
      <c r="I218" s="287" t="s">
        <v>1473</v>
      </c>
      <c r="J218" s="254" t="str">
        <f>Assemblies[[#This Row],[Assy]]</f>
        <v>7.3.2</v>
      </c>
    </row>
    <row r="219" spans="1:10" x14ac:dyDescent="0.25">
      <c r="A219" t="str">
        <f ca="1">'PG10'!$E$2</f>
        <v>PG10</v>
      </c>
      <c r="B219" s="196">
        <v>7.4</v>
      </c>
      <c r="C219" s="24" t="s">
        <v>1470</v>
      </c>
      <c r="D219" s="134" t="s">
        <v>54</v>
      </c>
      <c r="E219" t="str">
        <f t="shared" ca="1" si="3"/>
        <v>PG10.7.4.0.A</v>
      </c>
      <c r="F219" t="s">
        <v>1860</v>
      </c>
      <c r="G219" s="19" cm="1">
        <f t="array" aca="1" ref="G219" ca="1">SUMPRODUCT(SUMIF(INDIRECT("'"&amp;Assemblies[Assy]&amp;"'!"&amp;"C5:C1000"),E219,(INDIRECT("'"&amp;Assemblies[Assy]&amp;"'!"&amp;"O5:O1000"))))</f>
        <v>1</v>
      </c>
      <c r="H219" t="str" cm="1">
        <f t="array" aca="1" ref="H219" ca="1">TRIM(SUBSTITUTE(_xlfn.ARRAYTOTEXT(IFERROR(CONCATENATE(SUMIF(INDIRECT("'"&amp;Assemblies[Assy]&amp;"'!"&amp;"C$5:C1000"), $E219, INDIRECT("'"&amp;Assemblies[Assy]&amp;"'!"&amp;"O$5:O1000")), "x",Assemblies[Assy],".",IF(SUMIF(INDIRECT("'"&amp;Assemblies[Assy]&amp;"'!"&amp;"C$5:C1000"), $E219, INDIRECT("'"&amp;Assemblies[Assy]&amp;"'!"&amp;"B$5:B1000"))=0,NA(),SUMIF(INDIRECT("'"&amp;Assemblies[Assy]&amp;"'!"&amp;"C$5:C1000"), $E219, INDIRECT("'"&amp;Assemblies[Assy]&amp;"'!"&amp;"A$5:A1000")))),"")), " ,", ""))</f>
        <v>, 1x7.0,</v>
      </c>
      <c r="I219" s="287" t="s">
        <v>1473</v>
      </c>
      <c r="J219" s="255">
        <f>Assemblies[[#This Row],[Assy]]</f>
        <v>7.4</v>
      </c>
    </row>
    <row r="220" spans="1:10" x14ac:dyDescent="0.25">
      <c r="A220" t="str">
        <f ca="1">'PG10'!$E$2</f>
        <v>PG10</v>
      </c>
      <c r="B220" s="196">
        <v>7.5</v>
      </c>
      <c r="C220" s="24" t="s">
        <v>1470</v>
      </c>
      <c r="D220" s="134" t="s">
        <v>54</v>
      </c>
      <c r="E220" t="str">
        <f t="shared" ca="1" si="3"/>
        <v>PG10.7.5.0.A</v>
      </c>
      <c r="F220" t="s">
        <v>1861</v>
      </c>
      <c r="G220" s="19" cm="1">
        <f t="array" aca="1" ref="G220" ca="1">SUMPRODUCT(SUMIF(INDIRECT("'"&amp;Assemblies[Assy]&amp;"'!"&amp;"C5:C1000"),E220,(INDIRECT("'"&amp;Assemblies[Assy]&amp;"'!"&amp;"O5:O1000"))))</f>
        <v>1</v>
      </c>
      <c r="H220" t="str" cm="1">
        <f t="array" aca="1" ref="H220" ca="1">TRIM(SUBSTITUTE(_xlfn.ARRAYTOTEXT(IFERROR(CONCATENATE(SUMIF(INDIRECT("'"&amp;Assemblies[Assy]&amp;"'!"&amp;"C$5:C1000"), $E220, INDIRECT("'"&amp;Assemblies[Assy]&amp;"'!"&amp;"O$5:O1000")), "x",Assemblies[Assy],".",IF(SUMIF(INDIRECT("'"&amp;Assemblies[Assy]&amp;"'!"&amp;"C$5:C1000"), $E220, INDIRECT("'"&amp;Assemblies[Assy]&amp;"'!"&amp;"B$5:B1000"))=0,NA(),SUMIF(INDIRECT("'"&amp;Assemblies[Assy]&amp;"'!"&amp;"C$5:C1000"), $E220, INDIRECT("'"&amp;Assemblies[Assy]&amp;"'!"&amp;"A$5:A1000")))),"")), " ,", ""))</f>
        <v>, 1x7.0,</v>
      </c>
      <c r="I220" s="287" t="s">
        <v>1473</v>
      </c>
      <c r="J220" s="256">
        <f>Assemblies[[#This Row],[Assy]]</f>
        <v>7.5</v>
      </c>
    </row>
    <row r="221" spans="1:10" x14ac:dyDescent="0.25">
      <c r="A221" t="str">
        <f ca="1">'PG10'!$E$2</f>
        <v>PG10</v>
      </c>
      <c r="B221" s="196">
        <v>7.6</v>
      </c>
      <c r="C221" s="24" t="s">
        <v>1470</v>
      </c>
      <c r="D221" s="134" t="s">
        <v>54</v>
      </c>
      <c r="E221" t="str">
        <f t="shared" ca="1" si="3"/>
        <v>PG10.7.6.0.A</v>
      </c>
      <c r="F221" t="s">
        <v>1862</v>
      </c>
      <c r="G221" s="19" cm="1">
        <f t="array" aca="1" ref="G221" ca="1">SUMPRODUCT(SUMIF(INDIRECT("'"&amp;Assemblies[Assy]&amp;"'!"&amp;"C5:C1000"),E221,(INDIRECT("'"&amp;Assemblies[Assy]&amp;"'!"&amp;"O5:O1000"))))</f>
        <v>1</v>
      </c>
      <c r="H221" t="str" cm="1">
        <f t="array" aca="1" ref="H221" ca="1">TRIM(SUBSTITUTE(_xlfn.ARRAYTOTEXT(IFERROR(CONCATENATE(SUMIF(INDIRECT("'"&amp;Assemblies[Assy]&amp;"'!"&amp;"C$5:C1000"), $E221, INDIRECT("'"&amp;Assemblies[Assy]&amp;"'!"&amp;"O$5:O1000")), "x",Assemblies[Assy],".",IF(SUMIF(INDIRECT("'"&amp;Assemblies[Assy]&amp;"'!"&amp;"C$5:C1000"), $E221, INDIRECT("'"&amp;Assemblies[Assy]&amp;"'!"&amp;"B$5:B1000"))=0,NA(),SUMIF(INDIRECT("'"&amp;Assemblies[Assy]&amp;"'!"&amp;"C$5:C1000"), $E221, INDIRECT("'"&amp;Assemblies[Assy]&amp;"'!"&amp;"A$5:A1000")))),"")), " ,", ""))</f>
        <v>, 1x7.0,</v>
      </c>
      <c r="I221" s="287" t="s">
        <v>1473</v>
      </c>
      <c r="J221" s="257">
        <f>Assemblies[[#This Row],[Assy]]</f>
        <v>7.6</v>
      </c>
    </row>
    <row r="222" spans="1:10" x14ac:dyDescent="0.25">
      <c r="A222" t="str">
        <f ca="1">'PG10'!$E$2</f>
        <v>PG10</v>
      </c>
      <c r="B222" s="202" t="s">
        <v>1863</v>
      </c>
      <c r="C222" s="24" t="s">
        <v>1470</v>
      </c>
      <c r="D222" s="134" t="s">
        <v>54</v>
      </c>
      <c r="E222" t="str">
        <f t="shared" ca="1" si="3"/>
        <v>PG10.7.6.1.0.A</v>
      </c>
      <c r="F222" t="s">
        <v>1864</v>
      </c>
      <c r="G222" s="19" cm="1">
        <f t="array" aca="1" ref="G222" ca="1">SUMPRODUCT(SUMIF(INDIRECT("'"&amp;Assemblies[Assy]&amp;"'!"&amp;"C5:C1000"),E222,(INDIRECT("'"&amp;Assemblies[Assy]&amp;"'!"&amp;"O5:O1000"))))</f>
        <v>1</v>
      </c>
      <c r="H222" t="str" cm="1">
        <f t="array" aca="1" ref="H222" ca="1">TRIM(SUBSTITUTE(_xlfn.ARRAYTOTEXT(IFERROR(CONCATENATE(SUMIF(INDIRECT("'"&amp;Assemblies[Assy]&amp;"'!"&amp;"C$5:C1000"), $E222, INDIRECT("'"&amp;Assemblies[Assy]&amp;"'!"&amp;"O$5:O1000")), "x",Assemblies[Assy],".",IF(SUMIF(INDIRECT("'"&amp;Assemblies[Assy]&amp;"'!"&amp;"C$5:C1000"), $E222, INDIRECT("'"&amp;Assemblies[Assy]&amp;"'!"&amp;"B$5:B1000"))=0,NA(),SUMIF(INDIRECT("'"&amp;Assemblies[Assy]&amp;"'!"&amp;"C$5:C1000"), $E222, INDIRECT("'"&amp;Assemblies[Assy]&amp;"'!"&amp;"A$5:A1000")))),"")), " ,", ""))</f>
        <v>, 1x7.6.0,</v>
      </c>
      <c r="I222" s="287" t="s">
        <v>1473</v>
      </c>
      <c r="J222" s="257" t="str">
        <f>Assemblies[[#This Row],[Assy]]</f>
        <v>7.6.1</v>
      </c>
    </row>
    <row r="223" spans="1:10" x14ac:dyDescent="0.25">
      <c r="A223" t="str">
        <f ca="1">'PG10'!$E$2</f>
        <v>PG10</v>
      </c>
      <c r="B223" s="202" t="s">
        <v>1865</v>
      </c>
      <c r="C223" s="24" t="s">
        <v>1470</v>
      </c>
      <c r="D223" s="134" t="s">
        <v>54</v>
      </c>
      <c r="E223" t="str">
        <f t="shared" ca="1" si="3"/>
        <v>PG10.7.6.2.0.A</v>
      </c>
      <c r="F223" t="s">
        <v>1866</v>
      </c>
      <c r="G223" s="19" cm="1">
        <f t="array" aca="1" ref="G223" ca="1">SUMPRODUCT(SUMIF(INDIRECT("'"&amp;Assemblies[Assy]&amp;"'!"&amp;"C5:C1000"),E223,(INDIRECT("'"&amp;Assemblies[Assy]&amp;"'!"&amp;"O5:O1000"))))</f>
        <v>2</v>
      </c>
      <c r="H223" t="str" cm="1">
        <f t="array" aca="1" ref="H223" ca="1">TRIM(SUBSTITUTE(_xlfn.ARRAYTOTEXT(IFERROR(CONCATENATE(SUMIF(INDIRECT("'"&amp;Assemblies[Assy]&amp;"'!"&amp;"C$5:C1000"), $E223, INDIRECT("'"&amp;Assemblies[Assy]&amp;"'!"&amp;"O$5:O1000")), "x",Assemblies[Assy],".",IF(SUMIF(INDIRECT("'"&amp;Assemblies[Assy]&amp;"'!"&amp;"C$5:C1000"), $E223, INDIRECT("'"&amp;Assemblies[Assy]&amp;"'!"&amp;"B$5:B1000"))=0,NA(),SUMIF(INDIRECT("'"&amp;Assemblies[Assy]&amp;"'!"&amp;"C$5:C1000"), $E223, INDIRECT("'"&amp;Assemblies[Assy]&amp;"'!"&amp;"A$5:A1000")))),"")), " ,", ""))</f>
        <v>, 1x7.6.0, 1x7.7.0,</v>
      </c>
      <c r="I223" s="287" t="s">
        <v>1473</v>
      </c>
      <c r="J223" s="257" t="str">
        <f>Assemblies[[#This Row],[Assy]]</f>
        <v>7.6.2</v>
      </c>
    </row>
    <row r="224" spans="1:10" x14ac:dyDescent="0.25">
      <c r="A224" t="str">
        <f ca="1">'PG10'!$E$2</f>
        <v>PG10</v>
      </c>
      <c r="B224" s="202" t="s">
        <v>1867</v>
      </c>
      <c r="C224" s="24" t="s">
        <v>1470</v>
      </c>
      <c r="D224" s="134" t="s">
        <v>54</v>
      </c>
      <c r="E224" t="str">
        <f t="shared" ca="1" si="3"/>
        <v>PG10.7.7.1.0.A</v>
      </c>
      <c r="F224" t="s">
        <v>1868</v>
      </c>
      <c r="G224" s="19" cm="1">
        <f t="array" aca="1" ref="G224" ca="1">SUMPRODUCT(SUMIF(INDIRECT("'"&amp;Assemblies[Assy]&amp;"'!"&amp;"C5:C1000"),E224,(INDIRECT("'"&amp;Assemblies[Assy]&amp;"'!"&amp;"O5:O1000"))))</f>
        <v>1</v>
      </c>
      <c r="H224" t="str" cm="1">
        <f t="array" aca="1" ref="H224" ca="1">TRIM(SUBSTITUTE(_xlfn.ARRAYTOTEXT(IFERROR(CONCATENATE(SUMIF(INDIRECT("'"&amp;Assemblies[Assy]&amp;"'!"&amp;"C$5:C1000"), $E224, INDIRECT("'"&amp;Assemblies[Assy]&amp;"'!"&amp;"O$5:O1000")), "x",Assemblies[Assy],".",IF(SUMIF(INDIRECT("'"&amp;Assemblies[Assy]&amp;"'!"&amp;"C$5:C1000"), $E224, INDIRECT("'"&amp;Assemblies[Assy]&amp;"'!"&amp;"B$5:B1000"))=0,NA(),SUMIF(INDIRECT("'"&amp;Assemblies[Assy]&amp;"'!"&amp;"C$5:C1000"), $E224, INDIRECT("'"&amp;Assemblies[Assy]&amp;"'!"&amp;"A$5:A1000")))),"")), " ,", ""))</f>
        <v>, 1x7.7.0,</v>
      </c>
      <c r="I224" s="287" t="s">
        <v>1473</v>
      </c>
      <c r="J224" s="257" t="str">
        <f>Assemblies[[#This Row],[Assy]]</f>
        <v>7.7.1</v>
      </c>
    </row>
    <row r="225" spans="1:10" x14ac:dyDescent="0.25">
      <c r="A225" t="str">
        <f ca="1">'PG10'!$E$2</f>
        <v>PG10</v>
      </c>
      <c r="B225" s="196">
        <v>7.7</v>
      </c>
      <c r="C225" s="24" t="s">
        <v>1470</v>
      </c>
      <c r="D225" s="134" t="s">
        <v>54</v>
      </c>
      <c r="E225" t="str">
        <f t="shared" ca="1" si="3"/>
        <v>PG10.7.7.0.A</v>
      </c>
      <c r="F225" t="s">
        <v>1869</v>
      </c>
      <c r="G225" s="19" cm="1">
        <f t="array" aca="1" ref="G225" ca="1">SUMPRODUCT(SUMIF(INDIRECT("'"&amp;Assemblies[Assy]&amp;"'!"&amp;"C5:C1000"),E225,(INDIRECT("'"&amp;Assemblies[Assy]&amp;"'!"&amp;"O5:O1000"))))</f>
        <v>1</v>
      </c>
      <c r="H225" t="str" cm="1">
        <f t="array" aca="1" ref="H225" ca="1">TRIM(SUBSTITUTE(_xlfn.ARRAYTOTEXT(IFERROR(CONCATENATE(SUMIF(INDIRECT("'"&amp;Assemblies[Assy]&amp;"'!"&amp;"C$5:C1000"), $E225, INDIRECT("'"&amp;Assemblies[Assy]&amp;"'!"&amp;"O$5:O1000")), "x",Assemblies[Assy],".",IF(SUMIF(INDIRECT("'"&amp;Assemblies[Assy]&amp;"'!"&amp;"C$5:C1000"), $E225, INDIRECT("'"&amp;Assemblies[Assy]&amp;"'!"&amp;"B$5:B1000"))=0,NA(),SUMIF(INDIRECT("'"&amp;Assemblies[Assy]&amp;"'!"&amp;"C$5:C1000"), $E225, INDIRECT("'"&amp;Assemblies[Assy]&amp;"'!"&amp;"A$5:A1000")))),"")), " ,", ""))</f>
        <v>, 1x7.0,</v>
      </c>
      <c r="I225" s="287" t="s">
        <v>1473</v>
      </c>
      <c r="J225" s="210">
        <f>Assemblies[[#This Row],[Assy]]</f>
        <v>7.7</v>
      </c>
    </row>
    <row r="226" spans="1:10" x14ac:dyDescent="0.25">
      <c r="A226" t="str">
        <f ca="1">'PG10'!$E$2</f>
        <v>PG10</v>
      </c>
      <c r="B226" s="200" t="s">
        <v>1870</v>
      </c>
      <c r="C226" s="24" t="s">
        <v>1470</v>
      </c>
      <c r="D226" s="134" t="s">
        <v>54</v>
      </c>
      <c r="E226" t="str">
        <f t="shared" ca="1" si="3"/>
        <v>PG10.8.0.A</v>
      </c>
      <c r="F226" t="s">
        <v>1871</v>
      </c>
      <c r="G226" s="19" cm="1">
        <f t="array" aca="1" ref="G226" ca="1">SUMPRODUCT(SUMIF(INDIRECT("'"&amp;Assemblies[Assy]&amp;"'!"&amp;"C5:C1000"),E226,(INDIRECT("'"&amp;Assemblies[Assy]&amp;"'!"&amp;"O5:O1000"))))</f>
        <v>1</v>
      </c>
      <c r="H226" t="str" cm="1">
        <f t="array" aca="1" ref="H226" ca="1">TRIM(SUBSTITUTE(_xlfn.ARRAYTOTEXT(IFERROR(CONCATENATE(SUMIF(INDIRECT("'"&amp;Assemblies[Assy]&amp;"'!"&amp;"C$5:C1000"), $E226, INDIRECT("'"&amp;Assemblies[Assy]&amp;"'!"&amp;"O$5:O1000")), "x",Assemblies[Assy],".",IF(SUMIF(INDIRECT("'"&amp;Assemblies[Assy]&amp;"'!"&amp;"C$5:C1000"), $E226, INDIRECT("'"&amp;Assemblies[Assy]&amp;"'!"&amp;"B$5:B1000"))=0,NA(),SUMIF(INDIRECT("'"&amp;Assemblies[Assy]&amp;"'!"&amp;"C$5:C1000"), $E226, INDIRECT("'"&amp;Assemblies[Assy]&amp;"'!"&amp;"A$5:A1000")))),"")), " ,", ""))</f>
        <v>1x0.0,</v>
      </c>
      <c r="I226" s="286" t="s">
        <v>1473</v>
      </c>
      <c r="J226" s="258" t="str">
        <f>Assemblies[[#This Row],[Assy]]</f>
        <v>8</v>
      </c>
    </row>
    <row r="227" spans="1:10" x14ac:dyDescent="0.25">
      <c r="A227" t="str">
        <f ca="1">'PG10'!$E$2</f>
        <v>PG10</v>
      </c>
      <c r="B227" s="201" t="s">
        <v>1872</v>
      </c>
      <c r="C227" s="24" t="s">
        <v>1470</v>
      </c>
      <c r="D227" s="134" t="s">
        <v>54</v>
      </c>
      <c r="E227" t="str">
        <f t="shared" ca="1" si="3"/>
        <v>PG10.8.1.0.A</v>
      </c>
      <c r="F227" t="s">
        <v>1873</v>
      </c>
      <c r="G227" s="19" cm="1">
        <f t="array" aca="1" ref="G227" ca="1">SUMPRODUCT(SUMIF(INDIRECT("'"&amp;Assemblies[Assy]&amp;"'!"&amp;"C5:C1000"),E227,(INDIRECT("'"&amp;Assemblies[Assy]&amp;"'!"&amp;"O5:O1000"))))</f>
        <v>1</v>
      </c>
      <c r="H227" t="str" cm="1">
        <f t="array" aca="1" ref="H227" ca="1">TRIM(SUBSTITUTE(_xlfn.ARRAYTOTEXT(IFERROR(CONCATENATE(SUMIF(INDIRECT("'"&amp;Assemblies[Assy]&amp;"'!"&amp;"C$5:C1000"), $E227, INDIRECT("'"&amp;Assemblies[Assy]&amp;"'!"&amp;"O$5:O1000")), "x",Assemblies[Assy],".",IF(SUMIF(INDIRECT("'"&amp;Assemblies[Assy]&amp;"'!"&amp;"C$5:C1000"), $E227, INDIRECT("'"&amp;Assemblies[Assy]&amp;"'!"&amp;"B$5:B1000"))=0,NA(),SUMIF(INDIRECT("'"&amp;Assemblies[Assy]&amp;"'!"&amp;"C$5:C1000"), $E227, INDIRECT("'"&amp;Assemblies[Assy]&amp;"'!"&amp;"A$5:A1000")))),"")), " ,", ""))</f>
        <v>, 1x8.0,</v>
      </c>
      <c r="I227" s="286" t="s">
        <v>1473</v>
      </c>
      <c r="J227" s="259" t="str">
        <f>Assemblies[[#This Row],[Assy]]</f>
        <v>8.1</v>
      </c>
    </row>
    <row r="228" spans="1:10" x14ac:dyDescent="0.25">
      <c r="A228" t="str">
        <f ca="1">'PG10'!$E$2</f>
        <v>PG10</v>
      </c>
      <c r="B228" s="209" t="s">
        <v>1874</v>
      </c>
      <c r="C228" s="24" t="s">
        <v>1470</v>
      </c>
      <c r="D228" s="134" t="s">
        <v>54</v>
      </c>
      <c r="E228" t="str">
        <f t="shared" ca="1" si="3"/>
        <v>PG10.8.1.1.0.A</v>
      </c>
      <c r="F228" t="s">
        <v>1875</v>
      </c>
      <c r="G228" s="19" cm="1">
        <f t="array" aca="1" ref="G228" ca="1">SUMPRODUCT(SUMIF(INDIRECT("'"&amp;Assemblies[Assy]&amp;"'!"&amp;"C5:C1000"),E228,(INDIRECT("'"&amp;Assemblies[Assy]&amp;"'!"&amp;"O5:O1000"))))</f>
        <v>2</v>
      </c>
      <c r="H228" t="str" cm="1">
        <f t="array" aca="1" ref="H228" ca="1">TRIM(SUBSTITUTE(_xlfn.ARRAYTOTEXT(IFERROR(CONCATENATE(SUMIF(INDIRECT("'"&amp;Assemblies[Assy]&amp;"'!"&amp;"C$5:C1000"), $E228, INDIRECT("'"&amp;Assemblies[Assy]&amp;"'!"&amp;"O$5:O1000")), "x",Assemblies[Assy],".",IF(SUMIF(INDIRECT("'"&amp;Assemblies[Assy]&amp;"'!"&amp;"C$5:C1000"), $E228, INDIRECT("'"&amp;Assemblies[Assy]&amp;"'!"&amp;"B$5:B1000"))=0,NA(),SUMIF(INDIRECT("'"&amp;Assemblies[Assy]&amp;"'!"&amp;"C$5:C1000"), $E228, INDIRECT("'"&amp;Assemblies[Assy]&amp;"'!"&amp;"A$5:A1000")))),"")), " ,", ""))</f>
        <v>, 1x8.1.0, 1x8.2.0,</v>
      </c>
      <c r="I228" s="286" t="s">
        <v>1473</v>
      </c>
      <c r="J228" s="259" t="str">
        <f>Assemblies[[#This Row],[Assy]]</f>
        <v>8.1.1</v>
      </c>
    </row>
    <row r="229" spans="1:10" x14ac:dyDescent="0.25">
      <c r="A229" t="str">
        <f ca="1">'PG10'!$E$2</f>
        <v>PG10</v>
      </c>
      <c r="B229" s="209" t="s">
        <v>1876</v>
      </c>
      <c r="C229" s="24" t="s">
        <v>1470</v>
      </c>
      <c r="D229" s="134" t="s">
        <v>54</v>
      </c>
      <c r="E229" t="str">
        <f t="shared" ca="1" si="3"/>
        <v>PG10.8.1.2.0.A</v>
      </c>
      <c r="F229" t="s">
        <v>1877</v>
      </c>
      <c r="G229" s="19" cm="1">
        <f t="array" aca="1" ref="G229" ca="1">SUMPRODUCT(SUMIF(INDIRECT("'"&amp;Assemblies[Assy]&amp;"'!"&amp;"C5:C1000"),E229,(INDIRECT("'"&amp;Assemblies[Assy]&amp;"'!"&amp;"O5:O1000"))))</f>
        <v>1</v>
      </c>
      <c r="H229" t="str" cm="1">
        <f t="array" aca="1" ref="H229" ca="1">TRIM(SUBSTITUTE(_xlfn.ARRAYTOTEXT(IFERROR(CONCATENATE(SUMIF(INDIRECT("'"&amp;Assemblies[Assy]&amp;"'!"&amp;"C$5:C1000"), $E229, INDIRECT("'"&amp;Assemblies[Assy]&amp;"'!"&amp;"O$5:O1000")), "x",Assemblies[Assy],".",IF(SUMIF(INDIRECT("'"&amp;Assemblies[Assy]&amp;"'!"&amp;"C$5:C1000"), $E229, INDIRECT("'"&amp;Assemblies[Assy]&amp;"'!"&amp;"B$5:B1000"))=0,NA(),SUMIF(INDIRECT("'"&amp;Assemblies[Assy]&amp;"'!"&amp;"C$5:C1000"), $E229, INDIRECT("'"&amp;Assemblies[Assy]&amp;"'!"&amp;"A$5:A1000")))),"")), " ,", ""))</f>
        <v>, 1x8.1.0,</v>
      </c>
      <c r="I229" s="286" t="s">
        <v>1473</v>
      </c>
      <c r="J229" s="259" t="str">
        <f>Assemblies[[#This Row],[Assy]]</f>
        <v>8.1.2</v>
      </c>
    </row>
    <row r="230" spans="1:10" x14ac:dyDescent="0.25">
      <c r="A230" t="str">
        <f ca="1">'PG10'!$E$2</f>
        <v>PG10</v>
      </c>
      <c r="B230" s="209" t="s">
        <v>1878</v>
      </c>
      <c r="C230" s="24" t="s">
        <v>1470</v>
      </c>
      <c r="D230" s="134" t="s">
        <v>54</v>
      </c>
      <c r="E230" t="str">
        <f t="shared" ca="1" si="3"/>
        <v>PG10.8.1.3.0.A</v>
      </c>
      <c r="F230" t="s">
        <v>1879</v>
      </c>
      <c r="G230" s="19" cm="1">
        <f t="array" aca="1" ref="G230" ca="1">SUMPRODUCT(SUMIF(INDIRECT("'"&amp;Assemblies[Assy]&amp;"'!"&amp;"C5:C1000"),E230,(INDIRECT("'"&amp;Assemblies[Assy]&amp;"'!"&amp;"O5:O1000"))))</f>
        <v>1</v>
      </c>
      <c r="H230" t="str" cm="1">
        <f t="array" aca="1" ref="H230" ca="1">TRIM(SUBSTITUTE(_xlfn.ARRAYTOTEXT(IFERROR(CONCATENATE(SUMIF(INDIRECT("'"&amp;Assemblies[Assy]&amp;"'!"&amp;"C$5:C1000"), $E230, INDIRECT("'"&amp;Assemblies[Assy]&amp;"'!"&amp;"O$5:O1000")), "x",Assemblies[Assy],".",IF(SUMIF(INDIRECT("'"&amp;Assemblies[Assy]&amp;"'!"&amp;"C$5:C1000"), $E230, INDIRECT("'"&amp;Assemblies[Assy]&amp;"'!"&amp;"B$5:B1000"))=0,NA(),SUMIF(INDIRECT("'"&amp;Assemblies[Assy]&amp;"'!"&amp;"C$5:C1000"), $E230, INDIRECT("'"&amp;Assemblies[Assy]&amp;"'!"&amp;"A$5:A1000")))),"")), " ,", ""))</f>
        <v>, 1x8.1.0,</v>
      </c>
      <c r="I230" s="286" t="s">
        <v>1473</v>
      </c>
      <c r="J230" s="259" t="str">
        <f>Assemblies[[#This Row],[Assy]]</f>
        <v>8.1.3</v>
      </c>
    </row>
    <row r="231" spans="1:10" x14ac:dyDescent="0.25">
      <c r="A231" t="str">
        <f ca="1">'PG10'!$E$2</f>
        <v>PG10</v>
      </c>
      <c r="B231" s="209" t="s">
        <v>1880</v>
      </c>
      <c r="C231" s="24" t="s">
        <v>1470</v>
      </c>
      <c r="D231" s="134" t="s">
        <v>54</v>
      </c>
      <c r="E231" t="str">
        <f t="shared" ca="1" si="3"/>
        <v>PG10.8.1.4.0.A</v>
      </c>
      <c r="F231" t="s">
        <v>1881</v>
      </c>
      <c r="G231" s="19" cm="1">
        <f t="array" aca="1" ref="G231" ca="1">SUMPRODUCT(SUMIF(INDIRECT("'"&amp;Assemblies[Assy]&amp;"'!"&amp;"C5:C1000"),E231,(INDIRECT("'"&amp;Assemblies[Assy]&amp;"'!"&amp;"O5:O1000"))))</f>
        <v>4</v>
      </c>
      <c r="H231" t="str" cm="1">
        <f t="array" aca="1" ref="H231" ca="1">TRIM(SUBSTITUTE(_xlfn.ARRAYTOTEXT(IFERROR(CONCATENATE(SUMIF(INDIRECT("'"&amp;Assemblies[Assy]&amp;"'!"&amp;"C$5:C1000"), $E231, INDIRECT("'"&amp;Assemblies[Assy]&amp;"'!"&amp;"O$5:O1000")), "x",Assemblies[Assy],".",IF(SUMIF(INDIRECT("'"&amp;Assemblies[Assy]&amp;"'!"&amp;"C$5:C1000"), $E231, INDIRECT("'"&amp;Assemblies[Assy]&amp;"'!"&amp;"B$5:B1000"))=0,NA(),SUMIF(INDIRECT("'"&amp;Assemblies[Assy]&amp;"'!"&amp;"C$5:C1000"), $E231, INDIRECT("'"&amp;Assemblies[Assy]&amp;"'!"&amp;"A$5:A1000")))),"")), " ,", ""))</f>
        <v>, 2x8.1.0, 2x8.2.0,</v>
      </c>
      <c r="I231" s="286" t="s">
        <v>1473</v>
      </c>
      <c r="J231" s="259" t="str">
        <f>Assemblies[[#This Row],[Assy]]</f>
        <v>8.1.4</v>
      </c>
    </row>
    <row r="232" spans="1:10" x14ac:dyDescent="0.25">
      <c r="A232" t="str">
        <f ca="1">'PG10'!$E$2</f>
        <v>PG10</v>
      </c>
      <c r="B232" s="209" t="s">
        <v>1882</v>
      </c>
      <c r="C232" s="24" t="s">
        <v>1470</v>
      </c>
      <c r="D232" s="134" t="s">
        <v>54</v>
      </c>
      <c r="E232" t="str">
        <f t="shared" ca="1" si="3"/>
        <v>PG10.8.1.5.0.A</v>
      </c>
      <c r="F232" t="s">
        <v>1883</v>
      </c>
      <c r="G232" s="19" cm="1">
        <f t="array" aca="1" ref="G232" ca="1">SUMPRODUCT(SUMIF(INDIRECT("'"&amp;Assemblies[Assy]&amp;"'!"&amp;"C5:C1000"),E232,(INDIRECT("'"&amp;Assemblies[Assy]&amp;"'!"&amp;"O5:O1000"))))</f>
        <v>2</v>
      </c>
      <c r="H232" t="str" cm="1">
        <f t="array" aca="1" ref="H232" ca="1">TRIM(SUBSTITUTE(_xlfn.ARRAYTOTEXT(IFERROR(CONCATENATE(SUMIF(INDIRECT("'"&amp;Assemblies[Assy]&amp;"'!"&amp;"C$5:C1000"), $E232, INDIRECT("'"&amp;Assemblies[Assy]&amp;"'!"&amp;"O$5:O1000")), "x",Assemblies[Assy],".",IF(SUMIF(INDIRECT("'"&amp;Assemblies[Assy]&amp;"'!"&amp;"C$5:C1000"), $E232, INDIRECT("'"&amp;Assemblies[Assy]&amp;"'!"&amp;"B$5:B1000"))=0,NA(),SUMIF(INDIRECT("'"&amp;Assemblies[Assy]&amp;"'!"&amp;"C$5:C1000"), $E232, INDIRECT("'"&amp;Assemblies[Assy]&amp;"'!"&amp;"A$5:A1000")))),"")), " ,", ""))</f>
        <v>, 1x8.1.0, 1x8.2.0,</v>
      </c>
      <c r="I232" s="286" t="s">
        <v>1473</v>
      </c>
      <c r="J232" s="259" t="str">
        <f>Assemblies[[#This Row],[Assy]]</f>
        <v>8.1.5</v>
      </c>
    </row>
    <row r="233" spans="1:10" x14ac:dyDescent="0.25">
      <c r="A233" t="str">
        <f ca="1">'PG10'!$E$2</f>
        <v>PG10</v>
      </c>
      <c r="B233" s="201" t="s">
        <v>1884</v>
      </c>
      <c r="C233" s="24" t="s">
        <v>1470</v>
      </c>
      <c r="D233" s="134" t="s">
        <v>54</v>
      </c>
      <c r="E233" t="str">
        <f t="shared" ca="1" si="3"/>
        <v>PG10.8.2.0.A</v>
      </c>
      <c r="F233" t="s">
        <v>1885</v>
      </c>
      <c r="G233" s="19" cm="1">
        <f t="array" aca="1" ref="G233" ca="1">SUMPRODUCT(SUMIF(INDIRECT("'"&amp;Assemblies[Assy]&amp;"'!"&amp;"C5:C1000"),E233,(INDIRECT("'"&amp;Assemblies[Assy]&amp;"'!"&amp;"O5:O1000"))))</f>
        <v>1</v>
      </c>
      <c r="H233" t="str" cm="1">
        <f t="array" aca="1" ref="H233" ca="1">TRIM(SUBSTITUTE(_xlfn.ARRAYTOTEXT(IFERROR(CONCATENATE(SUMIF(INDIRECT("'"&amp;Assemblies[Assy]&amp;"'!"&amp;"C$5:C1000"), $E233, INDIRECT("'"&amp;Assemblies[Assy]&amp;"'!"&amp;"O$5:O1000")), "x",Assemblies[Assy],".",IF(SUMIF(INDIRECT("'"&amp;Assemblies[Assy]&amp;"'!"&amp;"C$5:C1000"), $E233, INDIRECT("'"&amp;Assemblies[Assy]&amp;"'!"&amp;"B$5:B1000"))=0,NA(),SUMIF(INDIRECT("'"&amp;Assemblies[Assy]&amp;"'!"&amp;"C$5:C1000"), $E233, INDIRECT("'"&amp;Assemblies[Assy]&amp;"'!"&amp;"A$5:A1000")))),"")), " ,", ""))</f>
        <v>, 1x8.0,</v>
      </c>
      <c r="I233" s="286" t="s">
        <v>1473</v>
      </c>
      <c r="J233" s="260" t="str">
        <f>Assemblies[[#This Row],[Assy]]</f>
        <v>8.2</v>
      </c>
    </row>
    <row r="234" spans="1:10" x14ac:dyDescent="0.25">
      <c r="A234" t="str">
        <f ca="1">'PG10'!$E$2</f>
        <v>PG10</v>
      </c>
      <c r="B234" s="209" t="s">
        <v>1886</v>
      </c>
      <c r="C234" s="24" t="s">
        <v>1470</v>
      </c>
      <c r="D234" s="134" t="s">
        <v>54</v>
      </c>
      <c r="E234" t="str">
        <f t="shared" ca="1" si="3"/>
        <v>PG10.8.2.1.0.A</v>
      </c>
      <c r="F234" t="s">
        <v>1887</v>
      </c>
      <c r="G234" s="19" cm="1">
        <f t="array" aca="1" ref="G234" ca="1">SUMPRODUCT(SUMIF(INDIRECT("'"&amp;Assemblies[Assy]&amp;"'!"&amp;"C5:C1000"),E234,(INDIRECT("'"&amp;Assemblies[Assy]&amp;"'!"&amp;"O5:O1000"))))</f>
        <v>1</v>
      </c>
      <c r="H234" t="str" cm="1">
        <f t="array" aca="1" ref="H234" ca="1">TRIM(SUBSTITUTE(_xlfn.ARRAYTOTEXT(IFERROR(CONCATENATE(SUMIF(INDIRECT("'"&amp;Assemblies[Assy]&amp;"'!"&amp;"C$5:C1000"), $E234, INDIRECT("'"&amp;Assemblies[Assy]&amp;"'!"&amp;"O$5:O1000")), "x",Assemblies[Assy],".",IF(SUMIF(INDIRECT("'"&amp;Assemblies[Assy]&amp;"'!"&amp;"C$5:C1000"), $E234, INDIRECT("'"&amp;Assemblies[Assy]&amp;"'!"&amp;"B$5:B1000"))=0,NA(),SUMIF(INDIRECT("'"&amp;Assemblies[Assy]&amp;"'!"&amp;"C$5:C1000"), $E234, INDIRECT("'"&amp;Assemblies[Assy]&amp;"'!"&amp;"A$5:A1000")))),"")), " ,", ""))</f>
        <v>, 1x8.2.0,</v>
      </c>
      <c r="I234" s="286" t="s">
        <v>1473</v>
      </c>
      <c r="J234" s="260" t="str">
        <f>Assemblies[[#This Row],[Assy]]</f>
        <v>8.2.1</v>
      </c>
    </row>
    <row r="235" spans="1:10" x14ac:dyDescent="0.25">
      <c r="A235" t="str">
        <f ca="1">'PG10'!$E$2</f>
        <v>PG10</v>
      </c>
      <c r="B235" s="209" t="s">
        <v>1888</v>
      </c>
      <c r="C235" s="24" t="s">
        <v>1470</v>
      </c>
      <c r="D235" s="134" t="s">
        <v>54</v>
      </c>
      <c r="E235" t="str">
        <f t="shared" ca="1" si="3"/>
        <v>PG10.8.2.2.0.A</v>
      </c>
      <c r="F235" t="s">
        <v>1889</v>
      </c>
      <c r="G235" s="19" cm="1">
        <f t="array" aca="1" ref="G235" ca="1">SUMPRODUCT(SUMIF(INDIRECT("'"&amp;Assemblies[Assy]&amp;"'!"&amp;"C5:C1000"),E235,(INDIRECT("'"&amp;Assemblies[Assy]&amp;"'!"&amp;"O5:O1000"))))</f>
        <v>1</v>
      </c>
      <c r="H235" t="str" cm="1">
        <f t="array" aca="1" ref="H235" ca="1">TRIM(SUBSTITUTE(_xlfn.ARRAYTOTEXT(IFERROR(CONCATENATE(SUMIF(INDIRECT("'"&amp;Assemblies[Assy]&amp;"'!"&amp;"C$5:C1000"), $E235, INDIRECT("'"&amp;Assemblies[Assy]&amp;"'!"&amp;"O$5:O1000")), "x",Assemblies[Assy],".",IF(SUMIF(INDIRECT("'"&amp;Assemblies[Assy]&amp;"'!"&amp;"C$5:C1000"), $E235, INDIRECT("'"&amp;Assemblies[Assy]&amp;"'!"&amp;"B$5:B1000"))=0,NA(),SUMIF(INDIRECT("'"&amp;Assemblies[Assy]&amp;"'!"&amp;"C$5:C1000"), $E235, INDIRECT("'"&amp;Assemblies[Assy]&amp;"'!"&amp;"A$5:A1000")))),"")), " ,", ""))</f>
        <v>, 1x8.2.0,</v>
      </c>
      <c r="I235" s="286" t="s">
        <v>1473</v>
      </c>
      <c r="J235" s="260" t="str">
        <f>Assemblies[[#This Row],[Assy]]</f>
        <v>8.2.2</v>
      </c>
    </row>
    <row r="236" spans="1:10" x14ac:dyDescent="0.25">
      <c r="A236" t="str">
        <f ca="1">'PG10'!$E$2</f>
        <v>PG10</v>
      </c>
      <c r="B236" s="201" t="s">
        <v>1890</v>
      </c>
      <c r="C236" s="24" t="s">
        <v>1470</v>
      </c>
      <c r="D236" s="134" t="s">
        <v>54</v>
      </c>
      <c r="E236" t="str">
        <f t="shared" ca="1" si="3"/>
        <v>PG10.8.3.0.A</v>
      </c>
      <c r="F236" t="s">
        <v>1891</v>
      </c>
      <c r="G236" s="19" cm="1">
        <f t="array" aca="1" ref="G236" ca="1">SUMPRODUCT(SUMIF(INDIRECT("'"&amp;Assemblies[Assy]&amp;"'!"&amp;"C5:C1000"),E236,(INDIRECT("'"&amp;Assemblies[Assy]&amp;"'!"&amp;"O5:O1000"))))</f>
        <v>1</v>
      </c>
      <c r="H236" t="str" cm="1">
        <f t="array" aca="1" ref="H236" ca="1">TRIM(SUBSTITUTE(_xlfn.ARRAYTOTEXT(IFERROR(CONCATENATE(SUMIF(INDIRECT("'"&amp;Assemblies[Assy]&amp;"'!"&amp;"C$5:C1000"), $E236, INDIRECT("'"&amp;Assemblies[Assy]&amp;"'!"&amp;"O$5:O1000")), "x",Assemblies[Assy],".",IF(SUMIF(INDIRECT("'"&amp;Assemblies[Assy]&amp;"'!"&amp;"C$5:C1000"), $E236, INDIRECT("'"&amp;Assemblies[Assy]&amp;"'!"&amp;"B$5:B1000"))=0,NA(),SUMIF(INDIRECT("'"&amp;Assemblies[Assy]&amp;"'!"&amp;"C$5:C1000"), $E236, INDIRECT("'"&amp;Assemblies[Assy]&amp;"'!"&amp;"A$5:A1000")))),"")), " ,", ""))</f>
        <v>, 1x8.0,</v>
      </c>
      <c r="I236" s="286" t="s">
        <v>1473</v>
      </c>
      <c r="J236" s="214" t="str">
        <f>Assemblies[[#This Row],[Assy]]</f>
        <v>8.3</v>
      </c>
    </row>
    <row r="237" spans="1:10" x14ac:dyDescent="0.25">
      <c r="A237" t="str">
        <f ca="1">'PG10'!$E$2</f>
        <v>PG10</v>
      </c>
      <c r="B237" s="201" t="s">
        <v>1892</v>
      </c>
      <c r="C237" s="24" t="s">
        <v>1470</v>
      </c>
      <c r="D237" s="134" t="s">
        <v>54</v>
      </c>
      <c r="E237" t="str">
        <f t="shared" ca="1" si="3"/>
        <v>PG10.8.4.0.A</v>
      </c>
      <c r="F237" t="s">
        <v>1893</v>
      </c>
      <c r="G237" s="19" cm="1">
        <f t="array" aca="1" ref="G237" ca="1">SUMPRODUCT(SUMIF(INDIRECT("'"&amp;Assemblies[Assy]&amp;"'!"&amp;"C5:C1000"),E237,(INDIRECT("'"&amp;Assemblies[Assy]&amp;"'!"&amp;"O5:O1000"))))</f>
        <v>4</v>
      </c>
      <c r="H237" t="str" cm="1">
        <f t="array" aca="1" ref="H237" ca="1">TRIM(SUBSTITUTE(_xlfn.ARRAYTOTEXT(IFERROR(CONCATENATE(SUMIF(INDIRECT("'"&amp;Assemblies[Assy]&amp;"'!"&amp;"C$5:C1000"), $E237, INDIRECT("'"&amp;Assemblies[Assy]&amp;"'!"&amp;"O$5:O1000")), "x",Assemblies[Assy],".",IF(SUMIF(INDIRECT("'"&amp;Assemblies[Assy]&amp;"'!"&amp;"C$5:C1000"), $E237, INDIRECT("'"&amp;Assemblies[Assy]&amp;"'!"&amp;"B$5:B1000"))=0,NA(),SUMIF(INDIRECT("'"&amp;Assemblies[Assy]&amp;"'!"&amp;"C$5:C1000"), $E237, INDIRECT("'"&amp;Assemblies[Assy]&amp;"'!"&amp;"A$5:A1000")))),"")), " ,", ""))</f>
        <v>, 1x4.4.0, 1x5.3.0, 1x6.1.0, 1x8.0,</v>
      </c>
      <c r="I237" s="286" t="s">
        <v>1473</v>
      </c>
      <c r="J237" s="214" t="str">
        <f>Assemblies[[#This Row],[Assy]]</f>
        <v>8.4</v>
      </c>
    </row>
    <row r="238" spans="1:10" x14ac:dyDescent="0.25">
      <c r="A238" t="s">
        <v>1475</v>
      </c>
      <c r="B238" s="199" t="s">
        <v>1377</v>
      </c>
      <c r="C238" s="24" t="s">
        <v>1470</v>
      </c>
      <c r="D238" s="134" t="s">
        <v>54</v>
      </c>
      <c r="E238" t="str">
        <f t="shared" si="3"/>
        <v>PG10.9.0.A</v>
      </c>
      <c r="F238" t="s">
        <v>1894</v>
      </c>
      <c r="G238" s="19" cm="1">
        <f t="array" aca="1" ref="G238" ca="1">SUMPRODUCT(SUMIF(INDIRECT("'"&amp;Assemblies[Assy]&amp;"'!"&amp;"C5:C1000"),E238,(INDIRECT("'"&amp;Assemblies[Assy]&amp;"'!"&amp;"O5:O1000"))))</f>
        <v>1</v>
      </c>
      <c r="H238" t="str" cm="1">
        <f t="array" aca="1" ref="H238" ca="1">TRIM(SUBSTITUTE(_xlfn.ARRAYTOTEXT(IFERROR(CONCATENATE(SUMIF(INDIRECT("'"&amp;Assemblies[Assy]&amp;"'!"&amp;"C$5:C1000"), $E238, INDIRECT("'"&amp;Assemblies[Assy]&amp;"'!"&amp;"O$5:O1000")), "x",Assemblies[Assy],".",IF(SUMIF(INDIRECT("'"&amp;Assemblies[Assy]&amp;"'!"&amp;"C$5:C1000"), $E238, INDIRECT("'"&amp;Assemblies[Assy]&amp;"'!"&amp;"B$5:B1000"))=0,NA(),SUMIF(INDIRECT("'"&amp;Assemblies[Assy]&amp;"'!"&amp;"C$5:C1000"), $E238, INDIRECT("'"&amp;Assemblies[Assy]&amp;"'!"&amp;"A$5:A1000")))),"")), " ,", ""))</f>
        <v>1x0.0,</v>
      </c>
      <c r="I238" s="286" t="s">
        <v>1473</v>
      </c>
      <c r="J238" s="211" t="str">
        <f>Assemblies[[#This Row],[Assy]]</f>
        <v>9</v>
      </c>
    </row>
    <row r="239" spans="1:10" x14ac:dyDescent="0.25">
      <c r="A239" t="s">
        <v>1475</v>
      </c>
      <c r="B239" s="197" t="s">
        <v>1895</v>
      </c>
      <c r="C239" s="24" t="s">
        <v>1470</v>
      </c>
      <c r="D239" s="134" t="s">
        <v>54</v>
      </c>
      <c r="E239" t="str">
        <f t="shared" si="3"/>
        <v>PG10.9.1.0.A</v>
      </c>
      <c r="F239" t="s">
        <v>1896</v>
      </c>
      <c r="G239" s="19" cm="1">
        <f t="array" aca="1" ref="G239" ca="1">SUMPRODUCT(SUMIF(INDIRECT("'"&amp;Assemblies[Assy]&amp;"'!"&amp;"C5:C1000"),E239,(INDIRECT("'"&amp;Assemblies[Assy]&amp;"'!"&amp;"O5:O1000"))))</f>
        <v>1</v>
      </c>
      <c r="H239" t="str" cm="1">
        <f t="array" aca="1" ref="H239" ca="1">TRIM(SUBSTITUTE(_xlfn.ARRAYTOTEXT(IFERROR(CONCATENATE(SUMIF(INDIRECT("'"&amp;Assemblies[Assy]&amp;"'!"&amp;"C$5:C1000"), $E239, INDIRECT("'"&amp;Assemblies[Assy]&amp;"'!"&amp;"O$5:O1000")), "x",Assemblies[Assy],".",IF(SUMIF(INDIRECT("'"&amp;Assemblies[Assy]&amp;"'!"&amp;"C$5:C1000"), $E239, INDIRECT("'"&amp;Assemblies[Assy]&amp;"'!"&amp;"B$5:B1000"))=0,NA(),SUMIF(INDIRECT("'"&amp;Assemblies[Assy]&amp;"'!"&amp;"C$5:C1000"), $E239, INDIRECT("'"&amp;Assemblies[Assy]&amp;"'!"&amp;"A$5:A1000")))),"")), " ,", ""))</f>
        <v>, 1x9.0,</v>
      </c>
      <c r="I239" s="286" t="s">
        <v>1473</v>
      </c>
      <c r="J239" s="211" t="str">
        <f>Assemblies[[#This Row],[Assy]]</f>
        <v>9.1</v>
      </c>
    </row>
    <row r="240" spans="1:10" x14ac:dyDescent="0.25">
      <c r="A240" t="s">
        <v>1475</v>
      </c>
      <c r="B240" s="197" t="s">
        <v>1897</v>
      </c>
      <c r="C240" s="24" t="s">
        <v>1470</v>
      </c>
      <c r="D240" s="134" t="s">
        <v>54</v>
      </c>
      <c r="E240" t="str">
        <f t="shared" si="3"/>
        <v>PG10.9.2.0.A</v>
      </c>
      <c r="F240" t="s">
        <v>1898</v>
      </c>
      <c r="G240" s="19" cm="1">
        <f t="array" aca="1" ref="G240" ca="1">SUMPRODUCT(SUMIF(INDIRECT("'"&amp;Assemblies[Assy]&amp;"'!"&amp;"C5:C1000"),E240,(INDIRECT("'"&amp;Assemblies[Assy]&amp;"'!"&amp;"O5:O1000"))))</f>
        <v>1</v>
      </c>
      <c r="H240" t="str" cm="1">
        <f t="array" aca="1" ref="H240" ca="1">TRIM(SUBSTITUTE(_xlfn.ARRAYTOTEXT(IFERROR(CONCATENATE(SUMIF(INDIRECT("'"&amp;Assemblies[Assy]&amp;"'!"&amp;"C$5:C1000"), $E240, INDIRECT("'"&amp;Assemblies[Assy]&amp;"'!"&amp;"O$5:O1000")), "x",Assemblies[Assy],".",IF(SUMIF(INDIRECT("'"&amp;Assemblies[Assy]&amp;"'!"&amp;"C$5:C1000"), $E240, INDIRECT("'"&amp;Assemblies[Assy]&amp;"'!"&amp;"B$5:B1000"))=0,NA(),SUMIF(INDIRECT("'"&amp;Assemblies[Assy]&amp;"'!"&amp;"C$5:C1000"), $E240, INDIRECT("'"&amp;Assemblies[Assy]&amp;"'!"&amp;"A$5:A1000")))),"")), " ,", ""))</f>
        <v>, 1x9.0,</v>
      </c>
      <c r="I240" s="286" t="s">
        <v>1473</v>
      </c>
      <c r="J240" s="211" t="str">
        <f>Assemblies[[#This Row],[Assy]]</f>
        <v>9.2</v>
      </c>
    </row>
    <row r="241" spans="1:10" x14ac:dyDescent="0.25">
      <c r="A241" t="s">
        <v>1475</v>
      </c>
      <c r="B241" s="197" t="s">
        <v>1899</v>
      </c>
      <c r="C241" s="24" t="s">
        <v>1470</v>
      </c>
      <c r="D241" s="134" t="s">
        <v>54</v>
      </c>
      <c r="E241" t="str">
        <f t="shared" si="3"/>
        <v>PG10.9.3.0.A</v>
      </c>
      <c r="F241" t="s">
        <v>1900</v>
      </c>
      <c r="G241" s="19" cm="1">
        <f t="array" aca="1" ref="G241" ca="1">SUMPRODUCT(SUMIF(INDIRECT("'"&amp;Assemblies[Assy]&amp;"'!"&amp;"C5:C1000"),E241,(INDIRECT("'"&amp;Assemblies[Assy]&amp;"'!"&amp;"O5:O1000"))))</f>
        <v>1</v>
      </c>
      <c r="H241" t="str" cm="1">
        <f t="array" aca="1" ref="H241" ca="1">TRIM(SUBSTITUTE(_xlfn.ARRAYTOTEXT(IFERROR(CONCATENATE(SUMIF(INDIRECT("'"&amp;Assemblies[Assy]&amp;"'!"&amp;"C$5:C1000"), $E241, INDIRECT("'"&amp;Assemblies[Assy]&amp;"'!"&amp;"O$5:O1000")), "x",Assemblies[Assy],".",IF(SUMIF(INDIRECT("'"&amp;Assemblies[Assy]&amp;"'!"&amp;"C$5:C1000"), $E241, INDIRECT("'"&amp;Assemblies[Assy]&amp;"'!"&amp;"B$5:B1000"))=0,NA(),SUMIF(INDIRECT("'"&amp;Assemblies[Assy]&amp;"'!"&amp;"C$5:C1000"), $E241, INDIRECT("'"&amp;Assemblies[Assy]&amp;"'!"&amp;"A$5:A1000")))),"")), " ,", ""))</f>
        <v>, 1x9.0,</v>
      </c>
      <c r="I241" s="286" t="s">
        <v>1473</v>
      </c>
      <c r="J241" s="211" t="str">
        <f>Assemblies[[#This Row],[Assy]]</f>
        <v>9.3</v>
      </c>
    </row>
    <row r="242" spans="1:10" x14ac:dyDescent="0.25">
      <c r="A242" t="s">
        <v>1475</v>
      </c>
      <c r="B242" s="197" t="s">
        <v>1901</v>
      </c>
      <c r="C242" s="24" t="s">
        <v>1470</v>
      </c>
      <c r="D242" s="134" t="s">
        <v>54</v>
      </c>
      <c r="E242" t="str">
        <f t="shared" si="3"/>
        <v>PG10.9.4.0.A</v>
      </c>
      <c r="F242" t="s">
        <v>1902</v>
      </c>
      <c r="G242" s="19" cm="1">
        <f t="array" aca="1" ref="G242" ca="1">SUMPRODUCT(SUMIF(INDIRECT("'"&amp;Assemblies[Assy]&amp;"'!"&amp;"C5:C1000"),E242,(INDIRECT("'"&amp;Assemblies[Assy]&amp;"'!"&amp;"O5:O1000"))))</f>
        <v>4</v>
      </c>
      <c r="H242" t="str" cm="1">
        <f t="array" aca="1" ref="H242" ca="1">TRIM(SUBSTITUTE(_xlfn.ARRAYTOTEXT(IFERROR(CONCATENATE(SUMIF(INDIRECT("'"&amp;Assemblies[Assy]&amp;"'!"&amp;"C$5:C1000"), $E242, INDIRECT("'"&amp;Assemblies[Assy]&amp;"'!"&amp;"O$5:O1000")), "x",Assemblies[Assy],".",IF(SUMIF(INDIRECT("'"&amp;Assemblies[Assy]&amp;"'!"&amp;"C$5:C1000"), $E242, INDIRECT("'"&amp;Assemblies[Assy]&amp;"'!"&amp;"B$5:B1000"))=0,NA(),SUMIF(INDIRECT("'"&amp;Assemblies[Assy]&amp;"'!"&amp;"C$5:C1000"), $E242, INDIRECT("'"&amp;Assemblies[Assy]&amp;"'!"&amp;"A$5:A1000")))),"")), " ,", ""))</f>
        <v>, 4x9.0,</v>
      </c>
      <c r="I242" s="286" t="s">
        <v>1473</v>
      </c>
      <c r="J242" s="211" t="str">
        <f>Assemblies[[#This Row],[Assy]]</f>
        <v>9.4</v>
      </c>
    </row>
    <row r="243" spans="1:10" x14ac:dyDescent="0.25">
      <c r="A243" t="s">
        <v>1475</v>
      </c>
      <c r="B243" s="197" t="s">
        <v>1903</v>
      </c>
      <c r="C243" s="24" t="s">
        <v>1470</v>
      </c>
      <c r="D243" s="134" t="s">
        <v>54</v>
      </c>
      <c r="E243" t="str">
        <f t="shared" si="3"/>
        <v>PG10.9.5.0.A</v>
      </c>
      <c r="F243" t="s">
        <v>1904</v>
      </c>
      <c r="G243" s="19" cm="1">
        <f t="array" aca="1" ref="G243" ca="1">SUMPRODUCT(SUMIF(INDIRECT("'"&amp;Assemblies[Assy]&amp;"'!"&amp;"C5:C1000"),E243,(INDIRECT("'"&amp;Assemblies[Assy]&amp;"'!"&amp;"O5:O1000"))))</f>
        <v>4</v>
      </c>
      <c r="H243" t="str" cm="1">
        <f t="array" aca="1" ref="H243" ca="1">TRIM(SUBSTITUTE(_xlfn.ARRAYTOTEXT(IFERROR(CONCATENATE(SUMIF(INDIRECT("'"&amp;Assemblies[Assy]&amp;"'!"&amp;"C$5:C1000"), $E243, INDIRECT("'"&amp;Assemblies[Assy]&amp;"'!"&amp;"O$5:O1000")), "x",Assemblies[Assy],".",IF(SUMIF(INDIRECT("'"&amp;Assemblies[Assy]&amp;"'!"&amp;"C$5:C1000"), $E243, INDIRECT("'"&amp;Assemblies[Assy]&amp;"'!"&amp;"B$5:B1000"))=0,NA(),SUMIF(INDIRECT("'"&amp;Assemblies[Assy]&amp;"'!"&amp;"C$5:C1000"), $E243, INDIRECT("'"&amp;Assemblies[Assy]&amp;"'!"&amp;"A$5:A1000")))),"")), " ,", ""))</f>
        <v>, 4x9.0,</v>
      </c>
      <c r="I243" s="286" t="s">
        <v>1473</v>
      </c>
      <c r="J243" s="211" t="str">
        <f>Assemblies[[#This Row],[Assy]]</f>
        <v>9.5</v>
      </c>
    </row>
    <row r="244" spans="1:10" x14ac:dyDescent="0.25">
      <c r="A244" t="s">
        <v>1475</v>
      </c>
      <c r="B244" s="199" t="s">
        <v>1246</v>
      </c>
      <c r="C244" s="24" t="s">
        <v>1470</v>
      </c>
      <c r="D244" s="134" t="s">
        <v>54</v>
      </c>
      <c r="E244" t="str">
        <f t="shared" si="3"/>
        <v>PG10.10.0.A</v>
      </c>
      <c r="F244" t="s">
        <v>1905</v>
      </c>
      <c r="G244" s="19" cm="1">
        <f t="array" aca="1" ref="G244" ca="1">SUMPRODUCT(SUMIF(INDIRECT("'"&amp;Assemblies[Assy]&amp;"'!"&amp;"C5:C1000"),E244,(INDIRECT("'"&amp;Assemblies[Assy]&amp;"'!"&amp;"O5:O1000"))))</f>
        <v>1</v>
      </c>
      <c r="H244" t="str" cm="1">
        <f t="array" aca="1" ref="H244" ca="1">TRIM(SUBSTITUTE(_xlfn.ARRAYTOTEXT(IFERROR(CONCATENATE(SUMIF(INDIRECT("'"&amp;Assemblies[Assy]&amp;"'!"&amp;"C$5:C1000"), $E244, INDIRECT("'"&amp;Assemblies[Assy]&amp;"'!"&amp;"O$5:O1000")), "x",Assemblies[Assy],".",IF(SUMIF(INDIRECT("'"&amp;Assemblies[Assy]&amp;"'!"&amp;"C$5:C1000"), $E244, INDIRECT("'"&amp;Assemblies[Assy]&amp;"'!"&amp;"B$5:B1000"))=0,NA(),SUMIF(INDIRECT("'"&amp;Assemblies[Assy]&amp;"'!"&amp;"C$5:C1000"), $E244, INDIRECT("'"&amp;Assemblies[Assy]&amp;"'!"&amp;"A$5:A1000")))),"")), " ,", ""))</f>
        <v>1x0.0,</v>
      </c>
      <c r="I244" s="286" t="s">
        <v>1473</v>
      </c>
      <c r="J244" s="261" t="str">
        <f>Assemblies[[#This Row],[Assy]]</f>
        <v>10</v>
      </c>
    </row>
    <row r="245" spans="1:10" x14ac:dyDescent="0.25">
      <c r="A245" t="s">
        <v>1475</v>
      </c>
      <c r="B245" s="197" t="s">
        <v>1906</v>
      </c>
      <c r="C245" s="24" t="s">
        <v>1470</v>
      </c>
      <c r="D245" s="134" t="s">
        <v>54</v>
      </c>
      <c r="E245" t="str">
        <f t="shared" si="3"/>
        <v>PG10.10.1.0.A</v>
      </c>
      <c r="F245" t="s">
        <v>1907</v>
      </c>
      <c r="G245" s="19" cm="1">
        <f t="array" aca="1" ref="G245" ca="1">SUMPRODUCT(SUMIF(INDIRECT("'"&amp;Assemblies[Assy]&amp;"'!"&amp;"C5:C1000"),E245,(INDIRECT("'"&amp;Assemblies[Assy]&amp;"'!"&amp;"O5:O1000"))))</f>
        <v>1</v>
      </c>
      <c r="H245" t="str" cm="1">
        <f t="array" aca="1" ref="H245" ca="1">TRIM(SUBSTITUTE(_xlfn.ARRAYTOTEXT(IFERROR(CONCATENATE(SUMIF(INDIRECT("'"&amp;Assemblies[Assy]&amp;"'!"&amp;"C$5:C1000"), $E245, INDIRECT("'"&amp;Assemblies[Assy]&amp;"'!"&amp;"O$5:O1000")), "x",Assemblies[Assy],".",IF(SUMIF(INDIRECT("'"&amp;Assemblies[Assy]&amp;"'!"&amp;"C$5:C1000"), $E245, INDIRECT("'"&amp;Assemblies[Assy]&amp;"'!"&amp;"B$5:B1000"))=0,NA(),SUMIF(INDIRECT("'"&amp;Assemblies[Assy]&amp;"'!"&amp;"C$5:C1000"), $E245, INDIRECT("'"&amp;Assemblies[Assy]&amp;"'!"&amp;"A$5:A1000")))),"")), " ,", ""))</f>
        <v>, 1x10.0,</v>
      </c>
      <c r="I245" s="286" t="s">
        <v>1473</v>
      </c>
      <c r="J245" s="262" t="str">
        <f>Assemblies[[#This Row],[Assy]]</f>
        <v>10.1</v>
      </c>
    </row>
    <row r="246" spans="1:10" x14ac:dyDescent="0.25">
      <c r="A246" t="s">
        <v>1475</v>
      </c>
      <c r="B246" s="204" t="s">
        <v>1908</v>
      </c>
      <c r="C246" s="24" t="s">
        <v>1470</v>
      </c>
      <c r="D246" s="134" t="s">
        <v>54</v>
      </c>
      <c r="E246" t="str">
        <f t="shared" si="3"/>
        <v>PG10.10.1.1.0.A</v>
      </c>
      <c r="F246" t="s">
        <v>1909</v>
      </c>
      <c r="G246" s="19" cm="1">
        <f t="array" aca="1" ref="G246" ca="1">SUMPRODUCT(SUMIF(INDIRECT("'"&amp;Assemblies[Assy]&amp;"'!"&amp;"C5:C1000"),E246,(INDIRECT("'"&amp;Assemblies[Assy]&amp;"'!"&amp;"O5:O1000"))))</f>
        <v>2</v>
      </c>
      <c r="H246" t="str" cm="1">
        <f t="array" aca="1" ref="H246" ca="1">TRIM(SUBSTITUTE(_xlfn.ARRAYTOTEXT(IFERROR(CONCATENATE(SUMIF(INDIRECT("'"&amp;Assemblies[Assy]&amp;"'!"&amp;"C$5:C1000"), $E246, INDIRECT("'"&amp;Assemblies[Assy]&amp;"'!"&amp;"O$5:O1000")), "x",Assemblies[Assy],".",IF(SUMIF(INDIRECT("'"&amp;Assemblies[Assy]&amp;"'!"&amp;"C$5:C1000"), $E246, INDIRECT("'"&amp;Assemblies[Assy]&amp;"'!"&amp;"B$5:B1000"))=0,NA(),SUMIF(INDIRECT("'"&amp;Assemblies[Assy]&amp;"'!"&amp;"C$5:C1000"), $E246, INDIRECT("'"&amp;Assemblies[Assy]&amp;"'!"&amp;"A$5:A1000")))),"")), " ,", ""))</f>
        <v>, 2x10.1.0,</v>
      </c>
      <c r="I246" s="286" t="s">
        <v>1473</v>
      </c>
      <c r="J246" s="262" t="str">
        <f>Assemblies[[#This Row],[Assy]]</f>
        <v>10.1.1</v>
      </c>
    </row>
    <row r="247" spans="1:10" x14ac:dyDescent="0.25">
      <c r="A247" t="s">
        <v>1475</v>
      </c>
      <c r="B247" s="204" t="s">
        <v>1910</v>
      </c>
      <c r="C247" s="24" t="s">
        <v>1470</v>
      </c>
      <c r="D247" s="134" t="s">
        <v>54</v>
      </c>
      <c r="E247" t="str">
        <f t="shared" si="3"/>
        <v>PG10.10.1.2.0.A</v>
      </c>
      <c r="F247" t="s">
        <v>1911</v>
      </c>
      <c r="G247" s="19" cm="1">
        <f t="array" aca="1" ref="G247" ca="1">SUMPRODUCT(SUMIF(INDIRECT("'"&amp;Assemblies[Assy]&amp;"'!"&amp;"C5:C1000"),E247,(INDIRECT("'"&amp;Assemblies[Assy]&amp;"'!"&amp;"O5:O1000"))))</f>
        <v>1</v>
      </c>
      <c r="H247" t="str" cm="1">
        <f t="array" aca="1" ref="H247" ca="1">TRIM(SUBSTITUTE(_xlfn.ARRAYTOTEXT(IFERROR(CONCATENATE(SUMIF(INDIRECT("'"&amp;Assemblies[Assy]&amp;"'!"&amp;"C$5:C1000"), $E247, INDIRECT("'"&amp;Assemblies[Assy]&amp;"'!"&amp;"O$5:O1000")), "x",Assemblies[Assy],".",IF(SUMIF(INDIRECT("'"&amp;Assemblies[Assy]&amp;"'!"&amp;"C$5:C1000"), $E247, INDIRECT("'"&amp;Assemblies[Assy]&amp;"'!"&amp;"B$5:B1000"))=0,NA(),SUMIF(INDIRECT("'"&amp;Assemblies[Assy]&amp;"'!"&amp;"C$5:C1000"), $E247, INDIRECT("'"&amp;Assemblies[Assy]&amp;"'!"&amp;"A$5:A1000")))),"")), " ,", ""))</f>
        <v>, 1x10.1.0,</v>
      </c>
      <c r="I247" s="286" t="s">
        <v>1473</v>
      </c>
      <c r="J247" s="262" t="str">
        <f>Assemblies[[#This Row],[Assy]]</f>
        <v>10.1.2</v>
      </c>
    </row>
    <row r="248" spans="1:10" x14ac:dyDescent="0.25">
      <c r="A248" t="s">
        <v>1475</v>
      </c>
      <c r="B248" s="204" t="s">
        <v>1912</v>
      </c>
      <c r="C248" s="24" t="s">
        <v>1470</v>
      </c>
      <c r="D248" s="134" t="s">
        <v>54</v>
      </c>
      <c r="E248" t="str">
        <f t="shared" si="3"/>
        <v>PG10.10.1.3.0.A</v>
      </c>
      <c r="F248" t="s">
        <v>1913</v>
      </c>
      <c r="G248" s="19" cm="1">
        <f t="array" aca="1" ref="G248" ca="1">SUMPRODUCT(SUMIF(INDIRECT("'"&amp;Assemblies[Assy]&amp;"'!"&amp;"C5:C1000"),E248,(INDIRECT("'"&amp;Assemblies[Assy]&amp;"'!"&amp;"O5:O1000"))))</f>
        <v>2</v>
      </c>
      <c r="H248" t="str" cm="1">
        <f t="array" aca="1" ref="H248" ca="1">TRIM(SUBSTITUTE(_xlfn.ARRAYTOTEXT(IFERROR(CONCATENATE(SUMIF(INDIRECT("'"&amp;Assemblies[Assy]&amp;"'!"&amp;"C$5:C1000"), $E248, INDIRECT("'"&amp;Assemblies[Assy]&amp;"'!"&amp;"O$5:O1000")), "x",Assemblies[Assy],".",IF(SUMIF(INDIRECT("'"&amp;Assemblies[Assy]&amp;"'!"&amp;"C$5:C1000"), $E248, INDIRECT("'"&amp;Assemblies[Assy]&amp;"'!"&amp;"B$5:B1000"))=0,NA(),SUMIF(INDIRECT("'"&amp;Assemblies[Assy]&amp;"'!"&amp;"C$5:C1000"), $E248, INDIRECT("'"&amp;Assemblies[Assy]&amp;"'!"&amp;"A$5:A1000")))),"")), " ,", ""))</f>
        <v>, 2x10.1.0,</v>
      </c>
      <c r="I248" s="286" t="s">
        <v>1473</v>
      </c>
      <c r="J248" s="262" t="str">
        <f>Assemblies[[#This Row],[Assy]]</f>
        <v>10.1.3</v>
      </c>
    </row>
    <row r="249" spans="1:10" x14ac:dyDescent="0.25">
      <c r="A249" t="s">
        <v>1475</v>
      </c>
      <c r="B249" s="204" t="s">
        <v>1914</v>
      </c>
      <c r="C249" s="24" t="s">
        <v>1470</v>
      </c>
      <c r="D249" s="134" t="s">
        <v>54</v>
      </c>
      <c r="E249" t="str">
        <f t="shared" si="3"/>
        <v>PG10.10.1.4.0.A</v>
      </c>
      <c r="F249" t="s">
        <v>1915</v>
      </c>
      <c r="G249" s="19" cm="1">
        <f t="array" aca="1" ref="G249" ca="1">SUMPRODUCT(SUMIF(INDIRECT("'"&amp;Assemblies[Assy]&amp;"'!"&amp;"C5:C1000"),E249,(INDIRECT("'"&amp;Assemblies[Assy]&amp;"'!"&amp;"O5:O1000"))))</f>
        <v>1</v>
      </c>
      <c r="H249" t="str" cm="1">
        <f t="array" aca="1" ref="H249" ca="1">TRIM(SUBSTITUTE(_xlfn.ARRAYTOTEXT(IFERROR(CONCATENATE(SUMIF(INDIRECT("'"&amp;Assemblies[Assy]&amp;"'!"&amp;"C$5:C1000"), $E249, INDIRECT("'"&amp;Assemblies[Assy]&amp;"'!"&amp;"O$5:O1000")), "x",Assemblies[Assy],".",IF(SUMIF(INDIRECT("'"&amp;Assemblies[Assy]&amp;"'!"&amp;"C$5:C1000"), $E249, INDIRECT("'"&amp;Assemblies[Assy]&amp;"'!"&amp;"B$5:B1000"))=0,NA(),SUMIF(INDIRECT("'"&amp;Assemblies[Assy]&amp;"'!"&amp;"C$5:C1000"), $E249, INDIRECT("'"&amp;Assemblies[Assy]&amp;"'!"&amp;"A$5:A1000")))),"")), " ,", ""))</f>
        <v>, 1x10.1.0,</v>
      </c>
      <c r="I249" s="286" t="s">
        <v>1473</v>
      </c>
      <c r="J249" s="262" t="str">
        <f>Assemblies[[#This Row],[Assy]]</f>
        <v>10.1.4</v>
      </c>
    </row>
    <row r="250" spans="1:10" x14ac:dyDescent="0.25">
      <c r="A250" t="s">
        <v>1475</v>
      </c>
      <c r="B250" s="204" t="s">
        <v>1916</v>
      </c>
      <c r="C250" s="24" t="s">
        <v>1470</v>
      </c>
      <c r="D250" s="134" t="s">
        <v>54</v>
      </c>
      <c r="E250" t="str">
        <f t="shared" si="3"/>
        <v>PG10.10.1.5.0.A</v>
      </c>
      <c r="F250" t="s">
        <v>1917</v>
      </c>
      <c r="G250" s="19" cm="1">
        <f t="array" aca="1" ref="G250" ca="1">SUMPRODUCT(SUMIF(INDIRECT("'"&amp;Assemblies[Assy]&amp;"'!"&amp;"C5:C1000"),E250,(INDIRECT("'"&amp;Assemblies[Assy]&amp;"'!"&amp;"O5:O1000"))))</f>
        <v>1</v>
      </c>
      <c r="H250" t="str" cm="1">
        <f t="array" aca="1" ref="H250" ca="1">TRIM(SUBSTITUTE(_xlfn.ARRAYTOTEXT(IFERROR(CONCATENATE(SUMIF(INDIRECT("'"&amp;Assemblies[Assy]&amp;"'!"&amp;"C$5:C1000"), $E250, INDIRECT("'"&amp;Assemblies[Assy]&amp;"'!"&amp;"O$5:O1000")), "x",Assemblies[Assy],".",IF(SUMIF(INDIRECT("'"&amp;Assemblies[Assy]&amp;"'!"&amp;"C$5:C1000"), $E250, INDIRECT("'"&amp;Assemblies[Assy]&amp;"'!"&amp;"B$5:B1000"))=0,NA(),SUMIF(INDIRECT("'"&amp;Assemblies[Assy]&amp;"'!"&amp;"C$5:C1000"), $E250, INDIRECT("'"&amp;Assemblies[Assy]&amp;"'!"&amp;"A$5:A1000")))),"")), " ,", ""))</f>
        <v>, 1x10.1.0,</v>
      </c>
      <c r="I250" s="286" t="s">
        <v>1473</v>
      </c>
      <c r="J250" s="262" t="str">
        <f>Assemblies[[#This Row],[Assy]]</f>
        <v>10.1.5</v>
      </c>
    </row>
    <row r="251" spans="1:10" x14ac:dyDescent="0.25">
      <c r="A251" t="s">
        <v>1475</v>
      </c>
      <c r="B251" s="204" t="s">
        <v>1918</v>
      </c>
      <c r="C251" s="24" t="s">
        <v>1470</v>
      </c>
      <c r="D251" s="134" t="s">
        <v>54</v>
      </c>
      <c r="E251" t="str">
        <f t="shared" si="3"/>
        <v>PG10.10.1.6.0.A</v>
      </c>
      <c r="F251" t="s">
        <v>1919</v>
      </c>
      <c r="G251" s="19" cm="1">
        <f t="array" aca="1" ref="G251" ca="1">SUMPRODUCT(SUMIF(INDIRECT("'"&amp;Assemblies[Assy]&amp;"'!"&amp;"C5:C1000"),E251,(INDIRECT("'"&amp;Assemblies[Assy]&amp;"'!"&amp;"O5:O1000"))))</f>
        <v>2</v>
      </c>
      <c r="H251" t="str" cm="1">
        <f t="array" aca="1" ref="H251" ca="1">TRIM(SUBSTITUTE(_xlfn.ARRAYTOTEXT(IFERROR(CONCATENATE(SUMIF(INDIRECT("'"&amp;Assemblies[Assy]&amp;"'!"&amp;"C$5:C1000"), $E251, INDIRECT("'"&amp;Assemblies[Assy]&amp;"'!"&amp;"O$5:O1000")), "x",Assemblies[Assy],".",IF(SUMIF(INDIRECT("'"&amp;Assemblies[Assy]&amp;"'!"&amp;"C$5:C1000"), $E251, INDIRECT("'"&amp;Assemblies[Assy]&amp;"'!"&amp;"B$5:B1000"))=0,NA(),SUMIF(INDIRECT("'"&amp;Assemblies[Assy]&amp;"'!"&amp;"C$5:C1000"), $E251, INDIRECT("'"&amp;Assemblies[Assy]&amp;"'!"&amp;"A$5:A1000")))),"")), " ,", ""))</f>
        <v>, 2x10.1.0,</v>
      </c>
      <c r="I251" s="286" t="s">
        <v>1473</v>
      </c>
      <c r="J251" s="262" t="str">
        <f>Assemblies[[#This Row],[Assy]]</f>
        <v>10.1.6</v>
      </c>
    </row>
    <row r="252" spans="1:10" x14ac:dyDescent="0.25">
      <c r="A252" t="s">
        <v>1475</v>
      </c>
      <c r="B252" s="204" t="s">
        <v>1920</v>
      </c>
      <c r="C252" s="24" t="s">
        <v>1470</v>
      </c>
      <c r="D252" s="134" t="s">
        <v>54</v>
      </c>
      <c r="E252" t="str">
        <f t="shared" si="3"/>
        <v>PG10.10.1.7.0.A</v>
      </c>
      <c r="F252" t="s">
        <v>1921</v>
      </c>
      <c r="G252" s="19" cm="1">
        <f t="array" aca="1" ref="G252" ca="1">SUMPRODUCT(SUMIF(INDIRECT("'"&amp;Assemblies[Assy]&amp;"'!"&amp;"C5:C1000"),E252,(INDIRECT("'"&amp;Assemblies[Assy]&amp;"'!"&amp;"O5:O1000"))))</f>
        <v>1</v>
      </c>
      <c r="H252" t="str" cm="1">
        <f t="array" aca="1" ref="H252" ca="1">TRIM(SUBSTITUTE(_xlfn.ARRAYTOTEXT(IFERROR(CONCATENATE(SUMIF(INDIRECT("'"&amp;Assemblies[Assy]&amp;"'!"&amp;"C$5:C1000"), $E252, INDIRECT("'"&amp;Assemblies[Assy]&amp;"'!"&amp;"O$5:O1000")), "x",Assemblies[Assy],".",IF(SUMIF(INDIRECT("'"&amp;Assemblies[Assy]&amp;"'!"&amp;"C$5:C1000"), $E252, INDIRECT("'"&amp;Assemblies[Assy]&amp;"'!"&amp;"B$5:B1000"))=0,NA(),SUMIF(INDIRECT("'"&amp;Assemblies[Assy]&amp;"'!"&amp;"C$5:C1000"), $E252, INDIRECT("'"&amp;Assemblies[Assy]&amp;"'!"&amp;"A$5:A1000")))),"")), " ,", ""))</f>
        <v>, 1x10.1.0,</v>
      </c>
      <c r="I252" s="286" t="s">
        <v>1473</v>
      </c>
      <c r="J252" s="262" t="str">
        <f>Assemblies[[#This Row],[Assy]]</f>
        <v>10.1.7</v>
      </c>
    </row>
    <row r="253" spans="1:10" x14ac:dyDescent="0.25">
      <c r="A253" t="s">
        <v>1475</v>
      </c>
      <c r="B253" s="204" t="s">
        <v>1922</v>
      </c>
      <c r="C253" s="24" t="s">
        <v>1470</v>
      </c>
      <c r="D253" s="134" t="s">
        <v>54</v>
      </c>
      <c r="E253" t="str">
        <f t="shared" si="3"/>
        <v>PG10.10.1.8.0.A</v>
      </c>
      <c r="F253" t="s">
        <v>1923</v>
      </c>
      <c r="G253" s="19" cm="1">
        <f t="array" aca="1" ref="G253" ca="1">SUMPRODUCT(SUMIF(INDIRECT("'"&amp;Assemblies[Assy]&amp;"'!"&amp;"C5:C1000"),E253,(INDIRECT("'"&amp;Assemblies[Assy]&amp;"'!"&amp;"O5:O1000"))))</f>
        <v>1</v>
      </c>
      <c r="H253" t="str" cm="1">
        <f t="array" aca="1" ref="H253" ca="1">TRIM(SUBSTITUTE(_xlfn.ARRAYTOTEXT(IFERROR(CONCATENATE(SUMIF(INDIRECT("'"&amp;Assemblies[Assy]&amp;"'!"&amp;"C$5:C1000"), $E253, INDIRECT("'"&amp;Assemblies[Assy]&amp;"'!"&amp;"O$5:O1000")), "x",Assemblies[Assy],".",IF(SUMIF(INDIRECT("'"&amp;Assemblies[Assy]&amp;"'!"&amp;"C$5:C1000"), $E253, INDIRECT("'"&amp;Assemblies[Assy]&amp;"'!"&amp;"B$5:B1000"))=0,NA(),SUMIF(INDIRECT("'"&amp;Assemblies[Assy]&amp;"'!"&amp;"C$5:C1000"), $E253, INDIRECT("'"&amp;Assemblies[Assy]&amp;"'!"&amp;"A$5:A1000")))),"")), " ,", ""))</f>
        <v>, 1x10.1.0,</v>
      </c>
      <c r="I253" s="286" t="s">
        <v>1473</v>
      </c>
      <c r="J253" s="262" t="str">
        <f>Assemblies[[#This Row],[Assy]]</f>
        <v>10.1.8</v>
      </c>
    </row>
    <row r="254" spans="1:10" x14ac:dyDescent="0.25">
      <c r="A254" t="s">
        <v>1475</v>
      </c>
      <c r="B254" s="204" t="s">
        <v>1924</v>
      </c>
      <c r="C254" s="24" t="s">
        <v>1470</v>
      </c>
      <c r="D254" s="134" t="s">
        <v>54</v>
      </c>
      <c r="E254" t="str">
        <f t="shared" si="3"/>
        <v>PG10.10.1.9.0.A</v>
      </c>
      <c r="F254" t="s">
        <v>1925</v>
      </c>
      <c r="G254" s="19" cm="1">
        <f t="array" aca="1" ref="G254" ca="1">SUMPRODUCT(SUMIF(INDIRECT("'"&amp;Assemblies[Assy]&amp;"'!"&amp;"C5:C1000"),E254,(INDIRECT("'"&amp;Assemblies[Assy]&amp;"'!"&amp;"O5:O1000"))))</f>
        <v>1</v>
      </c>
      <c r="H254" t="str" cm="1">
        <f t="array" aca="1" ref="H254" ca="1">TRIM(SUBSTITUTE(_xlfn.ARRAYTOTEXT(IFERROR(CONCATENATE(SUMIF(INDIRECT("'"&amp;Assemblies[Assy]&amp;"'!"&amp;"C$5:C1000"), $E254, INDIRECT("'"&amp;Assemblies[Assy]&amp;"'!"&amp;"O$5:O1000")), "x",Assemblies[Assy],".",IF(SUMIF(INDIRECT("'"&amp;Assemblies[Assy]&amp;"'!"&amp;"C$5:C1000"), $E254, INDIRECT("'"&amp;Assemblies[Assy]&amp;"'!"&amp;"B$5:B1000"))=0,NA(),SUMIF(INDIRECT("'"&amp;Assemblies[Assy]&amp;"'!"&amp;"C$5:C1000"), $E254, INDIRECT("'"&amp;Assemblies[Assy]&amp;"'!"&amp;"A$5:A1000")))),"")), " ,", ""))</f>
        <v>, 1x10.1.0,</v>
      </c>
      <c r="I254" s="286" t="s">
        <v>1473</v>
      </c>
      <c r="J254" s="262" t="str">
        <f>Assemblies[[#This Row],[Assy]]</f>
        <v>10.1.9</v>
      </c>
    </row>
    <row r="255" spans="1:10" x14ac:dyDescent="0.25">
      <c r="A255" t="s">
        <v>1475</v>
      </c>
      <c r="B255" s="204" t="s">
        <v>1926</v>
      </c>
      <c r="C255" s="24" t="s">
        <v>1470</v>
      </c>
      <c r="D255" s="134" t="s">
        <v>54</v>
      </c>
      <c r="E255" t="str">
        <f t="shared" si="3"/>
        <v>PG10.10.1.10.0.A</v>
      </c>
      <c r="F255" t="s">
        <v>1927</v>
      </c>
      <c r="G255" s="19" cm="1">
        <f t="array" aca="1" ref="G255" ca="1">SUMPRODUCT(SUMIF(INDIRECT("'"&amp;Assemblies[Assy]&amp;"'!"&amp;"C5:C1000"),E255,(INDIRECT("'"&amp;Assemblies[Assy]&amp;"'!"&amp;"O5:O1000"))))</f>
        <v>1</v>
      </c>
      <c r="H255" t="str" cm="1">
        <f t="array" aca="1" ref="H255" ca="1">TRIM(SUBSTITUTE(_xlfn.ARRAYTOTEXT(IFERROR(CONCATENATE(SUMIF(INDIRECT("'"&amp;Assemblies[Assy]&amp;"'!"&amp;"C$5:C1000"), $E255, INDIRECT("'"&amp;Assemblies[Assy]&amp;"'!"&amp;"O$5:O1000")), "x",Assemblies[Assy],".",IF(SUMIF(INDIRECT("'"&amp;Assemblies[Assy]&amp;"'!"&amp;"C$5:C1000"), $E255, INDIRECT("'"&amp;Assemblies[Assy]&amp;"'!"&amp;"B$5:B1000"))=0,NA(),SUMIF(INDIRECT("'"&amp;Assemblies[Assy]&amp;"'!"&amp;"C$5:C1000"), $E255, INDIRECT("'"&amp;Assemblies[Assy]&amp;"'!"&amp;"A$5:A1000")))),"")), " ,", ""))</f>
        <v>, 1x10.1.0,</v>
      </c>
      <c r="I255" s="286" t="s">
        <v>1473</v>
      </c>
      <c r="J255" s="262" t="str">
        <f>Assemblies[[#This Row],[Assy]]</f>
        <v>10.1.10</v>
      </c>
    </row>
    <row r="256" spans="1:10" x14ac:dyDescent="0.25">
      <c r="A256" t="s">
        <v>1475</v>
      </c>
      <c r="B256" s="204" t="s">
        <v>1928</v>
      </c>
      <c r="C256" s="24" t="s">
        <v>1470</v>
      </c>
      <c r="D256" s="134" t="s">
        <v>54</v>
      </c>
      <c r="E256" t="str">
        <f t="shared" si="3"/>
        <v>PG10.10.1.11.0.A</v>
      </c>
      <c r="F256" t="s">
        <v>1929</v>
      </c>
      <c r="G256" s="19" cm="1">
        <f t="array" aca="1" ref="G256" ca="1">SUMPRODUCT(SUMIF(INDIRECT("'"&amp;Assemblies[Assy]&amp;"'!"&amp;"C5:C1000"),E256,(INDIRECT("'"&amp;Assemblies[Assy]&amp;"'!"&amp;"O5:O1000"))))</f>
        <v>1</v>
      </c>
      <c r="H256" t="str" cm="1">
        <f t="array" aca="1" ref="H256" ca="1">TRIM(SUBSTITUTE(_xlfn.ARRAYTOTEXT(IFERROR(CONCATENATE(SUMIF(INDIRECT("'"&amp;Assemblies[Assy]&amp;"'!"&amp;"C$5:C1000"), $E256, INDIRECT("'"&amp;Assemblies[Assy]&amp;"'!"&amp;"O$5:O1000")), "x",Assemblies[Assy],".",IF(SUMIF(INDIRECT("'"&amp;Assemblies[Assy]&amp;"'!"&amp;"C$5:C1000"), $E256, INDIRECT("'"&amp;Assemblies[Assy]&amp;"'!"&amp;"B$5:B1000"))=0,NA(),SUMIF(INDIRECT("'"&amp;Assemblies[Assy]&amp;"'!"&amp;"C$5:C1000"), $E256, INDIRECT("'"&amp;Assemblies[Assy]&amp;"'!"&amp;"A$5:A1000")))),"")), " ,", ""))</f>
        <v>, 1x10.1.0,</v>
      </c>
      <c r="I256" s="286" t="s">
        <v>1473</v>
      </c>
      <c r="J256" s="262" t="str">
        <f>Assemblies[[#This Row],[Assy]]</f>
        <v>10.1.11</v>
      </c>
    </row>
    <row r="257" spans="1:12" x14ac:dyDescent="0.25">
      <c r="A257" t="s">
        <v>1475</v>
      </c>
      <c r="B257" s="204" t="s">
        <v>1930</v>
      </c>
      <c r="C257" s="24" t="s">
        <v>1470</v>
      </c>
      <c r="D257" s="134" t="s">
        <v>54</v>
      </c>
      <c r="E257" t="str">
        <f t="shared" si="3"/>
        <v>PG10.10.1.12.0.A</v>
      </c>
      <c r="F257" t="s">
        <v>1931</v>
      </c>
      <c r="G257" s="19" cm="1">
        <f t="array" aca="1" ref="G257" ca="1">SUMPRODUCT(SUMIF(INDIRECT("'"&amp;Assemblies[Assy]&amp;"'!"&amp;"C5:C1000"),E257,(INDIRECT("'"&amp;Assemblies[Assy]&amp;"'!"&amp;"O5:O1000"))))</f>
        <v>6</v>
      </c>
      <c r="H257" t="str" cm="1">
        <f t="array" aca="1" ref="H257" ca="1">TRIM(SUBSTITUTE(_xlfn.ARRAYTOTEXT(IFERROR(CONCATENATE(SUMIF(INDIRECT("'"&amp;Assemblies[Assy]&amp;"'!"&amp;"C$5:C1000"), $E257, INDIRECT("'"&amp;Assemblies[Assy]&amp;"'!"&amp;"O$5:O1000")), "x",Assemblies[Assy],".",IF(SUMIF(INDIRECT("'"&amp;Assemblies[Assy]&amp;"'!"&amp;"C$5:C1000"), $E257, INDIRECT("'"&amp;Assemblies[Assy]&amp;"'!"&amp;"B$5:B1000"))=0,NA(),SUMIF(INDIRECT("'"&amp;Assemblies[Assy]&amp;"'!"&amp;"C$5:C1000"), $E257, INDIRECT("'"&amp;Assemblies[Assy]&amp;"'!"&amp;"A$5:A1000")))),"")), " ,", ""))</f>
        <v>, 6x10.1.0,</v>
      </c>
      <c r="I257" s="286" t="s">
        <v>1473</v>
      </c>
      <c r="J257" s="263" t="str">
        <f>Assemblies[[#This Row],[Assy]]</f>
        <v>10.1.12</v>
      </c>
    </row>
    <row r="258" spans="1:12" x14ac:dyDescent="0.25">
      <c r="A258" t="s">
        <v>1475</v>
      </c>
      <c r="B258" s="204" t="s">
        <v>1932</v>
      </c>
      <c r="C258" s="24" t="s">
        <v>1470</v>
      </c>
      <c r="D258" s="134" t="s">
        <v>54</v>
      </c>
      <c r="E258" t="str">
        <f t="shared" si="3"/>
        <v>PG10.10.1.13.0.A</v>
      </c>
      <c r="F258" t="s">
        <v>1933</v>
      </c>
      <c r="G258" s="19" cm="1">
        <f t="array" aca="1" ref="G258" ca="1">SUMPRODUCT(SUMIF(INDIRECT("'"&amp;Assemblies[Assy]&amp;"'!"&amp;"C5:C1000"),E258,(INDIRECT("'"&amp;Assemblies[Assy]&amp;"'!"&amp;"O5:O1000"))))</f>
        <v>1</v>
      </c>
      <c r="H258" t="str" cm="1">
        <f t="array" aca="1" ref="H258" ca="1">TRIM(SUBSTITUTE(_xlfn.ARRAYTOTEXT(IFERROR(CONCATENATE(SUMIF(INDIRECT("'"&amp;Assemblies[Assy]&amp;"'!"&amp;"C$5:C1000"), $E258, INDIRECT("'"&amp;Assemblies[Assy]&amp;"'!"&amp;"O$5:O1000")), "x",Assemblies[Assy],".",IF(SUMIF(INDIRECT("'"&amp;Assemblies[Assy]&amp;"'!"&amp;"C$5:C1000"), $E258, INDIRECT("'"&amp;Assemblies[Assy]&amp;"'!"&amp;"B$5:B1000"))=0,NA(),SUMIF(INDIRECT("'"&amp;Assemblies[Assy]&amp;"'!"&amp;"C$5:C1000"), $E258, INDIRECT("'"&amp;Assemblies[Assy]&amp;"'!"&amp;"A$5:A1000")))),"")), " ,", ""))</f>
        <v>, 1x10.1.0,</v>
      </c>
      <c r="I258" s="286" t="s">
        <v>1473</v>
      </c>
      <c r="J258" s="263" t="str">
        <f>Assemblies[[#This Row],[Assy]]</f>
        <v>10.1.13</v>
      </c>
    </row>
    <row r="259" spans="1:12" x14ac:dyDescent="0.25">
      <c r="A259" t="s">
        <v>1475</v>
      </c>
      <c r="B259" s="197" t="s">
        <v>1934</v>
      </c>
      <c r="C259" s="24" t="s">
        <v>1470</v>
      </c>
      <c r="D259" s="134" t="s">
        <v>54</v>
      </c>
      <c r="E259" t="str">
        <f t="shared" si="3"/>
        <v>PG10.10.2.0.A</v>
      </c>
      <c r="F259" t="s">
        <v>1935</v>
      </c>
      <c r="G259" s="19" cm="1">
        <f t="array" aca="1" ref="G259" ca="1">SUMPRODUCT(SUMIF(INDIRECT("'"&amp;Assemblies[Assy]&amp;"'!"&amp;"C5:C1000"),E259,(INDIRECT("'"&amp;Assemblies[Assy]&amp;"'!"&amp;"O5:O1000"))))</f>
        <v>1</v>
      </c>
      <c r="H259" t="str" cm="1">
        <f t="array" aca="1" ref="H259" ca="1">TRIM(SUBSTITUTE(_xlfn.ARRAYTOTEXT(IFERROR(CONCATENATE(SUMIF(INDIRECT("'"&amp;Assemblies[Assy]&amp;"'!"&amp;"C$5:C1000"), $E259, INDIRECT("'"&amp;Assemblies[Assy]&amp;"'!"&amp;"O$5:O1000")), "x",Assemblies[Assy],".",IF(SUMIF(INDIRECT("'"&amp;Assemblies[Assy]&amp;"'!"&amp;"C$5:C1000"), $E259, INDIRECT("'"&amp;Assemblies[Assy]&amp;"'!"&amp;"B$5:B1000"))=0,NA(),SUMIF(INDIRECT("'"&amp;Assemblies[Assy]&amp;"'!"&amp;"C$5:C1000"), $E259, INDIRECT("'"&amp;Assemblies[Assy]&amp;"'!"&amp;"A$5:A1000")))),"")), " ,", ""))</f>
        <v>, 1x10.0,</v>
      </c>
      <c r="I259" s="286" t="s">
        <v>1473</v>
      </c>
      <c r="J259" s="263" t="str">
        <f>Assemblies[[#This Row],[Assy]]</f>
        <v>10.2</v>
      </c>
    </row>
    <row r="260" spans="1:12" x14ac:dyDescent="0.25">
      <c r="A260" t="s">
        <v>1475</v>
      </c>
      <c r="B260" s="204" t="s">
        <v>1936</v>
      </c>
      <c r="C260" s="24" t="s">
        <v>1470</v>
      </c>
      <c r="D260" s="134" t="s">
        <v>54</v>
      </c>
      <c r="E260" t="str">
        <f t="shared" ref="E260:E274" si="4">_xlfn.CONCAT(A260,".",B260,".",C260,".",D260)</f>
        <v>PG10.10.2.1.0.A</v>
      </c>
      <c r="F260" t="s">
        <v>1937</v>
      </c>
      <c r="G260" s="19" cm="1">
        <f t="array" aca="1" ref="G260" ca="1">SUMPRODUCT(SUMIF(INDIRECT("'"&amp;Assemblies[Assy]&amp;"'!"&amp;"C5:C1000"),E260,(INDIRECT("'"&amp;Assemblies[Assy]&amp;"'!"&amp;"O5:O1000"))))</f>
        <v>1</v>
      </c>
      <c r="H260" t="str" cm="1">
        <f t="array" aca="1" ref="H260" ca="1">TRIM(SUBSTITUTE(_xlfn.ARRAYTOTEXT(IFERROR(CONCATENATE(SUMIF(INDIRECT("'"&amp;Assemblies[Assy]&amp;"'!"&amp;"C$5:C1000"), $E260, INDIRECT("'"&amp;Assemblies[Assy]&amp;"'!"&amp;"O$5:O1000")), "x",Assemblies[Assy],".",IF(SUMIF(INDIRECT("'"&amp;Assemblies[Assy]&amp;"'!"&amp;"C$5:C1000"), $E260, INDIRECT("'"&amp;Assemblies[Assy]&amp;"'!"&amp;"B$5:B1000"))=0,NA(),SUMIF(INDIRECT("'"&amp;Assemblies[Assy]&amp;"'!"&amp;"C$5:C1000"), $E260, INDIRECT("'"&amp;Assemblies[Assy]&amp;"'!"&amp;"A$5:A1000")))),"")), " ,", ""))</f>
        <v>, 1x10.2.0,</v>
      </c>
      <c r="I260" s="286" t="s">
        <v>1473</v>
      </c>
      <c r="J260" s="263" t="str">
        <f>Assemblies[[#This Row],[Assy]]</f>
        <v>10.2.1</v>
      </c>
    </row>
    <row r="261" spans="1:12" x14ac:dyDescent="0.25">
      <c r="A261" t="s">
        <v>1475</v>
      </c>
      <c r="B261" s="204" t="s">
        <v>1938</v>
      </c>
      <c r="C261" s="24" t="s">
        <v>1470</v>
      </c>
      <c r="D261" s="134" t="s">
        <v>54</v>
      </c>
      <c r="E261" t="str">
        <f t="shared" si="4"/>
        <v>PG10.10.2.2.0.A</v>
      </c>
      <c r="F261" t="s">
        <v>1939</v>
      </c>
      <c r="G261" s="19" cm="1">
        <f t="array" aca="1" ref="G261" ca="1">SUMPRODUCT(SUMIF(INDIRECT("'"&amp;Assemblies[Assy]&amp;"'!"&amp;"C5:C1000"),E261,(INDIRECT("'"&amp;Assemblies[Assy]&amp;"'!"&amp;"O5:O1000"))))</f>
        <v>1</v>
      </c>
      <c r="H261" t="str" cm="1">
        <f t="array" aca="1" ref="H261" ca="1">TRIM(SUBSTITUTE(_xlfn.ARRAYTOTEXT(IFERROR(CONCATENATE(SUMIF(INDIRECT("'"&amp;Assemblies[Assy]&amp;"'!"&amp;"C$5:C1000"), $E261, INDIRECT("'"&amp;Assemblies[Assy]&amp;"'!"&amp;"O$5:O1000")), "x",Assemblies[Assy],".",IF(SUMIF(INDIRECT("'"&amp;Assemblies[Assy]&amp;"'!"&amp;"C$5:C1000"), $E261, INDIRECT("'"&amp;Assemblies[Assy]&amp;"'!"&amp;"B$5:B1000"))=0,NA(),SUMIF(INDIRECT("'"&amp;Assemblies[Assy]&amp;"'!"&amp;"C$5:C1000"), $E261, INDIRECT("'"&amp;Assemblies[Assy]&amp;"'!"&amp;"A$5:A1000")))),"")), " ,", ""))</f>
        <v>, 1x10.2.0,</v>
      </c>
      <c r="I261" s="286" t="s">
        <v>1473</v>
      </c>
      <c r="J261" s="263" t="str">
        <f>Assemblies[[#This Row],[Assy]]</f>
        <v>10.2.2</v>
      </c>
    </row>
    <row r="262" spans="1:12" x14ac:dyDescent="0.25">
      <c r="A262" t="s">
        <v>1475</v>
      </c>
      <c r="B262" s="204" t="s">
        <v>1940</v>
      </c>
      <c r="C262" s="24" t="s">
        <v>1470</v>
      </c>
      <c r="D262" s="134" t="s">
        <v>54</v>
      </c>
      <c r="E262" t="str">
        <f t="shared" si="4"/>
        <v>PG10.10.2.3.0.A</v>
      </c>
      <c r="F262" t="s">
        <v>1941</v>
      </c>
      <c r="G262" s="19" cm="1">
        <f t="array" aca="1" ref="G262" ca="1">SUMPRODUCT(SUMIF(INDIRECT("'"&amp;Assemblies[Assy]&amp;"'!"&amp;"C5:C1000"),E262,(INDIRECT("'"&amp;Assemblies[Assy]&amp;"'!"&amp;"O5:O1000"))))</f>
        <v>1</v>
      </c>
      <c r="H262" t="str" cm="1">
        <f t="array" aca="1" ref="H262" ca="1">TRIM(SUBSTITUTE(_xlfn.ARRAYTOTEXT(IFERROR(CONCATENATE(SUMIF(INDIRECT("'"&amp;Assemblies[Assy]&amp;"'!"&amp;"C$5:C1000"), $E262, INDIRECT("'"&amp;Assemblies[Assy]&amp;"'!"&amp;"O$5:O1000")), "x",Assemblies[Assy],".",IF(SUMIF(INDIRECT("'"&amp;Assemblies[Assy]&amp;"'!"&amp;"C$5:C1000"), $E262, INDIRECT("'"&amp;Assemblies[Assy]&amp;"'!"&amp;"B$5:B1000"))=0,NA(),SUMIF(INDIRECT("'"&amp;Assemblies[Assy]&amp;"'!"&amp;"C$5:C1000"), $E262, INDIRECT("'"&amp;Assemblies[Assy]&amp;"'!"&amp;"A$5:A1000")))),"")), " ,", ""))</f>
        <v>, 1x10.2.0,</v>
      </c>
      <c r="I262" s="286" t="s">
        <v>1473</v>
      </c>
      <c r="J262" s="263" t="str">
        <f>Assemblies[[#This Row],[Assy]]</f>
        <v>10.2.3</v>
      </c>
    </row>
    <row r="263" spans="1:12" x14ac:dyDescent="0.25">
      <c r="A263" t="s">
        <v>1475</v>
      </c>
      <c r="B263" s="204" t="s">
        <v>1942</v>
      </c>
      <c r="C263" s="24" t="s">
        <v>1470</v>
      </c>
      <c r="D263" s="134" t="s">
        <v>54</v>
      </c>
      <c r="E263" t="str">
        <f t="shared" si="4"/>
        <v>PG10.10.2.4.0.A</v>
      </c>
      <c r="F263" t="s">
        <v>1943</v>
      </c>
      <c r="G263" s="19" cm="1">
        <f t="array" aca="1" ref="G263" ca="1">SUMPRODUCT(SUMIF(INDIRECT("'"&amp;Assemblies[Assy]&amp;"'!"&amp;"C5:C1000"),E263,(INDIRECT("'"&amp;Assemblies[Assy]&amp;"'!"&amp;"O5:O1000"))))</f>
        <v>1</v>
      </c>
      <c r="H263" t="str" cm="1">
        <f t="array" aca="1" ref="H263" ca="1">TRIM(SUBSTITUTE(_xlfn.ARRAYTOTEXT(IFERROR(CONCATENATE(SUMIF(INDIRECT("'"&amp;Assemblies[Assy]&amp;"'!"&amp;"C$5:C1000"), $E263, INDIRECT("'"&amp;Assemblies[Assy]&amp;"'!"&amp;"O$5:O1000")), "x",Assemblies[Assy],".",IF(SUMIF(INDIRECT("'"&amp;Assemblies[Assy]&amp;"'!"&amp;"C$5:C1000"), $E263, INDIRECT("'"&amp;Assemblies[Assy]&amp;"'!"&amp;"B$5:B1000"))=0,NA(),SUMIF(INDIRECT("'"&amp;Assemblies[Assy]&amp;"'!"&amp;"C$5:C1000"), $E263, INDIRECT("'"&amp;Assemblies[Assy]&amp;"'!"&amp;"A$5:A1000")))),"")), " ,", ""))</f>
        <v>, 1x10.2.0,</v>
      </c>
      <c r="I263" s="286" t="s">
        <v>1473</v>
      </c>
      <c r="J263" s="263" t="str">
        <f>Assemblies[[#This Row],[Assy]]</f>
        <v>10.2.4</v>
      </c>
    </row>
    <row r="264" spans="1:12" x14ac:dyDescent="0.25">
      <c r="A264" t="s">
        <v>1475</v>
      </c>
      <c r="B264" s="204" t="s">
        <v>1944</v>
      </c>
      <c r="C264" s="24" t="s">
        <v>1470</v>
      </c>
      <c r="D264" s="134" t="s">
        <v>54</v>
      </c>
      <c r="E264" t="str">
        <f t="shared" si="4"/>
        <v>PG10.10.2.5.0.A</v>
      </c>
      <c r="F264" t="s">
        <v>1945</v>
      </c>
      <c r="G264" s="19" cm="1">
        <f t="array" aca="1" ref="G264" ca="1">SUMPRODUCT(SUMIF(INDIRECT("'"&amp;Assemblies[Assy]&amp;"'!"&amp;"C5:C1000"),E264,(INDIRECT("'"&amp;Assemblies[Assy]&amp;"'!"&amp;"O5:O1000"))))</f>
        <v>1</v>
      </c>
      <c r="H264" t="str" cm="1">
        <f t="array" aca="1" ref="H264" ca="1">TRIM(SUBSTITUTE(_xlfn.ARRAYTOTEXT(IFERROR(CONCATENATE(SUMIF(INDIRECT("'"&amp;Assemblies[Assy]&amp;"'!"&amp;"C$5:C1000"), $E264, INDIRECT("'"&amp;Assemblies[Assy]&amp;"'!"&amp;"O$5:O1000")), "x",Assemblies[Assy],".",IF(SUMIF(INDIRECT("'"&amp;Assemblies[Assy]&amp;"'!"&amp;"C$5:C1000"), $E264, INDIRECT("'"&amp;Assemblies[Assy]&amp;"'!"&amp;"B$5:B1000"))=0,NA(),SUMIF(INDIRECT("'"&amp;Assemblies[Assy]&amp;"'!"&amp;"C$5:C1000"), $E264, INDIRECT("'"&amp;Assemblies[Assy]&amp;"'!"&amp;"A$5:A1000")))),"")), " ,", ""))</f>
        <v>, 1x10.2.0,</v>
      </c>
      <c r="I264" s="286" t="s">
        <v>1473</v>
      </c>
      <c r="J264" s="263" t="str">
        <f>Assemblies[[#This Row],[Assy]]</f>
        <v>10.2.5</v>
      </c>
    </row>
    <row r="265" spans="1:12" x14ac:dyDescent="0.25">
      <c r="A265" t="s">
        <v>1475</v>
      </c>
      <c r="B265" s="204" t="s">
        <v>1946</v>
      </c>
      <c r="C265" s="24" t="s">
        <v>1470</v>
      </c>
      <c r="D265" s="134" t="s">
        <v>54</v>
      </c>
      <c r="E265" t="str">
        <f t="shared" si="4"/>
        <v>PG10.10.2.6.0.A</v>
      </c>
      <c r="F265" t="s">
        <v>1947</v>
      </c>
      <c r="G265" s="19" cm="1">
        <f t="array" aca="1" ref="G265" ca="1">SUMPRODUCT(SUMIF(INDIRECT("'"&amp;Assemblies[Assy]&amp;"'!"&amp;"C5:C1000"),E265,(INDIRECT("'"&amp;Assemblies[Assy]&amp;"'!"&amp;"O5:O1000"))))</f>
        <v>2</v>
      </c>
      <c r="H265" t="str" cm="1">
        <f t="array" aca="1" ref="H265" ca="1">TRIM(SUBSTITUTE(_xlfn.ARRAYTOTEXT(IFERROR(CONCATENATE(SUMIF(INDIRECT("'"&amp;Assemblies[Assy]&amp;"'!"&amp;"C$5:C1000"), $E265, INDIRECT("'"&amp;Assemblies[Assy]&amp;"'!"&amp;"O$5:O1000")), "x",Assemblies[Assy],".",IF(SUMIF(INDIRECT("'"&amp;Assemblies[Assy]&amp;"'!"&amp;"C$5:C1000"), $E265, INDIRECT("'"&amp;Assemblies[Assy]&amp;"'!"&amp;"B$5:B1000"))=0,NA(),SUMIF(INDIRECT("'"&amp;Assemblies[Assy]&amp;"'!"&amp;"C$5:C1000"), $E265, INDIRECT("'"&amp;Assemblies[Assy]&amp;"'!"&amp;"A$5:A1000")))),"")), " ,", ""))</f>
        <v>, 2x10.2.0,</v>
      </c>
      <c r="I265" s="286" t="s">
        <v>1473</v>
      </c>
      <c r="J265" s="263" t="str">
        <f>Assemblies[[#This Row],[Assy]]</f>
        <v>10.2.6</v>
      </c>
    </row>
    <row r="266" spans="1:12" x14ac:dyDescent="0.25">
      <c r="A266" t="s">
        <v>1475</v>
      </c>
      <c r="B266" s="204" t="s">
        <v>1948</v>
      </c>
      <c r="C266" s="24" t="s">
        <v>1470</v>
      </c>
      <c r="D266" s="134" t="s">
        <v>54</v>
      </c>
      <c r="E266" t="str">
        <f t="shared" si="4"/>
        <v>PG10.10.2.7.0.A</v>
      </c>
      <c r="F266" t="s">
        <v>1949</v>
      </c>
      <c r="G266" s="19" cm="1">
        <f t="array" aca="1" ref="G266" ca="1">SUMPRODUCT(SUMIF(INDIRECT("'"&amp;Assemblies[Assy]&amp;"'!"&amp;"C5:C1000"),E266,(INDIRECT("'"&amp;Assemblies[Assy]&amp;"'!"&amp;"O5:O1000"))))</f>
        <v>1</v>
      </c>
      <c r="H266" t="str" cm="1">
        <f t="array" aca="1" ref="H266" ca="1">TRIM(SUBSTITUTE(_xlfn.ARRAYTOTEXT(IFERROR(CONCATENATE(SUMIF(INDIRECT("'"&amp;Assemblies[Assy]&amp;"'!"&amp;"C$5:C1000"), $E266, INDIRECT("'"&amp;Assemblies[Assy]&amp;"'!"&amp;"O$5:O1000")), "x",Assemblies[Assy],".",IF(SUMIF(INDIRECT("'"&amp;Assemblies[Assy]&amp;"'!"&amp;"C$5:C1000"), $E266, INDIRECT("'"&amp;Assemblies[Assy]&amp;"'!"&amp;"B$5:B1000"))=0,NA(),SUMIF(INDIRECT("'"&amp;Assemblies[Assy]&amp;"'!"&amp;"C$5:C1000"), $E266, INDIRECT("'"&amp;Assemblies[Assy]&amp;"'!"&amp;"A$5:A1000")))),"")), " ,", ""))</f>
        <v>, 1x10.2.0,</v>
      </c>
      <c r="I266" s="286" t="s">
        <v>1473</v>
      </c>
      <c r="J266" s="263" t="str">
        <f>Assemblies[[#This Row],[Assy]]</f>
        <v>10.2.7</v>
      </c>
    </row>
    <row r="267" spans="1:12" x14ac:dyDescent="0.25">
      <c r="A267" t="s">
        <v>1475</v>
      </c>
      <c r="B267" s="204" t="s">
        <v>1950</v>
      </c>
      <c r="C267" s="24" t="s">
        <v>1470</v>
      </c>
      <c r="D267" s="134" t="s">
        <v>54</v>
      </c>
      <c r="E267" t="str">
        <f t="shared" si="4"/>
        <v>PG10.10.2.8.0.A</v>
      </c>
      <c r="F267" t="s">
        <v>1951</v>
      </c>
      <c r="G267" s="19" cm="1">
        <f t="array" aca="1" ref="G267" ca="1">SUMPRODUCT(SUMIF(INDIRECT("'"&amp;Assemblies[Assy]&amp;"'!"&amp;"C5:C1000"),E267,(INDIRECT("'"&amp;Assemblies[Assy]&amp;"'!"&amp;"O5:O1000"))))</f>
        <v>1</v>
      </c>
      <c r="H267" t="str" cm="1">
        <f t="array" aca="1" ref="H267" ca="1">TRIM(SUBSTITUTE(_xlfn.ARRAYTOTEXT(IFERROR(CONCATENATE(SUMIF(INDIRECT("'"&amp;Assemblies[Assy]&amp;"'!"&amp;"C$5:C1000"), $E267, INDIRECT("'"&amp;Assemblies[Assy]&amp;"'!"&amp;"O$5:O1000")), "x",Assemblies[Assy],".",IF(SUMIF(INDIRECT("'"&amp;Assemblies[Assy]&amp;"'!"&amp;"C$5:C1000"), $E267, INDIRECT("'"&amp;Assemblies[Assy]&amp;"'!"&amp;"B$5:B1000"))=0,NA(),SUMIF(INDIRECT("'"&amp;Assemblies[Assy]&amp;"'!"&amp;"C$5:C1000"), $E267, INDIRECT("'"&amp;Assemblies[Assy]&amp;"'!"&amp;"A$5:A1000")))),"")), " ,", ""))</f>
        <v>, 1x10.2.0,</v>
      </c>
      <c r="I267" s="286" t="s">
        <v>1473</v>
      </c>
      <c r="J267" s="263" t="str">
        <f>Assemblies[[#This Row],[Assy]]</f>
        <v>10.2.8</v>
      </c>
    </row>
    <row r="268" spans="1:12" x14ac:dyDescent="0.25">
      <c r="A268" t="s">
        <v>1475</v>
      </c>
      <c r="B268" s="197" t="s">
        <v>1952</v>
      </c>
      <c r="C268" s="24" t="s">
        <v>1470</v>
      </c>
      <c r="D268" s="134" t="s">
        <v>54</v>
      </c>
      <c r="E268" t="str">
        <f t="shared" si="4"/>
        <v>PG10.10.3.0.A</v>
      </c>
      <c r="F268" t="s">
        <v>1953</v>
      </c>
      <c r="G268" s="19" cm="1">
        <f t="array" aca="1" ref="G268" ca="1">SUMPRODUCT(SUMIF(INDIRECT("'"&amp;Assemblies[Assy]&amp;"'!"&amp;"C5:C1000"),E268,(INDIRECT("'"&amp;Assemblies[Assy]&amp;"'!"&amp;"O5:O1000"))))</f>
        <v>1</v>
      </c>
      <c r="H268" t="str" cm="1">
        <f t="array" aca="1" ref="H268" ca="1">TRIM(SUBSTITUTE(_xlfn.ARRAYTOTEXT(IFERROR(CONCATENATE(SUMIF(INDIRECT("'"&amp;Assemblies[Assy]&amp;"'!"&amp;"C$5:C1000"), $E268, INDIRECT("'"&amp;Assemblies[Assy]&amp;"'!"&amp;"O$5:O1000")), "x",Assemblies[Assy],".",IF(SUMIF(INDIRECT("'"&amp;Assemblies[Assy]&amp;"'!"&amp;"C$5:C1000"), $E268, INDIRECT("'"&amp;Assemblies[Assy]&amp;"'!"&amp;"B$5:B1000"))=0,NA(),SUMIF(INDIRECT("'"&amp;Assemblies[Assy]&amp;"'!"&amp;"C$5:C1000"), $E268, INDIRECT("'"&amp;Assemblies[Assy]&amp;"'!"&amp;"A$5:A1000")))),"")), " ,", ""))</f>
        <v>, 1x10.0,</v>
      </c>
      <c r="I268" s="286" t="s">
        <v>1473</v>
      </c>
      <c r="J268" s="264" t="str">
        <f>Assemblies[[#This Row],[Assy]]</f>
        <v>10.3</v>
      </c>
    </row>
    <row r="269" spans="1:12" x14ac:dyDescent="0.25">
      <c r="A269" t="s">
        <v>1475</v>
      </c>
      <c r="B269" s="204" t="s">
        <v>1954</v>
      </c>
      <c r="C269" s="24" t="s">
        <v>1470</v>
      </c>
      <c r="D269" s="134" t="s">
        <v>54</v>
      </c>
      <c r="E269" t="str">
        <f t="shared" si="4"/>
        <v>PG10.10.3.1.0.A</v>
      </c>
      <c r="F269" t="s">
        <v>1955</v>
      </c>
      <c r="G269" s="19" cm="1">
        <f t="array" aca="1" ref="G269" ca="1">SUMPRODUCT(SUMIF(INDIRECT("'"&amp;Assemblies[Assy]&amp;"'!"&amp;"C5:C1000"),E269,(INDIRECT("'"&amp;Assemblies[Assy]&amp;"'!"&amp;"O5:O1000"))))</f>
        <v>4</v>
      </c>
      <c r="H269" t="str" cm="1">
        <f t="array" aca="1" ref="H269" ca="1">TRIM(SUBSTITUTE(_xlfn.ARRAYTOTEXT(IFERROR(CONCATENATE(SUMIF(INDIRECT("'"&amp;Assemblies[Assy]&amp;"'!"&amp;"C$5:C1000"), $E269, INDIRECT("'"&amp;Assemblies[Assy]&amp;"'!"&amp;"O$5:O1000")), "x",Assemblies[Assy],".",IF(SUMIF(INDIRECT("'"&amp;Assemblies[Assy]&amp;"'!"&amp;"C$5:C1000"), $E269, INDIRECT("'"&amp;Assemblies[Assy]&amp;"'!"&amp;"B$5:B1000"))=0,NA(),SUMIF(INDIRECT("'"&amp;Assemblies[Assy]&amp;"'!"&amp;"C$5:C1000"), $E269, INDIRECT("'"&amp;Assemblies[Assy]&amp;"'!"&amp;"A$5:A1000")))),"")), " ,", ""))</f>
        <v>, 4x10.3.0,</v>
      </c>
      <c r="I269" s="286" t="s">
        <v>1473</v>
      </c>
      <c r="J269" s="264" t="str">
        <f>Assemblies[[#This Row],[Assy]]</f>
        <v>10.3.1</v>
      </c>
    </row>
    <row r="270" spans="1:12" x14ac:dyDescent="0.25">
      <c r="A270" t="s">
        <v>1475</v>
      </c>
      <c r="B270" s="199" t="s">
        <v>1248</v>
      </c>
      <c r="C270" s="24" t="s">
        <v>1470</v>
      </c>
      <c r="D270" s="134" t="s">
        <v>54</v>
      </c>
      <c r="E270" t="str">
        <f t="shared" si="4"/>
        <v>PG10.11.0.A</v>
      </c>
      <c r="F270" t="s">
        <v>1956</v>
      </c>
      <c r="G270" s="19" cm="1">
        <f t="array" aca="1" ref="G270" ca="1">SUMPRODUCT(SUMIF(INDIRECT("'"&amp;Assemblies[Assy]&amp;"'!"&amp;"C5:C1000"),E270,(INDIRECT("'"&amp;Assemblies[Assy]&amp;"'!"&amp;"O5:O1000"))))</f>
        <v>1</v>
      </c>
      <c r="H270" t="str" cm="1">
        <f t="array" aca="1" ref="H270" ca="1">TRIM(SUBSTITUTE(_xlfn.ARRAYTOTEXT(IFERROR(CONCATENATE(SUMIF(INDIRECT("'"&amp;Assemblies[Assy]&amp;"'!"&amp;"C$5:C1000"), $E270, INDIRECT("'"&amp;Assemblies[Assy]&amp;"'!"&amp;"O$5:O1000")), "x",Assemblies[Assy],".",IF(SUMIF(INDIRECT("'"&amp;Assemblies[Assy]&amp;"'!"&amp;"C$5:C1000"), $E270, INDIRECT("'"&amp;Assemblies[Assy]&amp;"'!"&amp;"B$5:B1000"))=0,NA(),SUMIF(INDIRECT("'"&amp;Assemblies[Assy]&amp;"'!"&amp;"C$5:C1000"), $E270, INDIRECT("'"&amp;Assemblies[Assy]&amp;"'!"&amp;"A$5:A1000")))),"")), " ,", ""))</f>
        <v>1x0.0,</v>
      </c>
      <c r="I270" s="286" t="s">
        <v>1473</v>
      </c>
      <c r="J270" s="215" t="str">
        <f>Assemblies[[#This Row],[Assy]]</f>
        <v>11</v>
      </c>
    </row>
    <row r="271" spans="1:12" x14ac:dyDescent="0.25">
      <c r="A271" t="s">
        <v>1475</v>
      </c>
      <c r="B271" s="197" t="s">
        <v>1957</v>
      </c>
      <c r="C271" s="24" t="s">
        <v>1470</v>
      </c>
      <c r="D271" s="134" t="s">
        <v>54</v>
      </c>
      <c r="E271" t="str">
        <f t="shared" si="4"/>
        <v>PG10.11.1.0.A</v>
      </c>
      <c r="F271" t="s">
        <v>1958</v>
      </c>
      <c r="G271" s="19" cm="1">
        <f t="array" aca="1" ref="G271" ca="1">SUMPRODUCT(SUMIF(INDIRECT("'"&amp;Assemblies[Assy]&amp;"'!"&amp;"C5:C1000"),E271,(INDIRECT("'"&amp;Assemblies[Assy]&amp;"'!"&amp;"O5:O1000"))))</f>
        <v>1</v>
      </c>
      <c r="H271" t="str" cm="1">
        <f t="array" aca="1" ref="H271" ca="1">TRIM(SUBSTITUTE(_xlfn.ARRAYTOTEXT(IFERROR(CONCATENATE(SUMIF(INDIRECT("'"&amp;Assemblies[Assy]&amp;"'!"&amp;"C$5:C1000"), $E271, INDIRECT("'"&amp;Assemblies[Assy]&amp;"'!"&amp;"O$5:O1000")), "x",Assemblies[Assy],".",IF(SUMIF(INDIRECT("'"&amp;Assemblies[Assy]&amp;"'!"&amp;"C$5:C1000"), $E271, INDIRECT("'"&amp;Assemblies[Assy]&amp;"'!"&amp;"B$5:B1000"))=0,NA(),SUMIF(INDIRECT("'"&amp;Assemblies[Assy]&amp;"'!"&amp;"C$5:C1000"), $E271, INDIRECT("'"&amp;Assemblies[Assy]&amp;"'!"&amp;"A$5:A1000")))),"")), " ,", ""))</f>
        <v>, 1x11.0,</v>
      </c>
      <c r="I271" s="286" t="s">
        <v>1473</v>
      </c>
      <c r="J271" s="215" t="str">
        <f>Assemblies[[#This Row],[Assy]]</f>
        <v>11.1</v>
      </c>
    </row>
    <row r="272" spans="1:12" x14ac:dyDescent="0.25">
      <c r="A272" t="s">
        <v>1475</v>
      </c>
      <c r="B272" s="197" t="s">
        <v>1959</v>
      </c>
      <c r="C272" s="24" t="s">
        <v>1470</v>
      </c>
      <c r="D272" s="134" t="s">
        <v>54</v>
      </c>
      <c r="E272" t="str">
        <f t="shared" si="4"/>
        <v>PG10.11.2.0.A</v>
      </c>
      <c r="F272" t="s">
        <v>1960</v>
      </c>
      <c r="G272" s="19" cm="1">
        <f t="array" aca="1" ref="G272" ca="1">SUMPRODUCT(SUMIF(INDIRECT("'"&amp;Assemblies[Assy]&amp;"'!"&amp;"C5:C1000"),E272,(INDIRECT("'"&amp;Assemblies[Assy]&amp;"'!"&amp;"O5:O1000"))))</f>
        <v>10</v>
      </c>
      <c r="H272" t="str" cm="1">
        <f t="array" aca="1" ref="H272" ca="1">TRIM(SUBSTITUTE(_xlfn.ARRAYTOTEXT(IFERROR(CONCATENATE(SUMIF(INDIRECT("'"&amp;Assemblies[Assy]&amp;"'!"&amp;"C$5:C1000"), $E272, INDIRECT("'"&amp;Assemblies[Assy]&amp;"'!"&amp;"O$5:O1000")), "x",Assemblies[Assy],".",IF(SUMIF(INDIRECT("'"&amp;Assemblies[Assy]&amp;"'!"&amp;"C$5:C1000"), $E272, INDIRECT("'"&amp;Assemblies[Assy]&amp;"'!"&amp;"B$5:B1000"))=0,NA(),SUMIF(INDIRECT("'"&amp;Assemblies[Assy]&amp;"'!"&amp;"C$5:C1000"), $E272, INDIRECT("'"&amp;Assemblies[Assy]&amp;"'!"&amp;"A$5:A1000")))),"")), " ,", ""))</f>
        <v>, 10x11.0,</v>
      </c>
      <c r="I272" s="286" t="s">
        <v>1473</v>
      </c>
      <c r="J272" s="215" t="str">
        <f>Assemblies[[#This Row],[Assy]]</f>
        <v>11.2</v>
      </c>
      <c r="L272" s="293" t="s">
        <v>3833</v>
      </c>
    </row>
    <row r="273" spans="1:12" x14ac:dyDescent="0.25">
      <c r="A273" t="s">
        <v>1475</v>
      </c>
      <c r="B273" s="197" t="s">
        <v>1961</v>
      </c>
      <c r="C273" s="24" t="s">
        <v>1470</v>
      </c>
      <c r="D273" s="134" t="s">
        <v>54</v>
      </c>
      <c r="E273" t="str">
        <f t="shared" si="4"/>
        <v>PG10.11.3.0.A</v>
      </c>
      <c r="F273" t="s">
        <v>1962</v>
      </c>
      <c r="G273" s="19" cm="1">
        <f t="array" aca="1" ref="G273" ca="1">SUMPRODUCT(SUMIF(INDIRECT("'"&amp;Assemblies[Assy]&amp;"'!"&amp;"C5:C1000"),E273,(INDIRECT("'"&amp;Assemblies[Assy]&amp;"'!"&amp;"O5:O1000"))))</f>
        <v>24</v>
      </c>
      <c r="H273" t="str" cm="1">
        <f t="array" aca="1" ref="H273" ca="1">TRIM(SUBSTITUTE(_xlfn.ARRAYTOTEXT(IFERROR(CONCATENATE(SUMIF(INDIRECT("'"&amp;Assemblies[Assy]&amp;"'!"&amp;"C$5:C1000"), $E273, INDIRECT("'"&amp;Assemblies[Assy]&amp;"'!"&amp;"O$5:O1000")), "x",Assemblies[Assy],".",IF(SUMIF(INDIRECT("'"&amp;Assemblies[Assy]&amp;"'!"&amp;"C$5:C1000"), $E273, INDIRECT("'"&amp;Assemblies[Assy]&amp;"'!"&amp;"B$5:B1000"))=0,NA(),SUMIF(INDIRECT("'"&amp;Assemblies[Assy]&amp;"'!"&amp;"C$5:C1000"), $E273, INDIRECT("'"&amp;Assemblies[Assy]&amp;"'!"&amp;"A$5:A1000")))),"")), " ,", ""))</f>
        <v>, 24x11.0,</v>
      </c>
      <c r="I273" s="286" t="s">
        <v>1473</v>
      </c>
      <c r="J273" s="215" t="str">
        <f>Assemblies[[#This Row],[Assy]]</f>
        <v>11.3</v>
      </c>
      <c r="L273" s="294" t="s">
        <v>3832</v>
      </c>
    </row>
    <row r="274" spans="1:12" x14ac:dyDescent="0.25">
      <c r="A274" t="s">
        <v>1475</v>
      </c>
      <c r="B274" s="199" t="s">
        <v>603</v>
      </c>
      <c r="C274" s="24" t="s">
        <v>1470</v>
      </c>
      <c r="D274" s="134" t="s">
        <v>54</v>
      </c>
      <c r="E274" t="str">
        <f t="shared" si="4"/>
        <v>PG10.12.0.A</v>
      </c>
      <c r="F274" t="s">
        <v>1963</v>
      </c>
      <c r="G274" s="19" cm="1">
        <f t="array" aca="1" ref="G274" ca="1">SUMPRODUCT(SUMIF(INDIRECT("'"&amp;Assemblies[Assy]&amp;"'!"&amp;"C5:C1000"),E274,(INDIRECT("'"&amp;Assemblies[Assy]&amp;"'!"&amp;"O5:O1000"))))</f>
        <v>1</v>
      </c>
      <c r="H274" t="str" cm="1">
        <f t="array" aca="1" ref="H274" ca="1">TRIM(SUBSTITUTE(_xlfn.ARRAYTOTEXT(IFERROR(CONCATENATE(SUMIF(INDIRECT("'"&amp;Assemblies[Assy]&amp;"'!"&amp;"C$5:C1000"), $E274, INDIRECT("'"&amp;Assemblies[Assy]&amp;"'!"&amp;"O$5:O1000")), "x",Assemblies[Assy],".",IF(SUMIF(INDIRECT("'"&amp;Assemblies[Assy]&amp;"'!"&amp;"C$5:C1000"), $E274, INDIRECT("'"&amp;Assemblies[Assy]&amp;"'!"&amp;"B$5:B1000"))=0,NA(),SUMIF(INDIRECT("'"&amp;Assemblies[Assy]&amp;"'!"&amp;"C$5:C1000"), $E274, INDIRECT("'"&amp;Assemblies[Assy]&amp;"'!"&amp;"A$5:A1000")))),"")), " ,", ""))</f>
        <v>1x0.0,</v>
      </c>
      <c r="I274" s="286" t="s">
        <v>1473</v>
      </c>
      <c r="J274" s="283" t="str">
        <f>Assemblies[[#This Row],[Assy]]</f>
        <v>12</v>
      </c>
      <c r="L274" s="19">
        <f>COUNTIF(Assemblies[Drawing],"X")</f>
        <v>267</v>
      </c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0439-7388-4C75-9232-92B4A867C1AC}">
  <sheetPr codeName="Sheet240"/>
  <dimension ref="A1:AG477"/>
  <sheetViews>
    <sheetView topLeftCell="A73" zoomScale="80" zoomScaleNormal="60" workbookViewId="0">
      <selection activeCell="H83" sqref="H83"/>
    </sheetView>
  </sheetViews>
  <sheetFormatPr defaultColWidth="9.140625" defaultRowHeight="15" x14ac:dyDescent="0.25"/>
  <cols>
    <col min="1" max="1" width="15.7109375" style="24" customWidth="1"/>
    <col min="2" max="2" width="4.28515625" style="134" customWidth="1"/>
    <col min="3" max="3" width="16.7109375" customWidth="1"/>
    <col min="4" max="4" width="49.7109375" customWidth="1"/>
    <col min="5" max="5" width="10.42578125" style="39" customWidth="1"/>
    <col min="6" max="6" width="9.28515625" style="19" customWidth="1"/>
    <col min="7" max="7" width="9.140625" style="19" customWidth="1"/>
    <col min="8" max="8" width="10.140625" style="19" customWidth="1"/>
    <col min="9" max="10" width="10.7109375" customWidth="1"/>
    <col min="11" max="11" width="10.7109375" style="40" customWidth="1"/>
    <col min="12" max="12" width="10.7109375" customWidth="1"/>
    <col min="13" max="13" width="10.7109375" style="40" customWidth="1"/>
    <col min="14" max="14" width="12.7109375" customWidth="1"/>
    <col min="15" max="19" width="10.7109375" customWidth="1"/>
    <col min="20" max="20" width="14.140625" style="40" customWidth="1"/>
    <col min="21" max="21" width="13.7109375" style="40" customWidth="1"/>
    <col min="22" max="22" width="11.42578125" style="40" customWidth="1"/>
    <col min="23" max="23" width="10.7109375" style="40" customWidth="1"/>
    <col min="24" max="24" width="10.42578125" style="157" customWidth="1"/>
    <col min="25" max="25" width="59.42578125" style="39" bestFit="1" customWidth="1"/>
    <col min="26" max="26" width="15" style="141" customWidth="1"/>
    <col min="27" max="27" width="10.85546875" style="141" customWidth="1"/>
    <col min="28" max="28" width="8.5703125" style="141" customWidth="1"/>
    <col min="29" max="29" width="9.5703125" style="39" customWidth="1"/>
    <col min="30" max="30" width="10.28515625" customWidth="1"/>
    <col min="31" max="31" width="25.7109375" bestFit="1" customWidth="1"/>
    <col min="32" max="32" width="35.28515625" bestFit="1" customWidth="1"/>
    <col min="33" max="33" width="22.140625" style="19" bestFit="1" customWidth="1"/>
  </cols>
  <sheetData>
    <row r="1" spans="1:33" s="19" customFormat="1" x14ac:dyDescent="0.25">
      <c r="A1" s="138" t="s">
        <v>1964</v>
      </c>
      <c r="B1" s="19" t="s">
        <v>1466</v>
      </c>
      <c r="C1" s="19" t="s">
        <v>1965</v>
      </c>
      <c r="D1" s="19" t="s">
        <v>16</v>
      </c>
      <c r="E1" s="125" t="s">
        <v>44</v>
      </c>
      <c r="F1" s="19" t="s">
        <v>53</v>
      </c>
      <c r="G1" s="19" t="s">
        <v>1966</v>
      </c>
      <c r="H1" s="19" t="s">
        <v>1967</v>
      </c>
      <c r="I1" s="19" t="s">
        <v>1968</v>
      </c>
      <c r="J1" s="19" t="s">
        <v>1969</v>
      </c>
      <c r="K1" s="139" t="s">
        <v>1970</v>
      </c>
      <c r="L1" s="19" t="s">
        <v>1971</v>
      </c>
      <c r="M1" s="139" t="s">
        <v>1972</v>
      </c>
      <c r="N1" s="19" t="s">
        <v>1973</v>
      </c>
      <c r="O1" s="19" t="s">
        <v>17</v>
      </c>
      <c r="P1" s="19" t="s">
        <v>1974</v>
      </c>
      <c r="Q1" s="19" t="s">
        <v>1975</v>
      </c>
      <c r="R1" s="19" t="s">
        <v>18</v>
      </c>
      <c r="S1" s="19" t="s">
        <v>19</v>
      </c>
      <c r="T1" s="139" t="s">
        <v>51</v>
      </c>
      <c r="U1" s="139" t="s">
        <v>21</v>
      </c>
      <c r="V1" s="139" t="s">
        <v>22</v>
      </c>
      <c r="W1" s="139" t="s">
        <v>52</v>
      </c>
      <c r="X1" s="133" t="s">
        <v>1976</v>
      </c>
      <c r="Y1" s="125" t="s">
        <v>1467</v>
      </c>
      <c r="Z1" s="140" t="s">
        <v>24</v>
      </c>
      <c r="AA1" s="140" t="s">
        <v>26</v>
      </c>
      <c r="AB1" s="140" t="s">
        <v>1977</v>
      </c>
      <c r="AC1" s="125" t="s">
        <v>1978</v>
      </c>
      <c r="AD1" s="155" t="s">
        <v>1468</v>
      </c>
      <c r="AE1" s="155" t="s">
        <v>3835</v>
      </c>
      <c r="AF1" s="155" t="s">
        <v>1979</v>
      </c>
    </row>
    <row r="2" spans="1:33" s="19" customFormat="1" x14ac:dyDescent="0.25">
      <c r="A2" s="24" t="s">
        <v>1980</v>
      </c>
      <c r="B2" s="134" t="s">
        <v>54</v>
      </c>
      <c r="C2" t="str">
        <f>_xlfn.CONCAT(A2,".",B2)</f>
        <v>Component Spacer.A</v>
      </c>
      <c r="D2" s="24" t="s">
        <v>1981</v>
      </c>
      <c r="E2" s="18">
        <f>Z2+AA2+AB2+(65*AC2)</f>
        <v>0</v>
      </c>
      <c r="F2" s="19" cm="1">
        <f t="array" aca="1" ref="F2" ca="1">SUMPRODUCT(SUMIF(INDIRECT("'"&amp;Assemblies[Assy]&amp;"'!"&amp;"C5:C1000"),C2,(INDIRECT("'"&amp;Assemblies[Assy]&amp;"'!"&amp;"O5:O1000"))))</f>
        <v>30</v>
      </c>
      <c r="G2" s="19">
        <v>400</v>
      </c>
      <c r="H2" s="19" t="str">
        <f ca="1">IF(F2&lt;=G2," ","YES")</f>
        <v xml:space="preserve"> </v>
      </c>
      <c r="I2">
        <v>400</v>
      </c>
      <c r="J2">
        <v>400</v>
      </c>
      <c r="K2" s="40"/>
      <c r="L2">
        <v>400</v>
      </c>
      <c r="M2" s="40"/>
      <c r="N2">
        <v>400</v>
      </c>
      <c r="O2" t="s">
        <v>1980</v>
      </c>
      <c r="P2" t="s">
        <v>1982</v>
      </c>
      <c r="Q2"/>
      <c r="R2" t="s">
        <v>1983</v>
      </c>
      <c r="S2"/>
      <c r="T2" s="40">
        <v>45463</v>
      </c>
      <c r="U2" s="40">
        <v>45483</v>
      </c>
      <c r="V2" s="40">
        <v>45513</v>
      </c>
      <c r="W2" s="40">
        <v>45513</v>
      </c>
      <c r="X2" s="157">
        <v>55593</v>
      </c>
      <c r="Y2" s="40" t="str" cm="1">
        <f t="array" aca="1" ref="Y2" ca="1">TRIM(SUBSTITUTE(_xlfn.ARRAYTOTEXT(IFERROR(CONCATENATE(SUMIF(INDIRECT("'"&amp;Assemblies[Assy]&amp;"'!"&amp;"C$5:C1000"), $C2, INDIRECT("'"&amp;Assemblies[Assy]&amp;"'!"&amp;"O$5:O1000")), "x",Assemblies[Assy],".",IF(SUMIF(INDIRECT("'"&amp;Assemblies[Assy]&amp;"'!"&amp;"C$5:C1000"), $C2, INDIRECT("'"&amp;Assemblies[Assy]&amp;"'!"&amp;"A$5:A1000"))=0,NA(),SUMIF(INDIRECT("'"&amp;Assemblies[Assy]&amp;"'!"&amp;"C$5:C1000"), $C2, INDIRECT("'"&amp;Assemblies[Assy]&amp;"'!"&amp;"A$5:A1000")))),"")), " ,", ""))</f>
        <v>, 18x1.3.7.2, 4x4.1.7.3, 4x4.1.8.4, 4x6.10.15,</v>
      </c>
      <c r="Z2" s="141">
        <v>0</v>
      </c>
      <c r="AA2" s="141">
        <v>0</v>
      </c>
      <c r="AB2" s="141">
        <v>0</v>
      </c>
      <c r="AC2" s="39">
        <v>0</v>
      </c>
      <c r="AD2" s="141" t="s">
        <v>1473</v>
      </c>
      <c r="AE2" s="296"/>
      <c r="AF2" s="141"/>
    </row>
    <row r="3" spans="1:33" x14ac:dyDescent="0.25">
      <c r="A3" s="24" t="s">
        <v>1984</v>
      </c>
      <c r="B3" s="134" t="s">
        <v>54</v>
      </c>
      <c r="C3" t="str">
        <f>_xlfn.CONCAT(A3,".",B3)</f>
        <v>PG10.1.1.1.1.A</v>
      </c>
      <c r="D3" t="s">
        <v>1985</v>
      </c>
      <c r="E3" s="18">
        <v>36.65</v>
      </c>
      <c r="F3" s="19" cm="1">
        <f t="array" aca="1" ref="F3" ca="1">SUMPRODUCT(SUMIF(INDIRECT("'"&amp;Assemblies[Assy]&amp;"'!"&amp;"C5:C1000"),C3,(INDIRECT("'"&amp;Assemblies[Assy]&amp;"'!"&amp;"O5:O1000"))))</f>
        <v>38</v>
      </c>
      <c r="G3" s="19">
        <v>40</v>
      </c>
      <c r="H3" s="19" t="str">
        <f ca="1">IF(F3&lt;=G3," ","YES")</f>
        <v xml:space="preserve"> </v>
      </c>
      <c r="I3">
        <v>40</v>
      </c>
      <c r="J3">
        <v>40</v>
      </c>
      <c r="L3">
        <v>40</v>
      </c>
      <c r="N3">
        <v>40</v>
      </c>
      <c r="O3" t="s">
        <v>1986</v>
      </c>
      <c r="P3" t="s">
        <v>1987</v>
      </c>
      <c r="Q3" t="s">
        <v>1988</v>
      </c>
      <c r="R3" t="s">
        <v>1989</v>
      </c>
      <c r="T3" s="40">
        <v>45435</v>
      </c>
      <c r="U3" s="40">
        <v>45453</v>
      </c>
      <c r="V3" s="40">
        <v>45490</v>
      </c>
      <c r="W3" s="40">
        <v>45490</v>
      </c>
      <c r="X3" s="157">
        <v>55545</v>
      </c>
      <c r="Y3" s="40" t="str" cm="1">
        <f t="array" aca="1" ref="Y3" ca="1">TRIM(SUBSTITUTE(_xlfn.ARRAYTOTEXT(IFERROR(CONCATENATE(SUMIF(INDIRECT("'"&amp;Assemblies[Assy]&amp;"'!"&amp;"C$5:C1000"), $C3, INDIRECT("'"&amp;Assemblies[Assy]&amp;"'!"&amp;"O$5:O1000")), "x",Assemblies[Assy],".",IF(SUMIF(INDIRECT("'"&amp;Assemblies[Assy]&amp;"'!"&amp;"C$5:C1000"), $C3, INDIRECT("'"&amp;Assemblies[Assy]&amp;"'!"&amp;"A$5:A1000"))=0,NA(),SUMIF(INDIRECT("'"&amp;Assemblies[Assy]&amp;"'!"&amp;"C$5:C1000"), $C3, INDIRECT("'"&amp;Assemblies[Assy]&amp;"'!"&amp;"A$5:A1000")))),"")), " ,", ""))</f>
        <v>, 38x1.1.1.1,</v>
      </c>
      <c r="Z3" s="141">
        <v>0</v>
      </c>
      <c r="AA3" s="141">
        <v>0</v>
      </c>
      <c r="AB3" s="141">
        <v>0</v>
      </c>
      <c r="AC3" s="39">
        <v>0</v>
      </c>
      <c r="AD3" s="141" t="s">
        <v>1473</v>
      </c>
      <c r="AE3" s="296">
        <v>55597</v>
      </c>
      <c r="AF3" s="141"/>
      <c r="AG3"/>
    </row>
    <row r="4" spans="1:33" x14ac:dyDescent="0.25">
      <c r="A4" s="24" t="s">
        <v>1990</v>
      </c>
      <c r="B4" s="134" t="s">
        <v>54</v>
      </c>
      <c r="C4" t="str">
        <f>_xlfn.CONCAT(A4,".",B4)</f>
        <v>PG10.1.1.1.A</v>
      </c>
      <c r="D4" t="s">
        <v>1991</v>
      </c>
      <c r="E4" s="18">
        <f>Z4+AA4+AB4+(65*AC4)</f>
        <v>0</v>
      </c>
      <c r="F4" s="19" cm="1">
        <f t="array" aca="1" ref="F4" ca="1">SUMPRODUCT(SUMIF(INDIRECT("'"&amp;Assemblies[Assy]&amp;"'!"&amp;"C5:C1000"),C4,(INDIRECT("'"&amp;Assemblies[Assy]&amp;"'!"&amp;"O5:O1000"))))</f>
        <v>2</v>
      </c>
      <c r="G4" s="19">
        <v>2</v>
      </c>
      <c r="H4" s="19" t="str">
        <f ca="1">IF(F4&lt;=G4," ","YES")</f>
        <v xml:space="preserve"> </v>
      </c>
      <c r="I4">
        <v>2</v>
      </c>
      <c r="J4">
        <v>2</v>
      </c>
      <c r="L4">
        <v>2</v>
      </c>
      <c r="N4">
        <v>2</v>
      </c>
      <c r="O4" t="s">
        <v>1992</v>
      </c>
      <c r="P4" t="s">
        <v>1993</v>
      </c>
      <c r="Q4" t="s">
        <v>1988</v>
      </c>
      <c r="R4" t="s">
        <v>1988</v>
      </c>
      <c r="Y4" s="40" t="str" cm="1">
        <f t="array" aca="1" ref="Y4" ca="1">TRIM(SUBSTITUTE(_xlfn.ARRAYTOTEXT(IFERROR(CONCATENATE(SUMIF(INDIRECT("'"&amp;Assemblies[Assy]&amp;"'!"&amp;"C$5:C1000"), $C4, INDIRECT("'"&amp;Assemblies[Assy]&amp;"'!"&amp;"O$5:O1000")), "x",Assemblies[Assy],".",IF(SUMIF(INDIRECT("'"&amp;Assemblies[Assy]&amp;"'!"&amp;"C$5:C1000"), $C4, INDIRECT("'"&amp;Assemblies[Assy]&amp;"'!"&amp;"A$5:A1000"))=0,NA(),SUMIF(INDIRECT("'"&amp;Assemblies[Assy]&amp;"'!"&amp;"C$5:C1000"), $C4, INDIRECT("'"&amp;Assemblies[Assy]&amp;"'!"&amp;"A$5:A1000")))),"")), " ,", ""))</f>
        <v>, 2x1.1.1,</v>
      </c>
      <c r="Z4" s="141">
        <v>0</v>
      </c>
      <c r="AA4" s="141">
        <v>0</v>
      </c>
      <c r="AB4" s="141">
        <v>0</v>
      </c>
      <c r="AC4" s="39">
        <v>0</v>
      </c>
      <c r="AD4" s="141" t="s">
        <v>1473</v>
      </c>
      <c r="AE4" s="296"/>
      <c r="AF4" s="141"/>
      <c r="AG4"/>
    </row>
    <row r="5" spans="1:33" x14ac:dyDescent="0.25">
      <c r="A5" s="24" t="s">
        <v>1994</v>
      </c>
      <c r="B5" s="134" t="s">
        <v>54</v>
      </c>
      <c r="C5" t="str">
        <f>_xlfn.CONCAT(A5,".",B5)</f>
        <v>PG10.1.1.10.2.A</v>
      </c>
      <c r="D5" t="s">
        <v>1995</v>
      </c>
      <c r="E5" s="18">
        <v>62.5</v>
      </c>
      <c r="F5" s="19" cm="1">
        <f t="array" aca="1" ref="F5" ca="1">SUMPRODUCT(SUMIF(INDIRECT("'"&amp;Assemblies[Assy]&amp;"'!"&amp;"C5:C1000"),C5,(INDIRECT("'"&amp;Assemblies[Assy]&amp;"'!"&amp;"O5:O1000"))))</f>
        <v>2</v>
      </c>
      <c r="G5" s="19">
        <v>2</v>
      </c>
      <c r="H5" s="19" t="str">
        <f ca="1">IF(F5&lt;=G5," ","YES")</f>
        <v xml:space="preserve"> </v>
      </c>
      <c r="I5">
        <v>2</v>
      </c>
      <c r="J5">
        <v>2</v>
      </c>
      <c r="L5">
        <v>2</v>
      </c>
      <c r="N5">
        <v>2</v>
      </c>
      <c r="O5" t="s">
        <v>1986</v>
      </c>
      <c r="P5" t="s">
        <v>1987</v>
      </c>
      <c r="Q5" t="s">
        <v>1988</v>
      </c>
      <c r="R5" t="s">
        <v>1996</v>
      </c>
      <c r="T5" s="40">
        <v>45434</v>
      </c>
      <c r="U5" s="40">
        <v>45435</v>
      </c>
      <c r="V5" s="40">
        <v>45467</v>
      </c>
      <c r="W5" s="40">
        <v>45467</v>
      </c>
      <c r="X5" s="157">
        <v>55523</v>
      </c>
      <c r="Y5" s="40" t="str" cm="1">
        <f t="array" aca="1" ref="Y5" ca="1">TRIM(SUBSTITUTE(_xlfn.ARRAYTOTEXT(IFERROR(CONCATENATE(SUMIF(INDIRECT("'"&amp;Assemblies[Assy]&amp;"'!"&amp;"C$5:C1000"), $C5, INDIRECT("'"&amp;Assemblies[Assy]&amp;"'!"&amp;"O$5:O1000")), "x",Assemblies[Assy],".",IF(SUMIF(INDIRECT("'"&amp;Assemblies[Assy]&amp;"'!"&amp;"C$5:C1000"), $C5, INDIRECT("'"&amp;Assemblies[Assy]&amp;"'!"&amp;"A$5:A1000"))=0,NA(),SUMIF(INDIRECT("'"&amp;Assemblies[Assy]&amp;"'!"&amp;"C$5:C1000"), $C5, INDIRECT("'"&amp;Assemblies[Assy]&amp;"'!"&amp;"A$5:A1000")))),"")), " ,", ""))</f>
        <v>, 2x1.1.10.1,</v>
      </c>
      <c r="Z5" s="141">
        <v>0</v>
      </c>
      <c r="AA5" s="141">
        <v>0</v>
      </c>
      <c r="AB5" s="136">
        <v>0</v>
      </c>
      <c r="AC5" s="39">
        <v>0</v>
      </c>
      <c r="AD5" s="141" t="s">
        <v>1473</v>
      </c>
      <c r="AE5" s="296">
        <v>55547</v>
      </c>
      <c r="AF5" s="156"/>
      <c r="AG5"/>
    </row>
    <row r="6" spans="1:33" x14ac:dyDescent="0.25">
      <c r="A6" s="24" t="s">
        <v>2384</v>
      </c>
      <c r="B6" s="134" t="s">
        <v>54</v>
      </c>
      <c r="C6" t="str">
        <f>_xlfn.CONCAT(A6,".",B6)</f>
        <v>PG10.1.1.11.1.A</v>
      </c>
      <c r="D6" t="s">
        <v>2385</v>
      </c>
      <c r="E6" s="18">
        <f>Z6+AA6+AB6+(65*AC6)</f>
        <v>84.9</v>
      </c>
      <c r="F6" s="19" cm="1">
        <f t="array" aca="1" ref="F6" ca="1">SUMPRODUCT(SUMIF(INDIRECT("'"&amp;Assemblies[Assy]&amp;"'!"&amp;"C5:C1000"),C6,(INDIRECT("'"&amp;Assemblies[Assy]&amp;"'!"&amp;"O5:O1000"))))</f>
        <v>1</v>
      </c>
      <c r="G6" s="19">
        <v>1</v>
      </c>
      <c r="H6" s="19" t="str">
        <f ca="1">IF(F6&lt;=G6," ","YES")</f>
        <v xml:space="preserve"> </v>
      </c>
      <c r="O6" t="s">
        <v>1999</v>
      </c>
      <c r="P6" t="s">
        <v>2386</v>
      </c>
      <c r="R6" t="s">
        <v>3781</v>
      </c>
      <c r="T6" s="40">
        <v>45545</v>
      </c>
      <c r="U6" s="40">
        <v>45554</v>
      </c>
      <c r="V6" s="40">
        <v>45576</v>
      </c>
      <c r="X6" s="157">
        <v>55745</v>
      </c>
      <c r="Y6" s="40" t="str" cm="1">
        <f t="array" aca="1" ref="Y6" ca="1">TRIM(SUBSTITUTE(_xlfn.ARRAYTOTEXT(IFERROR(CONCATENATE(SUMIF(INDIRECT("'"&amp;Assemblies[Assy]&amp;"'!"&amp;"C$5:C1000"), $C6, INDIRECT("'"&amp;Assemblies[Assy]&amp;"'!"&amp;"O$5:O1000")), "x",Assemblies[Assy],".",IF(SUMIF(INDIRECT("'"&amp;Assemblies[Assy]&amp;"'!"&amp;"C$5:C1000"), $C6, INDIRECT("'"&amp;Assemblies[Assy]&amp;"'!"&amp;"A$5:A1000"))=0,NA(),SUMIF(INDIRECT("'"&amp;Assemblies[Assy]&amp;"'!"&amp;"C$5:C1000"), $C6, INDIRECT("'"&amp;Assemblies[Assy]&amp;"'!"&amp;"A$5:A1000")))),"")), " ,", ""))</f>
        <v>, 1x1.1.11.1,</v>
      </c>
      <c r="Z6" s="141">
        <v>84.9</v>
      </c>
      <c r="AA6" s="141">
        <v>0</v>
      </c>
      <c r="AB6" s="136">
        <v>0</v>
      </c>
      <c r="AC6" s="39">
        <v>0</v>
      </c>
      <c r="AD6" s="141" t="s">
        <v>1473</v>
      </c>
      <c r="AE6" s="296"/>
      <c r="AF6" s="156"/>
      <c r="AG6"/>
    </row>
    <row r="7" spans="1:33" x14ac:dyDescent="0.25">
      <c r="A7" s="24" t="s">
        <v>1997</v>
      </c>
      <c r="B7" s="134" t="s">
        <v>54</v>
      </c>
      <c r="C7" t="str">
        <f>_xlfn.CONCAT(A7,".",B7)</f>
        <v>PG10.1.1.13.1.A</v>
      </c>
      <c r="D7" t="s">
        <v>1998</v>
      </c>
      <c r="E7" s="18">
        <f>Z7+AA7+AB7+(65*AC7)</f>
        <v>145</v>
      </c>
      <c r="F7" s="19" cm="1">
        <f t="array" aca="1" ref="F7" ca="1">SUMPRODUCT(SUMIF(INDIRECT("'"&amp;Assemblies[Assy]&amp;"'!"&amp;"C5:C1000"),C7,(INDIRECT("'"&amp;Assemblies[Assy]&amp;"'!"&amp;"O5:O1000"))))</f>
        <v>1</v>
      </c>
      <c r="G7" s="19">
        <v>1</v>
      </c>
      <c r="H7" s="19" t="str">
        <f ca="1">IF(F7&lt;=G7," ","YES")</f>
        <v xml:space="preserve"> </v>
      </c>
      <c r="O7" t="s">
        <v>1999</v>
      </c>
      <c r="P7" t="s">
        <v>1993</v>
      </c>
      <c r="R7" t="s">
        <v>2000</v>
      </c>
      <c r="T7" s="40" t="s">
        <v>2001</v>
      </c>
      <c r="U7" s="40">
        <v>45530</v>
      </c>
      <c r="V7" s="40">
        <v>45561</v>
      </c>
      <c r="X7" s="157">
        <v>55708</v>
      </c>
      <c r="Y7" s="40" t="str" cm="1">
        <f t="array" aca="1" ref="Y7" ca="1">TRIM(SUBSTITUTE(_xlfn.ARRAYTOTEXT(IFERROR(CONCATENATE(SUMIF(INDIRECT("'"&amp;Assemblies[Assy]&amp;"'!"&amp;"C$5:C1000"), $C7, INDIRECT("'"&amp;Assemblies[Assy]&amp;"'!"&amp;"O$5:O1000")), "x",Assemblies[Assy],".",IF(SUMIF(INDIRECT("'"&amp;Assemblies[Assy]&amp;"'!"&amp;"C$5:C1000"), $C7, INDIRECT("'"&amp;Assemblies[Assy]&amp;"'!"&amp;"A$5:A1000"))=0,NA(),SUMIF(INDIRECT("'"&amp;Assemblies[Assy]&amp;"'!"&amp;"C$5:C1000"), $C7, INDIRECT("'"&amp;Assemblies[Assy]&amp;"'!"&amp;"A$5:A1000")))),"")), " ,", ""))</f>
        <v>, 1x1.1.13.1,</v>
      </c>
      <c r="Z7" s="141">
        <v>145</v>
      </c>
      <c r="AA7" s="141">
        <v>0</v>
      </c>
      <c r="AB7" s="136">
        <v>0</v>
      </c>
      <c r="AC7" s="39">
        <v>0</v>
      </c>
      <c r="AD7" s="141" t="s">
        <v>1473</v>
      </c>
      <c r="AE7" s="296"/>
      <c r="AF7" s="141"/>
      <c r="AG7"/>
    </row>
    <row r="8" spans="1:33" x14ac:dyDescent="0.25">
      <c r="A8" s="24" t="s">
        <v>2002</v>
      </c>
      <c r="B8" s="134" t="s">
        <v>54</v>
      </c>
      <c r="C8" t="str">
        <f>_xlfn.CONCAT(A8,".",B8)</f>
        <v>PG10.1.1.14.1.A</v>
      </c>
      <c r="D8" t="s">
        <v>2003</v>
      </c>
      <c r="E8" s="18">
        <f>Z8+AA8+AB8+(65*AC8)</f>
        <v>145</v>
      </c>
      <c r="F8" s="19" cm="1">
        <f t="array" aca="1" ref="F8" ca="1">SUMPRODUCT(SUMIF(INDIRECT("'"&amp;Assemblies[Assy]&amp;"'!"&amp;"C5:C1000"),C8,(INDIRECT("'"&amp;Assemblies[Assy]&amp;"'!"&amp;"O5:O1000"))))</f>
        <v>1</v>
      </c>
      <c r="G8" s="19">
        <v>1</v>
      </c>
      <c r="H8" s="19" t="str">
        <f ca="1">IF(F8&lt;=G8," ","YES")</f>
        <v xml:space="preserve"> </v>
      </c>
      <c r="O8" t="s">
        <v>1999</v>
      </c>
      <c r="P8" t="s">
        <v>1993</v>
      </c>
      <c r="R8" t="s">
        <v>2000</v>
      </c>
      <c r="T8" s="40" t="s">
        <v>2001</v>
      </c>
      <c r="U8" s="40">
        <v>45530</v>
      </c>
      <c r="V8" s="40">
        <v>45561</v>
      </c>
      <c r="X8" s="157">
        <v>55708</v>
      </c>
      <c r="Y8" s="40" t="str" cm="1">
        <f t="array" aca="1" ref="Y8" ca="1">TRIM(SUBSTITUTE(_xlfn.ARRAYTOTEXT(IFERROR(CONCATENATE(SUMIF(INDIRECT("'"&amp;Assemblies[Assy]&amp;"'!"&amp;"C$5:C1000"), $C8, INDIRECT("'"&amp;Assemblies[Assy]&amp;"'!"&amp;"O$5:O1000")), "x",Assemblies[Assy],".",IF(SUMIF(INDIRECT("'"&amp;Assemblies[Assy]&amp;"'!"&amp;"C$5:C1000"), $C8, INDIRECT("'"&amp;Assemblies[Assy]&amp;"'!"&amp;"A$5:A1000"))=0,NA(),SUMIF(INDIRECT("'"&amp;Assemblies[Assy]&amp;"'!"&amp;"C$5:C1000"), $C8, INDIRECT("'"&amp;Assemblies[Assy]&amp;"'!"&amp;"A$5:A1000")))),"")), " ,", ""))</f>
        <v>, 1x1.1.14.1,</v>
      </c>
      <c r="Z8" s="141">
        <v>145</v>
      </c>
      <c r="AA8" s="141">
        <v>0</v>
      </c>
      <c r="AB8" s="136">
        <v>0</v>
      </c>
      <c r="AC8" s="39">
        <v>0</v>
      </c>
      <c r="AD8" s="141" t="s">
        <v>1473</v>
      </c>
      <c r="AE8" s="296"/>
      <c r="AF8" s="156"/>
      <c r="AG8"/>
    </row>
    <row r="9" spans="1:33" x14ac:dyDescent="0.25">
      <c r="A9" s="24" t="s">
        <v>2004</v>
      </c>
      <c r="B9" s="134" t="s">
        <v>54</v>
      </c>
      <c r="C9" t="str">
        <f>_xlfn.CONCAT(A9,".",B9)</f>
        <v>PG10.1.1.15.1.A</v>
      </c>
      <c r="D9" t="s">
        <v>2005</v>
      </c>
      <c r="E9" s="18">
        <f>Z9+AA9+AB9+(65*AC9)</f>
        <v>145</v>
      </c>
      <c r="F9" s="19" cm="1">
        <f t="array" aca="1" ref="F9" ca="1">SUMPRODUCT(SUMIF(INDIRECT("'"&amp;Assemblies[Assy]&amp;"'!"&amp;"C5:C1000"),C9,(INDIRECT("'"&amp;Assemblies[Assy]&amp;"'!"&amp;"O5:O1000"))))</f>
        <v>1</v>
      </c>
      <c r="G9" s="19">
        <v>1</v>
      </c>
      <c r="H9" s="19" t="str">
        <f ca="1">IF(F9&lt;=G9," ","YES")</f>
        <v xml:space="preserve"> </v>
      </c>
      <c r="O9" t="s">
        <v>1999</v>
      </c>
      <c r="P9" t="s">
        <v>1993</v>
      </c>
      <c r="R9" t="s">
        <v>2000</v>
      </c>
      <c r="T9" s="40" t="s">
        <v>2001</v>
      </c>
      <c r="U9" s="40">
        <v>45530</v>
      </c>
      <c r="V9" s="40">
        <v>45561</v>
      </c>
      <c r="X9" s="157">
        <v>55708</v>
      </c>
      <c r="Y9" s="40" t="str" cm="1">
        <f t="array" aca="1" ref="Y9" ca="1">TRIM(SUBSTITUTE(_xlfn.ARRAYTOTEXT(IFERROR(CONCATENATE(SUMIF(INDIRECT("'"&amp;Assemblies[Assy]&amp;"'!"&amp;"C$5:C1000"), $C9, INDIRECT("'"&amp;Assemblies[Assy]&amp;"'!"&amp;"O$5:O1000")), "x",Assemblies[Assy],".",IF(SUMIF(INDIRECT("'"&amp;Assemblies[Assy]&amp;"'!"&amp;"C$5:C1000"), $C9, INDIRECT("'"&amp;Assemblies[Assy]&amp;"'!"&amp;"A$5:A1000"))=0,NA(),SUMIF(INDIRECT("'"&amp;Assemblies[Assy]&amp;"'!"&amp;"C$5:C1000"), $C9, INDIRECT("'"&amp;Assemblies[Assy]&amp;"'!"&amp;"A$5:A1000")))),"")), " ,", ""))</f>
        <v>, 1x1.1.15.1,</v>
      </c>
      <c r="Z9" s="141">
        <v>145</v>
      </c>
      <c r="AA9" s="141">
        <v>0</v>
      </c>
      <c r="AB9" s="136">
        <v>0</v>
      </c>
      <c r="AC9" s="39">
        <v>0</v>
      </c>
      <c r="AD9" s="141" t="s">
        <v>1473</v>
      </c>
      <c r="AE9" s="296"/>
      <c r="AF9" s="156"/>
      <c r="AG9"/>
    </row>
    <row r="10" spans="1:33" x14ac:dyDescent="0.25">
      <c r="A10" s="24" t="s">
        <v>2009</v>
      </c>
      <c r="B10" s="134" t="s">
        <v>54</v>
      </c>
      <c r="C10" t="str">
        <f>_xlfn.CONCAT(A10,".",B10)</f>
        <v>PG10.1.1.16.1.A</v>
      </c>
      <c r="D10" t="s">
        <v>2010</v>
      </c>
      <c r="E10" s="18">
        <v>72.45</v>
      </c>
      <c r="F10" s="19" cm="1">
        <f t="array" aca="1" ref="F10" ca="1">SUMPRODUCT(SUMIF(INDIRECT("'"&amp;Assemblies[Assy]&amp;"'!"&amp;"C5:C1000"),C10,(INDIRECT("'"&amp;Assemblies[Assy]&amp;"'!"&amp;"O5:O1000"))))</f>
        <v>6</v>
      </c>
      <c r="G10" s="19">
        <v>6</v>
      </c>
      <c r="H10" s="19" t="str">
        <f ca="1">IF(F10&lt;=G10," ","YES")</f>
        <v xml:space="preserve"> </v>
      </c>
      <c r="I10">
        <v>6</v>
      </c>
      <c r="J10">
        <v>6</v>
      </c>
      <c r="L10">
        <v>6</v>
      </c>
      <c r="N10">
        <v>6</v>
      </c>
      <c r="O10" t="s">
        <v>1986</v>
      </c>
      <c r="P10" t="s">
        <v>1987</v>
      </c>
      <c r="Q10" t="s">
        <v>1988</v>
      </c>
      <c r="R10" t="s">
        <v>1989</v>
      </c>
      <c r="T10" s="40">
        <v>45435</v>
      </c>
      <c r="U10" s="40">
        <v>45453</v>
      </c>
      <c r="V10" s="40">
        <v>45490</v>
      </c>
      <c r="W10" s="40">
        <v>45490</v>
      </c>
      <c r="X10" s="157">
        <v>55545</v>
      </c>
      <c r="Y10" s="40" t="str" cm="1">
        <f t="array" aca="1" ref="Y10" ca="1">TRIM(SUBSTITUTE(_xlfn.ARRAYTOTEXT(IFERROR(CONCATENATE(SUMIF(INDIRECT("'"&amp;Assemblies[Assy]&amp;"'!"&amp;"C$5:C1000"), $C10, INDIRECT("'"&amp;Assemblies[Assy]&amp;"'!"&amp;"O$5:O1000")), "x",Assemblies[Assy],".",IF(SUMIF(INDIRECT("'"&amp;Assemblies[Assy]&amp;"'!"&amp;"C$5:C1000"), $C10, INDIRECT("'"&amp;Assemblies[Assy]&amp;"'!"&amp;"A$5:A1000"))=0,NA(),SUMIF(INDIRECT("'"&amp;Assemblies[Assy]&amp;"'!"&amp;"C$5:C1000"), $C10, INDIRECT("'"&amp;Assemblies[Assy]&amp;"'!"&amp;"A$5:A1000")))),"")), " ,", ""))</f>
        <v>, 6x1.1.16.1,</v>
      </c>
      <c r="Z10" s="141">
        <v>0</v>
      </c>
      <c r="AA10" s="141">
        <v>0</v>
      </c>
      <c r="AB10" s="136">
        <v>0</v>
      </c>
      <c r="AC10" s="39">
        <v>0</v>
      </c>
      <c r="AD10" s="141"/>
      <c r="AE10" s="296">
        <v>55597</v>
      </c>
      <c r="AF10" s="156"/>
      <c r="AG10"/>
    </row>
    <row r="11" spans="1:33" x14ac:dyDescent="0.25">
      <c r="A11" s="24" t="s">
        <v>2011</v>
      </c>
      <c r="B11" s="134" t="s">
        <v>54</v>
      </c>
      <c r="C11" t="str">
        <f>_xlfn.CONCAT(A11,".",B11)</f>
        <v>PG10.1.1.2.1.A</v>
      </c>
      <c r="D11" t="s">
        <v>2012</v>
      </c>
      <c r="E11" s="18">
        <f>Z11+AA11+AB11+(65*AC11)</f>
        <v>54.27</v>
      </c>
      <c r="F11" s="19" cm="1">
        <f t="array" aca="1" ref="F11" ca="1">SUMPRODUCT(SUMIF(INDIRECT("'"&amp;Assemblies[Assy]&amp;"'!"&amp;"C5:C1000"),C11,(INDIRECT("'"&amp;Assemblies[Assy]&amp;"'!"&amp;"O5:O1000"))))</f>
        <v>32</v>
      </c>
      <c r="G11" s="19">
        <v>42</v>
      </c>
      <c r="H11" s="19" t="str">
        <f ca="1">IF(F11&lt;=G11," ","YES")</f>
        <v xml:space="preserve"> </v>
      </c>
      <c r="I11">
        <v>42</v>
      </c>
      <c r="J11">
        <v>42</v>
      </c>
      <c r="L11">
        <v>42</v>
      </c>
      <c r="N11">
        <v>37</v>
      </c>
      <c r="O11" t="s">
        <v>1986</v>
      </c>
      <c r="P11" t="s">
        <v>2013</v>
      </c>
      <c r="Q11" t="s">
        <v>1988</v>
      </c>
      <c r="S11" t="s">
        <v>2014</v>
      </c>
      <c r="Y11" s="40" t="str" cm="1">
        <f t="array" aca="1" ref="Y11" ca="1">TRIM(SUBSTITUTE(_xlfn.ARRAYTOTEXT(IFERROR(CONCATENATE(SUMIF(INDIRECT("'"&amp;Assemblies[Assy]&amp;"'!"&amp;"C$5:C1000"), $C11, INDIRECT("'"&amp;Assemblies[Assy]&amp;"'!"&amp;"O$5:O1000")), "x",Assemblies[Assy],".",IF(SUMIF(INDIRECT("'"&amp;Assemblies[Assy]&amp;"'!"&amp;"C$5:C1000"), $C11, INDIRECT("'"&amp;Assemblies[Assy]&amp;"'!"&amp;"A$5:A1000"))=0,NA(),SUMIF(INDIRECT("'"&amp;Assemblies[Assy]&amp;"'!"&amp;"C$5:C1000"), $C11, INDIRECT("'"&amp;Assemblies[Assy]&amp;"'!"&amp;"A$5:A1000")))),"")), " ,", ""))</f>
        <v>, 14x1.1.2.1, 8x1.1.7.3, 6x1.1.8.8, 2x1.2.1.2, 2x1.2.2.2,</v>
      </c>
      <c r="Z11" s="141">
        <v>0</v>
      </c>
      <c r="AA11" s="141">
        <v>54.27</v>
      </c>
      <c r="AB11" s="141">
        <v>0</v>
      </c>
      <c r="AC11" s="39">
        <v>0</v>
      </c>
      <c r="AD11" s="141" t="s">
        <v>1473</v>
      </c>
      <c r="AE11" s="296">
        <v>55548</v>
      </c>
      <c r="AF11" s="141"/>
      <c r="AG11"/>
    </row>
    <row r="12" spans="1:33" x14ac:dyDescent="0.25">
      <c r="A12" s="24" t="s">
        <v>2015</v>
      </c>
      <c r="B12" s="134" t="s">
        <v>54</v>
      </c>
      <c r="C12" t="str">
        <f>_xlfn.CONCAT(A12,".",B12)</f>
        <v>PG10.1.1.2.2.A</v>
      </c>
      <c r="D12" t="s">
        <v>2016</v>
      </c>
      <c r="E12" s="18">
        <f>Z12+AA12+AB12+(65*AC12)</f>
        <v>0</v>
      </c>
      <c r="F12" s="19" cm="1">
        <f t="array" aca="1" ref="F12" ca="1">SUMPRODUCT(SUMIF(INDIRECT("'"&amp;Assemblies[Assy]&amp;"'!"&amp;"C5:C1000"),C12,(INDIRECT("'"&amp;Assemblies[Assy]&amp;"'!"&amp;"O5:O1000"))))</f>
        <v>26</v>
      </c>
      <c r="G12" s="19">
        <v>26</v>
      </c>
      <c r="H12" s="19" t="str">
        <f ca="1">IF(F12&lt;=G12," ","YES")</f>
        <v xml:space="preserve"> </v>
      </c>
      <c r="I12">
        <v>26</v>
      </c>
      <c r="J12">
        <v>26</v>
      </c>
      <c r="L12">
        <v>26</v>
      </c>
      <c r="N12">
        <v>26</v>
      </c>
      <c r="O12" t="s">
        <v>2017</v>
      </c>
      <c r="P12" t="s">
        <v>1993</v>
      </c>
      <c r="Q12" t="s">
        <v>1988</v>
      </c>
      <c r="R12" t="s">
        <v>1988</v>
      </c>
      <c r="S12" t="s">
        <v>2018</v>
      </c>
      <c r="V12" s="40">
        <v>45520</v>
      </c>
      <c r="X12" s="157">
        <v>55555</v>
      </c>
      <c r="Y12" s="40" t="str" cm="1">
        <f t="array" aca="1" ref="Y12" ca="1">TRIM(SUBSTITUTE(_xlfn.ARRAYTOTEXT(IFERROR(CONCATENATE(SUMIF(INDIRECT("'"&amp;Assemblies[Assy]&amp;"'!"&amp;"C$5:C1000"), $C12, INDIRECT("'"&amp;Assemblies[Assy]&amp;"'!"&amp;"O$5:O1000")), "x",Assemblies[Assy],".",IF(SUMIF(INDIRECT("'"&amp;Assemblies[Assy]&amp;"'!"&amp;"C$5:C1000"), $C12, INDIRECT("'"&amp;Assemblies[Assy]&amp;"'!"&amp;"A$5:A1000"))=0,NA(),SUMIF(INDIRECT("'"&amp;Assemblies[Assy]&amp;"'!"&amp;"C$5:C1000"), $C12, INDIRECT("'"&amp;Assemblies[Assy]&amp;"'!"&amp;"A$5:A1000")))),"")), " ,", ""))</f>
        <v>, 14x1.1.2.2, 8x1.1.7.4, 2x1.2.1.3, 2x1.2.2.3,</v>
      </c>
      <c r="Z12" s="141">
        <v>0</v>
      </c>
      <c r="AA12" s="141">
        <v>0</v>
      </c>
      <c r="AB12" s="141">
        <v>0</v>
      </c>
      <c r="AC12" s="39">
        <v>0</v>
      </c>
      <c r="AD12" s="141" t="s">
        <v>1473</v>
      </c>
      <c r="AE12" s="296"/>
      <c r="AF12" s="141"/>
      <c r="AG12"/>
    </row>
    <row r="13" spans="1:33" x14ac:dyDescent="0.25">
      <c r="A13" s="24" t="s">
        <v>2019</v>
      </c>
      <c r="B13" s="134" t="s">
        <v>54</v>
      </c>
      <c r="C13" t="str">
        <f>_xlfn.CONCAT(A13,".",B13)</f>
        <v>PG10.1.1.2.3.A</v>
      </c>
      <c r="D13" t="s">
        <v>2020</v>
      </c>
      <c r="E13" s="18">
        <v>4.8</v>
      </c>
      <c r="F13" s="19" cm="1">
        <f t="array" aca="1" ref="F13" ca="1">SUMPRODUCT(SUMIF(INDIRECT("'"&amp;Assemblies[Assy]&amp;"'!"&amp;"C5:C1000"),C13,(INDIRECT("'"&amp;Assemblies[Assy]&amp;"'!"&amp;"O5:O1000"))))</f>
        <v>64</v>
      </c>
      <c r="G13" s="19">
        <v>80</v>
      </c>
      <c r="H13" s="19" t="str">
        <f ca="1">IF(F13&lt;=G13," ","YES")</f>
        <v xml:space="preserve"> </v>
      </c>
      <c r="I13">
        <v>80</v>
      </c>
      <c r="J13">
        <v>80</v>
      </c>
      <c r="L13">
        <v>80</v>
      </c>
      <c r="N13">
        <v>80</v>
      </c>
      <c r="O13" t="s">
        <v>2021</v>
      </c>
      <c r="P13" t="s">
        <v>1982</v>
      </c>
      <c r="R13" t="s">
        <v>1983</v>
      </c>
      <c r="T13" s="40">
        <v>45463</v>
      </c>
      <c r="U13" s="40">
        <v>45483</v>
      </c>
      <c r="V13" s="40">
        <v>45513</v>
      </c>
      <c r="W13" s="40">
        <v>45513</v>
      </c>
      <c r="X13" s="157">
        <v>55593</v>
      </c>
      <c r="Y13" s="40" t="str" cm="1">
        <f t="array" aca="1" ref="Y13" ca="1">TRIM(SUBSTITUTE(_xlfn.ARRAYTOTEXT(IFERROR(CONCATENATE(SUMIF(INDIRECT("'"&amp;Assemblies[Assy]&amp;"'!"&amp;"C$5:C1000"), $C13, INDIRECT("'"&amp;Assemblies[Assy]&amp;"'!"&amp;"O$5:O1000")), "x",Assemblies[Assy],".",IF(SUMIF(INDIRECT("'"&amp;Assemblies[Assy]&amp;"'!"&amp;"C$5:C1000"), $C13, INDIRECT("'"&amp;Assemblies[Assy]&amp;"'!"&amp;"A$5:A1000"))=0,NA(),SUMIF(INDIRECT("'"&amp;Assemblies[Assy]&amp;"'!"&amp;"C$5:C1000"), $C13, INDIRECT("'"&amp;Assemblies[Assy]&amp;"'!"&amp;"A$5:A1000")))),"")), " ,", ""))</f>
        <v>, 28x1.1.2.3, 16x1.1.7.5, 12x1.1.8.9, 4x1.2.1.4, 4x1.2.2.4,</v>
      </c>
      <c r="Z13" s="136">
        <v>0</v>
      </c>
      <c r="AA13" s="141">
        <v>0</v>
      </c>
      <c r="AB13" s="136">
        <v>0</v>
      </c>
      <c r="AC13" s="39">
        <v>0</v>
      </c>
      <c r="AD13" s="141" t="s">
        <v>1473</v>
      </c>
      <c r="AE13" s="296"/>
      <c r="AF13" s="141"/>
      <c r="AG13"/>
    </row>
    <row r="14" spans="1:33" x14ac:dyDescent="0.25">
      <c r="A14" s="24" t="s">
        <v>2022</v>
      </c>
      <c r="B14" s="134" t="s">
        <v>54</v>
      </c>
      <c r="C14" t="str">
        <f>_xlfn.CONCAT(A14,".",B14)</f>
        <v>PG10.1.1.2.4.A</v>
      </c>
      <c r="D14" t="s">
        <v>2023</v>
      </c>
      <c r="E14" s="18">
        <v>30.25</v>
      </c>
      <c r="F14" s="19" cm="1">
        <f t="array" aca="1" ref="F14" ca="1">SUMPRODUCT(SUMIF(INDIRECT("'"&amp;Assemblies[Assy]&amp;"'!"&amp;"C5:C1000"),C14,(INDIRECT("'"&amp;Assemblies[Assy]&amp;"'!"&amp;"O5:O1000"))))</f>
        <v>32</v>
      </c>
      <c r="G14" s="19">
        <v>62</v>
      </c>
      <c r="H14" s="19" t="str">
        <f ca="1">IF(F14&lt;=G14," ","YES")</f>
        <v xml:space="preserve"> </v>
      </c>
      <c r="I14">
        <v>62</v>
      </c>
      <c r="J14">
        <v>62</v>
      </c>
      <c r="L14">
        <v>62</v>
      </c>
      <c r="N14">
        <v>62</v>
      </c>
      <c r="O14" t="s">
        <v>1986</v>
      </c>
      <c r="P14" t="s">
        <v>1987</v>
      </c>
      <c r="Q14" t="s">
        <v>1988</v>
      </c>
      <c r="R14" t="s">
        <v>1989</v>
      </c>
      <c r="T14" s="40">
        <v>45435</v>
      </c>
      <c r="U14" s="40">
        <v>45446</v>
      </c>
      <c r="V14" s="40">
        <v>45481</v>
      </c>
      <c r="W14" s="40">
        <v>45481</v>
      </c>
      <c r="X14" s="157">
        <v>55532</v>
      </c>
      <c r="Y14" s="40" t="str" cm="1">
        <f t="array" aca="1" ref="Y14" ca="1">TRIM(SUBSTITUTE(_xlfn.ARRAYTOTEXT(IFERROR(CONCATENATE(SUMIF(INDIRECT("'"&amp;Assemblies[Assy]&amp;"'!"&amp;"C$5:C1000"), $C14, INDIRECT("'"&amp;Assemblies[Assy]&amp;"'!"&amp;"O$5:O1000")), "x",Assemblies[Assy],".",IF(SUMIF(INDIRECT("'"&amp;Assemblies[Assy]&amp;"'!"&amp;"C$5:C1000"), $C14, INDIRECT("'"&amp;Assemblies[Assy]&amp;"'!"&amp;"A$5:A1000"))=0,NA(),SUMIF(INDIRECT("'"&amp;Assemblies[Assy]&amp;"'!"&amp;"C$5:C1000"), $C14, INDIRECT("'"&amp;Assemblies[Assy]&amp;"'!"&amp;"A$5:A1000")))),"")), " ,", ""))</f>
        <v>, 28x1.1.2.4, 4x7.1.4.2,</v>
      </c>
      <c r="Z14" s="136">
        <v>0</v>
      </c>
      <c r="AA14" s="141">
        <v>0</v>
      </c>
      <c r="AB14" s="136">
        <v>0</v>
      </c>
      <c r="AC14" s="39">
        <v>0</v>
      </c>
      <c r="AD14" s="141" t="s">
        <v>1473</v>
      </c>
      <c r="AE14" s="296">
        <v>55597</v>
      </c>
      <c r="AF14" s="141"/>
      <c r="AG14"/>
    </row>
    <row r="15" spans="1:33" x14ac:dyDescent="0.25">
      <c r="A15" s="24" t="s">
        <v>2024</v>
      </c>
      <c r="B15" s="134" t="s">
        <v>54</v>
      </c>
      <c r="C15" t="str">
        <f>_xlfn.CONCAT(A15,".",B15)</f>
        <v>PG10.1.1.2.5.A</v>
      </c>
      <c r="D15" t="s">
        <v>2025</v>
      </c>
      <c r="E15" s="18">
        <v>16.2</v>
      </c>
      <c r="F15" s="19" cm="1">
        <f t="array" aca="1" ref="F15" ca="1">SUMPRODUCT(SUMIF(INDIRECT("'"&amp;Assemblies[Assy]&amp;"'!"&amp;"C5:C1000"),C15,(INDIRECT("'"&amp;Assemblies[Assy]&amp;"'!"&amp;"O5:O1000"))))</f>
        <v>40</v>
      </c>
      <c r="G15" s="19">
        <v>70</v>
      </c>
      <c r="H15" s="19" t="str">
        <f ca="1">IF(F15&lt;=G15," ","YES")</f>
        <v xml:space="preserve"> </v>
      </c>
      <c r="I15">
        <v>70</v>
      </c>
      <c r="J15">
        <v>70</v>
      </c>
      <c r="L15">
        <v>70</v>
      </c>
      <c r="N15">
        <v>70</v>
      </c>
      <c r="O15" t="s">
        <v>2026</v>
      </c>
      <c r="P15" t="s">
        <v>2027</v>
      </c>
      <c r="Q15" t="s">
        <v>1988</v>
      </c>
      <c r="R15" t="s">
        <v>1989</v>
      </c>
      <c r="T15" s="40">
        <v>45435</v>
      </c>
      <c r="U15" s="40">
        <v>45446</v>
      </c>
      <c r="V15" s="40">
        <v>45481</v>
      </c>
      <c r="W15" s="40">
        <v>45481</v>
      </c>
      <c r="X15" s="157">
        <v>55532</v>
      </c>
      <c r="Y15" s="40" t="str" cm="1">
        <f t="array" aca="1" ref="Y15" ca="1">TRIM(SUBSTITUTE(_xlfn.ARRAYTOTEXT(IFERROR(CONCATENATE(SUMIF(INDIRECT("'"&amp;Assemblies[Assy]&amp;"'!"&amp;"C$5:C1000"), $C15, INDIRECT("'"&amp;Assemblies[Assy]&amp;"'!"&amp;"O$5:O1000")), "x",Assemblies[Assy],".",IF(SUMIF(INDIRECT("'"&amp;Assemblies[Assy]&amp;"'!"&amp;"C$5:C1000"), $C15, INDIRECT("'"&amp;Assemblies[Assy]&amp;"'!"&amp;"A$5:A1000"))=0,NA(),SUMIF(INDIRECT("'"&amp;Assemblies[Assy]&amp;"'!"&amp;"C$5:C1000"), $C15, INDIRECT("'"&amp;Assemblies[Assy]&amp;"'!"&amp;"A$5:A1000")))),"")), " ,", ""))</f>
        <v>, 28x1.1.2.5, 4x1.2.1.5, 4x1.2.2.5, 4x7.1.4.3,</v>
      </c>
      <c r="Z15" s="136">
        <v>0</v>
      </c>
      <c r="AA15" s="141">
        <v>0</v>
      </c>
      <c r="AB15" s="136">
        <v>0</v>
      </c>
      <c r="AC15" s="39">
        <v>0</v>
      </c>
      <c r="AD15" s="141" t="s">
        <v>1473</v>
      </c>
      <c r="AE15" s="296">
        <v>55598</v>
      </c>
      <c r="AF15" s="156"/>
      <c r="AG15"/>
    </row>
    <row r="16" spans="1:33" x14ac:dyDescent="0.25">
      <c r="A16" s="24" t="s">
        <v>2028</v>
      </c>
      <c r="B16" s="134" t="s">
        <v>54</v>
      </c>
      <c r="C16" t="str">
        <f>_xlfn.CONCAT(A16,".",B16)</f>
        <v>PG10.1.1.3.1.A</v>
      </c>
      <c r="D16" t="s">
        <v>2029</v>
      </c>
      <c r="E16" s="18">
        <v>17.899999999999999</v>
      </c>
      <c r="F16" s="19" cm="1">
        <f t="array" aca="1" ref="F16" ca="1">SUMPRODUCT(SUMIF(INDIRECT("'"&amp;Assemblies[Assy]&amp;"'!"&amp;"C5:C1000"),C16,(INDIRECT("'"&amp;Assemblies[Assy]&amp;"'!"&amp;"O5:O1000"))))</f>
        <v>80</v>
      </c>
      <c r="G16" s="19">
        <v>90</v>
      </c>
      <c r="H16" s="19" t="str">
        <f ca="1">IF(F16&lt;=G16," ","YES")</f>
        <v xml:space="preserve"> </v>
      </c>
      <c r="I16">
        <v>90</v>
      </c>
      <c r="J16">
        <v>90</v>
      </c>
      <c r="L16">
        <v>90</v>
      </c>
      <c r="N16">
        <v>90</v>
      </c>
      <c r="O16" t="s">
        <v>2021</v>
      </c>
      <c r="P16" t="s">
        <v>2030</v>
      </c>
      <c r="R16" t="s">
        <v>1983</v>
      </c>
      <c r="T16" s="40">
        <v>45463</v>
      </c>
      <c r="U16" s="40">
        <v>45483</v>
      </c>
      <c r="V16" s="40">
        <v>45513</v>
      </c>
      <c r="W16" s="40">
        <v>45513</v>
      </c>
      <c r="X16" s="157">
        <v>55593</v>
      </c>
      <c r="Y16" s="40" t="str" cm="1">
        <f t="array" aca="1" ref="Y16" ca="1">TRIM(SUBSTITUTE(_xlfn.ARRAYTOTEXT(IFERROR(CONCATENATE(SUMIF(INDIRECT("'"&amp;Assemblies[Assy]&amp;"'!"&amp;"C$5:C1000"), $C16, INDIRECT("'"&amp;Assemblies[Assy]&amp;"'!"&amp;"O$5:O1000")), "x",Assemblies[Assy],".",IF(SUMIF(INDIRECT("'"&amp;Assemblies[Assy]&amp;"'!"&amp;"C$5:C1000"), $C16, INDIRECT("'"&amp;Assemblies[Assy]&amp;"'!"&amp;"A$5:A1000"))=0,NA(),SUMIF(INDIRECT("'"&amp;Assemblies[Assy]&amp;"'!"&amp;"C$5:C1000"), $C16, INDIRECT("'"&amp;Assemblies[Assy]&amp;"'!"&amp;"A$5:A1000")))),"")), " ,", ""))</f>
        <v>, 80x1.1.3.1,</v>
      </c>
      <c r="Z16" s="136">
        <v>0</v>
      </c>
      <c r="AA16" s="141">
        <v>0</v>
      </c>
      <c r="AB16" s="136">
        <v>0</v>
      </c>
      <c r="AC16" s="39">
        <v>0</v>
      </c>
      <c r="AD16" s="141" t="s">
        <v>1473</v>
      </c>
      <c r="AE16" s="296"/>
      <c r="AF16" s="156"/>
      <c r="AG16"/>
    </row>
    <row r="17" spans="1:33" x14ac:dyDescent="0.25">
      <c r="A17" s="24" t="s">
        <v>2031</v>
      </c>
      <c r="B17" s="134" t="s">
        <v>54</v>
      </c>
      <c r="C17" t="str">
        <f>_xlfn.CONCAT(A17,".",B17)</f>
        <v>PG10.1.1.4.1.A</v>
      </c>
      <c r="D17" t="s">
        <v>2032</v>
      </c>
      <c r="E17" s="18">
        <v>72.5</v>
      </c>
      <c r="F17" s="19" cm="1">
        <f t="array" aca="1" ref="F17" ca="1">SUMPRODUCT(SUMIF(INDIRECT("'"&amp;Assemblies[Assy]&amp;"'!"&amp;"C5:C1000"),C17,(INDIRECT("'"&amp;Assemblies[Assy]&amp;"'!"&amp;"O5:O1000"))))</f>
        <v>12</v>
      </c>
      <c r="G17" s="19">
        <v>12</v>
      </c>
      <c r="H17" s="19" t="str">
        <f ca="1">IF(F17&lt;=G17," ","YES")</f>
        <v xml:space="preserve"> </v>
      </c>
      <c r="I17">
        <v>12</v>
      </c>
      <c r="J17">
        <v>12</v>
      </c>
      <c r="L17">
        <v>12</v>
      </c>
      <c r="N17">
        <v>12</v>
      </c>
      <c r="O17" t="s">
        <v>1986</v>
      </c>
      <c r="P17" t="s">
        <v>1987</v>
      </c>
      <c r="R17" t="s">
        <v>1996</v>
      </c>
      <c r="T17" s="40">
        <v>45434</v>
      </c>
      <c r="U17" s="40">
        <v>45435</v>
      </c>
      <c r="V17" s="40">
        <v>45467</v>
      </c>
      <c r="W17" s="40">
        <v>45467</v>
      </c>
      <c r="X17" s="157">
        <v>55523</v>
      </c>
      <c r="Y17" s="40" t="str" cm="1">
        <f t="array" aca="1" ref="Y17" ca="1">TRIM(SUBSTITUTE(_xlfn.ARRAYTOTEXT(IFERROR(CONCATENATE(SUMIF(INDIRECT("'"&amp;Assemblies[Assy]&amp;"'!"&amp;"C$5:C1000"), $C17, INDIRECT("'"&amp;Assemblies[Assy]&amp;"'!"&amp;"O$5:O1000")), "x",Assemblies[Assy],".",IF(SUMIF(INDIRECT("'"&amp;Assemblies[Assy]&amp;"'!"&amp;"C$5:C1000"), $C17, INDIRECT("'"&amp;Assemblies[Assy]&amp;"'!"&amp;"A$5:A1000"))=0,NA(),SUMIF(INDIRECT("'"&amp;Assemblies[Assy]&amp;"'!"&amp;"C$5:C1000"), $C17, INDIRECT("'"&amp;Assemblies[Assy]&amp;"'!"&amp;"A$5:A1000")))),"")), " ,", ""))</f>
        <v>, 12x1.1.4.1,</v>
      </c>
      <c r="Z17" s="136">
        <v>0</v>
      </c>
      <c r="AA17" s="141">
        <v>0</v>
      </c>
      <c r="AB17" s="136">
        <v>0</v>
      </c>
      <c r="AC17" s="39">
        <v>0</v>
      </c>
      <c r="AD17" s="141" t="s">
        <v>1473</v>
      </c>
      <c r="AE17" s="296">
        <v>55547</v>
      </c>
      <c r="AF17" s="156"/>
      <c r="AG17"/>
    </row>
    <row r="18" spans="1:33" x14ac:dyDescent="0.25">
      <c r="A18" s="24" t="s">
        <v>2033</v>
      </c>
      <c r="B18" s="134" t="s">
        <v>54</v>
      </c>
      <c r="C18" t="str">
        <f>_xlfn.CONCAT(A18,".",B18)</f>
        <v>PG10.1.1.5.1.A</v>
      </c>
      <c r="D18" t="s">
        <v>2034</v>
      </c>
      <c r="E18" s="18">
        <v>135</v>
      </c>
      <c r="F18" s="19" cm="1">
        <f t="array" aca="1" ref="F18" ca="1">SUMPRODUCT(SUMIF(INDIRECT("'"&amp;Assemblies[Assy]&amp;"'!"&amp;"C5:C1000"),C18,(INDIRECT("'"&amp;Assemblies[Assy]&amp;"'!"&amp;"O5:O1000"))))</f>
        <v>2</v>
      </c>
      <c r="G18" s="19">
        <v>2</v>
      </c>
      <c r="H18" s="19" t="str">
        <f ca="1">IF(F18&lt;=G18," ","YES")</f>
        <v xml:space="preserve"> </v>
      </c>
      <c r="I18">
        <v>2</v>
      </c>
      <c r="J18">
        <v>2</v>
      </c>
      <c r="L18">
        <v>2</v>
      </c>
      <c r="N18">
        <v>2</v>
      </c>
      <c r="O18" t="s">
        <v>2026</v>
      </c>
      <c r="P18" t="s">
        <v>2027</v>
      </c>
      <c r="R18" t="s">
        <v>1996</v>
      </c>
      <c r="T18" s="40">
        <v>45434</v>
      </c>
      <c r="U18" s="40">
        <v>45435</v>
      </c>
      <c r="V18" s="40">
        <v>45467</v>
      </c>
      <c r="W18" s="40">
        <v>45467</v>
      </c>
      <c r="X18" s="157">
        <v>55523</v>
      </c>
      <c r="Y18" s="40" t="str" cm="1">
        <f t="array" aca="1" ref="Y18" ca="1">TRIM(SUBSTITUTE(_xlfn.ARRAYTOTEXT(IFERROR(CONCATENATE(SUMIF(INDIRECT("'"&amp;Assemblies[Assy]&amp;"'!"&amp;"C$5:C1000"), $C18, INDIRECT("'"&amp;Assemblies[Assy]&amp;"'!"&amp;"O$5:O1000")), "x",Assemblies[Assy],".",IF(SUMIF(INDIRECT("'"&amp;Assemblies[Assy]&amp;"'!"&amp;"C$5:C1000"), $C18, INDIRECT("'"&amp;Assemblies[Assy]&amp;"'!"&amp;"A$5:A1000"))=0,NA(),SUMIF(INDIRECT("'"&amp;Assemblies[Assy]&amp;"'!"&amp;"C$5:C1000"), $C18, INDIRECT("'"&amp;Assemblies[Assy]&amp;"'!"&amp;"A$5:A1000")))),"")), " ,", ""))</f>
        <v>, 2x1.1.5.1,</v>
      </c>
      <c r="Z18" s="141">
        <v>0</v>
      </c>
      <c r="AA18" s="141">
        <v>0</v>
      </c>
      <c r="AB18" s="136">
        <v>0</v>
      </c>
      <c r="AC18" s="39">
        <v>0</v>
      </c>
      <c r="AD18" s="141" t="s">
        <v>1473</v>
      </c>
      <c r="AE18" s="296">
        <v>55546</v>
      </c>
      <c r="AF18" s="156"/>
      <c r="AG18"/>
    </row>
    <row r="19" spans="1:33" x14ac:dyDescent="0.25">
      <c r="A19" s="24" t="s">
        <v>2035</v>
      </c>
      <c r="B19" s="134" t="s">
        <v>54</v>
      </c>
      <c r="C19" t="str">
        <f>_xlfn.CONCAT(A19,".",B19)</f>
        <v>PG10.1.1.5.2.A</v>
      </c>
      <c r="D19" t="s">
        <v>2036</v>
      </c>
      <c r="E19" s="18">
        <v>98</v>
      </c>
      <c r="F19" s="19" cm="1">
        <f t="array" aca="1" ref="F19" ca="1">SUMPRODUCT(SUMIF(INDIRECT("'"&amp;Assemblies[Assy]&amp;"'!"&amp;"C5:C1000"),C19,(INDIRECT("'"&amp;Assemblies[Assy]&amp;"'!"&amp;"O5:O1000"))))</f>
        <v>2</v>
      </c>
      <c r="G19" s="19">
        <v>2</v>
      </c>
      <c r="H19" s="19" t="str">
        <f ca="1">IF(F19&lt;=G19," ","YES")</f>
        <v xml:space="preserve"> </v>
      </c>
      <c r="I19">
        <v>2</v>
      </c>
      <c r="J19">
        <v>2</v>
      </c>
      <c r="L19">
        <v>2</v>
      </c>
      <c r="N19">
        <v>2</v>
      </c>
      <c r="O19" t="s">
        <v>2026</v>
      </c>
      <c r="P19" t="s">
        <v>2027</v>
      </c>
      <c r="R19" t="s">
        <v>1996</v>
      </c>
      <c r="T19" s="40">
        <v>45434</v>
      </c>
      <c r="U19" s="40">
        <v>45435</v>
      </c>
      <c r="V19" s="40">
        <v>45467</v>
      </c>
      <c r="W19" s="40">
        <v>45467</v>
      </c>
      <c r="X19" s="157">
        <v>55523</v>
      </c>
      <c r="Y19" s="40" t="str" cm="1">
        <f t="array" aca="1" ref="Y19" ca="1">TRIM(SUBSTITUTE(_xlfn.ARRAYTOTEXT(IFERROR(CONCATENATE(SUMIF(INDIRECT("'"&amp;Assemblies[Assy]&amp;"'!"&amp;"C$5:C1000"), $C19, INDIRECT("'"&amp;Assemblies[Assy]&amp;"'!"&amp;"O$5:O1000")), "x",Assemblies[Assy],".",IF(SUMIF(INDIRECT("'"&amp;Assemblies[Assy]&amp;"'!"&amp;"C$5:C1000"), $C19, INDIRECT("'"&amp;Assemblies[Assy]&amp;"'!"&amp;"A$5:A1000"))=0,NA(),SUMIF(INDIRECT("'"&amp;Assemblies[Assy]&amp;"'!"&amp;"C$5:C1000"), $C19, INDIRECT("'"&amp;Assemblies[Assy]&amp;"'!"&amp;"A$5:A1000")))),"")), " ,", ""))</f>
        <v>, 2x1.1.5.2,</v>
      </c>
      <c r="Z19" s="141">
        <v>0</v>
      </c>
      <c r="AA19" s="141">
        <v>0</v>
      </c>
      <c r="AB19" s="136">
        <v>0</v>
      </c>
      <c r="AC19" s="39">
        <v>0</v>
      </c>
      <c r="AD19" s="141" t="s">
        <v>1473</v>
      </c>
      <c r="AE19" s="296">
        <v>55546</v>
      </c>
      <c r="AF19" s="156"/>
      <c r="AG19"/>
    </row>
    <row r="20" spans="1:33" x14ac:dyDescent="0.25">
      <c r="A20" s="24" t="s">
        <v>2037</v>
      </c>
      <c r="B20" s="134" t="s">
        <v>56</v>
      </c>
      <c r="C20" t="str">
        <f>_xlfn.CONCAT(A20,".",B20)</f>
        <v>PG10.1.1.6.1.B</v>
      </c>
      <c r="D20" t="s">
        <v>2038</v>
      </c>
      <c r="E20" s="18">
        <v>139.30000000000001</v>
      </c>
      <c r="F20" s="19" cm="1">
        <f t="array" aca="1" ref="F20" ca="1">SUMPRODUCT(SUMIF(INDIRECT("'"&amp;Assemblies[Assy]&amp;"'!"&amp;"C5:C1000"),C20,(INDIRECT("'"&amp;Assemblies[Assy]&amp;"'!"&amp;"O5:O1000"))))</f>
        <v>2</v>
      </c>
      <c r="G20" s="19">
        <v>2</v>
      </c>
      <c r="H20" s="19" t="str">
        <f ca="1">IF(F20&lt;=G20," ","YES")</f>
        <v xml:space="preserve"> </v>
      </c>
      <c r="I20">
        <v>2</v>
      </c>
      <c r="J20">
        <v>2</v>
      </c>
      <c r="L20">
        <v>2</v>
      </c>
      <c r="N20">
        <v>2</v>
      </c>
      <c r="O20" t="s">
        <v>1986</v>
      </c>
      <c r="P20" t="s">
        <v>1987</v>
      </c>
      <c r="Q20" t="s">
        <v>1988</v>
      </c>
      <c r="R20" t="s">
        <v>1989</v>
      </c>
      <c r="T20" s="40">
        <v>45435</v>
      </c>
      <c r="U20" s="40">
        <v>45453</v>
      </c>
      <c r="V20" s="40">
        <v>45490</v>
      </c>
      <c r="W20" s="40">
        <v>45490</v>
      </c>
      <c r="X20" s="157">
        <v>55545</v>
      </c>
      <c r="Y20" s="40" t="str" cm="1">
        <f t="array" aca="1" ref="Y20" ca="1">TRIM(SUBSTITUTE(_xlfn.ARRAYTOTEXT(IFERROR(CONCATENATE(SUMIF(INDIRECT("'"&amp;Assemblies[Assy]&amp;"'!"&amp;"C$5:C1000"), $C20, INDIRECT("'"&amp;Assemblies[Assy]&amp;"'!"&amp;"O$5:O1000")), "x",Assemblies[Assy],".",IF(SUMIF(INDIRECT("'"&amp;Assemblies[Assy]&amp;"'!"&amp;"C$5:C1000"), $C20, INDIRECT("'"&amp;Assemblies[Assy]&amp;"'!"&amp;"A$5:A1000"))=0,NA(),SUMIF(INDIRECT("'"&amp;Assemblies[Assy]&amp;"'!"&amp;"C$5:C1000"), $C20, INDIRECT("'"&amp;Assemblies[Assy]&amp;"'!"&amp;"A$5:A1000")))),"")), " ,", ""))</f>
        <v>, 2x1.1.6.1,</v>
      </c>
      <c r="Z20" s="141">
        <v>0</v>
      </c>
      <c r="AA20" s="141">
        <v>0</v>
      </c>
      <c r="AB20" s="141">
        <v>0</v>
      </c>
      <c r="AC20" s="39">
        <v>0</v>
      </c>
      <c r="AD20" s="141" t="s">
        <v>1473</v>
      </c>
      <c r="AE20" s="296">
        <v>55597</v>
      </c>
      <c r="AF20" s="156"/>
      <c r="AG20"/>
    </row>
    <row r="21" spans="1:33" x14ac:dyDescent="0.25">
      <c r="A21" s="24" t="s">
        <v>2039</v>
      </c>
      <c r="B21" s="134" t="s">
        <v>56</v>
      </c>
      <c r="C21" t="str">
        <f>_xlfn.CONCAT(A21,".",B21)</f>
        <v>PG10.1.1.6.2.B</v>
      </c>
      <c r="D21" t="s">
        <v>2040</v>
      </c>
      <c r="E21" s="18">
        <v>97.3</v>
      </c>
      <c r="F21" s="19" cm="1">
        <f t="array" aca="1" ref="F21" ca="1">SUMPRODUCT(SUMIF(INDIRECT("'"&amp;Assemblies[Assy]&amp;"'!"&amp;"C5:C1000"),C21,(INDIRECT("'"&amp;Assemblies[Assy]&amp;"'!"&amp;"O5:O1000"))))</f>
        <v>2</v>
      </c>
      <c r="G21" s="19">
        <v>2</v>
      </c>
      <c r="H21" s="19" t="str">
        <f ca="1">IF(F21&lt;=G21," ","YES")</f>
        <v xml:space="preserve"> </v>
      </c>
      <c r="I21">
        <v>2</v>
      </c>
      <c r="J21">
        <v>2</v>
      </c>
      <c r="L21">
        <v>2</v>
      </c>
      <c r="N21">
        <v>2</v>
      </c>
      <c r="O21" t="s">
        <v>1986</v>
      </c>
      <c r="P21" t="s">
        <v>1987</v>
      </c>
      <c r="Q21" t="s">
        <v>1988</v>
      </c>
      <c r="R21" t="s">
        <v>1989</v>
      </c>
      <c r="T21" s="40">
        <v>45435</v>
      </c>
      <c r="U21" s="40">
        <v>45453</v>
      </c>
      <c r="V21" s="40">
        <v>45490</v>
      </c>
      <c r="W21" s="40">
        <v>45490</v>
      </c>
      <c r="X21" s="157">
        <v>55545</v>
      </c>
      <c r="Y21" s="40" t="str" cm="1">
        <f t="array" aca="1" ref="Y21" ca="1">TRIM(SUBSTITUTE(_xlfn.ARRAYTOTEXT(IFERROR(CONCATENATE(SUMIF(INDIRECT("'"&amp;Assemblies[Assy]&amp;"'!"&amp;"C$5:C1000"), $C21, INDIRECT("'"&amp;Assemblies[Assy]&amp;"'!"&amp;"O$5:O1000")), "x",Assemblies[Assy],".",IF(SUMIF(INDIRECT("'"&amp;Assemblies[Assy]&amp;"'!"&amp;"C$5:C1000"), $C21, INDIRECT("'"&amp;Assemblies[Assy]&amp;"'!"&amp;"A$5:A1000"))=0,NA(),SUMIF(INDIRECT("'"&amp;Assemblies[Assy]&amp;"'!"&amp;"C$5:C1000"), $C21, INDIRECT("'"&amp;Assemblies[Assy]&amp;"'!"&amp;"A$5:A1000")))),"")), " ,", ""))</f>
        <v>, 2x1.1.6.2,</v>
      </c>
      <c r="Z21" s="136">
        <v>0</v>
      </c>
      <c r="AA21" s="141">
        <v>0</v>
      </c>
      <c r="AB21" s="136">
        <v>0</v>
      </c>
      <c r="AC21" s="39">
        <v>0</v>
      </c>
      <c r="AD21" s="141" t="s">
        <v>1473</v>
      </c>
      <c r="AE21" s="296">
        <v>55597</v>
      </c>
      <c r="AF21" s="141"/>
      <c r="AG21"/>
    </row>
    <row r="22" spans="1:33" x14ac:dyDescent="0.25">
      <c r="A22" s="24" t="s">
        <v>2041</v>
      </c>
      <c r="B22" s="134" t="s">
        <v>54</v>
      </c>
      <c r="C22" t="str">
        <f>_xlfn.CONCAT(A22,".",B22)</f>
        <v>PG10.1.1.6.3.A</v>
      </c>
      <c r="D22" t="s">
        <v>2042</v>
      </c>
      <c r="E22" s="18">
        <v>115.85</v>
      </c>
      <c r="F22" s="19" cm="1">
        <f t="array" aca="1" ref="F22" ca="1">SUMPRODUCT(SUMIF(INDIRECT("'"&amp;Assemblies[Assy]&amp;"'!"&amp;"C5:C1000"),C22,(INDIRECT("'"&amp;Assemblies[Assy]&amp;"'!"&amp;"O5:O1000"))))</f>
        <v>2</v>
      </c>
      <c r="G22" s="19">
        <v>2</v>
      </c>
      <c r="H22" s="19" t="str">
        <f ca="1">IF(F22&lt;=G22," ","YES")</f>
        <v xml:space="preserve"> </v>
      </c>
      <c r="I22">
        <v>2</v>
      </c>
      <c r="J22">
        <v>2</v>
      </c>
      <c r="L22">
        <v>2</v>
      </c>
      <c r="N22">
        <v>2</v>
      </c>
      <c r="O22" t="s">
        <v>1986</v>
      </c>
      <c r="P22" t="s">
        <v>1987</v>
      </c>
      <c r="Q22" t="s">
        <v>1988</v>
      </c>
      <c r="R22" t="s">
        <v>1989</v>
      </c>
      <c r="T22" s="40">
        <v>45435</v>
      </c>
      <c r="U22" s="40">
        <v>45453</v>
      </c>
      <c r="V22" s="40">
        <v>45490</v>
      </c>
      <c r="W22" s="40">
        <v>45490</v>
      </c>
      <c r="X22" s="157">
        <v>55545</v>
      </c>
      <c r="Y22" s="40" t="str" cm="1">
        <f t="array" aca="1" ref="Y22" ca="1">TRIM(SUBSTITUTE(_xlfn.ARRAYTOTEXT(IFERROR(CONCATENATE(SUMIF(INDIRECT("'"&amp;Assemblies[Assy]&amp;"'!"&amp;"C$5:C1000"), $C22, INDIRECT("'"&amp;Assemblies[Assy]&amp;"'!"&amp;"O$5:O1000")), "x",Assemblies[Assy],".",IF(SUMIF(INDIRECT("'"&amp;Assemblies[Assy]&amp;"'!"&amp;"C$5:C1000"), $C22, INDIRECT("'"&amp;Assemblies[Assy]&amp;"'!"&amp;"A$5:A1000"))=0,NA(),SUMIF(INDIRECT("'"&amp;Assemblies[Assy]&amp;"'!"&amp;"C$5:C1000"), $C22, INDIRECT("'"&amp;Assemblies[Assy]&amp;"'!"&amp;"A$5:A1000")))),"")), " ,", ""))</f>
        <v>, 2x1.1.6.3,</v>
      </c>
      <c r="Z22" s="136">
        <v>0</v>
      </c>
      <c r="AA22" s="141">
        <v>0</v>
      </c>
      <c r="AB22" s="136">
        <v>0</v>
      </c>
      <c r="AC22" s="39">
        <v>0</v>
      </c>
      <c r="AD22" s="141"/>
      <c r="AE22" s="296">
        <v>55597</v>
      </c>
      <c r="AF22" s="141"/>
      <c r="AG22"/>
    </row>
    <row r="23" spans="1:33" x14ac:dyDescent="0.25">
      <c r="A23" s="24" t="s">
        <v>2043</v>
      </c>
      <c r="B23" s="134" t="s">
        <v>54</v>
      </c>
      <c r="C23" t="str">
        <f>_xlfn.CONCAT(A23,".",B23)</f>
        <v>PG10.1.1.7.1.A</v>
      </c>
      <c r="D23" t="s">
        <v>2044</v>
      </c>
      <c r="E23" s="18">
        <v>155</v>
      </c>
      <c r="F23" s="19" cm="1">
        <f t="array" aca="1" ref="F23" ca="1">SUMPRODUCT(SUMIF(INDIRECT("'"&amp;Assemblies[Assy]&amp;"'!"&amp;"C5:C1000"),C23,(INDIRECT("'"&amp;Assemblies[Assy]&amp;"'!"&amp;"O5:O1000"))))</f>
        <v>4</v>
      </c>
      <c r="G23" s="19">
        <v>4</v>
      </c>
      <c r="H23" s="19" t="str">
        <f ca="1">IF(F23&lt;=G23," ","YES")</f>
        <v xml:space="preserve"> </v>
      </c>
      <c r="I23">
        <v>4</v>
      </c>
      <c r="J23">
        <v>4</v>
      </c>
      <c r="L23">
        <v>4</v>
      </c>
      <c r="N23">
        <v>4</v>
      </c>
      <c r="O23" t="s">
        <v>1986</v>
      </c>
      <c r="P23" t="s">
        <v>1987</v>
      </c>
      <c r="R23" t="s">
        <v>1996</v>
      </c>
      <c r="T23" s="40">
        <v>45434</v>
      </c>
      <c r="U23" s="40">
        <v>45435</v>
      </c>
      <c r="V23" s="40">
        <v>45467</v>
      </c>
      <c r="W23" s="40">
        <v>45467</v>
      </c>
      <c r="X23" s="157">
        <v>55523</v>
      </c>
      <c r="Y23" s="40" t="str" cm="1">
        <f t="array" aca="1" ref="Y23" ca="1">TRIM(SUBSTITUTE(_xlfn.ARRAYTOTEXT(IFERROR(CONCATENATE(SUMIF(INDIRECT("'"&amp;Assemblies[Assy]&amp;"'!"&amp;"C$5:C1000"), $C23, INDIRECT("'"&amp;Assemblies[Assy]&amp;"'!"&amp;"O$5:O1000")), "x",Assemblies[Assy],".",IF(SUMIF(INDIRECT("'"&amp;Assemblies[Assy]&amp;"'!"&amp;"C$5:C1000"), $C23, INDIRECT("'"&amp;Assemblies[Assy]&amp;"'!"&amp;"A$5:A1000"))=0,NA(),SUMIF(INDIRECT("'"&amp;Assemblies[Assy]&amp;"'!"&amp;"C$5:C1000"), $C23, INDIRECT("'"&amp;Assemblies[Assy]&amp;"'!"&amp;"A$5:A1000")))),"")), " ,", ""))</f>
        <v>, 4x1.1.7.1,</v>
      </c>
      <c r="Z23" s="136">
        <v>0</v>
      </c>
      <c r="AA23" s="141">
        <v>0</v>
      </c>
      <c r="AB23" s="136">
        <v>0</v>
      </c>
      <c r="AC23" s="39">
        <v>0</v>
      </c>
      <c r="AD23" s="141" t="s">
        <v>1473</v>
      </c>
      <c r="AE23" s="296">
        <v>55547</v>
      </c>
      <c r="AF23" s="156"/>
      <c r="AG23"/>
    </row>
    <row r="24" spans="1:33" x14ac:dyDescent="0.25">
      <c r="A24" s="24" t="s">
        <v>2045</v>
      </c>
      <c r="B24" s="134" t="s">
        <v>54</v>
      </c>
      <c r="C24" t="str">
        <f>_xlfn.CONCAT(A24,".",B24)</f>
        <v>PG10.1.1.7.2.A</v>
      </c>
      <c r="D24" t="s">
        <v>2046</v>
      </c>
      <c r="E24" s="18">
        <v>88.2</v>
      </c>
      <c r="F24" s="19" cm="1">
        <f t="array" aca="1" ref="F24" ca="1">SUMPRODUCT(SUMIF(INDIRECT("'"&amp;Assemblies[Assy]&amp;"'!"&amp;"C5:C1000"),C24,(INDIRECT("'"&amp;Assemblies[Assy]&amp;"'!"&amp;"O5:O1000"))))</f>
        <v>4</v>
      </c>
      <c r="G24" s="19">
        <v>4</v>
      </c>
      <c r="H24" s="19" t="str">
        <f ca="1">IF(F24&lt;=G24," ","YES")</f>
        <v xml:space="preserve"> </v>
      </c>
      <c r="I24">
        <v>4</v>
      </c>
      <c r="J24">
        <v>4</v>
      </c>
      <c r="L24">
        <v>4</v>
      </c>
      <c r="N24">
        <v>4</v>
      </c>
      <c r="O24" t="s">
        <v>2026</v>
      </c>
      <c r="P24" t="s">
        <v>2027</v>
      </c>
      <c r="R24" t="s">
        <v>2047</v>
      </c>
      <c r="T24" s="40">
        <v>45461</v>
      </c>
      <c r="U24" s="40">
        <v>45467</v>
      </c>
      <c r="V24" s="40">
        <v>45504</v>
      </c>
      <c r="W24" s="40">
        <v>45504</v>
      </c>
      <c r="X24" s="157">
        <v>55569</v>
      </c>
      <c r="Y24" s="40" t="str" cm="1">
        <f t="array" aca="1" ref="Y24" ca="1">TRIM(SUBSTITUTE(_xlfn.ARRAYTOTEXT(IFERROR(CONCATENATE(SUMIF(INDIRECT("'"&amp;Assemblies[Assy]&amp;"'!"&amp;"C$5:C1000"), $C24, INDIRECT("'"&amp;Assemblies[Assy]&amp;"'!"&amp;"O$5:O1000")), "x",Assemblies[Assy],".",IF(SUMIF(INDIRECT("'"&amp;Assemblies[Assy]&amp;"'!"&amp;"C$5:C1000"), $C24, INDIRECT("'"&amp;Assemblies[Assy]&amp;"'!"&amp;"A$5:A1000"))=0,NA(),SUMIF(INDIRECT("'"&amp;Assemblies[Assy]&amp;"'!"&amp;"C$5:C1000"), $C24, INDIRECT("'"&amp;Assemblies[Assy]&amp;"'!"&amp;"A$5:A1000")))),"")), " ,", ""))</f>
        <v>, 4x1.1.7.2,</v>
      </c>
      <c r="Z24" s="136">
        <v>0</v>
      </c>
      <c r="AA24" s="141">
        <v>0</v>
      </c>
      <c r="AB24" s="136">
        <v>0</v>
      </c>
      <c r="AC24" s="39">
        <v>0</v>
      </c>
      <c r="AD24" s="141" t="s">
        <v>1473</v>
      </c>
      <c r="AE24" s="296">
        <v>55618</v>
      </c>
      <c r="AF24" s="156"/>
      <c r="AG24"/>
    </row>
    <row r="25" spans="1:33" x14ac:dyDescent="0.25">
      <c r="A25" s="24" t="s">
        <v>2048</v>
      </c>
      <c r="B25" s="134" t="s">
        <v>54</v>
      </c>
      <c r="C25" t="str">
        <f>_xlfn.CONCAT(A25,".",B25)</f>
        <v>PG10.1.1.8.1.A</v>
      </c>
      <c r="D25" t="s">
        <v>2049</v>
      </c>
      <c r="E25" s="18">
        <v>210</v>
      </c>
      <c r="F25" s="19" cm="1">
        <f t="array" aca="1" ref="F25" ca="1">SUMPRODUCT(SUMIF(INDIRECT("'"&amp;Assemblies[Assy]&amp;"'!"&amp;"C5:C1000"),C25,(INDIRECT("'"&amp;Assemblies[Assy]&amp;"'!"&amp;"O5:O1000"))))</f>
        <v>4</v>
      </c>
      <c r="G25" s="19">
        <v>4</v>
      </c>
      <c r="H25" s="19" t="str">
        <f ca="1">IF(F25&lt;=G25," ","YES")</f>
        <v xml:space="preserve"> </v>
      </c>
      <c r="I25">
        <v>4</v>
      </c>
      <c r="J25">
        <v>4</v>
      </c>
      <c r="L25">
        <v>4</v>
      </c>
      <c r="N25">
        <v>4</v>
      </c>
      <c r="O25" t="s">
        <v>1986</v>
      </c>
      <c r="P25" t="s">
        <v>1987</v>
      </c>
      <c r="Q25" t="s">
        <v>1988</v>
      </c>
      <c r="R25" t="s">
        <v>1996</v>
      </c>
      <c r="T25" s="40">
        <v>45434</v>
      </c>
      <c r="U25" s="40">
        <v>45435</v>
      </c>
      <c r="V25" s="40">
        <v>45467</v>
      </c>
      <c r="W25" s="40">
        <v>45467</v>
      </c>
      <c r="X25" s="157">
        <v>55523</v>
      </c>
      <c r="Y25" s="40" t="str" cm="1">
        <f t="array" aca="1" ref="Y25" ca="1">TRIM(SUBSTITUTE(_xlfn.ARRAYTOTEXT(IFERROR(CONCATENATE(SUMIF(INDIRECT("'"&amp;Assemblies[Assy]&amp;"'!"&amp;"C$5:C1000"), $C25, INDIRECT("'"&amp;Assemblies[Assy]&amp;"'!"&amp;"O$5:O1000")), "x",Assemblies[Assy],".",IF(SUMIF(INDIRECT("'"&amp;Assemblies[Assy]&amp;"'!"&amp;"C$5:C1000"), $C25, INDIRECT("'"&amp;Assemblies[Assy]&amp;"'!"&amp;"A$5:A1000"))=0,NA(),SUMIF(INDIRECT("'"&amp;Assemblies[Assy]&amp;"'!"&amp;"C$5:C1000"), $C25, INDIRECT("'"&amp;Assemblies[Assy]&amp;"'!"&amp;"A$5:A1000")))),"")), " ,", ""))</f>
        <v>, 4x1.1.8.1,</v>
      </c>
      <c r="Z25" s="136">
        <v>0</v>
      </c>
      <c r="AA25" s="141">
        <v>0</v>
      </c>
      <c r="AB25" s="136">
        <v>0</v>
      </c>
      <c r="AC25" s="39">
        <v>0</v>
      </c>
      <c r="AD25" s="141" t="s">
        <v>1473</v>
      </c>
      <c r="AE25" s="296">
        <v>55547</v>
      </c>
      <c r="AF25" s="141"/>
      <c r="AG25"/>
    </row>
    <row r="26" spans="1:33" x14ac:dyDescent="0.25">
      <c r="A26" s="24" t="s">
        <v>2050</v>
      </c>
      <c r="B26" s="134" t="s">
        <v>54</v>
      </c>
      <c r="C26" t="str">
        <f>_xlfn.CONCAT(A26,".",B26)</f>
        <v>PG10.1.1.8.2.A</v>
      </c>
      <c r="D26" t="s">
        <v>2051</v>
      </c>
      <c r="E26" s="18">
        <v>65</v>
      </c>
      <c r="F26" s="19" cm="1">
        <f t="array" aca="1" ref="F26" ca="1">SUMPRODUCT(SUMIF(INDIRECT("'"&amp;Assemblies[Assy]&amp;"'!"&amp;"C5:C1000"),C26,(INDIRECT("'"&amp;Assemblies[Assy]&amp;"'!"&amp;"O5:O1000"))))</f>
        <v>4</v>
      </c>
      <c r="G26" s="19">
        <v>4</v>
      </c>
      <c r="H26" s="19" t="str">
        <f ca="1">IF(F26&lt;=G26," ","YES")</f>
        <v xml:space="preserve"> </v>
      </c>
      <c r="I26">
        <v>4</v>
      </c>
      <c r="J26">
        <v>4</v>
      </c>
      <c r="L26">
        <v>4</v>
      </c>
      <c r="N26">
        <v>4</v>
      </c>
      <c r="O26" t="s">
        <v>2026</v>
      </c>
      <c r="P26" t="s">
        <v>2027</v>
      </c>
      <c r="Q26" t="s">
        <v>2052</v>
      </c>
      <c r="R26" t="s">
        <v>1996</v>
      </c>
      <c r="T26" s="40">
        <v>45434</v>
      </c>
      <c r="U26" s="40">
        <v>45435</v>
      </c>
      <c r="V26" s="40">
        <v>45467</v>
      </c>
      <c r="W26" s="40">
        <v>45467</v>
      </c>
      <c r="X26" s="157">
        <v>55523</v>
      </c>
      <c r="Y26" s="40" t="str" cm="1">
        <f t="array" aca="1" ref="Y26" ca="1">TRIM(SUBSTITUTE(_xlfn.ARRAYTOTEXT(IFERROR(CONCATENATE(SUMIF(INDIRECT("'"&amp;Assemblies[Assy]&amp;"'!"&amp;"C$5:C1000"), $C26, INDIRECT("'"&amp;Assemblies[Assy]&amp;"'!"&amp;"O$5:O1000")), "x",Assemblies[Assy],".",IF(SUMIF(INDIRECT("'"&amp;Assemblies[Assy]&amp;"'!"&amp;"C$5:C1000"), $C26, INDIRECT("'"&amp;Assemblies[Assy]&amp;"'!"&amp;"A$5:A1000"))=0,NA(),SUMIF(INDIRECT("'"&amp;Assemblies[Assy]&amp;"'!"&amp;"C$5:C1000"), $C26, INDIRECT("'"&amp;Assemblies[Assy]&amp;"'!"&amp;"A$5:A1000")))),"")), " ,", ""))</f>
        <v>, 4x1.1.8.2,</v>
      </c>
      <c r="Z26" s="141">
        <v>0</v>
      </c>
      <c r="AA26" s="141">
        <v>0</v>
      </c>
      <c r="AB26" s="136">
        <v>0</v>
      </c>
      <c r="AC26" s="39">
        <v>0</v>
      </c>
      <c r="AD26" s="141" t="s">
        <v>1473</v>
      </c>
      <c r="AE26" s="296">
        <v>55546</v>
      </c>
      <c r="AF26" s="141"/>
      <c r="AG26"/>
    </row>
    <row r="27" spans="1:33" x14ac:dyDescent="0.25">
      <c r="A27" s="24" t="s">
        <v>2053</v>
      </c>
      <c r="B27" s="134" t="s">
        <v>54</v>
      </c>
      <c r="C27" t="str">
        <f>_xlfn.CONCAT(A27,".",B27)</f>
        <v>PG10.1.1.8.3.A</v>
      </c>
      <c r="D27" t="s">
        <v>2054</v>
      </c>
      <c r="E27" s="18">
        <v>185</v>
      </c>
      <c r="F27" s="19" cm="1">
        <f t="array" aca="1" ref="F27" ca="1">SUMPRODUCT(SUMIF(INDIRECT("'"&amp;Assemblies[Assy]&amp;"'!"&amp;"C5:C1000"),C27,(INDIRECT("'"&amp;Assemblies[Assy]&amp;"'!"&amp;"O5:O1000"))))</f>
        <v>4</v>
      </c>
      <c r="G27" s="19">
        <v>4</v>
      </c>
      <c r="H27" s="19" t="str">
        <f ca="1">IF(F27&lt;=G27," ","YES")</f>
        <v xml:space="preserve"> </v>
      </c>
      <c r="I27">
        <v>4</v>
      </c>
      <c r="J27">
        <v>4</v>
      </c>
      <c r="L27">
        <v>4</v>
      </c>
      <c r="N27">
        <v>4</v>
      </c>
      <c r="O27" t="s">
        <v>1986</v>
      </c>
      <c r="P27" t="s">
        <v>1987</v>
      </c>
      <c r="Q27" t="s">
        <v>1988</v>
      </c>
      <c r="R27" t="s">
        <v>1996</v>
      </c>
      <c r="T27" s="40">
        <v>45434</v>
      </c>
      <c r="U27" s="40">
        <v>45435</v>
      </c>
      <c r="V27" s="40">
        <v>45467</v>
      </c>
      <c r="W27" s="40">
        <v>45467</v>
      </c>
      <c r="X27" s="157">
        <v>55523</v>
      </c>
      <c r="Y27" s="40" t="str" cm="1">
        <f t="array" aca="1" ref="Y27" ca="1">TRIM(SUBSTITUTE(_xlfn.ARRAYTOTEXT(IFERROR(CONCATENATE(SUMIF(INDIRECT("'"&amp;Assemblies[Assy]&amp;"'!"&amp;"C$5:C1000"), $C27, INDIRECT("'"&amp;Assemblies[Assy]&amp;"'!"&amp;"O$5:O1000")), "x",Assemblies[Assy],".",IF(SUMIF(INDIRECT("'"&amp;Assemblies[Assy]&amp;"'!"&amp;"C$5:C1000"), $C27, INDIRECT("'"&amp;Assemblies[Assy]&amp;"'!"&amp;"A$5:A1000"))=0,NA(),SUMIF(INDIRECT("'"&amp;Assemblies[Assy]&amp;"'!"&amp;"C$5:C1000"), $C27, INDIRECT("'"&amp;Assemblies[Assy]&amp;"'!"&amp;"A$5:A1000")))),"")), " ,", ""))</f>
        <v>, 4x1.1.8.3,</v>
      </c>
      <c r="Z27" s="141">
        <v>0</v>
      </c>
      <c r="AA27" s="141">
        <v>0</v>
      </c>
      <c r="AB27" s="136">
        <v>0</v>
      </c>
      <c r="AC27" s="39">
        <v>0</v>
      </c>
      <c r="AD27" s="141" t="s">
        <v>1473</v>
      </c>
      <c r="AE27" s="296">
        <v>55547</v>
      </c>
      <c r="AF27" s="141"/>
      <c r="AG27"/>
    </row>
    <row r="28" spans="1:33" x14ac:dyDescent="0.25">
      <c r="A28" s="24" t="s">
        <v>2055</v>
      </c>
      <c r="B28" s="134" t="s">
        <v>54</v>
      </c>
      <c r="C28" t="str">
        <f>_xlfn.CONCAT(A28,".",B28)</f>
        <v>PG10.1.1.8.4.A</v>
      </c>
      <c r="D28" t="s">
        <v>2056</v>
      </c>
      <c r="E28" s="18">
        <f>Z28+AA28+AB28+(65*AC28)</f>
        <v>0</v>
      </c>
      <c r="F28" s="19" cm="1">
        <f t="array" aca="1" ref="F28" ca="1">SUMPRODUCT(SUMIF(INDIRECT("'"&amp;Assemblies[Assy]&amp;"'!"&amp;"C5:C1000"),C28,(INDIRECT("'"&amp;Assemblies[Assy]&amp;"'!"&amp;"O5:O1000"))))</f>
        <v>2</v>
      </c>
      <c r="G28" s="19">
        <v>2</v>
      </c>
      <c r="H28" s="19" t="str">
        <f ca="1">IF(F28&lt;=G28," ","YES")</f>
        <v xml:space="preserve"> </v>
      </c>
      <c r="I28">
        <v>2</v>
      </c>
      <c r="J28">
        <v>2</v>
      </c>
      <c r="L28">
        <v>2</v>
      </c>
      <c r="N28">
        <v>2</v>
      </c>
      <c r="O28" t="s">
        <v>2017</v>
      </c>
      <c r="P28" t="s">
        <v>1993</v>
      </c>
      <c r="R28" t="s">
        <v>1988</v>
      </c>
      <c r="S28" t="s">
        <v>2018</v>
      </c>
      <c r="V28" s="40">
        <v>45520</v>
      </c>
      <c r="X28" s="157">
        <v>55555</v>
      </c>
      <c r="Y28" s="40" t="str" cm="1">
        <f t="array" aca="1" ref="Y28" ca="1">TRIM(SUBSTITUTE(_xlfn.ARRAYTOTEXT(IFERROR(CONCATENATE(SUMIF(INDIRECT("'"&amp;Assemblies[Assy]&amp;"'!"&amp;"C$5:C1000"), $C28, INDIRECT("'"&amp;Assemblies[Assy]&amp;"'!"&amp;"O$5:O1000")), "x",Assemblies[Assy],".",IF(SUMIF(INDIRECT("'"&amp;Assemblies[Assy]&amp;"'!"&amp;"C$5:C1000"), $C28, INDIRECT("'"&amp;Assemblies[Assy]&amp;"'!"&amp;"A$5:A1000"))=0,NA(),SUMIF(INDIRECT("'"&amp;Assemblies[Assy]&amp;"'!"&amp;"C$5:C1000"), $C28, INDIRECT("'"&amp;Assemblies[Assy]&amp;"'!"&amp;"A$5:A1000")))),"")), " ,", ""))</f>
        <v>, 2x1.1.8.4,</v>
      </c>
      <c r="Z28" s="141">
        <v>0</v>
      </c>
      <c r="AA28" s="141">
        <v>0</v>
      </c>
      <c r="AB28" s="141">
        <v>0</v>
      </c>
      <c r="AC28" s="39">
        <v>0</v>
      </c>
      <c r="AD28" s="141" t="s">
        <v>1473</v>
      </c>
      <c r="AE28" s="296"/>
      <c r="AF28" s="141"/>
      <c r="AG28"/>
    </row>
    <row r="29" spans="1:33" x14ac:dyDescent="0.25">
      <c r="A29" s="24" t="s">
        <v>2057</v>
      </c>
      <c r="B29" s="134" t="s">
        <v>54</v>
      </c>
      <c r="C29" t="str">
        <f>_xlfn.CONCAT(A29,".",B29)</f>
        <v>PG10.1.1.8.5.A</v>
      </c>
      <c r="D29" t="s">
        <v>2058</v>
      </c>
      <c r="E29" s="18">
        <v>42.75</v>
      </c>
      <c r="F29" s="19" cm="1">
        <f t="array" aca="1" ref="F29" ca="1">SUMPRODUCT(SUMIF(INDIRECT("'"&amp;Assemblies[Assy]&amp;"'!"&amp;"C5:C1000"),C29,(INDIRECT("'"&amp;Assemblies[Assy]&amp;"'!"&amp;"O5:O1000"))))</f>
        <v>4</v>
      </c>
      <c r="G29" s="19">
        <v>4</v>
      </c>
      <c r="H29" s="19" t="str">
        <f ca="1">IF(F29&lt;=G29," ","YES")</f>
        <v xml:space="preserve"> </v>
      </c>
      <c r="I29">
        <v>4</v>
      </c>
      <c r="J29">
        <v>4</v>
      </c>
      <c r="L29">
        <v>4</v>
      </c>
      <c r="N29">
        <v>4</v>
      </c>
      <c r="O29" t="s">
        <v>1986</v>
      </c>
      <c r="P29" t="s">
        <v>1987</v>
      </c>
      <c r="Q29" t="s">
        <v>1988</v>
      </c>
      <c r="R29" t="s">
        <v>1989</v>
      </c>
      <c r="T29" s="40">
        <v>45435</v>
      </c>
      <c r="U29" s="40">
        <v>45446</v>
      </c>
      <c r="V29" s="40">
        <v>45481</v>
      </c>
      <c r="W29" s="40">
        <v>45481</v>
      </c>
      <c r="X29" s="157">
        <v>55532</v>
      </c>
      <c r="Y29" s="40" t="str" cm="1">
        <f t="array" aca="1" ref="Y29" ca="1">TRIM(SUBSTITUTE(_xlfn.ARRAYTOTEXT(IFERROR(CONCATENATE(SUMIF(INDIRECT("'"&amp;Assemblies[Assy]&amp;"'!"&amp;"C$5:C1000"), $C29, INDIRECT("'"&amp;Assemblies[Assy]&amp;"'!"&amp;"O$5:O1000")), "x",Assemblies[Assy],".",IF(SUMIF(INDIRECT("'"&amp;Assemblies[Assy]&amp;"'!"&amp;"C$5:C1000"), $C29, INDIRECT("'"&amp;Assemblies[Assy]&amp;"'!"&amp;"A$5:A1000"))=0,NA(),SUMIF(INDIRECT("'"&amp;Assemblies[Assy]&amp;"'!"&amp;"C$5:C1000"), $C29, INDIRECT("'"&amp;Assemblies[Assy]&amp;"'!"&amp;"A$5:A1000")))),"")), " ,", ""))</f>
        <v>, 4x1.1.8.5,</v>
      </c>
      <c r="Z29" s="136">
        <v>0</v>
      </c>
      <c r="AA29" s="141">
        <v>0</v>
      </c>
      <c r="AB29" s="136">
        <v>0</v>
      </c>
      <c r="AC29" s="39">
        <v>0</v>
      </c>
      <c r="AD29" s="141" t="s">
        <v>1473</v>
      </c>
      <c r="AE29" s="296">
        <v>55597</v>
      </c>
      <c r="AF29" s="141"/>
      <c r="AG29"/>
    </row>
    <row r="30" spans="1:33" x14ac:dyDescent="0.25">
      <c r="A30" s="24" t="s">
        <v>2059</v>
      </c>
      <c r="B30" s="134" t="s">
        <v>54</v>
      </c>
      <c r="C30" t="str">
        <f>_xlfn.CONCAT(A30,".",B30)</f>
        <v>PG10.1.1.8.6.A</v>
      </c>
      <c r="D30" t="s">
        <v>2060</v>
      </c>
      <c r="E30" s="18">
        <v>56.25</v>
      </c>
      <c r="F30" s="19" cm="1">
        <f t="array" aca="1" ref="F30" ca="1">SUMPRODUCT(SUMIF(INDIRECT("'"&amp;Assemblies[Assy]&amp;"'!"&amp;"C5:C1000"),C30,(INDIRECT("'"&amp;Assemblies[Assy]&amp;"'!"&amp;"O5:O1000"))))</f>
        <v>4</v>
      </c>
      <c r="G30" s="19">
        <v>4</v>
      </c>
      <c r="H30" s="19" t="str">
        <f ca="1">IF(F30&lt;=G30," ","YES")</f>
        <v xml:space="preserve"> </v>
      </c>
      <c r="I30">
        <v>4</v>
      </c>
      <c r="J30">
        <v>4</v>
      </c>
      <c r="L30">
        <v>4</v>
      </c>
      <c r="N30">
        <v>4</v>
      </c>
      <c r="O30" t="s">
        <v>2026</v>
      </c>
      <c r="P30" t="s">
        <v>2027</v>
      </c>
      <c r="Q30" t="s">
        <v>1988</v>
      </c>
      <c r="R30" t="s">
        <v>1989</v>
      </c>
      <c r="T30" s="40">
        <v>45435</v>
      </c>
      <c r="U30" s="40">
        <v>45446</v>
      </c>
      <c r="V30" s="40">
        <v>45481</v>
      </c>
      <c r="W30" s="40">
        <v>45481</v>
      </c>
      <c r="X30" s="157">
        <v>55532</v>
      </c>
      <c r="Y30" s="40" t="str" cm="1">
        <f t="array" aca="1" ref="Y30" ca="1">TRIM(SUBSTITUTE(_xlfn.ARRAYTOTEXT(IFERROR(CONCATENATE(SUMIF(INDIRECT("'"&amp;Assemblies[Assy]&amp;"'!"&amp;"C$5:C1000"), $C30, INDIRECT("'"&amp;Assemblies[Assy]&amp;"'!"&amp;"O$5:O1000")), "x",Assemblies[Assy],".",IF(SUMIF(INDIRECT("'"&amp;Assemblies[Assy]&amp;"'!"&amp;"C$5:C1000"), $C30, INDIRECT("'"&amp;Assemblies[Assy]&amp;"'!"&amp;"A$5:A1000"))=0,NA(),SUMIF(INDIRECT("'"&amp;Assemblies[Assy]&amp;"'!"&amp;"C$5:C1000"), $C30, INDIRECT("'"&amp;Assemblies[Assy]&amp;"'!"&amp;"A$5:A1000")))),"")), " ,", ""))</f>
        <v>, 4x1.1.8.6,</v>
      </c>
      <c r="Z30" s="136">
        <v>0</v>
      </c>
      <c r="AA30" s="141">
        <v>0</v>
      </c>
      <c r="AB30" s="136">
        <v>0</v>
      </c>
      <c r="AC30" s="39">
        <v>0</v>
      </c>
      <c r="AD30" s="141" t="s">
        <v>1473</v>
      </c>
      <c r="AE30" s="296">
        <v>55598</v>
      </c>
      <c r="AF30" s="141"/>
      <c r="AG30"/>
    </row>
    <row r="31" spans="1:33" x14ac:dyDescent="0.25">
      <c r="A31" s="24" t="s">
        <v>2061</v>
      </c>
      <c r="B31" s="134" t="s">
        <v>54</v>
      </c>
      <c r="C31" t="str">
        <f>_xlfn.CONCAT(A31,".",B31)</f>
        <v>PG10.1.1.8.7.A</v>
      </c>
      <c r="D31" t="s">
        <v>2062</v>
      </c>
      <c r="E31" s="18">
        <f>Z31+AA31+AB31+(65*AC31)</f>
        <v>0</v>
      </c>
      <c r="F31" s="19" cm="1">
        <f t="array" aca="1" ref="F31" ca="1">SUMPRODUCT(SUMIF(INDIRECT("'"&amp;Assemblies[Assy]&amp;"'!"&amp;"C5:C1000"),C31,(INDIRECT("'"&amp;Assemblies[Assy]&amp;"'!"&amp;"O5:O1000"))))</f>
        <v>6</v>
      </c>
      <c r="G31" s="19">
        <v>6</v>
      </c>
      <c r="H31" s="19" t="str">
        <f ca="1">IF(F31&lt;=G31," ","YES")</f>
        <v xml:space="preserve"> </v>
      </c>
      <c r="I31">
        <v>6</v>
      </c>
      <c r="J31">
        <v>6</v>
      </c>
      <c r="L31">
        <v>6</v>
      </c>
      <c r="N31">
        <v>6</v>
      </c>
      <c r="O31" t="s">
        <v>2017</v>
      </c>
      <c r="P31" t="s">
        <v>1993</v>
      </c>
      <c r="R31" t="s">
        <v>1988</v>
      </c>
      <c r="S31" t="s">
        <v>2018</v>
      </c>
      <c r="V31" s="40">
        <v>45520</v>
      </c>
      <c r="X31" s="157">
        <v>55555</v>
      </c>
      <c r="Y31" s="40" t="str" cm="1">
        <f t="array" aca="1" ref="Y31" ca="1">TRIM(SUBSTITUTE(_xlfn.ARRAYTOTEXT(IFERROR(CONCATENATE(SUMIF(INDIRECT("'"&amp;Assemblies[Assy]&amp;"'!"&amp;"C$5:C1000"), $C31, INDIRECT("'"&amp;Assemblies[Assy]&amp;"'!"&amp;"O$5:O1000")), "x",Assemblies[Assy],".",IF(SUMIF(INDIRECT("'"&amp;Assemblies[Assy]&amp;"'!"&amp;"C$5:C1000"), $C31, INDIRECT("'"&amp;Assemblies[Assy]&amp;"'!"&amp;"A$5:A1000"))=0,NA(),SUMIF(INDIRECT("'"&amp;Assemblies[Assy]&amp;"'!"&amp;"C$5:C1000"), $C31, INDIRECT("'"&amp;Assemblies[Assy]&amp;"'!"&amp;"A$5:A1000")))),"")), " ,", ""))</f>
        <v>, 6x1.1.8.7,</v>
      </c>
      <c r="Z31" s="136">
        <v>0</v>
      </c>
      <c r="AA31" s="141">
        <v>0</v>
      </c>
      <c r="AB31" s="136">
        <v>0</v>
      </c>
      <c r="AC31" s="39">
        <v>0</v>
      </c>
      <c r="AD31" s="141" t="s">
        <v>1473</v>
      </c>
      <c r="AE31" s="296"/>
      <c r="AF31" s="156"/>
      <c r="AG31"/>
    </row>
    <row r="32" spans="1:33" x14ac:dyDescent="0.25">
      <c r="A32" s="24" t="s">
        <v>2063</v>
      </c>
      <c r="B32" s="134" t="s">
        <v>54</v>
      </c>
      <c r="C32" t="str">
        <f>_xlfn.CONCAT(A32,".",B32)</f>
        <v>PG10.1.2.1.1.A</v>
      </c>
      <c r="D32" t="s">
        <v>2064</v>
      </c>
      <c r="E32" s="18">
        <v>60.85</v>
      </c>
      <c r="F32" s="19" cm="1">
        <f t="array" aca="1" ref="F32" ca="1">SUMPRODUCT(SUMIF(INDIRECT("'"&amp;Assemblies[Assy]&amp;"'!"&amp;"C5:C1000"),C32,(INDIRECT("'"&amp;Assemblies[Assy]&amp;"'!"&amp;"O5:O1000"))))</f>
        <v>4</v>
      </c>
      <c r="G32" s="19">
        <v>4</v>
      </c>
      <c r="H32" s="19" t="str">
        <f ca="1">IF(F32&lt;=G32," ","YES")</f>
        <v xml:space="preserve"> </v>
      </c>
      <c r="I32">
        <v>4</v>
      </c>
      <c r="J32">
        <v>4</v>
      </c>
      <c r="L32">
        <v>4</v>
      </c>
      <c r="N32">
        <v>4</v>
      </c>
      <c r="O32" t="s">
        <v>1986</v>
      </c>
      <c r="P32" t="s">
        <v>1987</v>
      </c>
      <c r="Q32" t="s">
        <v>1988</v>
      </c>
      <c r="R32" t="s">
        <v>1989</v>
      </c>
      <c r="T32" s="40">
        <v>45435</v>
      </c>
      <c r="U32" s="40">
        <v>45446</v>
      </c>
      <c r="V32" s="40">
        <v>45481</v>
      </c>
      <c r="W32" s="40">
        <v>45481</v>
      </c>
      <c r="X32" s="157">
        <v>55532</v>
      </c>
      <c r="Y32" s="40" t="str" cm="1">
        <f t="array" aca="1" ref="Y32" ca="1">TRIM(SUBSTITUTE(_xlfn.ARRAYTOTEXT(IFERROR(CONCATENATE(SUMIF(INDIRECT("'"&amp;Assemblies[Assy]&amp;"'!"&amp;"C$5:C1000"), $C32, INDIRECT("'"&amp;Assemblies[Assy]&amp;"'!"&amp;"O$5:O1000")), "x",Assemblies[Assy],".",IF(SUMIF(INDIRECT("'"&amp;Assemblies[Assy]&amp;"'!"&amp;"C$5:C1000"), $C32, INDIRECT("'"&amp;Assemblies[Assy]&amp;"'!"&amp;"A$5:A1000"))=0,NA(),SUMIF(INDIRECT("'"&amp;Assemblies[Assy]&amp;"'!"&amp;"C$5:C1000"), $C32, INDIRECT("'"&amp;Assemblies[Assy]&amp;"'!"&amp;"A$5:A1000")))),"")), " ,", ""))</f>
        <v>, 4x1.2.1.1,</v>
      </c>
      <c r="Z32" s="141">
        <v>0</v>
      </c>
      <c r="AA32" s="141">
        <v>0</v>
      </c>
      <c r="AB32" s="136">
        <v>0</v>
      </c>
      <c r="AC32" s="39">
        <v>0</v>
      </c>
      <c r="AD32" s="141" t="s">
        <v>1473</v>
      </c>
      <c r="AE32" s="296">
        <v>55597</v>
      </c>
      <c r="AF32" s="156"/>
      <c r="AG32"/>
    </row>
    <row r="33" spans="1:33" x14ac:dyDescent="0.25">
      <c r="A33" s="24" t="s">
        <v>2065</v>
      </c>
      <c r="B33" s="134" t="s">
        <v>54</v>
      </c>
      <c r="C33" t="str">
        <f>_xlfn.CONCAT(A33,".",B33)</f>
        <v>PG10.1.2.1.A</v>
      </c>
      <c r="D33" t="s">
        <v>2066</v>
      </c>
      <c r="E33" s="18">
        <v>1710.53</v>
      </c>
      <c r="F33" s="19" cm="1">
        <f t="array" aca="1" ref="F33" ca="1">SUMPRODUCT(SUMIF(INDIRECT("'"&amp;Assemblies[Assy]&amp;"'!"&amp;"C5:C1000"),C33,(INDIRECT("'"&amp;Assemblies[Assy]&amp;"'!"&amp;"O5:O1000"))))</f>
        <v>2</v>
      </c>
      <c r="G33" s="19">
        <v>2</v>
      </c>
      <c r="H33" s="19" t="str">
        <f ca="1">IF(F33&lt;=G33," ","YES")</f>
        <v xml:space="preserve"> </v>
      </c>
      <c r="I33">
        <v>2</v>
      </c>
      <c r="J33">
        <v>2</v>
      </c>
      <c r="L33">
        <v>2</v>
      </c>
      <c r="N33">
        <v>2</v>
      </c>
      <c r="O33" t="s">
        <v>2067</v>
      </c>
      <c r="P33" t="s">
        <v>1987</v>
      </c>
      <c r="Q33" t="s">
        <v>1988</v>
      </c>
      <c r="R33" t="s">
        <v>2068</v>
      </c>
      <c r="T33" s="40">
        <v>45435</v>
      </c>
      <c r="U33" s="40">
        <v>45448</v>
      </c>
      <c r="V33" s="40">
        <v>45504</v>
      </c>
      <c r="W33" s="40">
        <v>45504</v>
      </c>
      <c r="X33" s="157">
        <v>55540</v>
      </c>
      <c r="Y33" s="40" t="str" cm="1">
        <f t="array" aca="1" ref="Y33" ca="1">TRIM(SUBSTITUTE(_xlfn.ARRAYTOTEXT(IFERROR(CONCATENATE(SUMIF(INDIRECT("'"&amp;Assemblies[Assy]&amp;"'!"&amp;"C$5:C1000"), $C33, INDIRECT("'"&amp;Assemblies[Assy]&amp;"'!"&amp;"O$5:O1000")), "x",Assemblies[Assy],".",IF(SUMIF(INDIRECT("'"&amp;Assemblies[Assy]&amp;"'!"&amp;"C$5:C1000"), $C33, INDIRECT("'"&amp;Assemblies[Assy]&amp;"'!"&amp;"A$5:A1000"))=0,NA(),SUMIF(INDIRECT("'"&amp;Assemblies[Assy]&amp;"'!"&amp;"C$5:C1000"), $C33, INDIRECT("'"&amp;Assemblies[Assy]&amp;"'!"&amp;"A$5:A1000")))),"")), " ,", ""))</f>
        <v>, 2x1.2.1,</v>
      </c>
      <c r="Z33" s="141">
        <v>0</v>
      </c>
      <c r="AA33" s="141">
        <v>0</v>
      </c>
      <c r="AB33" s="136">
        <v>0</v>
      </c>
      <c r="AC33" s="39">
        <v>0</v>
      </c>
      <c r="AD33" s="141" t="s">
        <v>1473</v>
      </c>
      <c r="AE33" s="296">
        <v>55665</v>
      </c>
      <c r="AF33" s="156"/>
      <c r="AG33"/>
    </row>
    <row r="34" spans="1:33" x14ac:dyDescent="0.25">
      <c r="A34" s="24" t="s">
        <v>2069</v>
      </c>
      <c r="B34" s="134" t="s">
        <v>54</v>
      </c>
      <c r="C34" t="str">
        <f>_xlfn.CONCAT(A34,".",B34)</f>
        <v>PG10.1.2.2.1.A</v>
      </c>
      <c r="D34" t="s">
        <v>2070</v>
      </c>
      <c r="E34" s="18">
        <v>71.95</v>
      </c>
      <c r="F34" s="19" cm="1">
        <f t="array" aca="1" ref="F34" ca="1">SUMPRODUCT(SUMIF(INDIRECT("'"&amp;Assemblies[Assy]&amp;"'!"&amp;"C5:C1000"),C34,(INDIRECT("'"&amp;Assemblies[Assy]&amp;"'!"&amp;"O5:O1000"))))</f>
        <v>4</v>
      </c>
      <c r="G34" s="19">
        <v>4</v>
      </c>
      <c r="H34" s="19" t="str">
        <f ca="1">IF(F34&lt;=G34," ","YES")</f>
        <v xml:space="preserve"> </v>
      </c>
      <c r="I34">
        <v>4</v>
      </c>
      <c r="J34">
        <v>4</v>
      </c>
      <c r="L34">
        <v>4</v>
      </c>
      <c r="N34">
        <v>4</v>
      </c>
      <c r="O34" t="s">
        <v>1986</v>
      </c>
      <c r="P34" t="s">
        <v>1987</v>
      </c>
      <c r="Q34" t="s">
        <v>1988</v>
      </c>
      <c r="R34" t="s">
        <v>1989</v>
      </c>
      <c r="T34" s="40">
        <v>45435</v>
      </c>
      <c r="U34" s="40">
        <v>45446</v>
      </c>
      <c r="V34" s="40">
        <v>45481</v>
      </c>
      <c r="W34" s="40">
        <v>45481</v>
      </c>
      <c r="X34" s="157">
        <v>55532</v>
      </c>
      <c r="Y34" s="40" t="str" cm="1">
        <f t="array" aca="1" ref="Y34" ca="1">TRIM(SUBSTITUTE(_xlfn.ARRAYTOTEXT(IFERROR(CONCATENATE(SUMIF(INDIRECT("'"&amp;Assemblies[Assy]&amp;"'!"&amp;"C$5:C1000"), $C34, INDIRECT("'"&amp;Assemblies[Assy]&amp;"'!"&amp;"O$5:O1000")), "x",Assemblies[Assy],".",IF(SUMIF(INDIRECT("'"&amp;Assemblies[Assy]&amp;"'!"&amp;"C$5:C1000"), $C34, INDIRECT("'"&amp;Assemblies[Assy]&amp;"'!"&amp;"A$5:A1000"))=0,NA(),SUMIF(INDIRECT("'"&amp;Assemblies[Assy]&amp;"'!"&amp;"C$5:C1000"), $C34, INDIRECT("'"&amp;Assemblies[Assy]&amp;"'!"&amp;"A$5:A1000")))),"")), " ,", ""))</f>
        <v>, 4x1.2.2.1,</v>
      </c>
      <c r="Z34" s="141">
        <v>0</v>
      </c>
      <c r="AA34" s="141">
        <v>0</v>
      </c>
      <c r="AB34" s="141">
        <v>0</v>
      </c>
      <c r="AC34" s="39">
        <v>0</v>
      </c>
      <c r="AD34" s="141" t="s">
        <v>1473</v>
      </c>
      <c r="AE34" s="296">
        <v>55597</v>
      </c>
      <c r="AF34" s="141"/>
      <c r="AG34"/>
    </row>
    <row r="35" spans="1:33" x14ac:dyDescent="0.25">
      <c r="A35" s="24" t="s">
        <v>2071</v>
      </c>
      <c r="B35" s="134" t="s">
        <v>54</v>
      </c>
      <c r="C35" t="str">
        <f>_xlfn.CONCAT(A35,".",B35)</f>
        <v>PG10.1.2.2.A</v>
      </c>
      <c r="D35" t="s">
        <v>2072</v>
      </c>
      <c r="E35" s="18">
        <v>687.07</v>
      </c>
      <c r="F35" s="19" cm="1">
        <f t="array" aca="1" ref="F35" ca="1">SUMPRODUCT(SUMIF(INDIRECT("'"&amp;Assemblies[Assy]&amp;"'!"&amp;"C5:C1000"),C35,(INDIRECT("'"&amp;Assemblies[Assy]&amp;"'!"&amp;"O5:O1000"))))</f>
        <v>4</v>
      </c>
      <c r="G35" s="19">
        <v>4</v>
      </c>
      <c r="H35" s="19" t="str">
        <f ca="1">IF(F35&lt;=G35," ","YES")</f>
        <v xml:space="preserve"> </v>
      </c>
      <c r="I35">
        <v>4</v>
      </c>
      <c r="J35">
        <v>4</v>
      </c>
      <c r="L35">
        <v>4</v>
      </c>
      <c r="N35">
        <v>4</v>
      </c>
      <c r="O35" t="s">
        <v>2067</v>
      </c>
      <c r="P35" t="s">
        <v>1987</v>
      </c>
      <c r="Q35" t="s">
        <v>1988</v>
      </c>
      <c r="R35" t="s">
        <v>2068</v>
      </c>
      <c r="T35" s="40">
        <v>45435</v>
      </c>
      <c r="U35" s="40">
        <v>45448</v>
      </c>
      <c r="V35" s="40">
        <v>45504</v>
      </c>
      <c r="W35" s="40">
        <v>45504</v>
      </c>
      <c r="X35" s="157">
        <v>55540</v>
      </c>
      <c r="Y35" s="40" t="str" cm="1">
        <f t="array" aca="1" ref="Y35" ca="1">TRIM(SUBSTITUTE(_xlfn.ARRAYTOTEXT(IFERROR(CONCATENATE(SUMIF(INDIRECT("'"&amp;Assemblies[Assy]&amp;"'!"&amp;"C$5:C1000"), $C35, INDIRECT("'"&amp;Assemblies[Assy]&amp;"'!"&amp;"O$5:O1000")), "x",Assemblies[Assy],".",IF(SUMIF(INDIRECT("'"&amp;Assemblies[Assy]&amp;"'!"&amp;"C$5:C1000"), $C35, INDIRECT("'"&amp;Assemblies[Assy]&amp;"'!"&amp;"A$5:A1000"))=0,NA(),SUMIF(INDIRECT("'"&amp;Assemblies[Assy]&amp;"'!"&amp;"C$5:C1000"), $C35, INDIRECT("'"&amp;Assemblies[Assy]&amp;"'!"&amp;"A$5:A1000")))),"")), " ,", ""))</f>
        <v>, 4x1.2.2,</v>
      </c>
      <c r="Z35" s="141">
        <v>0</v>
      </c>
      <c r="AA35" s="141">
        <v>0</v>
      </c>
      <c r="AB35" s="136">
        <v>0</v>
      </c>
      <c r="AC35" s="39">
        <v>0</v>
      </c>
      <c r="AD35" s="141" t="s">
        <v>1473</v>
      </c>
      <c r="AE35" s="296">
        <v>55665</v>
      </c>
      <c r="AF35" s="156"/>
      <c r="AG35"/>
    </row>
    <row r="36" spans="1:33" x14ac:dyDescent="0.25">
      <c r="A36" s="24" t="s">
        <v>2073</v>
      </c>
      <c r="B36" s="134" t="s">
        <v>54</v>
      </c>
      <c r="C36" t="str">
        <f>_xlfn.CONCAT(A36,".",B36)</f>
        <v>PG10.1.2.3.1.A</v>
      </c>
      <c r="D36" t="s">
        <v>2074</v>
      </c>
      <c r="E36" s="18">
        <v>85</v>
      </c>
      <c r="F36" s="19" cm="1">
        <f t="array" aca="1" ref="F36" ca="1">SUMPRODUCT(SUMIF(INDIRECT("'"&amp;Assemblies[Assy]&amp;"'!"&amp;"C5:C1000"),C36,(INDIRECT("'"&amp;Assemblies[Assy]&amp;"'!"&amp;"O5:O1000"))))</f>
        <v>2</v>
      </c>
      <c r="G36" s="19">
        <v>2</v>
      </c>
      <c r="H36" s="19" t="str">
        <f ca="1">IF(F36&lt;=G36," ","YES")</f>
        <v xml:space="preserve"> </v>
      </c>
      <c r="I36">
        <v>2</v>
      </c>
      <c r="J36">
        <v>2</v>
      </c>
      <c r="L36">
        <v>2</v>
      </c>
      <c r="N36">
        <v>2</v>
      </c>
      <c r="O36" t="s">
        <v>1986</v>
      </c>
      <c r="P36" t="s">
        <v>1987</v>
      </c>
      <c r="Q36" t="s">
        <v>1988</v>
      </c>
      <c r="R36" t="s">
        <v>1996</v>
      </c>
      <c r="T36" s="40">
        <v>45434</v>
      </c>
      <c r="U36" s="40">
        <v>45435</v>
      </c>
      <c r="V36" s="40">
        <v>45467</v>
      </c>
      <c r="W36" s="40">
        <v>45467</v>
      </c>
      <c r="X36" s="157">
        <v>55523</v>
      </c>
      <c r="Y36" s="40" t="str" cm="1">
        <f t="array" aca="1" ref="Y36" ca="1">TRIM(SUBSTITUTE(_xlfn.ARRAYTOTEXT(IFERROR(CONCATENATE(SUMIF(INDIRECT("'"&amp;Assemblies[Assy]&amp;"'!"&amp;"C$5:C1000"), $C36, INDIRECT("'"&amp;Assemblies[Assy]&amp;"'!"&amp;"O$5:O1000")), "x",Assemblies[Assy],".",IF(SUMIF(INDIRECT("'"&amp;Assemblies[Assy]&amp;"'!"&amp;"C$5:C1000"), $C36, INDIRECT("'"&amp;Assemblies[Assy]&amp;"'!"&amp;"A$5:A1000"))=0,NA(),SUMIF(INDIRECT("'"&amp;Assemblies[Assy]&amp;"'!"&amp;"C$5:C1000"), $C36, INDIRECT("'"&amp;Assemblies[Assy]&amp;"'!"&amp;"A$5:A1000")))),"")), " ,", ""))</f>
        <v>, 2x1.2.3.1,</v>
      </c>
      <c r="Z36" s="136">
        <v>0</v>
      </c>
      <c r="AA36" s="141">
        <v>0</v>
      </c>
      <c r="AB36" s="136">
        <v>0</v>
      </c>
      <c r="AC36" s="39">
        <v>0</v>
      </c>
      <c r="AD36" s="141" t="s">
        <v>1473</v>
      </c>
      <c r="AE36" s="296">
        <v>55547</v>
      </c>
      <c r="AF36" s="156"/>
      <c r="AG36"/>
    </row>
    <row r="37" spans="1:33" x14ac:dyDescent="0.25">
      <c r="A37" s="24" t="s">
        <v>2075</v>
      </c>
      <c r="B37" s="134" t="s">
        <v>54</v>
      </c>
      <c r="C37" t="str">
        <f>_xlfn.CONCAT(A37,".",B37)</f>
        <v>PG10.1.2.3.2.A</v>
      </c>
      <c r="D37" t="s">
        <v>2076</v>
      </c>
      <c r="E37" s="18">
        <v>68</v>
      </c>
      <c r="F37" s="19" cm="1">
        <f t="array" aca="1" ref="F37" ca="1">SUMPRODUCT(SUMIF(INDIRECT("'"&amp;Assemblies[Assy]&amp;"'!"&amp;"C5:C1000"),C37,(INDIRECT("'"&amp;Assemblies[Assy]&amp;"'!"&amp;"O5:O1000"))))</f>
        <v>2</v>
      </c>
      <c r="G37" s="19">
        <v>2</v>
      </c>
      <c r="H37" s="19" t="str">
        <f ca="1">IF(F37&lt;=G37," ","YES")</f>
        <v xml:space="preserve"> </v>
      </c>
      <c r="I37">
        <v>2</v>
      </c>
      <c r="J37">
        <v>2</v>
      </c>
      <c r="L37">
        <v>2</v>
      </c>
      <c r="N37">
        <v>2</v>
      </c>
      <c r="O37" t="s">
        <v>1986</v>
      </c>
      <c r="P37" t="s">
        <v>1987</v>
      </c>
      <c r="Q37" t="s">
        <v>1988</v>
      </c>
      <c r="R37" t="s">
        <v>1996</v>
      </c>
      <c r="T37" s="40">
        <v>45434</v>
      </c>
      <c r="U37" s="40">
        <v>45435</v>
      </c>
      <c r="V37" s="40">
        <v>45467</v>
      </c>
      <c r="W37" s="40">
        <v>45467</v>
      </c>
      <c r="X37" s="157">
        <v>55523</v>
      </c>
      <c r="Y37" s="40" t="str" cm="1">
        <f t="array" aca="1" ref="Y37" ca="1">TRIM(SUBSTITUTE(_xlfn.ARRAYTOTEXT(IFERROR(CONCATENATE(SUMIF(INDIRECT("'"&amp;Assemblies[Assy]&amp;"'!"&amp;"C$5:C1000"), $C37, INDIRECT("'"&amp;Assemblies[Assy]&amp;"'!"&amp;"O$5:O1000")), "x",Assemblies[Assy],".",IF(SUMIF(INDIRECT("'"&amp;Assemblies[Assy]&amp;"'!"&amp;"C$5:C1000"), $C37, INDIRECT("'"&amp;Assemblies[Assy]&amp;"'!"&amp;"A$5:A1000"))=0,NA(),SUMIF(INDIRECT("'"&amp;Assemblies[Assy]&amp;"'!"&amp;"C$5:C1000"), $C37, INDIRECT("'"&amp;Assemblies[Assy]&amp;"'!"&amp;"A$5:A1000")))),"")), " ,", ""))</f>
        <v>, 2x1.2.3.2,</v>
      </c>
      <c r="Z37" s="136">
        <v>0</v>
      </c>
      <c r="AA37" s="141">
        <v>0</v>
      </c>
      <c r="AB37" s="136">
        <v>0</v>
      </c>
      <c r="AC37" s="39">
        <v>0</v>
      </c>
      <c r="AD37" s="141" t="s">
        <v>1473</v>
      </c>
      <c r="AE37" s="296">
        <v>55547</v>
      </c>
      <c r="AF37" s="156"/>
      <c r="AG37"/>
    </row>
    <row r="38" spans="1:33" x14ac:dyDescent="0.25">
      <c r="A38" s="24" t="s">
        <v>2077</v>
      </c>
      <c r="B38" s="134" t="s">
        <v>54</v>
      </c>
      <c r="C38" t="str">
        <f>_xlfn.CONCAT(A38,".",B38)</f>
        <v>PG10.1.2.3.A</v>
      </c>
      <c r="D38" t="s">
        <v>2078</v>
      </c>
      <c r="E38" s="18">
        <v>245.27</v>
      </c>
      <c r="F38" s="19" cm="1">
        <f t="array" aca="1" ref="F38" ca="1">SUMPRODUCT(SUMIF(INDIRECT("'"&amp;Assemblies[Assy]&amp;"'!"&amp;"C5:C1000"),C38,(INDIRECT("'"&amp;Assemblies[Assy]&amp;"'!"&amp;"O5:O1000"))))</f>
        <v>8</v>
      </c>
      <c r="G38" s="19">
        <v>8</v>
      </c>
      <c r="H38" s="19" t="str">
        <f ca="1">IF(F38&lt;=G38," ","YES")</f>
        <v xml:space="preserve"> </v>
      </c>
      <c r="I38">
        <v>8</v>
      </c>
      <c r="J38">
        <v>8</v>
      </c>
      <c r="K38" s="40">
        <v>45511</v>
      </c>
      <c r="L38">
        <v>8</v>
      </c>
      <c r="M38" s="40">
        <v>45520</v>
      </c>
      <c r="N38">
        <v>8</v>
      </c>
      <c r="O38" t="s">
        <v>1986</v>
      </c>
      <c r="P38" t="s">
        <v>1987</v>
      </c>
      <c r="Q38" t="s">
        <v>1988</v>
      </c>
      <c r="R38" t="s">
        <v>2068</v>
      </c>
      <c r="T38" s="40">
        <v>45435</v>
      </c>
      <c r="U38" s="40">
        <v>45448</v>
      </c>
      <c r="V38" s="40">
        <v>45504</v>
      </c>
      <c r="W38" s="40">
        <v>45504</v>
      </c>
      <c r="X38" s="157">
        <v>55540</v>
      </c>
      <c r="Y38" s="40" t="str" cm="1">
        <f t="array" aca="1" ref="Y38" ca="1">TRIM(SUBSTITUTE(_xlfn.ARRAYTOTEXT(IFERROR(CONCATENATE(SUMIF(INDIRECT("'"&amp;Assemblies[Assy]&amp;"'!"&amp;"C$5:C1000"), $C38, INDIRECT("'"&amp;Assemblies[Assy]&amp;"'!"&amp;"O$5:O1000")), "x",Assemblies[Assy],".",IF(SUMIF(INDIRECT("'"&amp;Assemblies[Assy]&amp;"'!"&amp;"C$5:C1000"), $C38, INDIRECT("'"&amp;Assemblies[Assy]&amp;"'!"&amp;"A$5:A1000"))=0,NA(),SUMIF(INDIRECT("'"&amp;Assemblies[Assy]&amp;"'!"&amp;"C$5:C1000"), $C38, INDIRECT("'"&amp;Assemblies[Assy]&amp;"'!"&amp;"A$5:A1000")))),"")), " ,", ""))</f>
        <v>, 8x1.2.3,</v>
      </c>
      <c r="Z38" s="141">
        <v>0</v>
      </c>
      <c r="AA38" s="141">
        <v>0</v>
      </c>
      <c r="AB38" s="136">
        <v>0</v>
      </c>
      <c r="AC38" s="39">
        <v>0</v>
      </c>
      <c r="AD38" s="141" t="s">
        <v>1473</v>
      </c>
      <c r="AE38" s="296">
        <v>55668</v>
      </c>
      <c r="AF38" s="156"/>
      <c r="AG38"/>
    </row>
    <row r="39" spans="1:33" x14ac:dyDescent="0.25">
      <c r="A39" s="24" t="s">
        <v>2079</v>
      </c>
      <c r="B39" s="134" t="s">
        <v>54</v>
      </c>
      <c r="C39" t="str">
        <f>_xlfn.CONCAT(A39,".",B39)</f>
        <v>PG10.1.2.4.A</v>
      </c>
      <c r="D39" t="s">
        <v>2080</v>
      </c>
      <c r="E39" s="18">
        <v>366.4</v>
      </c>
      <c r="F39" s="19" cm="1">
        <f t="array" aca="1" ref="F39" ca="1">SUMPRODUCT(SUMIF(INDIRECT("'"&amp;Assemblies[Assy]&amp;"'!"&amp;"C5:C1000"),C39,(INDIRECT("'"&amp;Assemblies[Assy]&amp;"'!"&amp;"O5:O1000"))))</f>
        <v>2</v>
      </c>
      <c r="G39" s="19">
        <v>2</v>
      </c>
      <c r="H39" s="19" t="str">
        <f ca="1">IF(F39&lt;=G39," ","YES")</f>
        <v xml:space="preserve"> </v>
      </c>
      <c r="I39">
        <v>2</v>
      </c>
      <c r="J39">
        <v>2</v>
      </c>
      <c r="L39">
        <v>2</v>
      </c>
      <c r="N39">
        <v>2</v>
      </c>
      <c r="O39" t="s">
        <v>1986</v>
      </c>
      <c r="P39" t="s">
        <v>1987</v>
      </c>
      <c r="Q39" t="s">
        <v>1988</v>
      </c>
      <c r="R39" t="s">
        <v>1989</v>
      </c>
      <c r="T39" s="40">
        <v>45435</v>
      </c>
      <c r="U39" s="40">
        <v>45446</v>
      </c>
      <c r="V39" s="40">
        <v>45481</v>
      </c>
      <c r="W39" s="40">
        <v>45481</v>
      </c>
      <c r="X39" s="157">
        <v>55532</v>
      </c>
      <c r="Y39" s="40" t="str" cm="1">
        <f t="array" aca="1" ref="Y39" ca="1">TRIM(SUBSTITUTE(_xlfn.ARRAYTOTEXT(IFERROR(CONCATENATE(SUMIF(INDIRECT("'"&amp;Assemblies[Assy]&amp;"'!"&amp;"C$5:C1000"), $C39, INDIRECT("'"&amp;Assemblies[Assy]&amp;"'!"&amp;"O$5:O1000")), "x",Assemblies[Assy],".",IF(SUMIF(INDIRECT("'"&amp;Assemblies[Assy]&amp;"'!"&amp;"C$5:C1000"), $C39, INDIRECT("'"&amp;Assemblies[Assy]&amp;"'!"&amp;"A$5:A1000"))=0,NA(),SUMIF(INDIRECT("'"&amp;Assemblies[Assy]&amp;"'!"&amp;"C$5:C1000"), $C39, INDIRECT("'"&amp;Assemblies[Assy]&amp;"'!"&amp;"A$5:A1000")))),"")), " ,", ""))</f>
        <v>, 2x1.2.4,</v>
      </c>
      <c r="Z39" s="141">
        <v>0</v>
      </c>
      <c r="AA39" s="141">
        <v>0</v>
      </c>
      <c r="AB39" s="136">
        <v>0</v>
      </c>
      <c r="AC39" s="39">
        <v>0</v>
      </c>
      <c r="AD39" s="141" t="s">
        <v>1473</v>
      </c>
      <c r="AE39" s="296">
        <v>55597</v>
      </c>
      <c r="AF39" s="141"/>
      <c r="AG39"/>
    </row>
    <row r="40" spans="1:33" x14ac:dyDescent="0.25">
      <c r="A40" s="24" t="s">
        <v>2081</v>
      </c>
      <c r="B40" s="134" t="s">
        <v>54</v>
      </c>
      <c r="C40" t="str">
        <f>_xlfn.CONCAT(A40,".",B40)</f>
        <v>PG10.1.2.5.A</v>
      </c>
      <c r="D40" t="s">
        <v>2082</v>
      </c>
      <c r="E40" s="18">
        <v>480.6</v>
      </c>
      <c r="F40" s="19" cm="1">
        <f t="array" aca="1" ref="F40" ca="1">SUMPRODUCT(SUMIF(INDIRECT("'"&amp;Assemblies[Assy]&amp;"'!"&amp;"C5:C1000"),C40,(INDIRECT("'"&amp;Assemblies[Assy]&amp;"'!"&amp;"O5:O1000"))))</f>
        <v>0</v>
      </c>
      <c r="G40" s="19">
        <v>2</v>
      </c>
      <c r="H40" s="19" t="str">
        <f ca="1">IF(F40&lt;=G40," ","YES")</f>
        <v xml:space="preserve"> </v>
      </c>
      <c r="I40">
        <v>2</v>
      </c>
      <c r="J40">
        <v>2</v>
      </c>
      <c r="L40">
        <v>2</v>
      </c>
      <c r="N40">
        <v>2</v>
      </c>
      <c r="O40" t="s">
        <v>1986</v>
      </c>
      <c r="P40" t="s">
        <v>1987</v>
      </c>
      <c r="Q40" t="s">
        <v>1988</v>
      </c>
      <c r="R40" t="s">
        <v>1989</v>
      </c>
      <c r="S40" t="s">
        <v>2083</v>
      </c>
      <c r="T40" s="40">
        <v>45435</v>
      </c>
      <c r="U40" s="40">
        <v>45446</v>
      </c>
      <c r="V40" s="40">
        <v>45481</v>
      </c>
      <c r="W40" s="40">
        <v>45481</v>
      </c>
      <c r="X40" s="157">
        <v>55532</v>
      </c>
      <c r="Y40" s="40" t="str" cm="1">
        <f t="array" aca="1" ref="Y40" ca="1">TRIM(SUBSTITUTE(_xlfn.ARRAYTOTEXT(IFERROR(CONCATENATE(SUMIF(INDIRECT("'"&amp;Assemblies[Assy]&amp;"'!"&amp;"C$5:C1000"), $C40, INDIRECT("'"&amp;Assemblies[Assy]&amp;"'!"&amp;"O$5:O1000")), "x",Assemblies[Assy],".",IF(SUMIF(INDIRECT("'"&amp;Assemblies[Assy]&amp;"'!"&amp;"C$5:C1000"), $C40, INDIRECT("'"&amp;Assemblies[Assy]&amp;"'!"&amp;"A$5:A1000"))=0,NA(),SUMIF(INDIRECT("'"&amp;Assemblies[Assy]&amp;"'!"&amp;"C$5:C1000"), $C40, INDIRECT("'"&amp;Assemblies[Assy]&amp;"'!"&amp;"A$5:A1000")))),"")), " ,", ""))</f>
        <v>,</v>
      </c>
      <c r="Z40" s="141">
        <v>0</v>
      </c>
      <c r="AA40" s="141">
        <v>0</v>
      </c>
      <c r="AB40" s="136">
        <v>0</v>
      </c>
      <c r="AC40" s="39">
        <v>0</v>
      </c>
      <c r="AD40" s="141" t="s">
        <v>1473</v>
      </c>
      <c r="AE40" s="296"/>
      <c r="AF40" s="156"/>
      <c r="AG40"/>
    </row>
    <row r="41" spans="1:33" x14ac:dyDescent="0.25">
      <c r="A41" s="24" t="s">
        <v>2081</v>
      </c>
      <c r="B41" s="134" t="s">
        <v>56</v>
      </c>
      <c r="C41" t="str">
        <f>_xlfn.CONCAT(A41,".",B41)</f>
        <v>PG10.1.2.5.B</v>
      </c>
      <c r="D41" t="s">
        <v>2082</v>
      </c>
      <c r="E41" s="18">
        <f>Z41+AA41+AB41+(65*AC41)</f>
        <v>0</v>
      </c>
      <c r="F41" s="19" cm="1">
        <f t="array" aca="1" ref="F41" ca="1">SUMPRODUCT(SUMIF(INDIRECT("'"&amp;Assemblies[Assy]&amp;"'!"&amp;"C5:C1000"),C41,(INDIRECT("'"&amp;Assemblies[Assy]&amp;"'!"&amp;"O5:O1000"))))</f>
        <v>0</v>
      </c>
      <c r="G41" s="19">
        <v>2</v>
      </c>
      <c r="H41" s="19" t="str">
        <f ca="1">IF(F41&lt;=G41," ","YES")</f>
        <v xml:space="preserve"> </v>
      </c>
      <c r="I41">
        <v>2</v>
      </c>
      <c r="J41">
        <v>2</v>
      </c>
      <c r="L41">
        <v>2</v>
      </c>
      <c r="N41">
        <v>2</v>
      </c>
      <c r="O41" t="s">
        <v>1986</v>
      </c>
      <c r="P41" t="s">
        <v>1987</v>
      </c>
      <c r="R41" t="s">
        <v>2052</v>
      </c>
      <c r="S41" t="s">
        <v>2084</v>
      </c>
      <c r="T41" s="40" t="s">
        <v>2747</v>
      </c>
      <c r="U41" s="40" t="s">
        <v>2747</v>
      </c>
      <c r="V41" s="40" t="s">
        <v>2747</v>
      </c>
      <c r="W41" s="40" t="s">
        <v>2747</v>
      </c>
      <c r="X41" s="40" t="s">
        <v>2747</v>
      </c>
      <c r="Y41" s="40" t="str" cm="1">
        <f t="array" aca="1" ref="Y41" ca="1">TRIM(SUBSTITUTE(_xlfn.ARRAYTOTEXT(IFERROR(CONCATENATE(SUMIF(INDIRECT("'"&amp;Assemblies[Assy]&amp;"'!"&amp;"C$5:C1000"), $C41, INDIRECT("'"&amp;Assemblies[Assy]&amp;"'!"&amp;"O$5:O1000")), "x",Assemblies[Assy],".",IF(SUMIF(INDIRECT("'"&amp;Assemblies[Assy]&amp;"'!"&amp;"C$5:C1000"), $C41, INDIRECT("'"&amp;Assemblies[Assy]&amp;"'!"&amp;"A$5:A1000"))=0,NA(),SUMIF(INDIRECT("'"&amp;Assemblies[Assy]&amp;"'!"&amp;"C$5:C1000"), $C41, INDIRECT("'"&amp;Assemblies[Assy]&amp;"'!"&amp;"A$5:A1000")))),"")), " ,", ""))</f>
        <v>,</v>
      </c>
      <c r="Z41" s="141">
        <v>0</v>
      </c>
      <c r="AA41" s="141">
        <v>0</v>
      </c>
      <c r="AB41" s="136">
        <v>0</v>
      </c>
      <c r="AC41" s="39">
        <v>0</v>
      </c>
      <c r="AD41" s="141"/>
      <c r="AE41" s="296">
        <v>55597</v>
      </c>
      <c r="AF41" s="156"/>
      <c r="AG41"/>
    </row>
    <row r="42" spans="1:33" x14ac:dyDescent="0.25">
      <c r="A42" s="24" t="s">
        <v>2081</v>
      </c>
      <c r="B42" s="134" t="s">
        <v>58</v>
      </c>
      <c r="C42" t="str">
        <f>_xlfn.CONCAT(A42,".",B42)</f>
        <v>PG10.1.2.5.C</v>
      </c>
      <c r="D42" t="s">
        <v>2082</v>
      </c>
      <c r="E42" s="18">
        <f>Z42+AA42+AB42+(65*AC42)</f>
        <v>0</v>
      </c>
      <c r="F42" s="19" cm="1">
        <f t="array" aca="1" ref="F42" ca="1">SUMPRODUCT(SUMIF(INDIRECT("'"&amp;Assemblies[Assy]&amp;"'!"&amp;"C5:C1000"),C42,(INDIRECT("'"&amp;Assemblies[Assy]&amp;"'!"&amp;"O5:O1000"))))</f>
        <v>2</v>
      </c>
      <c r="G42" s="19">
        <v>2</v>
      </c>
      <c r="H42" s="19" t="str">
        <f ca="1">IF(F42&lt;=G42," ","YES")</f>
        <v xml:space="preserve"> </v>
      </c>
      <c r="I42">
        <v>2</v>
      </c>
      <c r="J42">
        <v>2</v>
      </c>
      <c r="L42">
        <v>2</v>
      </c>
      <c r="N42">
        <v>2</v>
      </c>
      <c r="O42" t="s">
        <v>1986</v>
      </c>
      <c r="P42" t="s">
        <v>1987</v>
      </c>
      <c r="R42" t="s">
        <v>2052</v>
      </c>
      <c r="S42" t="s">
        <v>2085</v>
      </c>
      <c r="T42" s="40" t="s">
        <v>2747</v>
      </c>
      <c r="U42" s="40" t="s">
        <v>2747</v>
      </c>
      <c r="V42" s="40" t="s">
        <v>2747</v>
      </c>
      <c r="W42" s="40" t="s">
        <v>2747</v>
      </c>
      <c r="X42" s="40" t="s">
        <v>2747</v>
      </c>
      <c r="Y42" s="40" t="str" cm="1">
        <f t="array" aca="1" ref="Y42" ca="1">TRIM(SUBSTITUTE(_xlfn.ARRAYTOTEXT(IFERROR(CONCATENATE(SUMIF(INDIRECT("'"&amp;Assemblies[Assy]&amp;"'!"&amp;"C$5:C1000"), $C42, INDIRECT("'"&amp;Assemblies[Assy]&amp;"'!"&amp;"O$5:O1000")), "x",Assemblies[Assy],".",IF(SUMIF(INDIRECT("'"&amp;Assemblies[Assy]&amp;"'!"&amp;"C$5:C1000"), $C42, INDIRECT("'"&amp;Assemblies[Assy]&amp;"'!"&amp;"A$5:A1000"))=0,NA(),SUMIF(INDIRECT("'"&amp;Assemblies[Assy]&amp;"'!"&amp;"C$5:C1000"), $C42, INDIRECT("'"&amp;Assemblies[Assy]&amp;"'!"&amp;"A$5:A1000")))),"")), " ,", ""))</f>
        <v>, 2x1.2.5,</v>
      </c>
      <c r="Z42" s="141">
        <v>0</v>
      </c>
      <c r="AA42" s="141">
        <v>0</v>
      </c>
      <c r="AB42" s="136">
        <v>0</v>
      </c>
      <c r="AC42" s="39">
        <v>0</v>
      </c>
      <c r="AD42" s="141"/>
      <c r="AE42" s="296"/>
      <c r="AF42" s="156"/>
      <c r="AG42"/>
    </row>
    <row r="43" spans="1:33" x14ac:dyDescent="0.25">
      <c r="A43" s="24" t="s">
        <v>2086</v>
      </c>
      <c r="B43" s="134" t="s">
        <v>54</v>
      </c>
      <c r="C43" t="str">
        <f>_xlfn.CONCAT(A43,".",B43)</f>
        <v>PG10.1.3.1.1.A</v>
      </c>
      <c r="D43" t="s">
        <v>2087</v>
      </c>
      <c r="E43" s="18">
        <v>1995</v>
      </c>
      <c r="F43" s="19" cm="1">
        <f t="array" aca="1" ref="F43" ca="1">SUMPRODUCT(SUMIF(INDIRECT("'"&amp;Assemblies[Assy]&amp;"'!"&amp;"C5:C1000"),C43,(INDIRECT("'"&amp;Assemblies[Assy]&amp;"'!"&amp;"O5:O1000"))))</f>
        <v>5</v>
      </c>
      <c r="G43" s="19">
        <v>5</v>
      </c>
      <c r="H43" s="19" t="str">
        <f ca="1">IF(F43&lt;=G43," ","YES")</f>
        <v xml:space="preserve"> </v>
      </c>
      <c r="I43">
        <v>5</v>
      </c>
      <c r="J43">
        <v>5</v>
      </c>
      <c r="L43">
        <v>5</v>
      </c>
      <c r="N43">
        <v>5</v>
      </c>
      <c r="O43" t="s">
        <v>2088</v>
      </c>
      <c r="P43" t="s">
        <v>2089</v>
      </c>
      <c r="R43" t="s">
        <v>2090</v>
      </c>
      <c r="T43" s="40">
        <v>45413</v>
      </c>
      <c r="U43" s="40">
        <v>45442</v>
      </c>
      <c r="V43" s="40">
        <v>45519</v>
      </c>
      <c r="W43" s="40">
        <v>45541</v>
      </c>
      <c r="X43" s="157">
        <v>55526</v>
      </c>
      <c r="Y43" s="40" t="str" cm="1">
        <f t="array" aca="1" ref="Y43" ca="1">TRIM(SUBSTITUTE(_xlfn.ARRAYTOTEXT(IFERROR(CONCATENATE(SUMIF(INDIRECT("'"&amp;Assemblies[Assy]&amp;"'!"&amp;"C$5:C1000"), $C43, INDIRECT("'"&amp;Assemblies[Assy]&amp;"'!"&amp;"O$5:O1000")), "x",Assemblies[Assy],".",IF(SUMIF(INDIRECT("'"&amp;Assemblies[Assy]&amp;"'!"&amp;"C$5:C1000"), $C43, INDIRECT("'"&amp;Assemblies[Assy]&amp;"'!"&amp;"A$5:A1000"))=0,NA(),SUMIF(INDIRECT("'"&amp;Assemblies[Assy]&amp;"'!"&amp;"C$5:C1000"), $C43, INDIRECT("'"&amp;Assemblies[Assy]&amp;"'!"&amp;"A$5:A1000")))),"")), " ,", ""))</f>
        <v>, 5x1.3.1.1,</v>
      </c>
      <c r="Z43" s="141">
        <v>0</v>
      </c>
      <c r="AA43" s="141">
        <v>0</v>
      </c>
      <c r="AB43" s="136">
        <v>0</v>
      </c>
      <c r="AC43" s="39">
        <v>0</v>
      </c>
      <c r="AD43" s="141" t="s">
        <v>1473</v>
      </c>
      <c r="AE43" s="296"/>
      <c r="AF43" s="156"/>
      <c r="AG43"/>
    </row>
    <row r="44" spans="1:33" x14ac:dyDescent="0.25">
      <c r="A44" s="24" t="s">
        <v>2091</v>
      </c>
      <c r="B44" s="134" t="s">
        <v>54</v>
      </c>
      <c r="C44" t="str">
        <f>_xlfn.CONCAT(A44,".",B44)</f>
        <v>PG10.1.3.1.A</v>
      </c>
      <c r="D44" t="s">
        <v>2092</v>
      </c>
      <c r="E44" s="18">
        <v>473.37</v>
      </c>
      <c r="F44" s="19" cm="1">
        <f t="array" aca="1" ref="F44" ca="1">SUMPRODUCT(SUMIF(INDIRECT("'"&amp;Assemblies[Assy]&amp;"'!"&amp;"C5:C1000"),C44,(INDIRECT("'"&amp;Assemblies[Assy]&amp;"'!"&amp;"O5:O1000"))))</f>
        <v>4</v>
      </c>
      <c r="G44" s="19">
        <v>4</v>
      </c>
      <c r="H44" s="19" t="str">
        <f ca="1">IF(F44&lt;=G44," ","YES")</f>
        <v xml:space="preserve"> </v>
      </c>
      <c r="I44">
        <v>4</v>
      </c>
      <c r="J44">
        <v>4</v>
      </c>
      <c r="L44">
        <v>4</v>
      </c>
      <c r="N44">
        <v>4</v>
      </c>
      <c r="O44" t="s">
        <v>2067</v>
      </c>
      <c r="P44" t="s">
        <v>1987</v>
      </c>
      <c r="Q44" t="s">
        <v>1988</v>
      </c>
      <c r="R44" t="s">
        <v>2068</v>
      </c>
      <c r="T44" s="40">
        <v>45435</v>
      </c>
      <c r="U44" s="40">
        <v>45448</v>
      </c>
      <c r="V44" s="40">
        <v>45504</v>
      </c>
      <c r="W44" s="40">
        <v>45504</v>
      </c>
      <c r="X44" s="157">
        <v>55540</v>
      </c>
      <c r="Y44" s="40" t="str" cm="1">
        <f t="array" aca="1" ref="Y44" ca="1">TRIM(SUBSTITUTE(_xlfn.ARRAYTOTEXT(IFERROR(CONCATENATE(SUMIF(INDIRECT("'"&amp;Assemblies[Assy]&amp;"'!"&amp;"C$5:C1000"), $C44, INDIRECT("'"&amp;Assemblies[Assy]&amp;"'!"&amp;"O$5:O1000")), "x",Assemblies[Assy],".",IF(SUMIF(INDIRECT("'"&amp;Assemblies[Assy]&amp;"'!"&amp;"C$5:C1000"), $C44, INDIRECT("'"&amp;Assemblies[Assy]&amp;"'!"&amp;"A$5:A1000"))=0,NA(),SUMIF(INDIRECT("'"&amp;Assemblies[Assy]&amp;"'!"&amp;"C$5:C1000"), $C44, INDIRECT("'"&amp;Assemblies[Assy]&amp;"'!"&amp;"A$5:A1000")))),"")), " ,", ""))</f>
        <v>, 4x1.3.1,</v>
      </c>
      <c r="Z44" s="141">
        <v>0</v>
      </c>
      <c r="AA44" s="141">
        <v>0</v>
      </c>
      <c r="AB44" s="141">
        <v>0</v>
      </c>
      <c r="AC44" s="39">
        <v>0</v>
      </c>
      <c r="AD44" s="141" t="s">
        <v>1473</v>
      </c>
      <c r="AE44" s="296">
        <v>55665</v>
      </c>
      <c r="AF44" s="141"/>
      <c r="AG44"/>
    </row>
    <row r="45" spans="1:33" x14ac:dyDescent="0.25">
      <c r="A45" s="24" t="s">
        <v>2093</v>
      </c>
      <c r="B45" s="134" t="s">
        <v>54</v>
      </c>
      <c r="C45" t="str">
        <f>_xlfn.CONCAT(A45,".",B45)</f>
        <v>PG10.1.3.10.A</v>
      </c>
      <c r="D45" t="s">
        <v>2094</v>
      </c>
      <c r="E45" s="18">
        <v>120.7</v>
      </c>
      <c r="F45" s="19" cm="1">
        <f t="array" aca="1" ref="F45" ca="1">SUMPRODUCT(SUMIF(INDIRECT("'"&amp;Assemblies[Assy]&amp;"'!"&amp;"C5:C1000"),C45,(INDIRECT("'"&amp;Assemblies[Assy]&amp;"'!"&amp;"O5:O1000"))))</f>
        <v>10</v>
      </c>
      <c r="G45" s="19">
        <v>10</v>
      </c>
      <c r="H45" s="19" t="str">
        <f ca="1">IF(F45&lt;=G45," ","YES")</f>
        <v xml:space="preserve"> </v>
      </c>
      <c r="I45">
        <v>10</v>
      </c>
      <c r="J45">
        <v>10</v>
      </c>
      <c r="L45">
        <v>10</v>
      </c>
      <c r="N45">
        <v>10</v>
      </c>
      <c r="O45" t="s">
        <v>1986</v>
      </c>
      <c r="P45" t="s">
        <v>1987</v>
      </c>
      <c r="Q45" t="s">
        <v>1988</v>
      </c>
      <c r="R45" t="s">
        <v>1989</v>
      </c>
      <c r="S45" t="s">
        <v>2095</v>
      </c>
      <c r="T45" s="40">
        <v>45435</v>
      </c>
      <c r="U45" s="40">
        <v>45446</v>
      </c>
      <c r="V45" s="40">
        <v>45481</v>
      </c>
      <c r="W45" s="40">
        <v>45481</v>
      </c>
      <c r="X45" s="157">
        <v>55532</v>
      </c>
      <c r="Y45" s="40" t="str" cm="1">
        <f t="array" aca="1" ref="Y45" ca="1">TRIM(SUBSTITUTE(_xlfn.ARRAYTOTEXT(IFERROR(CONCATENATE(SUMIF(INDIRECT("'"&amp;Assemblies[Assy]&amp;"'!"&amp;"C$5:C1000"), $C45, INDIRECT("'"&amp;Assemblies[Assy]&amp;"'!"&amp;"O$5:O1000")), "x",Assemblies[Assy],".",IF(SUMIF(INDIRECT("'"&amp;Assemblies[Assy]&amp;"'!"&amp;"C$5:C1000"), $C45, INDIRECT("'"&amp;Assemblies[Assy]&amp;"'!"&amp;"A$5:A1000"))=0,NA(),SUMIF(INDIRECT("'"&amp;Assemblies[Assy]&amp;"'!"&amp;"C$5:C1000"), $C45, INDIRECT("'"&amp;Assemblies[Assy]&amp;"'!"&amp;"A$5:A1000")))),"")), " ,", ""))</f>
        <v>, 4x1.3.10, 6x2.3.10,</v>
      </c>
      <c r="Z45" s="141">
        <v>0</v>
      </c>
      <c r="AA45" s="141">
        <v>0</v>
      </c>
      <c r="AB45" s="136">
        <v>0</v>
      </c>
      <c r="AC45" s="39">
        <v>0</v>
      </c>
      <c r="AD45" s="141" t="s">
        <v>1473</v>
      </c>
      <c r="AE45" s="296">
        <v>55597</v>
      </c>
      <c r="AF45" s="156"/>
      <c r="AG45"/>
    </row>
    <row r="46" spans="1:33" x14ac:dyDescent="0.25">
      <c r="A46" s="24" t="s">
        <v>2096</v>
      </c>
      <c r="B46" s="134" t="s">
        <v>54</v>
      </c>
      <c r="C46" t="str">
        <f>_xlfn.CONCAT(A46,".",B46)</f>
        <v>PG10.1.3.11.A</v>
      </c>
      <c r="D46" t="s">
        <v>2097</v>
      </c>
      <c r="E46" s="18">
        <v>96.25</v>
      </c>
      <c r="F46" s="19" cm="1">
        <f t="array" aca="1" ref="F46" ca="1">SUMPRODUCT(SUMIF(INDIRECT("'"&amp;Assemblies[Assy]&amp;"'!"&amp;"C5:C1000"),C46,(INDIRECT("'"&amp;Assemblies[Assy]&amp;"'!"&amp;"O5:O1000"))))</f>
        <v>10</v>
      </c>
      <c r="G46" s="19">
        <v>10</v>
      </c>
      <c r="H46" s="19" t="str">
        <f ca="1">IF(F46&lt;=G46," ","YES")</f>
        <v xml:space="preserve"> </v>
      </c>
      <c r="I46">
        <v>10</v>
      </c>
      <c r="J46">
        <v>10</v>
      </c>
      <c r="L46">
        <v>10</v>
      </c>
      <c r="N46">
        <v>10</v>
      </c>
      <c r="O46" t="s">
        <v>1986</v>
      </c>
      <c r="P46" t="s">
        <v>1987</v>
      </c>
      <c r="Q46" t="s">
        <v>1988</v>
      </c>
      <c r="R46" t="s">
        <v>1989</v>
      </c>
      <c r="S46" t="s">
        <v>2095</v>
      </c>
      <c r="T46" s="40">
        <v>45435</v>
      </c>
      <c r="U46" s="40">
        <v>45446</v>
      </c>
      <c r="V46" s="40">
        <v>45481</v>
      </c>
      <c r="W46" s="40">
        <v>45481</v>
      </c>
      <c r="X46" s="157">
        <v>55532</v>
      </c>
      <c r="Y46" s="40" t="str" cm="1">
        <f t="array" aca="1" ref="Y46" ca="1">TRIM(SUBSTITUTE(_xlfn.ARRAYTOTEXT(IFERROR(CONCATENATE(SUMIF(INDIRECT("'"&amp;Assemblies[Assy]&amp;"'!"&amp;"C$5:C1000"), $C46, INDIRECT("'"&amp;Assemblies[Assy]&amp;"'!"&amp;"O$5:O1000")), "x",Assemblies[Assy],".",IF(SUMIF(INDIRECT("'"&amp;Assemblies[Assy]&amp;"'!"&amp;"C$5:C1000"), $C46, INDIRECT("'"&amp;Assemblies[Assy]&amp;"'!"&amp;"A$5:A1000"))=0,NA(),SUMIF(INDIRECT("'"&amp;Assemblies[Assy]&amp;"'!"&amp;"C$5:C1000"), $C46, INDIRECT("'"&amp;Assemblies[Assy]&amp;"'!"&amp;"A$5:A1000")))),"")), " ,", ""))</f>
        <v>, 4x1.3.11, 6x2.3.11,</v>
      </c>
      <c r="Z46" s="141">
        <v>0</v>
      </c>
      <c r="AA46" s="141">
        <v>0</v>
      </c>
      <c r="AB46" s="136">
        <v>0</v>
      </c>
      <c r="AC46" s="39">
        <v>0</v>
      </c>
      <c r="AD46" s="141" t="s">
        <v>1473</v>
      </c>
      <c r="AE46" s="296">
        <v>55597</v>
      </c>
      <c r="AF46" s="141"/>
      <c r="AG46"/>
    </row>
    <row r="47" spans="1:33" x14ac:dyDescent="0.25">
      <c r="A47" s="24" t="s">
        <v>2098</v>
      </c>
      <c r="B47" s="134" t="s">
        <v>54</v>
      </c>
      <c r="C47" t="str">
        <f>_xlfn.CONCAT(A47,".",B47)</f>
        <v>PG10.1.3.2.1.A</v>
      </c>
      <c r="D47" t="s">
        <v>2099</v>
      </c>
      <c r="E47" s="18">
        <v>85.35</v>
      </c>
      <c r="F47" s="19" cm="1">
        <f t="array" aca="1" ref="F47" ca="1">SUMPRODUCT(SUMIF(INDIRECT("'"&amp;Assemblies[Assy]&amp;"'!"&amp;"C5:C1000"),C47,(INDIRECT("'"&amp;Assemblies[Assy]&amp;"'!"&amp;"O5:O1000"))))</f>
        <v>5</v>
      </c>
      <c r="G47" s="19">
        <v>5</v>
      </c>
      <c r="H47" s="19" t="str">
        <f ca="1">IF(F47&lt;=G47," ","YES")</f>
        <v xml:space="preserve"> </v>
      </c>
      <c r="I47">
        <v>5</v>
      </c>
      <c r="J47">
        <v>5</v>
      </c>
      <c r="L47">
        <v>5</v>
      </c>
      <c r="N47">
        <v>5</v>
      </c>
      <c r="O47" t="s">
        <v>1986</v>
      </c>
      <c r="P47" t="s">
        <v>1987</v>
      </c>
      <c r="Q47" t="s">
        <v>1988</v>
      </c>
      <c r="R47" t="s">
        <v>1989</v>
      </c>
      <c r="T47" s="40">
        <v>45435</v>
      </c>
      <c r="U47" s="40">
        <v>45446</v>
      </c>
      <c r="V47" s="40">
        <v>45481</v>
      </c>
      <c r="W47" s="40">
        <v>45481</v>
      </c>
      <c r="X47" s="157">
        <v>55532</v>
      </c>
      <c r="Y47" s="40" t="str" cm="1">
        <f t="array" aca="1" ref="Y47" ca="1">TRIM(SUBSTITUTE(_xlfn.ARRAYTOTEXT(IFERROR(CONCATENATE(SUMIF(INDIRECT("'"&amp;Assemblies[Assy]&amp;"'!"&amp;"C$5:C1000"), $C47, INDIRECT("'"&amp;Assemblies[Assy]&amp;"'!"&amp;"O$5:O1000")), "x",Assemblies[Assy],".",IF(SUMIF(INDIRECT("'"&amp;Assemblies[Assy]&amp;"'!"&amp;"C$5:C1000"), $C47, INDIRECT("'"&amp;Assemblies[Assy]&amp;"'!"&amp;"A$5:A1000"))=0,NA(),SUMIF(INDIRECT("'"&amp;Assemblies[Assy]&amp;"'!"&amp;"C$5:C1000"), $C47, INDIRECT("'"&amp;Assemblies[Assy]&amp;"'!"&amp;"A$5:A1000")))),"")), " ,", ""))</f>
        <v>, 5x1.3.2.1,</v>
      </c>
      <c r="Z47" s="141">
        <v>0</v>
      </c>
      <c r="AA47" s="141">
        <v>0</v>
      </c>
      <c r="AB47" s="136">
        <v>0</v>
      </c>
      <c r="AC47" s="39">
        <v>0</v>
      </c>
      <c r="AD47" s="141" t="s">
        <v>1473</v>
      </c>
      <c r="AE47" s="296">
        <v>55597</v>
      </c>
      <c r="AF47" s="156"/>
      <c r="AG47"/>
    </row>
    <row r="48" spans="1:33" x14ac:dyDescent="0.25">
      <c r="A48" s="24" t="s">
        <v>2100</v>
      </c>
      <c r="B48" s="134" t="s">
        <v>54</v>
      </c>
      <c r="C48" t="str">
        <f>_xlfn.CONCAT(A48,".",B48)</f>
        <v>PG10.1.3.2.2.A</v>
      </c>
      <c r="D48" t="s">
        <v>2101</v>
      </c>
      <c r="E48" s="18">
        <v>58.5</v>
      </c>
      <c r="F48" s="19" cm="1">
        <f t="array" aca="1" ref="F48" ca="1">SUMPRODUCT(SUMIF(INDIRECT("'"&amp;Assemblies[Assy]&amp;"'!"&amp;"C5:C1000"),C48,(INDIRECT("'"&amp;Assemblies[Assy]&amp;"'!"&amp;"O5:O1000"))))</f>
        <v>12</v>
      </c>
      <c r="G48" s="19">
        <v>12</v>
      </c>
      <c r="H48" s="19" t="str">
        <f ca="1">IF(F48&lt;=G48," ","YES")</f>
        <v xml:space="preserve"> </v>
      </c>
      <c r="I48">
        <v>12</v>
      </c>
      <c r="J48">
        <v>12</v>
      </c>
      <c r="L48">
        <v>12</v>
      </c>
      <c r="N48">
        <v>12</v>
      </c>
      <c r="O48" t="s">
        <v>2026</v>
      </c>
      <c r="P48" t="s">
        <v>2027</v>
      </c>
      <c r="Q48" t="s">
        <v>1988</v>
      </c>
      <c r="R48" t="s">
        <v>1989</v>
      </c>
      <c r="T48" s="40">
        <v>45435</v>
      </c>
      <c r="U48" s="40">
        <v>45446</v>
      </c>
      <c r="V48" s="40">
        <v>45481</v>
      </c>
      <c r="W48" s="40">
        <v>45481</v>
      </c>
      <c r="X48" s="157">
        <v>55532</v>
      </c>
      <c r="Y48" s="40" t="str" cm="1">
        <f t="array" aca="1" ref="Y48" ca="1">TRIM(SUBSTITUTE(_xlfn.ARRAYTOTEXT(IFERROR(CONCATENATE(SUMIF(INDIRECT("'"&amp;Assemblies[Assy]&amp;"'!"&amp;"C$5:C1000"), $C48, INDIRECT("'"&amp;Assemblies[Assy]&amp;"'!"&amp;"O$5:O1000")), "x",Assemblies[Assy],".",IF(SUMIF(INDIRECT("'"&amp;Assemblies[Assy]&amp;"'!"&amp;"C$5:C1000"), $C48, INDIRECT("'"&amp;Assemblies[Assy]&amp;"'!"&amp;"A$5:A1000"))=0,NA(),SUMIF(INDIRECT("'"&amp;Assemblies[Assy]&amp;"'!"&amp;"C$5:C1000"), $C48, INDIRECT("'"&amp;Assemblies[Assy]&amp;"'!"&amp;"A$5:A1000")))),"")), " ,", ""))</f>
        <v>, 10x1.3.2.2, 2x2.3.7.3,</v>
      </c>
      <c r="Z48" s="141">
        <v>0</v>
      </c>
      <c r="AA48" s="141">
        <v>0</v>
      </c>
      <c r="AB48" s="136">
        <v>0</v>
      </c>
      <c r="AC48" s="39">
        <v>0</v>
      </c>
      <c r="AD48" s="141" t="s">
        <v>1473</v>
      </c>
      <c r="AE48" s="296">
        <v>55598</v>
      </c>
      <c r="AF48" s="156"/>
      <c r="AG48"/>
    </row>
    <row r="49" spans="1:33" x14ac:dyDescent="0.25">
      <c r="A49" s="24" t="s">
        <v>2102</v>
      </c>
      <c r="B49" s="134" t="s">
        <v>54</v>
      </c>
      <c r="C49" t="str">
        <f>_xlfn.CONCAT(A49,".",B49)</f>
        <v>PG10.1.3.2.A</v>
      </c>
      <c r="D49" t="s">
        <v>2103</v>
      </c>
      <c r="E49" s="18">
        <v>235.65</v>
      </c>
      <c r="F49" s="19" cm="1">
        <f t="array" aca="1" ref="F49" ca="1">SUMPRODUCT(SUMIF(INDIRECT("'"&amp;Assemblies[Assy]&amp;"'!"&amp;"C5:C1000"),C49,(INDIRECT("'"&amp;Assemblies[Assy]&amp;"'!"&amp;"O5:O1000"))))</f>
        <v>10</v>
      </c>
      <c r="G49" s="19">
        <v>10</v>
      </c>
      <c r="H49" s="19" t="str">
        <f ca="1">IF(F49&lt;=G49," ","YES")</f>
        <v xml:space="preserve"> </v>
      </c>
      <c r="I49">
        <v>10</v>
      </c>
      <c r="J49">
        <v>11</v>
      </c>
      <c r="K49" s="40">
        <v>45511</v>
      </c>
      <c r="L49">
        <v>11</v>
      </c>
      <c r="M49" s="40">
        <v>45520</v>
      </c>
      <c r="N49">
        <v>11</v>
      </c>
      <c r="O49" t="s">
        <v>1986</v>
      </c>
      <c r="P49" t="s">
        <v>1987</v>
      </c>
      <c r="Q49" t="s">
        <v>1988</v>
      </c>
      <c r="R49" t="s">
        <v>2068</v>
      </c>
      <c r="S49" t="s">
        <v>2104</v>
      </c>
      <c r="T49" s="40">
        <v>45435</v>
      </c>
      <c r="U49" s="40">
        <v>45448</v>
      </c>
      <c r="V49" s="40">
        <v>45504</v>
      </c>
      <c r="W49" s="40">
        <v>45504</v>
      </c>
      <c r="X49" s="157">
        <v>55540</v>
      </c>
      <c r="Y49" s="40" t="str" cm="1">
        <f t="array" aca="1" ref="Y49" ca="1">TRIM(SUBSTITUTE(_xlfn.ARRAYTOTEXT(IFERROR(CONCATENATE(SUMIF(INDIRECT("'"&amp;Assemblies[Assy]&amp;"'!"&amp;"C$5:C1000"), $C49, INDIRECT("'"&amp;Assemblies[Assy]&amp;"'!"&amp;"O$5:O1000")), "x",Assemblies[Assy],".",IF(SUMIF(INDIRECT("'"&amp;Assemblies[Assy]&amp;"'!"&amp;"C$5:C1000"), $C49, INDIRECT("'"&amp;Assemblies[Assy]&amp;"'!"&amp;"A$5:A1000"))=0,NA(),SUMIF(INDIRECT("'"&amp;Assemblies[Assy]&amp;"'!"&amp;"C$5:C1000"), $C49, INDIRECT("'"&amp;Assemblies[Assy]&amp;"'!"&amp;"A$5:A1000")))),"")), " ,", ""))</f>
        <v>, 4x1.3.2, 6x2.3.2,</v>
      </c>
      <c r="Z49" s="141">
        <v>0</v>
      </c>
      <c r="AA49" s="141">
        <v>0</v>
      </c>
      <c r="AB49" s="141">
        <v>0</v>
      </c>
      <c r="AC49" s="39">
        <v>0</v>
      </c>
      <c r="AD49" s="141" t="s">
        <v>1473</v>
      </c>
      <c r="AE49" s="296">
        <v>55668</v>
      </c>
      <c r="AF49" s="141"/>
      <c r="AG49"/>
    </row>
    <row r="50" spans="1:33" x14ac:dyDescent="0.25">
      <c r="A50" s="24" t="s">
        <v>2106</v>
      </c>
      <c r="B50" s="134" t="s">
        <v>54</v>
      </c>
      <c r="C50" t="str">
        <f>_xlfn.CONCAT(A50,".",B50)</f>
        <v>PG10.1.3.3.A</v>
      </c>
      <c r="D50" t="s">
        <v>2107</v>
      </c>
      <c r="E50" s="18">
        <v>128.5</v>
      </c>
      <c r="F50" s="19" cm="1">
        <f t="array" aca="1" ref="F50" ca="1">SUMPRODUCT(SUMIF(INDIRECT("'"&amp;Assemblies[Assy]&amp;"'!"&amp;"C5:C1000"),C50,(INDIRECT("'"&amp;Assemblies[Assy]&amp;"'!"&amp;"O5:O1000"))))</f>
        <v>10</v>
      </c>
      <c r="G50" s="19">
        <v>10</v>
      </c>
      <c r="H50" s="19" t="str">
        <f ca="1">IF(F50&lt;=G50," ","YES")</f>
        <v xml:space="preserve"> </v>
      </c>
      <c r="I50">
        <v>10</v>
      </c>
      <c r="J50">
        <v>10</v>
      </c>
      <c r="L50">
        <v>10</v>
      </c>
      <c r="N50">
        <v>10</v>
      </c>
      <c r="O50" t="s">
        <v>2026</v>
      </c>
      <c r="P50" t="s">
        <v>2027</v>
      </c>
      <c r="Q50" t="s">
        <v>2052</v>
      </c>
      <c r="R50" t="s">
        <v>1996</v>
      </c>
      <c r="T50" s="40">
        <v>45434</v>
      </c>
      <c r="U50" s="40">
        <v>45435</v>
      </c>
      <c r="V50" s="40">
        <v>45467</v>
      </c>
      <c r="W50" s="40">
        <v>45467</v>
      </c>
      <c r="X50" s="157">
        <v>55523</v>
      </c>
      <c r="Y50" s="40" t="str" cm="1">
        <f t="array" aca="1" ref="Y50" ca="1">TRIM(SUBSTITUTE(_xlfn.ARRAYTOTEXT(IFERROR(CONCATENATE(SUMIF(INDIRECT("'"&amp;Assemblies[Assy]&amp;"'!"&amp;"C$5:C1000"), $C50, INDIRECT("'"&amp;Assemblies[Assy]&amp;"'!"&amp;"O$5:O1000")), "x",Assemblies[Assy],".",IF(SUMIF(INDIRECT("'"&amp;Assemblies[Assy]&amp;"'!"&amp;"C$5:C1000"), $C50, INDIRECT("'"&amp;Assemblies[Assy]&amp;"'!"&amp;"A$5:A1000"))=0,NA(),SUMIF(INDIRECT("'"&amp;Assemblies[Assy]&amp;"'!"&amp;"C$5:C1000"), $C50, INDIRECT("'"&amp;Assemblies[Assy]&amp;"'!"&amp;"A$5:A1000")))),"")), " ,", ""))</f>
        <v>, 4x1.3.3, 6x2.3.3,</v>
      </c>
      <c r="Z50" s="136">
        <v>0</v>
      </c>
      <c r="AA50" s="141">
        <v>0</v>
      </c>
      <c r="AB50" s="136">
        <v>0</v>
      </c>
      <c r="AC50" s="39">
        <v>0</v>
      </c>
      <c r="AD50" s="141" t="s">
        <v>1473</v>
      </c>
      <c r="AE50" s="296">
        <v>55546</v>
      </c>
      <c r="AF50" s="141"/>
      <c r="AG50"/>
    </row>
    <row r="51" spans="1:33" x14ac:dyDescent="0.25">
      <c r="A51" s="24" t="s">
        <v>2108</v>
      </c>
      <c r="B51" s="134" t="s">
        <v>54</v>
      </c>
      <c r="C51" t="str">
        <f>_xlfn.CONCAT(A51,".",B51)</f>
        <v>PG10.1.3.4.1.A</v>
      </c>
      <c r="D51" t="s">
        <v>2109</v>
      </c>
      <c r="E51" s="18">
        <v>1935</v>
      </c>
      <c r="F51" s="19" cm="1">
        <f t="array" aca="1" ref="F51" ca="1">SUMPRODUCT(SUMIF(INDIRECT("'"&amp;Assemblies[Assy]&amp;"'!"&amp;"C5:C1000"),C51,(INDIRECT("'"&amp;Assemblies[Assy]&amp;"'!"&amp;"O5:O1000"))))</f>
        <v>2</v>
      </c>
      <c r="G51" s="19">
        <v>2</v>
      </c>
      <c r="H51" s="19" t="str">
        <f ca="1">IF(F51&lt;=G51," ","YES")</f>
        <v xml:space="preserve"> </v>
      </c>
      <c r="I51">
        <v>2</v>
      </c>
      <c r="J51">
        <v>2</v>
      </c>
      <c r="L51">
        <v>2</v>
      </c>
      <c r="N51">
        <v>2</v>
      </c>
      <c r="O51" t="s">
        <v>2088</v>
      </c>
      <c r="P51" t="s">
        <v>2110</v>
      </c>
      <c r="R51" t="s">
        <v>2090</v>
      </c>
      <c r="S51" t="s">
        <v>2111</v>
      </c>
      <c r="T51" s="40">
        <v>45413</v>
      </c>
      <c r="U51" s="40">
        <v>45442</v>
      </c>
      <c r="V51" s="40">
        <v>45519</v>
      </c>
      <c r="W51" s="40">
        <v>45541</v>
      </c>
      <c r="X51" s="157">
        <v>55526</v>
      </c>
      <c r="Y51" s="40" t="str" cm="1">
        <f t="array" aca="1" ref="Y51" ca="1">TRIM(SUBSTITUTE(_xlfn.ARRAYTOTEXT(IFERROR(CONCATENATE(SUMIF(INDIRECT("'"&amp;Assemblies[Assy]&amp;"'!"&amp;"C$5:C1000"), $C51, INDIRECT("'"&amp;Assemblies[Assy]&amp;"'!"&amp;"O$5:O1000")), "x",Assemblies[Assy],".",IF(SUMIF(INDIRECT("'"&amp;Assemblies[Assy]&amp;"'!"&amp;"C$5:C1000"), $C51, INDIRECT("'"&amp;Assemblies[Assy]&amp;"'!"&amp;"A$5:A1000"))=0,NA(),SUMIF(INDIRECT("'"&amp;Assemblies[Assy]&amp;"'!"&amp;"C$5:C1000"), $C51, INDIRECT("'"&amp;Assemblies[Assy]&amp;"'!"&amp;"A$5:A1000")))),"")), " ,", ""))</f>
        <v>, 2x1.3.4.1,</v>
      </c>
      <c r="Z51" s="141">
        <v>0</v>
      </c>
      <c r="AA51" s="141">
        <v>0</v>
      </c>
      <c r="AB51" s="141">
        <v>0</v>
      </c>
      <c r="AC51" s="39">
        <v>0</v>
      </c>
      <c r="AD51" s="141" t="s">
        <v>1473</v>
      </c>
      <c r="AE51" s="296"/>
      <c r="AF51" s="141"/>
      <c r="AG51"/>
    </row>
    <row r="52" spans="1:33" x14ac:dyDescent="0.25">
      <c r="A52" s="24" t="s">
        <v>2112</v>
      </c>
      <c r="B52" s="134" t="s">
        <v>54</v>
      </c>
      <c r="C52" t="str">
        <f>_xlfn.CONCAT(A52,".",B52)</f>
        <v>PG10.1.3.4.A</v>
      </c>
      <c r="D52" t="s">
        <v>2113</v>
      </c>
      <c r="E52" s="18">
        <v>122.5</v>
      </c>
      <c r="F52" s="19" cm="1">
        <f t="array" aca="1" ref="F52" ca="1">SUMPRODUCT(SUMIF(INDIRECT("'"&amp;Assemblies[Assy]&amp;"'!"&amp;"C5:C1000"),C52,(INDIRECT("'"&amp;Assemblies[Assy]&amp;"'!"&amp;"O5:O1000"))))</f>
        <v>10</v>
      </c>
      <c r="G52" s="19">
        <v>10</v>
      </c>
      <c r="H52" s="19" t="str">
        <f ca="1">IF(F52&lt;=G52," ","YES")</f>
        <v xml:space="preserve"> </v>
      </c>
      <c r="I52">
        <v>10</v>
      </c>
      <c r="J52">
        <v>10</v>
      </c>
      <c r="L52">
        <v>10</v>
      </c>
      <c r="N52">
        <v>10</v>
      </c>
      <c r="O52" t="s">
        <v>2026</v>
      </c>
      <c r="P52" t="s">
        <v>2027</v>
      </c>
      <c r="Q52" t="s">
        <v>2052</v>
      </c>
      <c r="R52" t="s">
        <v>1996</v>
      </c>
      <c r="T52" s="40">
        <v>45434</v>
      </c>
      <c r="U52" s="40">
        <v>45435</v>
      </c>
      <c r="V52" s="40">
        <v>45467</v>
      </c>
      <c r="W52" s="40">
        <v>45467</v>
      </c>
      <c r="X52" s="157">
        <v>55523</v>
      </c>
      <c r="Y52" s="40" t="str" cm="1">
        <f t="array" aca="1" ref="Y52" ca="1">TRIM(SUBSTITUTE(_xlfn.ARRAYTOTEXT(IFERROR(CONCATENATE(SUMIF(INDIRECT("'"&amp;Assemblies[Assy]&amp;"'!"&amp;"C$5:C1000"), $C52, INDIRECT("'"&amp;Assemblies[Assy]&amp;"'!"&amp;"O$5:O1000")), "x",Assemblies[Assy],".",IF(SUMIF(INDIRECT("'"&amp;Assemblies[Assy]&amp;"'!"&amp;"C$5:C1000"), $C52, INDIRECT("'"&amp;Assemblies[Assy]&amp;"'!"&amp;"A$5:A1000"))=0,NA(),SUMIF(INDIRECT("'"&amp;Assemblies[Assy]&amp;"'!"&amp;"C$5:C1000"), $C52, INDIRECT("'"&amp;Assemblies[Assy]&amp;"'!"&amp;"A$5:A1000")))),"")), " ,", ""))</f>
        <v>, 4x1.3.4, 6x2.3.4,</v>
      </c>
      <c r="Z52" s="136">
        <v>0</v>
      </c>
      <c r="AA52" s="141">
        <v>0</v>
      </c>
      <c r="AB52" s="136">
        <v>0</v>
      </c>
      <c r="AC52" s="39">
        <v>0</v>
      </c>
      <c r="AD52" s="141" t="s">
        <v>1473</v>
      </c>
      <c r="AE52" s="296">
        <v>55546</v>
      </c>
      <c r="AF52" s="141"/>
      <c r="AG52"/>
    </row>
    <row r="53" spans="1:33" x14ac:dyDescent="0.25">
      <c r="A53" s="24" t="s">
        <v>2114</v>
      </c>
      <c r="B53" s="134" t="s">
        <v>54</v>
      </c>
      <c r="C53" t="str">
        <f>_xlfn.CONCAT(A53,".",B53)</f>
        <v>PG10.1.3.5.1.A</v>
      </c>
      <c r="D53" t="s">
        <v>2105</v>
      </c>
      <c r="E53" s="18">
        <v>50</v>
      </c>
      <c r="F53" s="19" cm="1">
        <f t="array" aca="1" ref="F53" ca="1">SUMPRODUCT(SUMIF(INDIRECT("'"&amp;Assemblies[Assy]&amp;"'!"&amp;"C5:C1000"),C53,(INDIRECT("'"&amp;Assemblies[Assy]&amp;"'!"&amp;"O5:O1000"))))</f>
        <v>5</v>
      </c>
      <c r="G53" s="19">
        <v>5</v>
      </c>
      <c r="H53" s="19" t="str">
        <f ca="1">IF(F53&lt;=G53," ","YES")</f>
        <v xml:space="preserve"> </v>
      </c>
      <c r="I53">
        <v>5</v>
      </c>
      <c r="J53">
        <v>5</v>
      </c>
      <c r="L53">
        <v>5</v>
      </c>
      <c r="N53">
        <v>5</v>
      </c>
      <c r="O53" t="s">
        <v>1986</v>
      </c>
      <c r="P53" t="s">
        <v>1987</v>
      </c>
      <c r="Q53" t="s">
        <v>1988</v>
      </c>
      <c r="R53" t="s">
        <v>1996</v>
      </c>
      <c r="T53" s="40">
        <v>45434</v>
      </c>
      <c r="U53" s="40">
        <v>45435</v>
      </c>
      <c r="V53" s="40">
        <v>45467</v>
      </c>
      <c r="W53" s="40">
        <v>45467</v>
      </c>
      <c r="X53" s="157">
        <v>55523</v>
      </c>
      <c r="Y53" s="40" t="str" cm="1">
        <f t="array" aca="1" ref="Y53" ca="1">TRIM(SUBSTITUTE(_xlfn.ARRAYTOTEXT(IFERROR(CONCATENATE(SUMIF(INDIRECT("'"&amp;Assemblies[Assy]&amp;"'!"&amp;"C$5:C1000"), $C53, INDIRECT("'"&amp;Assemblies[Assy]&amp;"'!"&amp;"O$5:O1000")), "x",Assemblies[Assy],".",IF(SUMIF(INDIRECT("'"&amp;Assemblies[Assy]&amp;"'!"&amp;"C$5:C1000"), $C53, INDIRECT("'"&amp;Assemblies[Assy]&amp;"'!"&amp;"A$5:A1000"))=0,NA(),SUMIF(INDIRECT("'"&amp;Assemblies[Assy]&amp;"'!"&amp;"C$5:C1000"), $C53, INDIRECT("'"&amp;Assemblies[Assy]&amp;"'!"&amp;"A$5:A1000")))),"")), " ,", ""))</f>
        <v>, 5x1.3.5.1,</v>
      </c>
      <c r="Z53" s="141">
        <v>0</v>
      </c>
      <c r="AA53" s="141">
        <v>0</v>
      </c>
      <c r="AB53" s="141">
        <v>0</v>
      </c>
      <c r="AC53" s="39">
        <v>0</v>
      </c>
      <c r="AD53" s="141" t="s">
        <v>1473</v>
      </c>
      <c r="AE53" s="296">
        <v>55547</v>
      </c>
      <c r="AF53" s="141"/>
      <c r="AG53"/>
    </row>
    <row r="54" spans="1:33" x14ac:dyDescent="0.25">
      <c r="A54" s="24" t="s">
        <v>2115</v>
      </c>
      <c r="B54" s="134" t="s">
        <v>54</v>
      </c>
      <c r="C54" t="str">
        <f>_xlfn.CONCAT(A54,".",B54)</f>
        <v>PG10.1.3.5.A</v>
      </c>
      <c r="D54" t="s">
        <v>2116</v>
      </c>
      <c r="E54" s="18">
        <v>257.7</v>
      </c>
      <c r="F54" s="19" cm="1">
        <f t="array" aca="1" ref="F54" ca="1">SUMPRODUCT(SUMIF(INDIRECT("'"&amp;Assemblies[Assy]&amp;"'!"&amp;"C5:C1000"),C54,(INDIRECT("'"&amp;Assemblies[Assy]&amp;"'!"&amp;"O5:O1000"))))</f>
        <v>4</v>
      </c>
      <c r="G54" s="19">
        <v>4</v>
      </c>
      <c r="H54" s="19" t="str">
        <f ca="1">IF(F54&lt;=G54," ","YES")</f>
        <v xml:space="preserve"> </v>
      </c>
      <c r="I54">
        <v>4</v>
      </c>
      <c r="J54">
        <v>4</v>
      </c>
      <c r="L54">
        <v>4</v>
      </c>
      <c r="N54">
        <v>4</v>
      </c>
      <c r="O54" t="s">
        <v>2026</v>
      </c>
      <c r="P54" t="s">
        <v>2027</v>
      </c>
      <c r="Q54" t="s">
        <v>1988</v>
      </c>
      <c r="R54" t="s">
        <v>1989</v>
      </c>
      <c r="T54" s="40">
        <v>45435</v>
      </c>
      <c r="U54" s="40">
        <v>45446</v>
      </c>
      <c r="V54" s="40">
        <v>45481</v>
      </c>
      <c r="W54" s="40">
        <v>45481</v>
      </c>
      <c r="X54" s="157">
        <v>55532</v>
      </c>
      <c r="Y54" s="40" t="str" cm="1">
        <f t="array" aca="1" ref="Y54" ca="1">TRIM(SUBSTITUTE(_xlfn.ARRAYTOTEXT(IFERROR(CONCATENATE(SUMIF(INDIRECT("'"&amp;Assemblies[Assy]&amp;"'!"&amp;"C$5:C1000"), $C54, INDIRECT("'"&amp;Assemblies[Assy]&amp;"'!"&amp;"O$5:O1000")), "x",Assemblies[Assy],".",IF(SUMIF(INDIRECT("'"&amp;Assemblies[Assy]&amp;"'!"&amp;"C$5:C1000"), $C54, INDIRECT("'"&amp;Assemblies[Assy]&amp;"'!"&amp;"A$5:A1000"))=0,NA(),SUMIF(INDIRECT("'"&amp;Assemblies[Assy]&amp;"'!"&amp;"C$5:C1000"), $C54, INDIRECT("'"&amp;Assemblies[Assy]&amp;"'!"&amp;"A$5:A1000")))),"")), " ,", ""))</f>
        <v>, 4x1.3.5,</v>
      </c>
      <c r="Z54" s="136">
        <v>0</v>
      </c>
      <c r="AA54" s="141">
        <v>0</v>
      </c>
      <c r="AB54" s="136">
        <v>0</v>
      </c>
      <c r="AC54" s="39">
        <v>0</v>
      </c>
      <c r="AD54" s="141" t="s">
        <v>1473</v>
      </c>
      <c r="AE54" s="296">
        <v>55598</v>
      </c>
      <c r="AF54" s="156"/>
      <c r="AG54"/>
    </row>
    <row r="55" spans="1:33" x14ac:dyDescent="0.25">
      <c r="A55" s="24" t="s">
        <v>2117</v>
      </c>
      <c r="B55" s="134" t="s">
        <v>54</v>
      </c>
      <c r="C55" t="str">
        <f>_xlfn.CONCAT(A55,".",B55)</f>
        <v>PG10.1.3.6.A</v>
      </c>
      <c r="D55" t="s">
        <v>2118</v>
      </c>
      <c r="E55" s="18">
        <v>99.4</v>
      </c>
      <c r="F55" s="19" cm="1">
        <f t="array" aca="1" ref="F55" ca="1">SUMPRODUCT(SUMIF(INDIRECT("'"&amp;Assemblies[Assy]&amp;"'!"&amp;"C5:C1000"),C55,(INDIRECT("'"&amp;Assemblies[Assy]&amp;"'!"&amp;"O5:O1000"))))</f>
        <v>10</v>
      </c>
      <c r="G55" s="19">
        <v>10</v>
      </c>
      <c r="H55" s="19" t="str">
        <f ca="1">IF(F55&lt;=G55," ","YES")</f>
        <v xml:space="preserve"> </v>
      </c>
      <c r="I55">
        <v>10</v>
      </c>
      <c r="J55">
        <v>10</v>
      </c>
      <c r="L55">
        <v>10</v>
      </c>
      <c r="N55">
        <v>10</v>
      </c>
      <c r="O55" t="s">
        <v>2026</v>
      </c>
      <c r="P55" t="s">
        <v>2027</v>
      </c>
      <c r="Q55" t="s">
        <v>1988</v>
      </c>
      <c r="R55" t="s">
        <v>1989</v>
      </c>
      <c r="T55" s="40">
        <v>45435</v>
      </c>
      <c r="U55" s="40">
        <v>45446</v>
      </c>
      <c r="V55" s="40">
        <v>45481</v>
      </c>
      <c r="W55" s="40">
        <v>45481</v>
      </c>
      <c r="X55" s="157">
        <v>55532</v>
      </c>
      <c r="Y55" s="40" t="str" cm="1">
        <f t="array" aca="1" ref="Y55" ca="1">TRIM(SUBSTITUTE(_xlfn.ARRAYTOTEXT(IFERROR(CONCATENATE(SUMIF(INDIRECT("'"&amp;Assemblies[Assy]&amp;"'!"&amp;"C$5:C1000"), $C55, INDIRECT("'"&amp;Assemblies[Assy]&amp;"'!"&amp;"O$5:O1000")), "x",Assemblies[Assy],".",IF(SUMIF(INDIRECT("'"&amp;Assemblies[Assy]&amp;"'!"&amp;"C$5:C1000"), $C55, INDIRECT("'"&amp;Assemblies[Assy]&amp;"'!"&amp;"A$5:A1000"))=0,NA(),SUMIF(INDIRECT("'"&amp;Assemblies[Assy]&amp;"'!"&amp;"C$5:C1000"), $C55, INDIRECT("'"&amp;Assemblies[Assy]&amp;"'!"&amp;"A$5:A1000")))),"")), " ,", ""))</f>
        <v>, 4x1.3.6, 6x2.3.6,</v>
      </c>
      <c r="Z55" s="136">
        <v>0</v>
      </c>
      <c r="AA55" s="141">
        <v>0</v>
      </c>
      <c r="AB55" s="136">
        <v>0</v>
      </c>
      <c r="AC55" s="39">
        <v>0</v>
      </c>
      <c r="AD55" s="141" t="s">
        <v>1473</v>
      </c>
      <c r="AE55" s="296">
        <v>55598</v>
      </c>
      <c r="AF55" s="156"/>
      <c r="AG55"/>
    </row>
    <row r="56" spans="1:33" x14ac:dyDescent="0.25">
      <c r="A56" s="24" t="s">
        <v>2119</v>
      </c>
      <c r="B56" s="134" t="s">
        <v>54</v>
      </c>
      <c r="C56" t="str">
        <f>_xlfn.CONCAT(A56,".",B56)</f>
        <v>PG10.1.3.7.A</v>
      </c>
      <c r="D56" t="s">
        <v>2120</v>
      </c>
      <c r="E56" s="18">
        <v>622.54999999999995</v>
      </c>
      <c r="F56" s="19" cm="1">
        <f t="array" aca="1" ref="F56" ca="1">SUMPRODUCT(SUMIF(INDIRECT("'"&amp;Assemblies[Assy]&amp;"'!"&amp;"C5:C1000"),C56,(INDIRECT("'"&amp;Assemblies[Assy]&amp;"'!"&amp;"O5:O1000"))))</f>
        <v>5</v>
      </c>
      <c r="G56" s="19">
        <v>5</v>
      </c>
      <c r="H56" s="19" t="str">
        <f ca="1">IF(F56&lt;=G56," ","YES")</f>
        <v xml:space="preserve"> </v>
      </c>
      <c r="I56">
        <v>6</v>
      </c>
      <c r="J56">
        <v>6</v>
      </c>
      <c r="K56" s="40">
        <v>45511</v>
      </c>
      <c r="L56">
        <v>6</v>
      </c>
      <c r="M56" s="40">
        <v>45520</v>
      </c>
      <c r="N56">
        <v>6</v>
      </c>
      <c r="O56" t="s">
        <v>1986</v>
      </c>
      <c r="P56" t="s">
        <v>1987</v>
      </c>
      <c r="Q56" t="s">
        <v>1988</v>
      </c>
      <c r="R56" t="s">
        <v>2068</v>
      </c>
      <c r="S56" t="s">
        <v>2104</v>
      </c>
      <c r="T56" s="40">
        <v>45435</v>
      </c>
      <c r="U56" s="40">
        <v>45448</v>
      </c>
      <c r="V56" s="40">
        <v>45504</v>
      </c>
      <c r="W56" s="40">
        <v>45504</v>
      </c>
      <c r="X56" s="157">
        <v>55540</v>
      </c>
      <c r="Y56" s="40" t="str" cm="1">
        <f t="array" aca="1" ref="Y56" ca="1">TRIM(SUBSTITUTE(_xlfn.ARRAYTOTEXT(IFERROR(CONCATENATE(SUMIF(INDIRECT("'"&amp;Assemblies[Assy]&amp;"'!"&amp;"C$5:C1000"), $C56, INDIRECT("'"&amp;Assemblies[Assy]&amp;"'!"&amp;"O$5:O1000")), "x",Assemblies[Assy],".",IF(SUMIF(INDIRECT("'"&amp;Assemblies[Assy]&amp;"'!"&amp;"C$5:C1000"), $C56, INDIRECT("'"&amp;Assemblies[Assy]&amp;"'!"&amp;"A$5:A1000"))=0,NA(),SUMIF(INDIRECT("'"&amp;Assemblies[Assy]&amp;"'!"&amp;"C$5:C1000"), $C56, INDIRECT("'"&amp;Assemblies[Assy]&amp;"'!"&amp;"A$5:A1000")))),"")), " ,", ""))</f>
        <v>, 2x1.3.7, 3x2.3.7,</v>
      </c>
      <c r="Z56" s="136">
        <v>0</v>
      </c>
      <c r="AA56" s="141">
        <v>0</v>
      </c>
      <c r="AB56" s="136">
        <v>0</v>
      </c>
      <c r="AC56" s="39">
        <v>0</v>
      </c>
      <c r="AD56" s="141" t="s">
        <v>1473</v>
      </c>
      <c r="AE56" s="296">
        <v>55668</v>
      </c>
      <c r="AF56" s="156"/>
      <c r="AG56"/>
    </row>
    <row r="57" spans="1:33" x14ac:dyDescent="0.25">
      <c r="A57" s="24" t="s">
        <v>2121</v>
      </c>
      <c r="B57" s="134" t="s">
        <v>54</v>
      </c>
      <c r="C57" t="str">
        <f>_xlfn.CONCAT(A57,".",B57)</f>
        <v>PG10.1.3.8.A</v>
      </c>
      <c r="D57" t="s">
        <v>2122</v>
      </c>
      <c r="E57" s="18">
        <v>99.35</v>
      </c>
      <c r="F57" s="19" cm="1">
        <f t="array" aca="1" ref="F57" ca="1">SUMPRODUCT(SUMIF(INDIRECT("'"&amp;Assemblies[Assy]&amp;"'!"&amp;"C5:C1000"),C57,(INDIRECT("'"&amp;Assemblies[Assy]&amp;"'!"&amp;"O5:O1000"))))</f>
        <v>10</v>
      </c>
      <c r="G57" s="19">
        <v>10</v>
      </c>
      <c r="H57" s="19" t="str">
        <f ca="1">IF(F57&lt;=G57," ","YES")</f>
        <v xml:space="preserve"> </v>
      </c>
      <c r="I57">
        <v>10</v>
      </c>
      <c r="J57">
        <v>10</v>
      </c>
      <c r="L57">
        <v>10</v>
      </c>
      <c r="N57">
        <v>10</v>
      </c>
      <c r="O57" t="s">
        <v>1986</v>
      </c>
      <c r="P57" t="s">
        <v>1987</v>
      </c>
      <c r="Q57" t="s">
        <v>1988</v>
      </c>
      <c r="R57" t="s">
        <v>1989</v>
      </c>
      <c r="S57" t="s">
        <v>2095</v>
      </c>
      <c r="T57" s="40">
        <v>45435</v>
      </c>
      <c r="U57" s="40">
        <v>45446</v>
      </c>
      <c r="V57" s="40">
        <v>45481</v>
      </c>
      <c r="W57" s="40">
        <v>45481</v>
      </c>
      <c r="X57" s="157">
        <v>55532</v>
      </c>
      <c r="Y57" s="40" t="str" cm="1">
        <f t="array" aca="1" ref="Y57" ca="1">TRIM(SUBSTITUTE(_xlfn.ARRAYTOTEXT(IFERROR(CONCATENATE(SUMIF(INDIRECT("'"&amp;Assemblies[Assy]&amp;"'!"&amp;"C$5:C1000"), $C57, INDIRECT("'"&amp;Assemblies[Assy]&amp;"'!"&amp;"O$5:O1000")), "x",Assemblies[Assy],".",IF(SUMIF(INDIRECT("'"&amp;Assemblies[Assy]&amp;"'!"&amp;"C$5:C1000"), $C57, INDIRECT("'"&amp;Assemblies[Assy]&amp;"'!"&amp;"A$5:A1000"))=0,NA(),SUMIF(INDIRECT("'"&amp;Assemblies[Assy]&amp;"'!"&amp;"C$5:C1000"), $C57, INDIRECT("'"&amp;Assemblies[Assy]&amp;"'!"&amp;"A$5:A1000")))),"")), " ,", ""))</f>
        <v>, 4x1.3.8, 6x2.3.8,</v>
      </c>
      <c r="Z57" s="141">
        <v>0</v>
      </c>
      <c r="AA57" s="141">
        <v>0</v>
      </c>
      <c r="AB57" s="136">
        <v>0</v>
      </c>
      <c r="AC57" s="39">
        <v>0</v>
      </c>
      <c r="AD57" s="141" t="s">
        <v>1473</v>
      </c>
      <c r="AE57" s="296">
        <v>55597</v>
      </c>
      <c r="AF57" s="156"/>
      <c r="AG57"/>
    </row>
    <row r="58" spans="1:33" x14ac:dyDescent="0.25">
      <c r="A58" s="24" t="s">
        <v>2123</v>
      </c>
      <c r="B58" s="134" t="s">
        <v>54</v>
      </c>
      <c r="C58" t="str">
        <f>_xlfn.CONCAT(A58,".",B58)</f>
        <v>PG10.1.3.9.A</v>
      </c>
      <c r="D58" t="s">
        <v>2124</v>
      </c>
      <c r="E58" s="18">
        <v>56.5</v>
      </c>
      <c r="F58" s="19" cm="1">
        <f t="array" aca="1" ref="F58" ca="1">SUMPRODUCT(SUMIF(INDIRECT("'"&amp;Assemblies[Assy]&amp;"'!"&amp;"C5:C1000"),C58,(INDIRECT("'"&amp;Assemblies[Assy]&amp;"'!"&amp;"O5:O1000"))))</f>
        <v>10</v>
      </c>
      <c r="G58" s="19">
        <v>10</v>
      </c>
      <c r="H58" s="19" t="str">
        <f ca="1">IF(F58&lt;=G58," ","YES")</f>
        <v xml:space="preserve"> </v>
      </c>
      <c r="I58">
        <v>10</v>
      </c>
      <c r="J58">
        <v>10</v>
      </c>
      <c r="L58">
        <v>10</v>
      </c>
      <c r="N58">
        <v>10</v>
      </c>
      <c r="O58" t="s">
        <v>1986</v>
      </c>
      <c r="P58" t="s">
        <v>1987</v>
      </c>
      <c r="Q58" t="s">
        <v>1988</v>
      </c>
      <c r="R58" t="s">
        <v>1989</v>
      </c>
      <c r="S58" t="s">
        <v>2095</v>
      </c>
      <c r="T58" s="40">
        <v>45435</v>
      </c>
      <c r="U58" s="40">
        <v>45446</v>
      </c>
      <c r="V58" s="40">
        <v>45481</v>
      </c>
      <c r="W58" s="40">
        <v>45481</v>
      </c>
      <c r="X58" s="157">
        <v>55532</v>
      </c>
      <c r="Y58" s="40" t="str" cm="1">
        <f t="array" aca="1" ref="Y58" ca="1">TRIM(SUBSTITUTE(_xlfn.ARRAYTOTEXT(IFERROR(CONCATENATE(SUMIF(INDIRECT("'"&amp;Assemblies[Assy]&amp;"'!"&amp;"C$5:C1000"), $C58, INDIRECT("'"&amp;Assemblies[Assy]&amp;"'!"&amp;"O$5:O1000")), "x",Assemblies[Assy],".",IF(SUMIF(INDIRECT("'"&amp;Assemblies[Assy]&amp;"'!"&amp;"C$5:C1000"), $C58, INDIRECT("'"&amp;Assemblies[Assy]&amp;"'!"&amp;"A$5:A1000"))=0,NA(),SUMIF(INDIRECT("'"&amp;Assemblies[Assy]&amp;"'!"&amp;"C$5:C1000"), $C58, INDIRECT("'"&amp;Assemblies[Assy]&amp;"'!"&amp;"A$5:A1000")))),"")), " ,", ""))</f>
        <v>, 4x1.3.9, 6x2.3.9,</v>
      </c>
      <c r="Z58" s="141">
        <v>0</v>
      </c>
      <c r="AA58" s="141">
        <v>0</v>
      </c>
      <c r="AB58" s="136">
        <v>0</v>
      </c>
      <c r="AC58" s="39">
        <v>0</v>
      </c>
      <c r="AD58" s="141" t="s">
        <v>1473</v>
      </c>
      <c r="AE58" s="296">
        <v>55597</v>
      </c>
      <c r="AF58" s="156"/>
      <c r="AG58"/>
    </row>
    <row r="59" spans="1:33" x14ac:dyDescent="0.25">
      <c r="A59" s="24" t="s">
        <v>2125</v>
      </c>
      <c r="B59" s="134" t="s">
        <v>54</v>
      </c>
      <c r="C59" t="str">
        <f>_xlfn.CONCAT(A59,".",B59)</f>
        <v>PG10.1.4.1.1.A</v>
      </c>
      <c r="D59" t="s">
        <v>2126</v>
      </c>
      <c r="E59" s="18">
        <v>49.5</v>
      </c>
      <c r="F59" s="19" cm="1">
        <f t="array" aca="1" ref="F59" ca="1">SUMPRODUCT(SUMIF(INDIRECT("'"&amp;Assemblies[Assy]&amp;"'!"&amp;"C5:C1000"),C59,(INDIRECT("'"&amp;Assemblies[Assy]&amp;"'!"&amp;"O5:O1000"))))</f>
        <v>16</v>
      </c>
      <c r="G59" s="19">
        <v>16</v>
      </c>
      <c r="H59" s="19" t="str">
        <f ca="1">IF(F59&lt;=G59," ","YES")</f>
        <v xml:space="preserve"> </v>
      </c>
      <c r="I59">
        <v>16</v>
      </c>
      <c r="J59">
        <v>16</v>
      </c>
      <c r="L59">
        <v>16</v>
      </c>
      <c r="N59">
        <v>16</v>
      </c>
      <c r="O59" t="s">
        <v>1986</v>
      </c>
      <c r="P59" t="s">
        <v>1987</v>
      </c>
      <c r="Q59" t="s">
        <v>1988</v>
      </c>
      <c r="R59" t="s">
        <v>1989</v>
      </c>
      <c r="T59" s="40">
        <v>45435</v>
      </c>
      <c r="U59" s="40">
        <v>45453</v>
      </c>
      <c r="V59" s="40">
        <v>45490</v>
      </c>
      <c r="W59" s="40">
        <v>45490</v>
      </c>
      <c r="X59" s="157">
        <v>55545</v>
      </c>
      <c r="Y59" s="40" t="str" cm="1">
        <f t="array" aca="1" ref="Y59" ca="1">TRIM(SUBSTITUTE(_xlfn.ARRAYTOTEXT(IFERROR(CONCATENATE(SUMIF(INDIRECT("'"&amp;Assemblies[Assy]&amp;"'!"&amp;"C$5:C1000"), $C59, INDIRECT("'"&amp;Assemblies[Assy]&amp;"'!"&amp;"O$5:O1000")), "x",Assemblies[Assy],".",IF(SUMIF(INDIRECT("'"&amp;Assemblies[Assy]&amp;"'!"&amp;"C$5:C1000"), $C59, INDIRECT("'"&amp;Assemblies[Assy]&amp;"'!"&amp;"A$5:A1000"))=0,NA(),SUMIF(INDIRECT("'"&amp;Assemblies[Assy]&amp;"'!"&amp;"C$5:C1000"), $C59, INDIRECT("'"&amp;Assemblies[Assy]&amp;"'!"&amp;"A$5:A1000")))),"")), " ,", ""))</f>
        <v>, 16x1.4.1.1,</v>
      </c>
      <c r="Z59" s="141">
        <v>0</v>
      </c>
      <c r="AA59" s="141">
        <v>0</v>
      </c>
      <c r="AB59" s="136">
        <v>0</v>
      </c>
      <c r="AC59" s="39">
        <v>0</v>
      </c>
      <c r="AD59" s="141" t="s">
        <v>1473</v>
      </c>
      <c r="AE59" s="296">
        <v>55597</v>
      </c>
      <c r="AF59" s="156"/>
      <c r="AG59"/>
    </row>
    <row r="60" spans="1:33" x14ac:dyDescent="0.25">
      <c r="A60" s="24" t="s">
        <v>2127</v>
      </c>
      <c r="B60" s="134" t="s">
        <v>54</v>
      </c>
      <c r="C60" t="str">
        <f>_xlfn.CONCAT(A60,".",B60)</f>
        <v>PG10.1.4.1.A</v>
      </c>
      <c r="D60" t="s">
        <v>2128</v>
      </c>
      <c r="E60" s="18">
        <v>67.45</v>
      </c>
      <c r="F60" s="290" cm="1">
        <f t="array" aca="1" ref="F60" ca="1">SUMPRODUCT(SUMIF(INDIRECT("'"&amp;Assemblies[Assy]&amp;"'!"&amp;"C5:C1000"),C60,(INDIRECT("'"&amp;Assemblies[Assy]&amp;"'!"&amp;"O5:O1000"))))</f>
        <v>40</v>
      </c>
      <c r="G60" s="19">
        <v>42</v>
      </c>
      <c r="H60" s="19" t="str">
        <f ca="1">IF(F60&lt;=G60," ","YES")</f>
        <v xml:space="preserve"> </v>
      </c>
      <c r="I60">
        <v>38</v>
      </c>
      <c r="J60">
        <v>38</v>
      </c>
      <c r="L60">
        <v>38</v>
      </c>
      <c r="N60">
        <v>38</v>
      </c>
      <c r="O60" t="s">
        <v>2129</v>
      </c>
      <c r="P60" t="s">
        <v>2130</v>
      </c>
      <c r="Q60" t="s">
        <v>1988</v>
      </c>
      <c r="R60" t="s">
        <v>1989</v>
      </c>
      <c r="S60" t="s">
        <v>3858</v>
      </c>
      <c r="T60" s="40">
        <v>45448</v>
      </c>
      <c r="U60" s="40">
        <v>45453</v>
      </c>
      <c r="V60" s="40">
        <v>45490</v>
      </c>
      <c r="W60" s="40">
        <v>45490</v>
      </c>
      <c r="X60" s="157">
        <v>55545</v>
      </c>
      <c r="Y60" s="40" t="str" cm="1">
        <f t="array" aca="1" ref="Y60" ca="1">TRIM(SUBSTITUTE(_xlfn.ARRAYTOTEXT(IFERROR(CONCATENATE(SUMIF(INDIRECT("'"&amp;Assemblies[Assy]&amp;"'!"&amp;"C$5:C1000"), $C60, INDIRECT("'"&amp;Assemblies[Assy]&amp;"'!"&amp;"O$5:O1000")), "x",Assemblies[Assy],".",IF(SUMIF(INDIRECT("'"&amp;Assemblies[Assy]&amp;"'!"&amp;"C$5:C1000"), $C60, INDIRECT("'"&amp;Assemblies[Assy]&amp;"'!"&amp;"A$5:A1000"))=0,NA(),SUMIF(INDIRECT("'"&amp;Assemblies[Assy]&amp;"'!"&amp;"C$5:C1000"), $C60, INDIRECT("'"&amp;Assemblies[Assy]&amp;"'!"&amp;"A$5:A1000")))),"")), " ,", ""))</f>
        <v>, 2x1.4.1, 2x1.5.2, 36x2.2.1.2.1,</v>
      </c>
      <c r="Z60" s="141">
        <v>0</v>
      </c>
      <c r="AA60" s="141">
        <v>0</v>
      </c>
      <c r="AB60" s="136">
        <v>0</v>
      </c>
      <c r="AC60" s="39">
        <v>0</v>
      </c>
      <c r="AD60" s="141" t="s">
        <v>1473</v>
      </c>
      <c r="AE60" s="296"/>
      <c r="AF60" s="156"/>
      <c r="AG60"/>
    </row>
    <row r="61" spans="1:33" x14ac:dyDescent="0.25">
      <c r="A61" s="24" t="s">
        <v>2006</v>
      </c>
      <c r="B61" s="134" t="s">
        <v>54</v>
      </c>
      <c r="C61" t="str">
        <f>_xlfn.CONCAT(A61,".",B61)</f>
        <v>PG10.1.4.2.A</v>
      </c>
      <c r="D61" t="s">
        <v>2007</v>
      </c>
      <c r="E61" s="18">
        <f>Z61+AA61+AB61+(65*AC61)</f>
        <v>105</v>
      </c>
      <c r="F61" s="19" cm="1">
        <f t="array" aca="1" ref="F61" ca="1">SUMPRODUCT(SUMIF(INDIRECT("'"&amp;Assemblies[Assy]&amp;"'!"&amp;"C5:C1000"),C61,(INDIRECT("'"&amp;Assemblies[Assy]&amp;"'!"&amp;"O5:O1000"))))</f>
        <v>1</v>
      </c>
      <c r="G61" s="19">
        <v>1</v>
      </c>
      <c r="H61" s="19" t="str">
        <f ca="1">IF(F61&lt;=G61," ","YES")</f>
        <v xml:space="preserve"> </v>
      </c>
      <c r="O61" t="s">
        <v>1999</v>
      </c>
      <c r="P61" t="s">
        <v>1993</v>
      </c>
      <c r="R61" t="s">
        <v>2000</v>
      </c>
      <c r="T61" s="40" t="s">
        <v>2001</v>
      </c>
      <c r="U61" s="40">
        <v>45530</v>
      </c>
      <c r="V61" s="40">
        <v>45561</v>
      </c>
      <c r="X61" s="157">
        <v>55708</v>
      </c>
      <c r="Y61" s="40" t="str" cm="1">
        <f t="array" aca="1" ref="Y61" ca="1">TRIM(SUBSTITUTE(_xlfn.ARRAYTOTEXT(IFERROR(CONCATENATE(SUMIF(INDIRECT("'"&amp;Assemblies[Assy]&amp;"'!"&amp;"C$5:C1000"), $C61, INDIRECT("'"&amp;Assemblies[Assy]&amp;"'!"&amp;"O$5:O1000")), "x",Assemblies[Assy],".",IF(SUMIF(INDIRECT("'"&amp;Assemblies[Assy]&amp;"'!"&amp;"C$5:C1000"), $C61, INDIRECT("'"&amp;Assemblies[Assy]&amp;"'!"&amp;"A$5:A1000"))=0,NA(),SUMIF(INDIRECT("'"&amp;Assemblies[Assy]&amp;"'!"&amp;"C$5:C1000"), $C61, INDIRECT("'"&amp;Assemblies[Assy]&amp;"'!"&amp;"A$5:A1000")))),"")), " ,", ""))</f>
        <v>, 1x1.4.2,</v>
      </c>
      <c r="Z61" s="141">
        <v>105</v>
      </c>
      <c r="AA61" s="141">
        <v>0</v>
      </c>
      <c r="AB61" s="136">
        <v>0</v>
      </c>
      <c r="AC61" s="39">
        <v>0</v>
      </c>
      <c r="AD61" s="141" t="s">
        <v>1473</v>
      </c>
      <c r="AE61" s="296"/>
      <c r="AF61" s="156"/>
      <c r="AG61"/>
    </row>
    <row r="62" spans="1:33" x14ac:dyDescent="0.25">
      <c r="A62" s="24" t="s">
        <v>2008</v>
      </c>
      <c r="B62" s="134" t="s">
        <v>54</v>
      </c>
      <c r="C62" t="str">
        <f>_xlfn.CONCAT(A62,".",B62)</f>
        <v>PG10.1.5.1.A</v>
      </c>
      <c r="D62" t="s">
        <v>2007</v>
      </c>
      <c r="E62" s="18">
        <f>Z62+AA62+AB62+(65*AC62)</f>
        <v>110</v>
      </c>
      <c r="F62" s="19" cm="1">
        <f t="array" aca="1" ref="F62" ca="1">SUMPRODUCT(SUMIF(INDIRECT("'"&amp;Assemblies[Assy]&amp;"'!"&amp;"C5:C1000"),C62,(INDIRECT("'"&amp;Assemblies[Assy]&amp;"'!"&amp;"O5:O1000"))))</f>
        <v>1</v>
      </c>
      <c r="G62" s="19">
        <v>1</v>
      </c>
      <c r="H62" s="19" t="str">
        <f ca="1">IF(F62&lt;=G62," ","YES")</f>
        <v xml:space="preserve"> </v>
      </c>
      <c r="O62" t="s">
        <v>1999</v>
      </c>
      <c r="P62" t="s">
        <v>1993</v>
      </c>
      <c r="R62" t="s">
        <v>2000</v>
      </c>
      <c r="T62" s="40" t="s">
        <v>2001</v>
      </c>
      <c r="U62" s="40">
        <v>45530</v>
      </c>
      <c r="V62" s="40">
        <v>45561</v>
      </c>
      <c r="X62" s="157">
        <v>55708</v>
      </c>
      <c r="Y62" s="40" t="str" cm="1">
        <f t="array" aca="1" ref="Y62" ca="1">TRIM(SUBSTITUTE(_xlfn.ARRAYTOTEXT(IFERROR(CONCATENATE(SUMIF(INDIRECT("'"&amp;Assemblies[Assy]&amp;"'!"&amp;"C$5:C1000"), $C62, INDIRECT("'"&amp;Assemblies[Assy]&amp;"'!"&amp;"O$5:O1000")), "x",Assemblies[Assy],".",IF(SUMIF(INDIRECT("'"&amp;Assemblies[Assy]&amp;"'!"&amp;"C$5:C1000"), $C62, INDIRECT("'"&amp;Assemblies[Assy]&amp;"'!"&amp;"A$5:A1000"))=0,NA(),SUMIF(INDIRECT("'"&amp;Assemblies[Assy]&amp;"'!"&amp;"C$5:C1000"), $C62, INDIRECT("'"&amp;Assemblies[Assy]&amp;"'!"&amp;"A$5:A1000")))),"")), " ,", ""))</f>
        <v>, 1x1.5.1,</v>
      </c>
      <c r="Z62" s="141">
        <v>110</v>
      </c>
      <c r="AA62" s="141">
        <v>0</v>
      </c>
      <c r="AB62" s="141">
        <v>0</v>
      </c>
      <c r="AC62" s="39">
        <v>0</v>
      </c>
      <c r="AD62" s="141" t="s">
        <v>1473</v>
      </c>
      <c r="AE62" s="296"/>
      <c r="AF62" s="141"/>
      <c r="AG62"/>
    </row>
    <row r="63" spans="1:33" x14ac:dyDescent="0.25">
      <c r="A63" s="24" t="s">
        <v>2136</v>
      </c>
      <c r="B63" s="134" t="s">
        <v>54</v>
      </c>
      <c r="C63" t="str">
        <f>_xlfn.CONCAT(A63,".",B63)</f>
        <v>PG10.1.6.1.A</v>
      </c>
      <c r="D63" t="s">
        <v>2137</v>
      </c>
      <c r="E63" s="18">
        <v>218.5</v>
      </c>
      <c r="F63" s="19" cm="1">
        <f t="array" aca="1" ref="F63" ca="1">SUMPRODUCT(SUMIF(INDIRECT("'"&amp;Assemblies[Assy]&amp;"'!"&amp;"C5:C1000"),C63,(INDIRECT("'"&amp;Assemblies[Assy]&amp;"'!"&amp;"O5:O1000"))))</f>
        <v>2</v>
      </c>
      <c r="G63" s="19">
        <v>2</v>
      </c>
      <c r="H63" s="19" t="str">
        <f ca="1">IF(F63&lt;=G63," ","YES")</f>
        <v xml:space="preserve"> </v>
      </c>
      <c r="I63">
        <v>2</v>
      </c>
      <c r="J63">
        <v>2</v>
      </c>
      <c r="L63">
        <v>2</v>
      </c>
      <c r="N63">
        <v>2</v>
      </c>
      <c r="O63" t="s">
        <v>1986</v>
      </c>
      <c r="P63" t="s">
        <v>1987</v>
      </c>
      <c r="Q63" t="s">
        <v>1988</v>
      </c>
      <c r="R63" t="s">
        <v>1996</v>
      </c>
      <c r="T63" s="40">
        <v>45434</v>
      </c>
      <c r="U63" s="40">
        <v>45435</v>
      </c>
      <c r="V63" s="40">
        <v>45467</v>
      </c>
      <c r="W63" s="40">
        <v>45467</v>
      </c>
      <c r="X63" s="157">
        <v>55523</v>
      </c>
      <c r="Y63" s="40" t="str" cm="1">
        <f t="array" aca="1" ref="Y63" ca="1">TRIM(SUBSTITUTE(_xlfn.ARRAYTOTEXT(IFERROR(CONCATENATE(SUMIF(INDIRECT("'"&amp;Assemblies[Assy]&amp;"'!"&amp;"C$5:C1000"), $C63, INDIRECT("'"&amp;Assemblies[Assy]&amp;"'!"&amp;"O$5:O1000")), "x",Assemblies[Assy],".",IF(SUMIF(INDIRECT("'"&amp;Assemblies[Assy]&amp;"'!"&amp;"C$5:C1000"), $C63, INDIRECT("'"&amp;Assemblies[Assy]&amp;"'!"&amp;"A$5:A1000"))=0,NA(),SUMIF(INDIRECT("'"&amp;Assemblies[Assy]&amp;"'!"&amp;"C$5:C1000"), $C63, INDIRECT("'"&amp;Assemblies[Assy]&amp;"'!"&amp;"A$5:A1000")))),"")), " ,", ""))</f>
        <v>, 2x1.6.1,</v>
      </c>
      <c r="Z63" s="141">
        <v>0</v>
      </c>
      <c r="AA63" s="141">
        <v>0</v>
      </c>
      <c r="AB63" s="141">
        <v>0</v>
      </c>
      <c r="AC63" s="39">
        <v>0</v>
      </c>
      <c r="AD63" s="141" t="s">
        <v>1473</v>
      </c>
      <c r="AE63" s="296">
        <v>55547</v>
      </c>
      <c r="AF63" s="141"/>
      <c r="AG63"/>
    </row>
    <row r="64" spans="1:33" x14ac:dyDescent="0.25">
      <c r="A64" s="24" t="s">
        <v>2131</v>
      </c>
      <c r="B64" s="134" t="s">
        <v>54</v>
      </c>
      <c r="C64" t="str">
        <f>_xlfn.CONCAT(A64,".",B64)</f>
        <v>PG10.1.7.1.A</v>
      </c>
      <c r="D64" t="s">
        <v>2132</v>
      </c>
      <c r="E64" s="18">
        <f>Z64+AA64+AB64+(65*AC64)</f>
        <v>125</v>
      </c>
      <c r="F64" s="19" cm="1">
        <f t="array" aca="1" ref="F64" ca="1">SUMPRODUCT(SUMIF(INDIRECT("'"&amp;Assemblies[Assy]&amp;"'!"&amp;"C5:C1000"),C64,(INDIRECT("'"&amp;Assemblies[Assy]&amp;"'!"&amp;"O5:O1000"))))</f>
        <v>2</v>
      </c>
      <c r="G64" s="19">
        <v>2</v>
      </c>
      <c r="H64" s="19" t="str">
        <f ca="1">IF(F64&lt;=G64," ","YES")</f>
        <v xml:space="preserve"> </v>
      </c>
      <c r="O64" t="s">
        <v>1999</v>
      </c>
      <c r="P64" t="s">
        <v>1993</v>
      </c>
      <c r="R64" t="s">
        <v>2000</v>
      </c>
      <c r="T64" s="40" t="s">
        <v>2001</v>
      </c>
      <c r="U64" s="40">
        <v>45530</v>
      </c>
      <c r="V64" s="40">
        <v>45561</v>
      </c>
      <c r="X64" s="157">
        <v>55708</v>
      </c>
      <c r="Y64" s="40" t="str" cm="1">
        <f t="array" aca="1" ref="Y64" ca="1">TRIM(SUBSTITUTE(_xlfn.ARRAYTOTEXT(IFERROR(CONCATENATE(SUMIF(INDIRECT("'"&amp;Assemblies[Assy]&amp;"'!"&amp;"C$5:C1000"), $C64, INDIRECT("'"&amp;Assemblies[Assy]&amp;"'!"&amp;"O$5:O1000")), "x",Assemblies[Assy],".",IF(SUMIF(INDIRECT("'"&amp;Assemblies[Assy]&amp;"'!"&amp;"C$5:C1000"), $C64, INDIRECT("'"&amp;Assemblies[Assy]&amp;"'!"&amp;"A$5:A1000"))=0,NA(),SUMIF(INDIRECT("'"&amp;Assemblies[Assy]&amp;"'!"&amp;"C$5:C1000"), $C64, INDIRECT("'"&amp;Assemblies[Assy]&amp;"'!"&amp;"A$5:A1000")))),"")), " ,", ""))</f>
        <v>, 2x1.7.1,</v>
      </c>
      <c r="Z64" s="141">
        <v>125</v>
      </c>
      <c r="AA64" s="141">
        <v>0</v>
      </c>
      <c r="AB64" s="141">
        <v>0</v>
      </c>
      <c r="AC64" s="39">
        <v>0</v>
      </c>
      <c r="AD64" s="141" t="s">
        <v>1473</v>
      </c>
      <c r="AE64" s="296"/>
      <c r="AF64" s="141"/>
      <c r="AG64"/>
    </row>
    <row r="65" spans="1:33" x14ac:dyDescent="0.25">
      <c r="A65" s="24" t="s">
        <v>2133</v>
      </c>
      <c r="B65" s="134" t="s">
        <v>54</v>
      </c>
      <c r="C65" t="str">
        <f>_xlfn.CONCAT(A65,".",B65)</f>
        <v>PG10.10.1.1.1.A</v>
      </c>
      <c r="D65" t="s">
        <v>2134</v>
      </c>
      <c r="E65" s="18">
        <f>Z65+AA65+AB65+(65*AC65)</f>
        <v>45</v>
      </c>
      <c r="F65" s="19" cm="1">
        <f t="array" aca="1" ref="F65" ca="1">SUMPRODUCT(SUMIF(INDIRECT("'"&amp;Assemblies[Assy]&amp;"'!"&amp;"C5:C1000"),C65,(INDIRECT("'"&amp;Assemblies[Assy]&amp;"'!"&amp;"O5:O1000"))))</f>
        <v>2</v>
      </c>
      <c r="G65" s="19">
        <v>2</v>
      </c>
      <c r="H65" s="19" t="str">
        <f ca="1">IF(F65&lt;=G65," ","YES")</f>
        <v xml:space="preserve"> </v>
      </c>
      <c r="O65" t="s">
        <v>1999</v>
      </c>
      <c r="P65" t="s">
        <v>1993</v>
      </c>
      <c r="R65" t="s">
        <v>2000</v>
      </c>
      <c r="T65" s="40" t="s">
        <v>2001</v>
      </c>
      <c r="U65" s="40">
        <v>45530</v>
      </c>
      <c r="V65" s="40">
        <v>45561</v>
      </c>
      <c r="X65" s="157">
        <v>55708</v>
      </c>
      <c r="Y65" s="40" t="str" cm="1">
        <f t="array" aca="1" ref="Y65" ca="1">TRIM(SUBSTITUTE(_xlfn.ARRAYTOTEXT(IFERROR(CONCATENATE(SUMIF(INDIRECT("'"&amp;Assemblies[Assy]&amp;"'!"&amp;"C$5:C1000"), $C65, INDIRECT("'"&amp;Assemblies[Assy]&amp;"'!"&amp;"O$5:O1000")), "x",Assemblies[Assy],".",IF(SUMIF(INDIRECT("'"&amp;Assemblies[Assy]&amp;"'!"&amp;"C$5:C1000"), $C65, INDIRECT("'"&amp;Assemblies[Assy]&amp;"'!"&amp;"A$5:A1000"))=0,NA(),SUMIF(INDIRECT("'"&amp;Assemblies[Assy]&amp;"'!"&amp;"C$5:C1000"), $C65, INDIRECT("'"&amp;Assemblies[Assy]&amp;"'!"&amp;"A$5:A1000")))),"")), " ,", ""))</f>
        <v>, 2x10.1.1.1,</v>
      </c>
      <c r="Z65" s="141">
        <v>45</v>
      </c>
      <c r="AA65" s="141">
        <v>0</v>
      </c>
      <c r="AB65" s="141">
        <v>0</v>
      </c>
      <c r="AC65" s="39">
        <v>0</v>
      </c>
      <c r="AD65" s="141" t="s">
        <v>2135</v>
      </c>
      <c r="AE65" s="296"/>
      <c r="AF65" s="156"/>
      <c r="AG65"/>
    </row>
    <row r="66" spans="1:33" x14ac:dyDescent="0.25">
      <c r="A66" s="24" t="s">
        <v>2138</v>
      </c>
      <c r="B66" s="134" t="s">
        <v>54</v>
      </c>
      <c r="C66" t="str">
        <f>_xlfn.CONCAT(A66,".",B66)</f>
        <v>PG10.10.1.1.2.A</v>
      </c>
      <c r="D66" t="s">
        <v>2139</v>
      </c>
      <c r="E66" s="18">
        <f>Z66+AA66+AB66+(65*AC66)</f>
        <v>50</v>
      </c>
      <c r="F66" s="19" cm="1">
        <f t="array" aca="1" ref="F66" ca="1">SUMPRODUCT(SUMIF(INDIRECT("'"&amp;Assemblies[Assy]&amp;"'!"&amp;"C5:C1000"),C66,(INDIRECT("'"&amp;Assemblies[Assy]&amp;"'!"&amp;"O5:O1000"))))</f>
        <v>2</v>
      </c>
      <c r="G66" s="19">
        <v>2</v>
      </c>
      <c r="H66" s="19" t="str">
        <f ca="1">IF(F66&lt;=G66," ","YES")</f>
        <v xml:space="preserve"> </v>
      </c>
      <c r="O66" t="s">
        <v>1999</v>
      </c>
      <c r="P66" t="s">
        <v>1993</v>
      </c>
      <c r="R66" t="s">
        <v>2000</v>
      </c>
      <c r="T66" s="40" t="s">
        <v>2001</v>
      </c>
      <c r="U66" s="40">
        <v>45530</v>
      </c>
      <c r="V66" s="40">
        <v>45561</v>
      </c>
      <c r="X66" s="157">
        <v>55708</v>
      </c>
      <c r="Y66" s="40" t="str" cm="1">
        <f t="array" aca="1" ref="Y66" ca="1">TRIM(SUBSTITUTE(_xlfn.ARRAYTOTEXT(IFERROR(CONCATENATE(SUMIF(INDIRECT("'"&amp;Assemblies[Assy]&amp;"'!"&amp;"C$5:C1000"), $C66, INDIRECT("'"&amp;Assemblies[Assy]&amp;"'!"&amp;"O$5:O1000")), "x",Assemblies[Assy],".",IF(SUMIF(INDIRECT("'"&amp;Assemblies[Assy]&amp;"'!"&amp;"C$5:C1000"), $C66, INDIRECT("'"&amp;Assemblies[Assy]&amp;"'!"&amp;"A$5:A1000"))=0,NA(),SUMIF(INDIRECT("'"&amp;Assemblies[Assy]&amp;"'!"&amp;"C$5:C1000"), $C66, INDIRECT("'"&amp;Assemblies[Assy]&amp;"'!"&amp;"A$5:A1000")))),"")), " ,", ""))</f>
        <v>, 2x10.1.1.2,</v>
      </c>
      <c r="Z66" s="141">
        <v>50</v>
      </c>
      <c r="AA66" s="141">
        <v>0</v>
      </c>
      <c r="AB66" s="141">
        <v>0</v>
      </c>
      <c r="AC66" s="39">
        <v>0</v>
      </c>
      <c r="AD66" s="141" t="s">
        <v>2135</v>
      </c>
      <c r="AE66" s="296"/>
      <c r="AF66" s="156"/>
      <c r="AG66"/>
    </row>
    <row r="67" spans="1:33" x14ac:dyDescent="0.25">
      <c r="A67" s="24" t="s">
        <v>2144</v>
      </c>
      <c r="B67" s="134" t="s">
        <v>54</v>
      </c>
      <c r="C67" t="str">
        <f>_xlfn.CONCAT(A67,".",B67)</f>
        <v>PG10.10.1.10.1.A</v>
      </c>
      <c r="D67" t="s">
        <v>2145</v>
      </c>
      <c r="E67" s="18">
        <f>Z67+AA67+AB67+(65*AC67)</f>
        <v>0</v>
      </c>
      <c r="F67" s="19" cm="1">
        <f t="array" aca="1" ref="F67" ca="1">SUMPRODUCT(SUMIF(INDIRECT("'"&amp;Assemblies[Assy]&amp;"'!"&amp;"C5:C1000"),C67,(INDIRECT("'"&amp;Assemblies[Assy]&amp;"'!"&amp;"O5:O1000"))))</f>
        <v>9</v>
      </c>
      <c r="G67" s="19">
        <v>9</v>
      </c>
      <c r="H67" s="19" t="str">
        <f ca="1">IF(F67&lt;=G67," ","YES")</f>
        <v xml:space="preserve"> </v>
      </c>
      <c r="I67">
        <v>9</v>
      </c>
      <c r="J67">
        <v>9</v>
      </c>
      <c r="L67">
        <v>9</v>
      </c>
      <c r="N67">
        <v>9</v>
      </c>
      <c r="O67" t="s">
        <v>2021</v>
      </c>
      <c r="P67" t="s">
        <v>2146</v>
      </c>
      <c r="R67" t="s">
        <v>2488</v>
      </c>
      <c r="T67" s="40">
        <v>45526</v>
      </c>
      <c r="U67" s="40">
        <v>45527</v>
      </c>
      <c r="V67" s="40">
        <v>45548</v>
      </c>
      <c r="W67" s="40">
        <v>45548</v>
      </c>
      <c r="X67" s="157">
        <v>55702</v>
      </c>
      <c r="Y67" s="40" t="str" cm="1">
        <f t="array" aca="1" ref="Y67" ca="1">TRIM(SUBSTITUTE(_xlfn.ARRAYTOTEXT(IFERROR(CONCATENATE(SUMIF(INDIRECT("'"&amp;Assemblies[Assy]&amp;"'!"&amp;"C$5:C1000"), $C67, INDIRECT("'"&amp;Assemblies[Assy]&amp;"'!"&amp;"O$5:O1000")), "x",Assemblies[Assy],".",IF(SUMIF(INDIRECT("'"&amp;Assemblies[Assy]&amp;"'!"&amp;"C$5:C1000"), $C67, INDIRECT("'"&amp;Assemblies[Assy]&amp;"'!"&amp;"A$5:A1000"))=0,NA(),SUMIF(INDIRECT("'"&amp;Assemblies[Assy]&amp;"'!"&amp;"C$5:C1000"), $C67, INDIRECT("'"&amp;Assemblies[Assy]&amp;"'!"&amp;"A$5:A1000")))),"")), " ,", ""))</f>
        <v>, 6x1.1.17.1, 3x10.1.10.1,</v>
      </c>
      <c r="Z67" s="141">
        <v>0</v>
      </c>
      <c r="AA67" s="141">
        <v>0</v>
      </c>
      <c r="AB67" s="141">
        <v>0</v>
      </c>
      <c r="AC67" s="39">
        <v>0</v>
      </c>
      <c r="AD67" s="141" t="s">
        <v>1473</v>
      </c>
      <c r="AE67" s="296"/>
      <c r="AF67" s="156"/>
      <c r="AG67"/>
    </row>
    <row r="68" spans="1:33" x14ac:dyDescent="0.25">
      <c r="A68" s="24" t="s">
        <v>2140</v>
      </c>
      <c r="B68" s="134" t="s">
        <v>54</v>
      </c>
      <c r="C68" t="str">
        <f>_xlfn.CONCAT(A68,".",B68)</f>
        <v>PG10.10.1.11.1.A</v>
      </c>
      <c r="D68" t="s">
        <v>2141</v>
      </c>
      <c r="E68" s="18">
        <f>Z68+AA68+AB68+(65*AC68)</f>
        <v>95</v>
      </c>
      <c r="F68" s="19" cm="1">
        <f t="array" aca="1" ref="F68" ca="1">SUMPRODUCT(SUMIF(INDIRECT("'"&amp;Assemblies[Assy]&amp;"'!"&amp;"C5:C1000"),C68,(INDIRECT("'"&amp;Assemblies[Assy]&amp;"'!"&amp;"O5:O1000"))))</f>
        <v>1</v>
      </c>
      <c r="G68" s="19">
        <v>1</v>
      </c>
      <c r="H68" s="19" t="str">
        <f ca="1">IF(F68&lt;=G68," ","YES")</f>
        <v xml:space="preserve"> </v>
      </c>
      <c r="O68" t="s">
        <v>1999</v>
      </c>
      <c r="P68" t="s">
        <v>1993</v>
      </c>
      <c r="R68" t="s">
        <v>2000</v>
      </c>
      <c r="T68" s="40" t="s">
        <v>2001</v>
      </c>
      <c r="U68" s="40">
        <v>45530</v>
      </c>
      <c r="V68" s="40">
        <v>45561</v>
      </c>
      <c r="X68" s="157">
        <v>55708</v>
      </c>
      <c r="Y68" s="40" t="str" cm="1">
        <f t="array" aca="1" ref="Y68" ca="1">TRIM(SUBSTITUTE(_xlfn.ARRAYTOTEXT(IFERROR(CONCATENATE(SUMIF(INDIRECT("'"&amp;Assemblies[Assy]&amp;"'!"&amp;"C$5:C1000"), $C68, INDIRECT("'"&amp;Assemblies[Assy]&amp;"'!"&amp;"O$5:O1000")), "x",Assemblies[Assy],".",IF(SUMIF(INDIRECT("'"&amp;Assemblies[Assy]&amp;"'!"&amp;"C$5:C1000"), $C68, INDIRECT("'"&amp;Assemblies[Assy]&amp;"'!"&amp;"A$5:A1000"))=0,NA(),SUMIF(INDIRECT("'"&amp;Assemblies[Assy]&amp;"'!"&amp;"C$5:C1000"), $C68, INDIRECT("'"&amp;Assemblies[Assy]&amp;"'!"&amp;"A$5:A1000")))),"")), " ,", ""))</f>
        <v>, 1x10.1.11.1,</v>
      </c>
      <c r="Z68" s="141">
        <v>95</v>
      </c>
      <c r="AA68" s="141">
        <v>0</v>
      </c>
      <c r="AB68" s="141">
        <v>0</v>
      </c>
      <c r="AC68" s="39">
        <v>0</v>
      </c>
      <c r="AD68" s="141" t="s">
        <v>1473</v>
      </c>
      <c r="AE68" s="296"/>
      <c r="AF68" s="156"/>
      <c r="AG68"/>
    </row>
    <row r="69" spans="1:33" x14ac:dyDescent="0.25">
      <c r="A69" s="24" t="s">
        <v>2917</v>
      </c>
      <c r="B69" s="134" t="s">
        <v>54</v>
      </c>
      <c r="C69" t="str">
        <f>_xlfn.CONCAT(A69,".",B69)</f>
        <v>PG10.10.1.13.1.A</v>
      </c>
      <c r="D69" t="s">
        <v>1933</v>
      </c>
      <c r="E69" s="18">
        <f>Z69+AA69+AB69+(65*AC69)</f>
        <v>84.9</v>
      </c>
      <c r="F69" s="19" cm="1">
        <f t="array" aca="1" ref="F69" ca="1">SUMPRODUCT(SUMIF(INDIRECT("'"&amp;Assemblies[Assy]&amp;"'!"&amp;"C5:C1000"),C69,(INDIRECT("'"&amp;Assemblies[Assy]&amp;"'!"&amp;"O5:O1000"))))</f>
        <v>2</v>
      </c>
      <c r="G69" s="19">
        <v>2</v>
      </c>
      <c r="H69" s="19" t="str">
        <f ca="1">IF(F69&lt;=G69," ","YES")</f>
        <v xml:space="preserve"> </v>
      </c>
      <c r="O69" t="s">
        <v>1999</v>
      </c>
      <c r="P69" t="s">
        <v>2386</v>
      </c>
      <c r="R69" t="s">
        <v>3781</v>
      </c>
      <c r="T69" s="40">
        <v>45545</v>
      </c>
      <c r="U69" s="40">
        <v>45554</v>
      </c>
      <c r="V69" s="40">
        <v>45576</v>
      </c>
      <c r="X69" s="157">
        <v>55745</v>
      </c>
      <c r="Y69" s="40" t="str" cm="1">
        <f t="array" aca="1" ref="Y69" ca="1">TRIM(SUBSTITUTE(_xlfn.ARRAYTOTEXT(IFERROR(CONCATENATE(SUMIF(INDIRECT("'"&amp;Assemblies[Assy]&amp;"'!"&amp;"C$5:C1000"), $C69, INDIRECT("'"&amp;Assemblies[Assy]&amp;"'!"&amp;"O$5:O1000")), "x",Assemblies[Assy],".",IF(SUMIF(INDIRECT("'"&amp;Assemblies[Assy]&amp;"'!"&amp;"C$5:C1000"), $C69, INDIRECT("'"&amp;Assemblies[Assy]&amp;"'!"&amp;"A$5:A1000"))=0,NA(),SUMIF(INDIRECT("'"&amp;Assemblies[Assy]&amp;"'!"&amp;"C$5:C1000"), $C69, INDIRECT("'"&amp;Assemblies[Assy]&amp;"'!"&amp;"A$5:A1000")))),"")), " ,", ""))</f>
        <v>, 2x10.1.13.1,</v>
      </c>
      <c r="Z69" s="141">
        <v>84.9</v>
      </c>
      <c r="AA69" s="141">
        <v>0</v>
      </c>
      <c r="AB69" s="178">
        <v>0</v>
      </c>
      <c r="AC69" s="39">
        <v>0</v>
      </c>
      <c r="AD69" s="141" t="s">
        <v>1473</v>
      </c>
      <c r="AE69" s="296"/>
      <c r="AF69" s="156"/>
      <c r="AG69"/>
    </row>
    <row r="70" spans="1:33" x14ac:dyDescent="0.25">
      <c r="A70" s="24" t="s">
        <v>2142</v>
      </c>
      <c r="B70" s="134" t="s">
        <v>56</v>
      </c>
      <c r="C70" t="str">
        <f>_xlfn.CONCAT(A70,".",B70)</f>
        <v>PG10.10.1.2.1.B</v>
      </c>
      <c r="D70" t="s">
        <v>2143</v>
      </c>
      <c r="E70" s="18">
        <f>Z70+AA70+AB70+(65*AC70)</f>
        <v>105</v>
      </c>
      <c r="F70" s="19" cm="1">
        <f t="array" aca="1" ref="F70" ca="1">SUMPRODUCT(SUMIF(INDIRECT("'"&amp;Assemblies[Assy]&amp;"'!"&amp;"C5:C1000"),C70,(INDIRECT("'"&amp;Assemblies[Assy]&amp;"'!"&amp;"O5:O1000"))))</f>
        <v>1</v>
      </c>
      <c r="G70" s="19">
        <v>1</v>
      </c>
      <c r="H70" s="19" t="str">
        <f ca="1">IF(F70&lt;=G70," ","YES")</f>
        <v xml:space="preserve"> </v>
      </c>
      <c r="O70" t="s">
        <v>1999</v>
      </c>
      <c r="P70" t="s">
        <v>1993</v>
      </c>
      <c r="R70" t="s">
        <v>2000</v>
      </c>
      <c r="T70" s="40" t="s">
        <v>2001</v>
      </c>
      <c r="U70" s="40">
        <v>45530</v>
      </c>
      <c r="V70" s="40">
        <v>45561</v>
      </c>
      <c r="X70" s="157">
        <v>55708</v>
      </c>
      <c r="Y70" s="40" t="str" cm="1">
        <f t="array" aca="1" ref="Y70" ca="1">TRIM(SUBSTITUTE(_xlfn.ARRAYTOTEXT(IFERROR(CONCATENATE(SUMIF(INDIRECT("'"&amp;Assemblies[Assy]&amp;"'!"&amp;"C$5:C1000"), $C70, INDIRECT("'"&amp;Assemblies[Assy]&amp;"'!"&amp;"O$5:O1000")), "x",Assemblies[Assy],".",IF(SUMIF(INDIRECT("'"&amp;Assemblies[Assy]&amp;"'!"&amp;"C$5:C1000"), $C70, INDIRECT("'"&amp;Assemblies[Assy]&amp;"'!"&amp;"A$5:A1000"))=0,NA(),SUMIF(INDIRECT("'"&amp;Assemblies[Assy]&amp;"'!"&amp;"C$5:C1000"), $C70, INDIRECT("'"&amp;Assemblies[Assy]&amp;"'!"&amp;"A$5:A1000")))),"")), " ,", ""))</f>
        <v>, 1x10.1.2.1,</v>
      </c>
      <c r="Z70" s="141">
        <v>105</v>
      </c>
      <c r="AA70" s="141">
        <v>0</v>
      </c>
      <c r="AB70" s="141">
        <v>0</v>
      </c>
      <c r="AC70" s="39">
        <v>0</v>
      </c>
      <c r="AD70" s="141" t="s">
        <v>2135</v>
      </c>
      <c r="AE70" s="296"/>
      <c r="AF70" s="156"/>
      <c r="AG70"/>
    </row>
    <row r="71" spans="1:33" x14ac:dyDescent="0.25">
      <c r="A71" s="24" t="s">
        <v>2147</v>
      </c>
      <c r="B71" s="134" t="s">
        <v>56</v>
      </c>
      <c r="C71" t="str">
        <f>_xlfn.CONCAT(A71,".",B71)</f>
        <v>PG10.10.1.3.1.B</v>
      </c>
      <c r="D71" t="s">
        <v>2148</v>
      </c>
      <c r="E71" s="18">
        <f>Z71+AA71+AB71+(65*AC71)</f>
        <v>120</v>
      </c>
      <c r="F71" s="19" cm="1">
        <f t="array" aca="1" ref="F71" ca="1">SUMPRODUCT(SUMIF(INDIRECT("'"&amp;Assemblies[Assy]&amp;"'!"&amp;"C5:C1000"),C71,(INDIRECT("'"&amp;Assemblies[Assy]&amp;"'!"&amp;"O5:O1000"))))</f>
        <v>2</v>
      </c>
      <c r="G71" s="19">
        <v>2</v>
      </c>
      <c r="H71" s="19" t="str">
        <f ca="1">IF(F71&lt;=G71," ","YES")</f>
        <v xml:space="preserve"> </v>
      </c>
      <c r="O71" t="s">
        <v>1999</v>
      </c>
      <c r="P71" t="s">
        <v>1993</v>
      </c>
      <c r="R71" t="s">
        <v>2000</v>
      </c>
      <c r="T71" s="40" t="s">
        <v>2001</v>
      </c>
      <c r="U71" s="40">
        <v>45530</v>
      </c>
      <c r="V71" s="40">
        <v>45561</v>
      </c>
      <c r="X71" s="157">
        <v>55708</v>
      </c>
      <c r="Y71" s="40" t="str" cm="1">
        <f t="array" aca="1" ref="Y71" ca="1">TRIM(SUBSTITUTE(_xlfn.ARRAYTOTEXT(IFERROR(CONCATENATE(SUMIF(INDIRECT("'"&amp;Assemblies[Assy]&amp;"'!"&amp;"C$5:C1000"), $C71, INDIRECT("'"&amp;Assemblies[Assy]&amp;"'!"&amp;"O$5:O1000")), "x",Assemblies[Assy],".",IF(SUMIF(INDIRECT("'"&amp;Assemblies[Assy]&amp;"'!"&amp;"C$5:C1000"), $C71, INDIRECT("'"&amp;Assemblies[Assy]&amp;"'!"&amp;"A$5:A1000"))=0,NA(),SUMIF(INDIRECT("'"&amp;Assemblies[Assy]&amp;"'!"&amp;"C$5:C1000"), $C71, INDIRECT("'"&amp;Assemblies[Assy]&amp;"'!"&amp;"A$5:A1000")))),"")), " ,", ""))</f>
        <v>, 2x10.1.3.1,</v>
      </c>
      <c r="Z71" s="141">
        <v>120</v>
      </c>
      <c r="AA71" s="141">
        <v>0</v>
      </c>
      <c r="AB71" s="141">
        <v>0</v>
      </c>
      <c r="AC71" s="39">
        <v>0</v>
      </c>
      <c r="AD71" s="141" t="s">
        <v>1473</v>
      </c>
      <c r="AE71" s="296"/>
      <c r="AF71" s="156"/>
      <c r="AG71"/>
    </row>
    <row r="72" spans="1:33" x14ac:dyDescent="0.25">
      <c r="A72" s="24" t="s">
        <v>2149</v>
      </c>
      <c r="B72" s="134" t="s">
        <v>54</v>
      </c>
      <c r="C72" t="str">
        <f>_xlfn.CONCAT(A72,".",B72)</f>
        <v>PG10.10.1.4.1.A</v>
      </c>
      <c r="D72" t="s">
        <v>2150</v>
      </c>
      <c r="E72" s="18">
        <f>Z72+AA72+AB72+(65*AC72)</f>
        <v>155</v>
      </c>
      <c r="F72" s="19" cm="1">
        <f t="array" aca="1" ref="F72" ca="1">SUMPRODUCT(SUMIF(INDIRECT("'"&amp;Assemblies[Assy]&amp;"'!"&amp;"C5:C1000"),C72,(INDIRECT("'"&amp;Assemblies[Assy]&amp;"'!"&amp;"O5:O1000"))))</f>
        <v>1</v>
      </c>
      <c r="G72" s="19">
        <v>1</v>
      </c>
      <c r="H72" s="19" t="str">
        <f ca="1">IF(F72&lt;=G72," ","YES")</f>
        <v xml:space="preserve"> </v>
      </c>
      <c r="O72" t="s">
        <v>1999</v>
      </c>
      <c r="P72" t="s">
        <v>1993</v>
      </c>
      <c r="R72" t="s">
        <v>2000</v>
      </c>
      <c r="T72" s="40" t="s">
        <v>2001</v>
      </c>
      <c r="U72" s="40">
        <v>45530</v>
      </c>
      <c r="V72" s="40">
        <v>45561</v>
      </c>
      <c r="X72" s="157">
        <v>55708</v>
      </c>
      <c r="Y72" s="40" t="str" cm="1">
        <f t="array" aca="1" ref="Y72" ca="1">TRIM(SUBSTITUTE(_xlfn.ARRAYTOTEXT(IFERROR(CONCATENATE(SUMIF(INDIRECT("'"&amp;Assemblies[Assy]&amp;"'!"&amp;"C$5:C1000"), $C72, INDIRECT("'"&amp;Assemblies[Assy]&amp;"'!"&amp;"O$5:O1000")), "x",Assemblies[Assy],".",IF(SUMIF(INDIRECT("'"&amp;Assemblies[Assy]&amp;"'!"&amp;"C$5:C1000"), $C72, INDIRECT("'"&amp;Assemblies[Assy]&amp;"'!"&amp;"A$5:A1000"))=0,NA(),SUMIF(INDIRECT("'"&amp;Assemblies[Assy]&amp;"'!"&amp;"C$5:C1000"), $C72, INDIRECT("'"&amp;Assemblies[Assy]&amp;"'!"&amp;"A$5:A1000")))),"")), " ,", ""))</f>
        <v>, 1x10.1.4.1,</v>
      </c>
      <c r="Z72" s="141">
        <v>155</v>
      </c>
      <c r="AA72" s="141">
        <v>0</v>
      </c>
      <c r="AB72" s="141">
        <v>0</v>
      </c>
      <c r="AC72" s="39">
        <v>0</v>
      </c>
      <c r="AD72" s="141" t="s">
        <v>1473</v>
      </c>
      <c r="AE72" s="296"/>
      <c r="AF72" s="156"/>
      <c r="AG72"/>
    </row>
    <row r="73" spans="1:33" x14ac:dyDescent="0.25">
      <c r="A73" s="24" t="s">
        <v>2151</v>
      </c>
      <c r="B73" s="134" t="s">
        <v>54</v>
      </c>
      <c r="C73" t="str">
        <f>_xlfn.CONCAT(A73,".",B73)</f>
        <v>PG10.10.1.5.1.A</v>
      </c>
      <c r="D73" t="s">
        <v>2152</v>
      </c>
      <c r="E73" s="18">
        <f>Z73+AA73+AB73+(65*AC73)</f>
        <v>80</v>
      </c>
      <c r="F73" s="19" cm="1">
        <f t="array" aca="1" ref="F73" ca="1">SUMPRODUCT(SUMIF(INDIRECT("'"&amp;Assemblies[Assy]&amp;"'!"&amp;"C5:C1000"),C73,(INDIRECT("'"&amp;Assemblies[Assy]&amp;"'!"&amp;"O5:O1000"))))</f>
        <v>1</v>
      </c>
      <c r="G73" s="19">
        <v>1</v>
      </c>
      <c r="H73" s="19" t="str">
        <f ca="1">IF(F73&lt;=G73," ","YES")</f>
        <v xml:space="preserve"> </v>
      </c>
      <c r="O73" t="s">
        <v>1999</v>
      </c>
      <c r="P73" t="s">
        <v>1993</v>
      </c>
      <c r="R73" t="s">
        <v>2000</v>
      </c>
      <c r="T73" s="40" t="s">
        <v>2001</v>
      </c>
      <c r="U73" s="40">
        <v>45530</v>
      </c>
      <c r="V73" s="40">
        <v>45561</v>
      </c>
      <c r="X73" s="157">
        <v>55708</v>
      </c>
      <c r="Y73" s="40" t="str" cm="1">
        <f t="array" aca="1" ref="Y73" ca="1">TRIM(SUBSTITUTE(_xlfn.ARRAYTOTEXT(IFERROR(CONCATENATE(SUMIF(INDIRECT("'"&amp;Assemblies[Assy]&amp;"'!"&amp;"C$5:C1000"), $C73, INDIRECT("'"&amp;Assemblies[Assy]&amp;"'!"&amp;"O$5:O1000")), "x",Assemblies[Assy],".",IF(SUMIF(INDIRECT("'"&amp;Assemblies[Assy]&amp;"'!"&amp;"C$5:C1000"), $C73, INDIRECT("'"&amp;Assemblies[Assy]&amp;"'!"&amp;"A$5:A1000"))=0,NA(),SUMIF(INDIRECT("'"&amp;Assemblies[Assy]&amp;"'!"&amp;"C$5:C1000"), $C73, INDIRECT("'"&amp;Assemblies[Assy]&amp;"'!"&amp;"A$5:A1000")))),"")), " ,", ""))</f>
        <v>, 1x10.1.5.1,</v>
      </c>
      <c r="Z73" s="141">
        <v>80</v>
      </c>
      <c r="AA73" s="141">
        <v>0</v>
      </c>
      <c r="AB73" s="141">
        <v>0</v>
      </c>
      <c r="AC73" s="39">
        <v>0</v>
      </c>
      <c r="AD73" s="141" t="s">
        <v>1473</v>
      </c>
      <c r="AE73" s="296"/>
      <c r="AF73" s="156"/>
      <c r="AG73"/>
    </row>
    <row r="74" spans="1:33" x14ac:dyDescent="0.25">
      <c r="A74" s="24" t="s">
        <v>2153</v>
      </c>
      <c r="B74" s="134" t="s">
        <v>54</v>
      </c>
      <c r="C74" t="str">
        <f>_xlfn.CONCAT(A74,".",B74)</f>
        <v>PG10.10.1.6.1.A</v>
      </c>
      <c r="D74" t="s">
        <v>2154</v>
      </c>
      <c r="E74" s="18">
        <f>Z74+AA74+AB74+(65*AC74)</f>
        <v>65</v>
      </c>
      <c r="F74" s="19" cm="1">
        <f t="array" aca="1" ref="F74" ca="1">SUMPRODUCT(SUMIF(INDIRECT("'"&amp;Assemblies[Assy]&amp;"'!"&amp;"C5:C1000"),C74,(INDIRECT("'"&amp;Assemblies[Assy]&amp;"'!"&amp;"O5:O1000"))))</f>
        <v>2</v>
      </c>
      <c r="G74" s="19">
        <v>2</v>
      </c>
      <c r="H74" s="19" t="str">
        <f ca="1">IF(F74&lt;=G74," ","YES")</f>
        <v xml:space="preserve"> </v>
      </c>
      <c r="O74" t="s">
        <v>1999</v>
      </c>
      <c r="P74" t="s">
        <v>1993</v>
      </c>
      <c r="R74" t="s">
        <v>2000</v>
      </c>
      <c r="T74" s="40" t="s">
        <v>2001</v>
      </c>
      <c r="U74" s="40">
        <v>45530</v>
      </c>
      <c r="V74" s="40">
        <v>45561</v>
      </c>
      <c r="X74" s="157">
        <v>55708</v>
      </c>
      <c r="Y74" s="40" t="str" cm="1">
        <f t="array" aca="1" ref="Y74" ca="1">TRIM(SUBSTITUTE(_xlfn.ARRAYTOTEXT(IFERROR(CONCATENATE(SUMIF(INDIRECT("'"&amp;Assemblies[Assy]&amp;"'!"&amp;"C$5:C1000"), $C74, INDIRECT("'"&amp;Assemblies[Assy]&amp;"'!"&amp;"O$5:O1000")), "x",Assemblies[Assy],".",IF(SUMIF(INDIRECT("'"&amp;Assemblies[Assy]&amp;"'!"&amp;"C$5:C1000"), $C74, INDIRECT("'"&amp;Assemblies[Assy]&amp;"'!"&amp;"A$5:A1000"))=0,NA(),SUMIF(INDIRECT("'"&amp;Assemblies[Assy]&amp;"'!"&amp;"C$5:C1000"), $C74, INDIRECT("'"&amp;Assemblies[Assy]&amp;"'!"&amp;"A$5:A1000")))),"")), " ,", ""))</f>
        <v>, 2x10.1.6.1,</v>
      </c>
      <c r="Z74" s="141">
        <v>65</v>
      </c>
      <c r="AA74" s="141">
        <v>0</v>
      </c>
      <c r="AB74" s="141">
        <v>0</v>
      </c>
      <c r="AC74" s="39">
        <v>0</v>
      </c>
      <c r="AD74" s="141" t="s">
        <v>1473</v>
      </c>
      <c r="AE74" s="296"/>
      <c r="AF74" s="156"/>
      <c r="AG74"/>
    </row>
    <row r="75" spans="1:33" x14ac:dyDescent="0.25">
      <c r="A75" s="24" t="s">
        <v>2155</v>
      </c>
      <c r="B75" s="134" t="s">
        <v>54</v>
      </c>
      <c r="C75" t="str">
        <f>_xlfn.CONCAT(A75,".",B75)</f>
        <v>PG10.10.1.7.1.A</v>
      </c>
      <c r="D75" t="s">
        <v>2156</v>
      </c>
      <c r="E75" s="18">
        <f>Z75+AA75+AB75+(65*AC75)</f>
        <v>72</v>
      </c>
      <c r="F75" s="19" cm="1">
        <f t="array" aca="1" ref="F75" ca="1">SUMPRODUCT(SUMIF(INDIRECT("'"&amp;Assemblies[Assy]&amp;"'!"&amp;"C5:C1000"),C75,(INDIRECT("'"&amp;Assemblies[Assy]&amp;"'!"&amp;"O5:O1000"))))</f>
        <v>1</v>
      </c>
      <c r="G75" s="19">
        <v>1</v>
      </c>
      <c r="H75" s="19" t="str">
        <f ca="1">IF(F75&lt;=G75," ","YES")</f>
        <v xml:space="preserve"> </v>
      </c>
      <c r="O75" t="s">
        <v>1999</v>
      </c>
      <c r="P75" t="s">
        <v>1993</v>
      </c>
      <c r="R75" t="s">
        <v>2000</v>
      </c>
      <c r="T75" s="40" t="s">
        <v>2001</v>
      </c>
      <c r="U75" s="40">
        <v>45530</v>
      </c>
      <c r="V75" s="40">
        <v>45561</v>
      </c>
      <c r="X75" s="157">
        <v>55708</v>
      </c>
      <c r="Y75" s="40" t="str" cm="1">
        <f t="array" aca="1" ref="Y75" ca="1">TRIM(SUBSTITUTE(_xlfn.ARRAYTOTEXT(IFERROR(CONCATENATE(SUMIF(INDIRECT("'"&amp;Assemblies[Assy]&amp;"'!"&amp;"C$5:C1000"), $C75, INDIRECT("'"&amp;Assemblies[Assy]&amp;"'!"&amp;"O$5:O1000")), "x",Assemblies[Assy],".",IF(SUMIF(INDIRECT("'"&amp;Assemblies[Assy]&amp;"'!"&amp;"C$5:C1000"), $C75, INDIRECT("'"&amp;Assemblies[Assy]&amp;"'!"&amp;"A$5:A1000"))=0,NA(),SUMIF(INDIRECT("'"&amp;Assemblies[Assy]&amp;"'!"&amp;"C$5:C1000"), $C75, INDIRECT("'"&amp;Assemblies[Assy]&amp;"'!"&amp;"A$5:A1000")))),"")), " ,", ""))</f>
        <v>, 1x10.1.7.1,</v>
      </c>
      <c r="Z75" s="141">
        <v>72</v>
      </c>
      <c r="AA75" s="141">
        <v>0</v>
      </c>
      <c r="AB75" s="141">
        <v>0</v>
      </c>
      <c r="AC75" s="39">
        <v>0</v>
      </c>
      <c r="AD75" s="141" t="s">
        <v>1473</v>
      </c>
      <c r="AE75" s="296"/>
      <c r="AF75" s="156"/>
      <c r="AG75"/>
    </row>
    <row r="76" spans="1:33" x14ac:dyDescent="0.25">
      <c r="A76" s="24" t="s">
        <v>2157</v>
      </c>
      <c r="B76" s="134" t="s">
        <v>56</v>
      </c>
      <c r="C76" t="str">
        <f>_xlfn.CONCAT(A76,".",B76)</f>
        <v>PG10.10.1.8.1.B</v>
      </c>
      <c r="D76" t="s">
        <v>2158</v>
      </c>
      <c r="E76" s="18">
        <f>Z76+AA76+AB76+(65*AC76)</f>
        <v>100</v>
      </c>
      <c r="F76" s="19" cm="1">
        <f t="array" aca="1" ref="F76" ca="1">SUMPRODUCT(SUMIF(INDIRECT("'"&amp;Assemblies[Assy]&amp;"'!"&amp;"C5:C1000"),C76,(INDIRECT("'"&amp;Assemblies[Assy]&amp;"'!"&amp;"O5:O1000"))))</f>
        <v>1</v>
      </c>
      <c r="G76" s="19">
        <v>1</v>
      </c>
      <c r="H76" s="19" t="str">
        <f ca="1">IF(F76&lt;=G76," ","YES")</f>
        <v xml:space="preserve"> </v>
      </c>
      <c r="O76" t="s">
        <v>1999</v>
      </c>
      <c r="P76" t="s">
        <v>1993</v>
      </c>
      <c r="R76" t="s">
        <v>2000</v>
      </c>
      <c r="T76" s="40" t="s">
        <v>2001</v>
      </c>
      <c r="U76" s="40">
        <v>45530</v>
      </c>
      <c r="V76" s="40">
        <v>45561</v>
      </c>
      <c r="X76" s="157">
        <v>55708</v>
      </c>
      <c r="Y76" s="40" t="str" cm="1">
        <f t="array" aca="1" ref="Y76" ca="1">TRIM(SUBSTITUTE(_xlfn.ARRAYTOTEXT(IFERROR(CONCATENATE(SUMIF(INDIRECT("'"&amp;Assemblies[Assy]&amp;"'!"&amp;"C$5:C1000"), $C76, INDIRECT("'"&amp;Assemblies[Assy]&amp;"'!"&amp;"O$5:O1000")), "x",Assemblies[Assy],".",IF(SUMIF(INDIRECT("'"&amp;Assemblies[Assy]&amp;"'!"&amp;"C$5:C1000"), $C76, INDIRECT("'"&amp;Assemblies[Assy]&amp;"'!"&amp;"A$5:A1000"))=0,NA(),SUMIF(INDIRECT("'"&amp;Assemblies[Assy]&amp;"'!"&amp;"C$5:C1000"), $C76, INDIRECT("'"&amp;Assemblies[Assy]&amp;"'!"&amp;"A$5:A1000")))),"")), " ,", ""))</f>
        <v>, 1x10.1.8.1,</v>
      </c>
      <c r="Z76" s="141">
        <v>100</v>
      </c>
      <c r="AA76" s="141">
        <v>0</v>
      </c>
      <c r="AB76" s="141">
        <v>0</v>
      </c>
      <c r="AC76" s="39">
        <v>0</v>
      </c>
      <c r="AD76" s="141" t="s">
        <v>1473</v>
      </c>
      <c r="AE76" s="296"/>
      <c r="AF76" s="156"/>
      <c r="AG76"/>
    </row>
    <row r="77" spans="1:33" x14ac:dyDescent="0.25">
      <c r="A77" s="24" t="s">
        <v>2163</v>
      </c>
      <c r="B77" s="134" t="s">
        <v>54</v>
      </c>
      <c r="C77" t="str">
        <f>_xlfn.CONCAT(A77,".",B77)</f>
        <v>PG10.10.1.9.1.A</v>
      </c>
      <c r="D77" t="s">
        <v>2164</v>
      </c>
      <c r="E77" s="18">
        <v>127.74</v>
      </c>
      <c r="F77" s="19" cm="1">
        <f t="array" aca="1" ref="F77" ca="1">SUMPRODUCT(SUMIF(INDIRECT("'"&amp;Assemblies[Assy]&amp;"'!"&amp;"C5:C1000"),C77,(INDIRECT("'"&amp;Assemblies[Assy]&amp;"'!"&amp;"O5:O1000"))))</f>
        <v>1</v>
      </c>
      <c r="G77" s="19">
        <v>1</v>
      </c>
      <c r="H77" s="19" t="str">
        <f ca="1">IF(F77&lt;=G77," ","YES")</f>
        <v xml:space="preserve"> </v>
      </c>
      <c r="I77">
        <v>1</v>
      </c>
      <c r="J77">
        <v>1</v>
      </c>
      <c r="L77">
        <v>1</v>
      </c>
      <c r="N77">
        <v>1</v>
      </c>
      <c r="O77" t="s">
        <v>1986</v>
      </c>
      <c r="P77" t="s">
        <v>2165</v>
      </c>
      <c r="R77" t="s">
        <v>3662</v>
      </c>
      <c r="T77" s="40">
        <v>45527</v>
      </c>
      <c r="U77" s="40">
        <v>45530</v>
      </c>
      <c r="V77" s="40">
        <v>45560</v>
      </c>
      <c r="W77" s="40">
        <v>45560</v>
      </c>
      <c r="X77" s="157">
        <v>55706</v>
      </c>
      <c r="Y77" s="40" t="str" cm="1">
        <f t="array" aca="1" ref="Y77" ca="1">TRIM(SUBSTITUTE(_xlfn.ARRAYTOTEXT(IFERROR(CONCATENATE(SUMIF(INDIRECT("'"&amp;Assemblies[Assy]&amp;"'!"&amp;"C$5:C1000"), $C77, INDIRECT("'"&amp;Assemblies[Assy]&amp;"'!"&amp;"O$5:O1000")), "x",Assemblies[Assy],".",IF(SUMIF(INDIRECT("'"&amp;Assemblies[Assy]&amp;"'!"&amp;"C$5:C1000"), $C77, INDIRECT("'"&amp;Assemblies[Assy]&amp;"'!"&amp;"A$5:A1000"))=0,NA(),SUMIF(INDIRECT("'"&amp;Assemblies[Assy]&amp;"'!"&amp;"C$5:C1000"), $C77, INDIRECT("'"&amp;Assemblies[Assy]&amp;"'!"&amp;"A$5:A1000")))),"")), " ,", ""))</f>
        <v>, 1x10.1.9.1,</v>
      </c>
      <c r="Z77" s="141">
        <v>0</v>
      </c>
      <c r="AA77" s="141">
        <v>0</v>
      </c>
      <c r="AB77" s="141">
        <v>0</v>
      </c>
      <c r="AC77" s="39">
        <v>0</v>
      </c>
      <c r="AD77" s="141" t="s">
        <v>1473</v>
      </c>
      <c r="AE77" s="296"/>
      <c r="AF77" s="156"/>
      <c r="AG77"/>
    </row>
    <row r="78" spans="1:33" x14ac:dyDescent="0.25">
      <c r="A78" s="24" t="s">
        <v>2166</v>
      </c>
      <c r="B78" s="134" t="s">
        <v>54</v>
      </c>
      <c r="C78" t="str">
        <f>_xlfn.CONCAT(A78,".",B78)</f>
        <v>PG10.10.2.1.1.A</v>
      </c>
      <c r="D78" t="s">
        <v>2167</v>
      </c>
      <c r="E78" s="18">
        <v>538.88</v>
      </c>
      <c r="F78" s="19" cm="1">
        <f t="array" aca="1" ref="F78" ca="1">SUMPRODUCT(SUMIF(INDIRECT("'"&amp;Assemblies[Assy]&amp;"'!"&amp;"C5:C1000"),C78,(INDIRECT("'"&amp;Assemblies[Assy]&amp;"'!"&amp;"O5:O1000"))))</f>
        <v>1</v>
      </c>
      <c r="G78" s="19">
        <v>1</v>
      </c>
      <c r="H78" s="19" t="str">
        <f ca="1">IF(F78&lt;=G78," ","YES")</f>
        <v xml:space="preserve"> </v>
      </c>
      <c r="I78">
        <v>1</v>
      </c>
      <c r="J78">
        <v>1</v>
      </c>
      <c r="K78" s="40">
        <v>45541</v>
      </c>
      <c r="L78">
        <v>1</v>
      </c>
      <c r="M78" s="40">
        <v>45559</v>
      </c>
      <c r="N78">
        <v>1</v>
      </c>
      <c r="O78" t="s">
        <v>1986</v>
      </c>
      <c r="P78" t="s">
        <v>1987</v>
      </c>
      <c r="R78" t="s">
        <v>2168</v>
      </c>
      <c r="T78" s="40">
        <v>45497</v>
      </c>
      <c r="U78" s="40">
        <v>45497</v>
      </c>
      <c r="V78" s="40">
        <v>45532</v>
      </c>
      <c r="W78" s="40">
        <v>45532</v>
      </c>
      <c r="X78" s="157">
        <v>55631</v>
      </c>
      <c r="Y78" s="40" t="str" cm="1">
        <f t="array" aca="1" ref="Y78" ca="1">TRIM(SUBSTITUTE(_xlfn.ARRAYTOTEXT(IFERROR(CONCATENATE(SUMIF(INDIRECT("'"&amp;Assemblies[Assy]&amp;"'!"&amp;"C$5:C1000"), $C78, INDIRECT("'"&amp;Assemblies[Assy]&amp;"'!"&amp;"O$5:O1000")), "x",Assemblies[Assy],".",IF(SUMIF(INDIRECT("'"&amp;Assemblies[Assy]&amp;"'!"&amp;"C$5:C1000"), $C78, INDIRECT("'"&amp;Assemblies[Assy]&amp;"'!"&amp;"A$5:A1000"))=0,NA(),SUMIF(INDIRECT("'"&amp;Assemblies[Assy]&amp;"'!"&amp;"C$5:C1000"), $C78, INDIRECT("'"&amp;Assemblies[Assy]&amp;"'!"&amp;"A$5:A1000")))),"")), " ,", ""))</f>
        <v>, 1x10.2.1.1,</v>
      </c>
      <c r="Z78" s="141">
        <v>0</v>
      </c>
      <c r="AA78" s="141">
        <v>0</v>
      </c>
      <c r="AB78" s="141">
        <v>0</v>
      </c>
      <c r="AC78" s="39">
        <v>0</v>
      </c>
      <c r="AD78" s="141" t="s">
        <v>1473</v>
      </c>
      <c r="AE78" s="296">
        <v>55724</v>
      </c>
      <c r="AF78" s="156"/>
      <c r="AG78"/>
    </row>
    <row r="79" spans="1:33" x14ac:dyDescent="0.25">
      <c r="A79" s="24" t="s">
        <v>2169</v>
      </c>
      <c r="B79" s="134" t="s">
        <v>54</v>
      </c>
      <c r="C79" t="str">
        <f>_xlfn.CONCAT(A79,".",B79)</f>
        <v>PG10.10.2.1.2.A</v>
      </c>
      <c r="D79" t="s">
        <v>2170</v>
      </c>
      <c r="E79" s="18">
        <v>91.85</v>
      </c>
      <c r="F79" s="19" cm="1">
        <f t="array" aca="1" ref="F79" ca="1">SUMPRODUCT(SUMIF(INDIRECT("'"&amp;Assemblies[Assy]&amp;"'!"&amp;"C5:C1000"),C79,(INDIRECT("'"&amp;Assemblies[Assy]&amp;"'!"&amp;"O5:O1000"))))</f>
        <v>2</v>
      </c>
      <c r="G79" s="19">
        <v>2</v>
      </c>
      <c r="H79" s="19" t="str">
        <f ca="1">IF(F79&lt;=G79," ","YES")</f>
        <v xml:space="preserve"> </v>
      </c>
      <c r="I79">
        <v>2</v>
      </c>
      <c r="J79">
        <v>2</v>
      </c>
      <c r="K79" s="40">
        <v>45541</v>
      </c>
      <c r="L79">
        <v>2</v>
      </c>
      <c r="N79">
        <v>2</v>
      </c>
      <c r="O79" t="s">
        <v>2026</v>
      </c>
      <c r="P79" t="s">
        <v>2027</v>
      </c>
      <c r="R79" t="s">
        <v>1989</v>
      </c>
      <c r="T79" s="40">
        <v>45495</v>
      </c>
      <c r="U79" s="40">
        <v>45504</v>
      </c>
      <c r="V79" s="40">
        <v>45534</v>
      </c>
      <c r="W79" s="40">
        <v>45534</v>
      </c>
      <c r="X79" s="157">
        <v>55641</v>
      </c>
      <c r="Y79" s="40" t="str" cm="1">
        <f t="array" aca="1" ref="Y79" ca="1">TRIM(SUBSTITUTE(_xlfn.ARRAYTOTEXT(IFERROR(CONCATENATE(SUMIF(INDIRECT("'"&amp;Assemblies[Assy]&amp;"'!"&amp;"C$5:C1000"), $C79, INDIRECT("'"&amp;Assemblies[Assy]&amp;"'!"&amp;"O$5:O1000")), "x",Assemblies[Assy],".",IF(SUMIF(INDIRECT("'"&amp;Assemblies[Assy]&amp;"'!"&amp;"C$5:C1000"), $C79, INDIRECT("'"&amp;Assemblies[Assy]&amp;"'!"&amp;"A$5:A1000"))=0,NA(),SUMIF(INDIRECT("'"&amp;Assemblies[Assy]&amp;"'!"&amp;"C$5:C1000"), $C79, INDIRECT("'"&amp;Assemblies[Assy]&amp;"'!"&amp;"A$5:A1000")))),"")), " ,", ""))</f>
        <v>, 2x10.2.1.2,</v>
      </c>
      <c r="Z79" s="141">
        <v>0</v>
      </c>
      <c r="AA79" s="141">
        <v>0</v>
      </c>
      <c r="AB79" s="141">
        <v>0</v>
      </c>
      <c r="AC79" s="39">
        <v>0</v>
      </c>
      <c r="AD79" s="141" t="s">
        <v>1473</v>
      </c>
      <c r="AE79" s="296">
        <v>55722</v>
      </c>
      <c r="AF79" s="156"/>
      <c r="AG79"/>
    </row>
    <row r="80" spans="1:33" x14ac:dyDescent="0.25">
      <c r="A80" s="24" t="s">
        <v>2915</v>
      </c>
      <c r="B80" s="134" t="s">
        <v>54</v>
      </c>
      <c r="C80" t="str">
        <f>_xlfn.CONCAT(A80,".",B80)</f>
        <v>PG10.10.2.1.3.A</v>
      </c>
      <c r="D80" t="s">
        <v>2916</v>
      </c>
      <c r="E80" s="18">
        <f>Z80+AA80+AB80+(65*AC80)</f>
        <v>0</v>
      </c>
      <c r="F80" s="290" cm="1">
        <f t="array" aca="1" ref="F80" ca="1">SUMPRODUCT(SUMIF(INDIRECT("'"&amp;Assemblies[Assy]&amp;"'!"&amp;"C5:C1000"),C80,(INDIRECT("'"&amp;Assemblies[Assy]&amp;"'!"&amp;"O5:O1000"))))</f>
        <v>8</v>
      </c>
      <c r="G80" s="19">
        <v>10</v>
      </c>
      <c r="H80" s="19" t="str">
        <f ca="1">IF(F80&lt;=G80," ","YES")</f>
        <v xml:space="preserve"> </v>
      </c>
      <c r="O80" t="s">
        <v>2847</v>
      </c>
      <c r="P80" t="s">
        <v>1993</v>
      </c>
      <c r="R80" t="s">
        <v>2333</v>
      </c>
      <c r="S80" t="s">
        <v>3893</v>
      </c>
      <c r="Y80" s="40" t="str" cm="1">
        <f t="array" aca="1" ref="Y80" ca="1">TRIM(SUBSTITUTE(_xlfn.ARRAYTOTEXT(IFERROR(CONCATENATE(SUMIF(INDIRECT("'"&amp;Assemblies[Assy]&amp;"'!"&amp;"C$5:C1000"), $C80, INDIRECT("'"&amp;Assemblies[Assy]&amp;"'!"&amp;"O$5:O1000")), "x",Assemblies[Assy],".",IF(SUMIF(INDIRECT("'"&amp;Assemblies[Assy]&amp;"'!"&amp;"C$5:C1000"), $C80, INDIRECT("'"&amp;Assemblies[Assy]&amp;"'!"&amp;"A$5:A1000"))=0,NA(),SUMIF(INDIRECT("'"&amp;Assemblies[Assy]&amp;"'!"&amp;"C$5:C1000"), $C80, INDIRECT("'"&amp;Assemblies[Assy]&amp;"'!"&amp;"A$5:A1000")))),"")), " ,", ""))</f>
        <v>,</v>
      </c>
      <c r="AD80" s="141"/>
      <c r="AE80" s="296"/>
      <c r="AF80" s="156"/>
      <c r="AG80"/>
    </row>
    <row r="81" spans="1:33" x14ac:dyDescent="0.25">
      <c r="A81" s="24" t="s">
        <v>2171</v>
      </c>
      <c r="B81" s="134" t="s">
        <v>54</v>
      </c>
      <c r="C81" t="str">
        <f>_xlfn.CONCAT(A81,".",B81)</f>
        <v>PG10.10.2.1.A</v>
      </c>
      <c r="D81" t="s">
        <v>2172</v>
      </c>
      <c r="E81" s="18">
        <v>1570.2</v>
      </c>
      <c r="F81" s="19" cm="1">
        <f t="array" aca="1" ref="F81" ca="1">SUMPRODUCT(SUMIF(INDIRECT("'"&amp;Assemblies[Assy]&amp;"'!"&amp;"C5:C1000"),C81,(INDIRECT("'"&amp;Assemblies[Assy]&amp;"'!"&amp;"O5:O1000"))))</f>
        <v>1</v>
      </c>
      <c r="G81" s="19">
        <v>1</v>
      </c>
      <c r="H81" s="19" t="str">
        <f ca="1">IF(F81&lt;=G81," ","YES")</f>
        <v xml:space="preserve"> </v>
      </c>
      <c r="O81" t="s">
        <v>1986</v>
      </c>
      <c r="P81" t="s">
        <v>2165</v>
      </c>
      <c r="R81" t="s">
        <v>2168</v>
      </c>
      <c r="T81" s="40">
        <v>45489</v>
      </c>
      <c r="U81" s="40">
        <v>45513</v>
      </c>
      <c r="V81" s="40">
        <v>45551</v>
      </c>
      <c r="W81" s="40">
        <v>45566</v>
      </c>
      <c r="X81" s="157">
        <v>55676</v>
      </c>
      <c r="Y81" s="40" t="str" cm="1">
        <f t="array" aca="1" ref="Y81" ca="1">TRIM(SUBSTITUTE(_xlfn.ARRAYTOTEXT(IFERROR(CONCATENATE(SUMIF(INDIRECT("'"&amp;Assemblies[Assy]&amp;"'!"&amp;"C$5:C1000"), $C81, INDIRECT("'"&amp;Assemblies[Assy]&amp;"'!"&amp;"O$5:O1000")), "x",Assemblies[Assy],".",IF(SUMIF(INDIRECT("'"&amp;Assemblies[Assy]&amp;"'!"&amp;"C$5:C1000"), $C81, INDIRECT("'"&amp;Assemblies[Assy]&amp;"'!"&amp;"A$5:A1000"))=0,NA(),SUMIF(INDIRECT("'"&amp;Assemblies[Assy]&amp;"'!"&amp;"C$5:C1000"), $C81, INDIRECT("'"&amp;Assemblies[Assy]&amp;"'!"&amp;"A$5:A1000")))),"")), " ,", ""))</f>
        <v>, 1x10.2.1,</v>
      </c>
      <c r="Z81" s="141">
        <v>0</v>
      </c>
      <c r="AA81" s="141">
        <v>0</v>
      </c>
      <c r="AB81" s="141">
        <v>0</v>
      </c>
      <c r="AC81" s="39">
        <v>0</v>
      </c>
      <c r="AD81" s="141" t="s">
        <v>1473</v>
      </c>
      <c r="AE81" s="296"/>
      <c r="AF81" s="156"/>
      <c r="AG81"/>
    </row>
    <row r="82" spans="1:33" x14ac:dyDescent="0.25">
      <c r="A82" s="24" t="s">
        <v>2173</v>
      </c>
      <c r="B82" s="134" t="s">
        <v>54</v>
      </c>
      <c r="C82" t="str">
        <f>_xlfn.CONCAT(A82,".",B82)</f>
        <v>PG10.10.2.10.A</v>
      </c>
      <c r="D82" t="s">
        <v>2174</v>
      </c>
      <c r="E82" s="18">
        <f>Z82+AA82+AB82+(65*AC82)</f>
        <v>0</v>
      </c>
      <c r="F82" s="19" cm="1">
        <f t="array" aca="1" ref="F82" ca="1">SUMPRODUCT(SUMIF(INDIRECT("'"&amp;Assemblies[Assy]&amp;"'!"&amp;"C5:C1000"),C82,(INDIRECT("'"&amp;Assemblies[Assy]&amp;"'!"&amp;"O5:O1000"))))</f>
        <v>2</v>
      </c>
      <c r="G82" s="19">
        <v>2</v>
      </c>
      <c r="H82" s="19" t="str">
        <f ca="1">IF(F82&lt;=G82," ","YES")</f>
        <v xml:space="preserve"> </v>
      </c>
      <c r="I82">
        <v>2</v>
      </c>
      <c r="J82">
        <v>2</v>
      </c>
      <c r="L82">
        <v>2</v>
      </c>
      <c r="N82">
        <v>2</v>
      </c>
      <c r="O82" t="s">
        <v>2021</v>
      </c>
      <c r="P82" t="s">
        <v>2175</v>
      </c>
      <c r="R82" t="s">
        <v>2488</v>
      </c>
      <c r="T82" s="40">
        <v>45526</v>
      </c>
      <c r="U82" s="40">
        <v>45527</v>
      </c>
      <c r="V82" s="40">
        <v>45548</v>
      </c>
      <c r="W82" s="40">
        <v>45548</v>
      </c>
      <c r="X82" s="157">
        <v>55702</v>
      </c>
      <c r="Y82" s="40" t="str" cm="1">
        <f t="array" aca="1" ref="Y82" ca="1">TRIM(SUBSTITUTE(_xlfn.ARRAYTOTEXT(IFERROR(CONCATENATE(SUMIF(INDIRECT("'"&amp;Assemblies[Assy]&amp;"'!"&amp;"C$5:C1000"), $C82, INDIRECT("'"&amp;Assemblies[Assy]&amp;"'!"&amp;"O$5:O1000")), "x",Assemblies[Assy],".",IF(SUMIF(INDIRECT("'"&amp;Assemblies[Assy]&amp;"'!"&amp;"C$5:C1000"), $C82, INDIRECT("'"&amp;Assemblies[Assy]&amp;"'!"&amp;"A$5:A1000"))=0,NA(),SUMIF(INDIRECT("'"&amp;Assemblies[Assy]&amp;"'!"&amp;"C$5:C1000"), $C82, INDIRECT("'"&amp;Assemblies[Assy]&amp;"'!"&amp;"A$5:A1000")))),"")), " ,", ""))</f>
        <v>,</v>
      </c>
      <c r="Z82" s="141">
        <v>0</v>
      </c>
      <c r="AA82" s="141">
        <v>0</v>
      </c>
      <c r="AB82" s="141">
        <v>0</v>
      </c>
      <c r="AC82" s="39">
        <v>0</v>
      </c>
      <c r="AD82" s="141" t="s">
        <v>1473</v>
      </c>
      <c r="AE82" s="296"/>
      <c r="AF82" s="156"/>
      <c r="AG82"/>
    </row>
    <row r="83" spans="1:33" x14ac:dyDescent="0.25">
      <c r="A83" s="24" t="s">
        <v>2176</v>
      </c>
      <c r="B83" s="134" t="s">
        <v>54</v>
      </c>
      <c r="C83" t="str">
        <f>_xlfn.CONCAT(A83,".",B83)</f>
        <v>PG10.10.2.2.1.A</v>
      </c>
      <c r="D83" t="s">
        <v>2177</v>
      </c>
      <c r="E83" s="18">
        <v>104</v>
      </c>
      <c r="F83" s="19" cm="1">
        <f t="array" aca="1" ref="F83" ca="1">SUMPRODUCT(SUMIF(INDIRECT("'"&amp;Assemblies[Assy]&amp;"'!"&amp;"C5:C1000"),C83,(INDIRECT("'"&amp;Assemblies[Assy]&amp;"'!"&amp;"O5:O1000"))))</f>
        <v>1</v>
      </c>
      <c r="G83" s="19">
        <v>1</v>
      </c>
      <c r="H83" s="19" t="str">
        <f ca="1">IF(F83&lt;=G83," ","YES")</f>
        <v xml:space="preserve"> </v>
      </c>
      <c r="I83">
        <v>1</v>
      </c>
      <c r="J83">
        <v>1</v>
      </c>
      <c r="K83" s="40">
        <v>45541</v>
      </c>
      <c r="L83">
        <v>1</v>
      </c>
      <c r="M83" s="40">
        <v>45558</v>
      </c>
      <c r="N83">
        <v>1</v>
      </c>
      <c r="O83" t="s">
        <v>1986</v>
      </c>
      <c r="P83" t="s">
        <v>1987</v>
      </c>
      <c r="R83" t="s">
        <v>2178</v>
      </c>
      <c r="T83" s="40">
        <v>45489</v>
      </c>
      <c r="U83" s="40">
        <v>45490</v>
      </c>
      <c r="V83" s="40">
        <v>45522</v>
      </c>
      <c r="W83" s="40">
        <v>45522</v>
      </c>
      <c r="X83" s="157">
        <v>55609</v>
      </c>
      <c r="Y83" s="40" t="str" cm="1">
        <f t="array" aca="1" ref="Y83" ca="1">TRIM(SUBSTITUTE(_xlfn.ARRAYTOTEXT(IFERROR(CONCATENATE(SUMIF(INDIRECT("'"&amp;Assemblies[Assy]&amp;"'!"&amp;"C$5:C1000"), $C83, INDIRECT("'"&amp;Assemblies[Assy]&amp;"'!"&amp;"O$5:O1000")), "x",Assemblies[Assy],".",IF(SUMIF(INDIRECT("'"&amp;Assemblies[Assy]&amp;"'!"&amp;"C$5:C1000"), $C83, INDIRECT("'"&amp;Assemblies[Assy]&amp;"'!"&amp;"A$5:A1000"))=0,NA(),SUMIF(INDIRECT("'"&amp;Assemblies[Assy]&amp;"'!"&amp;"C$5:C1000"), $C83, INDIRECT("'"&amp;Assemblies[Assy]&amp;"'!"&amp;"A$5:A1000")))),"")), " ,", ""))</f>
        <v>, 1x10.2.2.1,</v>
      </c>
      <c r="Z83" s="141">
        <v>0</v>
      </c>
      <c r="AA83" s="141">
        <v>0</v>
      </c>
      <c r="AB83" s="141">
        <v>0</v>
      </c>
      <c r="AC83" s="39">
        <v>0</v>
      </c>
      <c r="AD83" s="141" t="s">
        <v>1473</v>
      </c>
      <c r="AE83" s="296">
        <v>55723</v>
      </c>
      <c r="AF83" s="156"/>
      <c r="AG83"/>
    </row>
    <row r="84" spans="1:33" x14ac:dyDescent="0.25">
      <c r="A84" s="24" t="s">
        <v>2179</v>
      </c>
      <c r="B84" s="134" t="s">
        <v>54</v>
      </c>
      <c r="C84" t="str">
        <f>_xlfn.CONCAT(A84,".",B84)</f>
        <v>PG10.10.2.2.2.A</v>
      </c>
      <c r="D84" t="s">
        <v>2180</v>
      </c>
      <c r="E84" s="18">
        <v>87.75</v>
      </c>
      <c r="F84" s="19" cm="1">
        <f t="array" aca="1" ref="F84" ca="1">SUMPRODUCT(SUMIF(INDIRECT("'"&amp;Assemblies[Assy]&amp;"'!"&amp;"C5:C1000"),C84,(INDIRECT("'"&amp;Assemblies[Assy]&amp;"'!"&amp;"O5:O1000"))))</f>
        <v>2</v>
      </c>
      <c r="G84" s="19">
        <v>2</v>
      </c>
      <c r="H84" s="19" t="str">
        <f ca="1">IF(F84&lt;=G84," ","YES")</f>
        <v xml:space="preserve"> </v>
      </c>
      <c r="I84">
        <v>2</v>
      </c>
      <c r="J84">
        <v>2</v>
      </c>
      <c r="K84" s="40">
        <v>45541</v>
      </c>
      <c r="L84">
        <v>2</v>
      </c>
      <c r="N84">
        <v>2</v>
      </c>
      <c r="O84" t="s">
        <v>2026</v>
      </c>
      <c r="P84" t="s">
        <v>2027</v>
      </c>
      <c r="R84" t="s">
        <v>2178</v>
      </c>
      <c r="T84" s="40">
        <v>45489</v>
      </c>
      <c r="U84" s="40">
        <v>45490</v>
      </c>
      <c r="V84" s="40">
        <v>45522</v>
      </c>
      <c r="W84" s="40">
        <v>45522</v>
      </c>
      <c r="X84" s="157">
        <v>55609</v>
      </c>
      <c r="Y84" s="40" t="str" cm="1">
        <f t="array" aca="1" ref="Y84" ca="1">TRIM(SUBSTITUTE(_xlfn.ARRAYTOTEXT(IFERROR(CONCATENATE(SUMIF(INDIRECT("'"&amp;Assemblies[Assy]&amp;"'!"&amp;"C$5:C1000"), $C84, INDIRECT("'"&amp;Assemblies[Assy]&amp;"'!"&amp;"O$5:O1000")), "x",Assemblies[Assy],".",IF(SUMIF(INDIRECT("'"&amp;Assemblies[Assy]&amp;"'!"&amp;"C$5:C1000"), $C84, INDIRECT("'"&amp;Assemblies[Assy]&amp;"'!"&amp;"A$5:A1000"))=0,NA(),SUMIF(INDIRECT("'"&amp;Assemblies[Assy]&amp;"'!"&amp;"C$5:C1000"), $C84, INDIRECT("'"&amp;Assemblies[Assy]&amp;"'!"&amp;"A$5:A1000")))),"")), " ,", ""))</f>
        <v>, 2x10.2.2.2,</v>
      </c>
      <c r="Z84" s="141">
        <v>0</v>
      </c>
      <c r="AA84" s="141">
        <v>0</v>
      </c>
      <c r="AB84" s="141">
        <v>0</v>
      </c>
      <c r="AC84" s="39">
        <v>0</v>
      </c>
      <c r="AD84" s="141" t="s">
        <v>1473</v>
      </c>
      <c r="AE84" s="296">
        <v>55722</v>
      </c>
      <c r="AF84" s="156"/>
      <c r="AG84"/>
    </row>
    <row r="85" spans="1:33" x14ac:dyDescent="0.25">
      <c r="A85" s="24" t="s">
        <v>2181</v>
      </c>
      <c r="B85" s="134" t="s">
        <v>54</v>
      </c>
      <c r="C85" t="str">
        <f>_xlfn.CONCAT(A85,".",B85)</f>
        <v>PG10.10.2.2.A</v>
      </c>
      <c r="D85" t="s">
        <v>2182</v>
      </c>
      <c r="E85" s="18">
        <v>1187.5</v>
      </c>
      <c r="F85" s="19" cm="1">
        <f t="array" aca="1" ref="F85" ca="1">SUMPRODUCT(SUMIF(INDIRECT("'"&amp;Assemblies[Assy]&amp;"'!"&amp;"C5:C1000"),C85,(INDIRECT("'"&amp;Assemblies[Assy]&amp;"'!"&amp;"O5:O1000"))))</f>
        <v>1</v>
      </c>
      <c r="G85" s="19">
        <v>1</v>
      </c>
      <c r="H85" s="19" t="str">
        <f ca="1">IF(F85&lt;=G85," ","YES")</f>
        <v xml:space="preserve"> </v>
      </c>
      <c r="O85" t="s">
        <v>1986</v>
      </c>
      <c r="P85" t="s">
        <v>2165</v>
      </c>
      <c r="R85" t="s">
        <v>2168</v>
      </c>
      <c r="T85" s="40">
        <v>45489</v>
      </c>
      <c r="U85" s="40">
        <v>45513</v>
      </c>
      <c r="V85" s="40">
        <v>45551</v>
      </c>
      <c r="W85" s="40">
        <v>45566</v>
      </c>
      <c r="X85" s="157">
        <v>55676</v>
      </c>
      <c r="Y85" s="40" t="str" cm="1">
        <f t="array" aca="1" ref="Y85" ca="1">TRIM(SUBSTITUTE(_xlfn.ARRAYTOTEXT(IFERROR(CONCATENATE(SUMIF(INDIRECT("'"&amp;Assemblies[Assy]&amp;"'!"&amp;"C$5:C1000"), $C85, INDIRECT("'"&amp;Assemblies[Assy]&amp;"'!"&amp;"O$5:O1000")), "x",Assemblies[Assy],".",IF(SUMIF(INDIRECT("'"&amp;Assemblies[Assy]&amp;"'!"&amp;"C$5:C1000"), $C85, INDIRECT("'"&amp;Assemblies[Assy]&amp;"'!"&amp;"A$5:A1000"))=0,NA(),SUMIF(INDIRECT("'"&amp;Assemblies[Assy]&amp;"'!"&amp;"C$5:C1000"), $C85, INDIRECT("'"&amp;Assemblies[Assy]&amp;"'!"&amp;"A$5:A1000")))),"")), " ,", ""))</f>
        <v>, 1x10.2.2,</v>
      </c>
      <c r="Z85" s="141">
        <v>0</v>
      </c>
      <c r="AA85" s="141">
        <v>0</v>
      </c>
      <c r="AB85" s="141">
        <v>0</v>
      </c>
      <c r="AC85" s="39">
        <v>0</v>
      </c>
      <c r="AD85" s="141" t="s">
        <v>1473</v>
      </c>
      <c r="AE85" s="296"/>
      <c r="AF85" s="156"/>
      <c r="AG85"/>
    </row>
    <row r="86" spans="1:33" x14ac:dyDescent="0.25">
      <c r="A86" s="24" t="s">
        <v>2183</v>
      </c>
      <c r="B86" s="134" t="s">
        <v>54</v>
      </c>
      <c r="C86" t="str">
        <f>_xlfn.CONCAT(A86,".",B86)</f>
        <v>PG10.10.2.3.1.A</v>
      </c>
      <c r="D86" t="s">
        <v>2184</v>
      </c>
      <c r="E86" s="18">
        <v>375</v>
      </c>
      <c r="F86" s="19" cm="1">
        <f t="array" aca="1" ref="F86" ca="1">SUMPRODUCT(SUMIF(INDIRECT("'"&amp;Assemblies[Assy]&amp;"'!"&amp;"C5:C1000"),C86,(INDIRECT("'"&amp;Assemblies[Assy]&amp;"'!"&amp;"O5:O1000"))))</f>
        <v>1</v>
      </c>
      <c r="G86" s="19">
        <v>1</v>
      </c>
      <c r="H86" s="19" t="str">
        <f ca="1">IF(F86&lt;=G86," ","YES")</f>
        <v xml:space="preserve"> </v>
      </c>
      <c r="I86">
        <v>1</v>
      </c>
      <c r="J86">
        <v>1</v>
      </c>
      <c r="K86" s="40">
        <v>45541</v>
      </c>
      <c r="L86">
        <v>1</v>
      </c>
      <c r="M86" s="40">
        <v>45558</v>
      </c>
      <c r="N86">
        <v>1</v>
      </c>
      <c r="O86" t="s">
        <v>1986</v>
      </c>
      <c r="P86" t="s">
        <v>1987</v>
      </c>
      <c r="R86" t="s">
        <v>2178</v>
      </c>
      <c r="T86" s="40">
        <v>45489</v>
      </c>
      <c r="U86" s="40">
        <v>45490</v>
      </c>
      <c r="V86" s="40">
        <v>45522</v>
      </c>
      <c r="W86" s="40">
        <v>45522</v>
      </c>
      <c r="X86" s="157">
        <v>55609</v>
      </c>
      <c r="Y86" s="40" t="str" cm="1">
        <f t="array" aca="1" ref="Y86" ca="1">TRIM(SUBSTITUTE(_xlfn.ARRAYTOTEXT(IFERROR(CONCATENATE(SUMIF(INDIRECT("'"&amp;Assemblies[Assy]&amp;"'!"&amp;"C$5:C1000"), $C86, INDIRECT("'"&amp;Assemblies[Assy]&amp;"'!"&amp;"O$5:O1000")), "x",Assemblies[Assy],".",IF(SUMIF(INDIRECT("'"&amp;Assemblies[Assy]&amp;"'!"&amp;"C$5:C1000"), $C86, INDIRECT("'"&amp;Assemblies[Assy]&amp;"'!"&amp;"A$5:A1000"))=0,NA(),SUMIF(INDIRECT("'"&amp;Assemblies[Assy]&amp;"'!"&amp;"C$5:C1000"), $C86, INDIRECT("'"&amp;Assemblies[Assy]&amp;"'!"&amp;"A$5:A1000")))),"")), " ,", ""))</f>
        <v>, 1x10.2.3.1,</v>
      </c>
      <c r="Z86" s="141">
        <v>0</v>
      </c>
      <c r="AA86" s="141">
        <v>0</v>
      </c>
      <c r="AB86" s="141">
        <v>0</v>
      </c>
      <c r="AC86" s="39">
        <v>0</v>
      </c>
      <c r="AD86" s="141" t="s">
        <v>1473</v>
      </c>
      <c r="AE86" s="296">
        <v>55723</v>
      </c>
      <c r="AF86" s="156"/>
      <c r="AG86"/>
    </row>
    <row r="87" spans="1:33" x14ac:dyDescent="0.25">
      <c r="A87" s="24" t="s">
        <v>2185</v>
      </c>
      <c r="B87" s="134" t="s">
        <v>54</v>
      </c>
      <c r="C87" t="str">
        <f>_xlfn.CONCAT(A87,".",B87)</f>
        <v>PG10.10.2.3.A</v>
      </c>
      <c r="D87" t="s">
        <v>2186</v>
      </c>
      <c r="E87" s="18">
        <v>517.65</v>
      </c>
      <c r="F87" s="19" cm="1">
        <f t="array" aca="1" ref="F87" ca="1">SUMPRODUCT(SUMIF(INDIRECT("'"&amp;Assemblies[Assy]&amp;"'!"&amp;"C5:C1000"),C87,(INDIRECT("'"&amp;Assemblies[Assy]&amp;"'!"&amp;"O5:O1000"))))</f>
        <v>2</v>
      </c>
      <c r="G87" s="19">
        <v>2</v>
      </c>
      <c r="H87" s="19" t="str">
        <f ca="1">IF(F87&lt;=G87," ","YES")</f>
        <v xml:space="preserve"> </v>
      </c>
      <c r="O87" t="s">
        <v>1986</v>
      </c>
      <c r="P87" t="s">
        <v>2165</v>
      </c>
      <c r="R87" t="s">
        <v>2168</v>
      </c>
      <c r="T87" s="40">
        <v>45489</v>
      </c>
      <c r="U87" s="40">
        <v>45513</v>
      </c>
      <c r="V87" s="40">
        <v>45551</v>
      </c>
      <c r="W87" s="40">
        <v>45566</v>
      </c>
      <c r="X87" s="157">
        <v>55676</v>
      </c>
      <c r="Y87" s="40" t="str" cm="1">
        <f t="array" aca="1" ref="Y87" ca="1">TRIM(SUBSTITUTE(_xlfn.ARRAYTOTEXT(IFERROR(CONCATENATE(SUMIF(INDIRECT("'"&amp;Assemblies[Assy]&amp;"'!"&amp;"C$5:C1000"), $C87, INDIRECT("'"&amp;Assemblies[Assy]&amp;"'!"&amp;"O$5:O1000")), "x",Assemblies[Assy],".",IF(SUMIF(INDIRECT("'"&amp;Assemblies[Assy]&amp;"'!"&amp;"C$5:C1000"), $C87, INDIRECT("'"&amp;Assemblies[Assy]&amp;"'!"&amp;"A$5:A1000"))=0,NA(),SUMIF(INDIRECT("'"&amp;Assemblies[Assy]&amp;"'!"&amp;"C$5:C1000"), $C87, INDIRECT("'"&amp;Assemblies[Assy]&amp;"'!"&amp;"A$5:A1000")))),"")), " ,", ""))</f>
        <v>, 2x10.2.3,</v>
      </c>
      <c r="Z87" s="141">
        <v>0</v>
      </c>
      <c r="AA87" s="141">
        <v>0</v>
      </c>
      <c r="AB87" s="141">
        <v>0</v>
      </c>
      <c r="AC87" s="39">
        <v>0</v>
      </c>
      <c r="AD87" s="141" t="s">
        <v>1473</v>
      </c>
      <c r="AE87" s="296"/>
      <c r="AF87" s="156"/>
      <c r="AG87"/>
    </row>
    <row r="88" spans="1:33" x14ac:dyDescent="0.25">
      <c r="A88" s="24" t="s">
        <v>2187</v>
      </c>
      <c r="B88" s="134" t="s">
        <v>54</v>
      </c>
      <c r="C88" t="str">
        <f>_xlfn.CONCAT(A88,".",B88)</f>
        <v>PG10.10.2.4.1.A</v>
      </c>
      <c r="D88" t="s">
        <v>2188</v>
      </c>
      <c r="E88" s="18">
        <f>Z88+AA88+AB88+(65*AC88)</f>
        <v>0</v>
      </c>
      <c r="F88" s="19" cm="1">
        <f t="array" aca="1" ref="F88" ca="1">SUMPRODUCT(SUMIF(INDIRECT("'"&amp;Assemblies[Assy]&amp;"'!"&amp;"C5:C1000"),C88,(INDIRECT("'"&amp;Assemblies[Assy]&amp;"'!"&amp;"O5:O1000"))))</f>
        <v>0</v>
      </c>
      <c r="G88" s="19">
        <v>1</v>
      </c>
      <c r="H88" s="19" t="str">
        <f ca="1">IF(F88&lt;=G88," ","YES")</f>
        <v xml:space="preserve"> </v>
      </c>
      <c r="O88" t="s">
        <v>2189</v>
      </c>
      <c r="P88" t="s">
        <v>1993</v>
      </c>
      <c r="R88" t="s">
        <v>3820</v>
      </c>
      <c r="Y88" s="40" t="str" cm="1">
        <f t="array" aca="1" ref="Y88" ca="1">TRIM(SUBSTITUTE(_xlfn.ARRAYTOTEXT(IFERROR(CONCATENATE(SUMIF(INDIRECT("'"&amp;Assemblies[Assy]&amp;"'!"&amp;"C$5:C1000"), $C88, INDIRECT("'"&amp;Assemblies[Assy]&amp;"'!"&amp;"O$5:O1000")), "x",Assemblies[Assy],".",IF(SUMIF(INDIRECT("'"&amp;Assemblies[Assy]&amp;"'!"&amp;"C$5:C1000"), $C88, INDIRECT("'"&amp;Assemblies[Assy]&amp;"'!"&amp;"A$5:A1000"))=0,NA(),SUMIF(INDIRECT("'"&amp;Assemblies[Assy]&amp;"'!"&amp;"C$5:C1000"), $C88, INDIRECT("'"&amp;Assemblies[Assy]&amp;"'!"&amp;"A$5:A1000")))),"")), " ,", ""))</f>
        <v>,</v>
      </c>
      <c r="Z88" s="178">
        <v>0</v>
      </c>
      <c r="AA88" s="178">
        <v>0</v>
      </c>
      <c r="AB88" s="178">
        <v>0</v>
      </c>
      <c r="AC88" s="39">
        <v>0</v>
      </c>
      <c r="AD88" s="178" t="s">
        <v>1473</v>
      </c>
      <c r="AE88" s="297"/>
      <c r="AF88" s="271"/>
      <c r="AG88"/>
    </row>
    <row r="89" spans="1:33" x14ac:dyDescent="0.25">
      <c r="A89" s="24" t="s">
        <v>2187</v>
      </c>
      <c r="B89" s="134" t="s">
        <v>56</v>
      </c>
      <c r="C89" t="str">
        <f>_xlfn.CONCAT(A89,".",B89)</f>
        <v>PG10.10.2.4.1.B</v>
      </c>
      <c r="D89" t="s">
        <v>2188</v>
      </c>
      <c r="E89" s="18">
        <f>Z89+AA89+AB89+(65*AC89)</f>
        <v>0</v>
      </c>
      <c r="F89" s="19" cm="1">
        <f t="array" aca="1" ref="F89" ca="1">SUMPRODUCT(SUMIF(INDIRECT("'"&amp;Assemblies[Assy]&amp;"'!"&amp;"C5:C1000"),C89,(INDIRECT("'"&amp;Assemblies[Assy]&amp;"'!"&amp;"O5:O1000"))))</f>
        <v>1</v>
      </c>
      <c r="G89" s="19">
        <v>1</v>
      </c>
      <c r="H89" s="19" t="str">
        <f ca="1">IF(F89&lt;=G89," ","YES")</f>
        <v xml:space="preserve"> </v>
      </c>
      <c r="I89">
        <v>1</v>
      </c>
      <c r="J89">
        <v>1</v>
      </c>
      <c r="L89">
        <v>1</v>
      </c>
      <c r="N89">
        <v>1</v>
      </c>
      <c r="O89" t="s">
        <v>2189</v>
      </c>
      <c r="P89" t="s">
        <v>1993</v>
      </c>
      <c r="R89" t="s">
        <v>1988</v>
      </c>
      <c r="Y89" s="40" t="str" cm="1">
        <f t="array" aca="1" ref="Y89" ca="1">TRIM(SUBSTITUTE(_xlfn.ARRAYTOTEXT(IFERROR(CONCATENATE(SUMIF(INDIRECT("'"&amp;Assemblies[Assy]&amp;"'!"&amp;"C$5:C1000"), $C89, INDIRECT("'"&amp;Assemblies[Assy]&amp;"'!"&amp;"O$5:O1000")), "x",Assemblies[Assy],".",IF(SUMIF(INDIRECT("'"&amp;Assemblies[Assy]&amp;"'!"&amp;"C$5:C1000"), $C89, INDIRECT("'"&amp;Assemblies[Assy]&amp;"'!"&amp;"A$5:A1000"))=0,NA(),SUMIF(INDIRECT("'"&amp;Assemblies[Assy]&amp;"'!"&amp;"C$5:C1000"), $C89, INDIRECT("'"&amp;Assemblies[Assy]&amp;"'!"&amp;"A$5:A1000")))),"")), " ,", ""))</f>
        <v>, 1x10.2.4.1,</v>
      </c>
      <c r="Z89" s="141">
        <v>0</v>
      </c>
      <c r="AA89" s="141">
        <v>0</v>
      </c>
      <c r="AB89" s="141">
        <v>0</v>
      </c>
      <c r="AC89" s="39">
        <v>0</v>
      </c>
      <c r="AD89" s="141" t="s">
        <v>1473</v>
      </c>
      <c r="AE89" s="296"/>
      <c r="AF89" s="156"/>
      <c r="AG89"/>
    </row>
    <row r="90" spans="1:33" x14ac:dyDescent="0.25">
      <c r="A90" s="24" t="s">
        <v>2190</v>
      </c>
      <c r="B90" s="134" t="s">
        <v>54</v>
      </c>
      <c r="C90" t="str">
        <f>_xlfn.CONCAT(A90,".",B90)</f>
        <v>PG10.10.2.4.A</v>
      </c>
      <c r="D90" t="s">
        <v>2191</v>
      </c>
      <c r="E90" s="18">
        <v>35</v>
      </c>
      <c r="F90" s="19" cm="1">
        <f t="array" aca="1" ref="F90" ca="1">SUMPRODUCT(SUMIF(INDIRECT("'"&amp;Assemblies[Assy]&amp;"'!"&amp;"C5:C1000"),C90,(INDIRECT("'"&amp;Assemblies[Assy]&amp;"'!"&amp;"O5:O1000"))))</f>
        <v>8</v>
      </c>
      <c r="G90" s="19">
        <v>8</v>
      </c>
      <c r="H90" s="19" t="str">
        <f ca="1">IF(F90&lt;=G90," ","YES")</f>
        <v xml:space="preserve"> </v>
      </c>
      <c r="I90">
        <v>8</v>
      </c>
      <c r="J90">
        <v>8</v>
      </c>
      <c r="K90" s="40">
        <v>45541</v>
      </c>
      <c r="L90">
        <v>8</v>
      </c>
      <c r="N90">
        <v>8</v>
      </c>
      <c r="O90" t="s">
        <v>2026</v>
      </c>
      <c r="P90" t="s">
        <v>2027</v>
      </c>
      <c r="R90" t="s">
        <v>2192</v>
      </c>
      <c r="T90" s="40">
        <v>45489</v>
      </c>
      <c r="U90" s="40">
        <v>45490</v>
      </c>
      <c r="V90" s="40">
        <v>45522</v>
      </c>
      <c r="W90" s="40">
        <v>45522</v>
      </c>
      <c r="X90" s="157">
        <v>55608</v>
      </c>
      <c r="Y90" s="40" t="str" cm="1">
        <f t="array" aca="1" ref="Y90" ca="1">TRIM(SUBSTITUTE(_xlfn.ARRAYTOTEXT(IFERROR(CONCATENATE(SUMIF(INDIRECT("'"&amp;Assemblies[Assy]&amp;"'!"&amp;"C$5:C1000"), $C90, INDIRECT("'"&amp;Assemblies[Assy]&amp;"'!"&amp;"O$5:O1000")), "x",Assemblies[Assy],".",IF(SUMIF(INDIRECT("'"&amp;Assemblies[Assy]&amp;"'!"&amp;"C$5:C1000"), $C90, INDIRECT("'"&amp;Assemblies[Assy]&amp;"'!"&amp;"A$5:A1000"))=0,NA(),SUMIF(INDIRECT("'"&amp;Assemblies[Assy]&amp;"'!"&amp;"C$5:C1000"), $C90, INDIRECT("'"&amp;Assemblies[Assy]&amp;"'!"&amp;"A$5:A1000")))),"")), " ,", ""))</f>
        <v>, 8x10.2.4,</v>
      </c>
      <c r="Z90" s="141">
        <v>0</v>
      </c>
      <c r="AA90" s="141">
        <v>0</v>
      </c>
      <c r="AB90" s="141">
        <v>0</v>
      </c>
      <c r="AC90" s="39">
        <v>0</v>
      </c>
      <c r="AD90" s="141" t="s">
        <v>1473</v>
      </c>
      <c r="AE90" s="296">
        <v>55722</v>
      </c>
      <c r="AF90" s="156"/>
      <c r="AG90"/>
    </row>
    <row r="91" spans="1:33" x14ac:dyDescent="0.25">
      <c r="A91" s="24" t="s">
        <v>2193</v>
      </c>
      <c r="B91" s="134" t="s">
        <v>54</v>
      </c>
      <c r="C91" t="str">
        <f>_xlfn.CONCAT(A91,".",B91)</f>
        <v>PG10.10.2.5.1.A</v>
      </c>
      <c r="D91" t="s">
        <v>2194</v>
      </c>
      <c r="E91" s="18">
        <v>538.88</v>
      </c>
      <c r="F91" s="19" cm="1">
        <f t="array" aca="1" ref="F91" ca="1">SUMPRODUCT(SUMIF(INDIRECT("'"&amp;Assemblies[Assy]&amp;"'!"&amp;"C5:C1000"),C91,(INDIRECT("'"&amp;Assemblies[Assy]&amp;"'!"&amp;"O5:O1000"))))</f>
        <v>1</v>
      </c>
      <c r="G91" s="19">
        <v>1</v>
      </c>
      <c r="H91" s="19" t="str">
        <f ca="1">IF(F91&lt;=G91," ","YES")</f>
        <v xml:space="preserve"> </v>
      </c>
      <c r="I91">
        <v>1</v>
      </c>
      <c r="J91">
        <v>1</v>
      </c>
      <c r="K91" s="40">
        <v>45541</v>
      </c>
      <c r="L91">
        <v>1</v>
      </c>
      <c r="M91" s="40">
        <v>45559</v>
      </c>
      <c r="N91">
        <v>1</v>
      </c>
      <c r="O91" t="s">
        <v>1986</v>
      </c>
      <c r="P91" t="s">
        <v>1987</v>
      </c>
      <c r="R91" t="s">
        <v>2168</v>
      </c>
      <c r="S91" t="s">
        <v>2195</v>
      </c>
      <c r="T91" s="40">
        <v>45497</v>
      </c>
      <c r="U91" s="40">
        <v>45497</v>
      </c>
      <c r="V91" s="40">
        <v>45532</v>
      </c>
      <c r="W91" s="40">
        <v>45532</v>
      </c>
      <c r="X91" s="157">
        <v>55631</v>
      </c>
      <c r="Y91" s="40" t="str" cm="1">
        <f t="array" aca="1" ref="Y91" ca="1">TRIM(SUBSTITUTE(_xlfn.ARRAYTOTEXT(IFERROR(CONCATENATE(SUMIF(INDIRECT("'"&amp;Assemblies[Assy]&amp;"'!"&amp;"C$5:C1000"), $C91, INDIRECT("'"&amp;Assemblies[Assy]&amp;"'!"&amp;"O$5:O1000")), "x",Assemblies[Assy],".",IF(SUMIF(INDIRECT("'"&amp;Assemblies[Assy]&amp;"'!"&amp;"C$5:C1000"), $C91, INDIRECT("'"&amp;Assemblies[Assy]&amp;"'!"&amp;"A$5:A1000"))=0,NA(),SUMIF(INDIRECT("'"&amp;Assemblies[Assy]&amp;"'!"&amp;"C$5:C1000"), $C91, INDIRECT("'"&amp;Assemblies[Assy]&amp;"'!"&amp;"A$5:A1000")))),"")), " ,", ""))</f>
        <v>, 1x10.2.5.1,</v>
      </c>
      <c r="Z91" s="141">
        <v>0</v>
      </c>
      <c r="AA91" s="141">
        <v>0</v>
      </c>
      <c r="AB91" s="141">
        <v>0</v>
      </c>
      <c r="AC91" s="39">
        <v>0</v>
      </c>
      <c r="AD91" s="141" t="s">
        <v>1473</v>
      </c>
      <c r="AE91" s="296">
        <v>55724</v>
      </c>
      <c r="AF91" s="156"/>
      <c r="AG91"/>
    </row>
    <row r="92" spans="1:33" x14ac:dyDescent="0.25">
      <c r="A92" s="24" t="s">
        <v>2196</v>
      </c>
      <c r="B92" s="134" t="s">
        <v>54</v>
      </c>
      <c r="C92" t="str">
        <f>_xlfn.CONCAT(A92,".",B92)</f>
        <v>PG10.10.2.5.A</v>
      </c>
      <c r="D92" t="s">
        <v>2197</v>
      </c>
      <c r="E92" s="18">
        <v>37.5</v>
      </c>
      <c r="F92" s="19" cm="1">
        <f t="array" aca="1" ref="F92" ca="1">SUMPRODUCT(SUMIF(INDIRECT("'"&amp;Assemblies[Assy]&amp;"'!"&amp;"C5:C1000"),C92,(INDIRECT("'"&amp;Assemblies[Assy]&amp;"'!"&amp;"O5:O1000"))))</f>
        <v>4</v>
      </c>
      <c r="G92" s="19">
        <v>4</v>
      </c>
      <c r="H92" s="19" t="str">
        <f ca="1">IF(F92&lt;=G92," ","YES")</f>
        <v xml:space="preserve"> </v>
      </c>
      <c r="I92">
        <v>4</v>
      </c>
      <c r="J92">
        <v>4</v>
      </c>
      <c r="K92" s="40">
        <v>45541</v>
      </c>
      <c r="L92">
        <v>4</v>
      </c>
      <c r="M92" s="40">
        <v>45558</v>
      </c>
      <c r="N92">
        <v>4</v>
      </c>
      <c r="O92" t="s">
        <v>1986</v>
      </c>
      <c r="P92" t="s">
        <v>1987</v>
      </c>
      <c r="R92" t="s">
        <v>2192</v>
      </c>
      <c r="T92" s="40">
        <v>45489</v>
      </c>
      <c r="U92" s="40">
        <v>45490</v>
      </c>
      <c r="V92" s="40">
        <v>45522</v>
      </c>
      <c r="W92" s="40">
        <v>45522</v>
      </c>
      <c r="X92" s="157">
        <v>55608</v>
      </c>
      <c r="Y92" s="40" t="str" cm="1">
        <f t="array" aca="1" ref="Y92" ca="1">TRIM(SUBSTITUTE(_xlfn.ARRAYTOTEXT(IFERROR(CONCATENATE(SUMIF(INDIRECT("'"&amp;Assemblies[Assy]&amp;"'!"&amp;"C$5:C1000"), $C92, INDIRECT("'"&amp;Assemblies[Assy]&amp;"'!"&amp;"O$5:O1000")), "x",Assemblies[Assy],".",IF(SUMIF(INDIRECT("'"&amp;Assemblies[Assy]&amp;"'!"&amp;"C$5:C1000"), $C92, INDIRECT("'"&amp;Assemblies[Assy]&amp;"'!"&amp;"A$5:A1000"))=0,NA(),SUMIF(INDIRECT("'"&amp;Assemblies[Assy]&amp;"'!"&amp;"C$5:C1000"), $C92, INDIRECT("'"&amp;Assemblies[Assy]&amp;"'!"&amp;"A$5:A1000")))),"")), " ,", ""))</f>
        <v>, 4x10.2.5,</v>
      </c>
      <c r="Z92" s="141">
        <v>0</v>
      </c>
      <c r="AA92" s="141">
        <v>0</v>
      </c>
      <c r="AB92" s="141">
        <v>0</v>
      </c>
      <c r="AC92" s="39">
        <v>0</v>
      </c>
      <c r="AD92" s="141" t="s">
        <v>1473</v>
      </c>
      <c r="AE92" s="296">
        <v>55723</v>
      </c>
      <c r="AF92" s="156"/>
      <c r="AG92"/>
    </row>
    <row r="93" spans="1:33" x14ac:dyDescent="0.25">
      <c r="A93" s="24" t="s">
        <v>2198</v>
      </c>
      <c r="B93" s="134" t="s">
        <v>54</v>
      </c>
      <c r="C93" t="str">
        <f>_xlfn.CONCAT(A93,".",B93)</f>
        <v>PG10.10.2.6.1.A</v>
      </c>
      <c r="D93" t="s">
        <v>2199</v>
      </c>
      <c r="E93" s="18">
        <v>465</v>
      </c>
      <c r="F93" s="19" cm="1">
        <f t="array" aca="1" ref="F93" ca="1">SUMPRODUCT(SUMIF(INDIRECT("'"&amp;Assemblies[Assy]&amp;"'!"&amp;"C5:C1000"),C93,(INDIRECT("'"&amp;Assemblies[Assy]&amp;"'!"&amp;"O5:O1000"))))</f>
        <v>3</v>
      </c>
      <c r="G93" s="19">
        <v>3</v>
      </c>
      <c r="H93" s="19" t="str">
        <f ca="1">IF(F93&lt;=G93," ","YES")</f>
        <v xml:space="preserve"> </v>
      </c>
      <c r="I93">
        <v>3</v>
      </c>
      <c r="J93">
        <v>3</v>
      </c>
      <c r="K93" s="40">
        <v>45541</v>
      </c>
      <c r="L93">
        <v>3</v>
      </c>
      <c r="M93" s="40">
        <v>45559</v>
      </c>
      <c r="N93">
        <v>3</v>
      </c>
      <c r="O93" t="s">
        <v>1986</v>
      </c>
      <c r="P93" t="s">
        <v>1987</v>
      </c>
      <c r="R93" t="s">
        <v>2168</v>
      </c>
      <c r="T93" s="40">
        <v>45497</v>
      </c>
      <c r="U93" s="40">
        <v>45497</v>
      </c>
      <c r="V93" s="40">
        <v>45532</v>
      </c>
      <c r="W93" s="40">
        <v>45532</v>
      </c>
      <c r="X93" s="157">
        <v>55631</v>
      </c>
      <c r="Y93" s="40" t="str" cm="1">
        <f t="array" aca="1" ref="Y93" ca="1">TRIM(SUBSTITUTE(_xlfn.ARRAYTOTEXT(IFERROR(CONCATENATE(SUMIF(INDIRECT("'"&amp;Assemblies[Assy]&amp;"'!"&amp;"C$5:C1000"), $C93, INDIRECT("'"&amp;Assemblies[Assy]&amp;"'!"&amp;"O$5:O1000")), "x",Assemblies[Assy],".",IF(SUMIF(INDIRECT("'"&amp;Assemblies[Assy]&amp;"'!"&amp;"C$5:C1000"), $C93, INDIRECT("'"&amp;Assemblies[Assy]&amp;"'!"&amp;"A$5:A1000"))=0,NA(),SUMIF(INDIRECT("'"&amp;Assemblies[Assy]&amp;"'!"&amp;"C$5:C1000"), $C93, INDIRECT("'"&amp;Assemblies[Assy]&amp;"'!"&amp;"A$5:A1000")))),"")), " ,", ""))</f>
        <v>, 2x10.2.6.1, 1x10.2.7.2,</v>
      </c>
      <c r="Z93" s="141">
        <v>0</v>
      </c>
      <c r="AA93" s="141">
        <v>0</v>
      </c>
      <c r="AB93" s="141">
        <v>0</v>
      </c>
      <c r="AC93" s="39">
        <v>0</v>
      </c>
      <c r="AD93" s="141" t="s">
        <v>1473</v>
      </c>
      <c r="AE93" s="296">
        <v>55724</v>
      </c>
      <c r="AF93" s="156"/>
      <c r="AG93"/>
    </row>
    <row r="94" spans="1:33" x14ac:dyDescent="0.25">
      <c r="A94" s="24" t="s">
        <v>2200</v>
      </c>
      <c r="B94" s="134" t="s">
        <v>54</v>
      </c>
      <c r="C94" t="str">
        <f>_xlfn.CONCAT(A94,".",B94)</f>
        <v>PG10.10.2.6.2.A</v>
      </c>
      <c r="D94" t="s">
        <v>2201</v>
      </c>
      <c r="E94" s="18">
        <f>Z94+AA94+AB94+(65*AC94)</f>
        <v>0</v>
      </c>
      <c r="F94" s="19" cm="1">
        <f t="array" aca="1" ref="F94" ca="1">SUMPRODUCT(SUMIF(INDIRECT("'"&amp;Assemblies[Assy]&amp;"'!"&amp;"C5:C1000"),C94,(INDIRECT("'"&amp;Assemblies[Assy]&amp;"'!"&amp;"O5:O1000"))))</f>
        <v>2</v>
      </c>
      <c r="G94" s="19">
        <v>2</v>
      </c>
      <c r="H94" s="19" t="str">
        <f ca="1">IF(F94&lt;=G94," ","YES")</f>
        <v xml:space="preserve"> </v>
      </c>
      <c r="O94" t="s">
        <v>2202</v>
      </c>
      <c r="P94" t="s">
        <v>1993</v>
      </c>
      <c r="R94" t="s">
        <v>1988</v>
      </c>
      <c r="Y94" s="40" t="str" cm="1">
        <f t="array" aca="1" ref="Y94" ca="1">TRIM(SUBSTITUTE(_xlfn.ARRAYTOTEXT(IFERROR(CONCATENATE(SUMIF(INDIRECT("'"&amp;Assemblies[Assy]&amp;"'!"&amp;"C$5:C1000"), $C94, INDIRECT("'"&amp;Assemblies[Assy]&amp;"'!"&amp;"O$5:O1000")), "x",Assemblies[Assy],".",IF(SUMIF(INDIRECT("'"&amp;Assemblies[Assy]&amp;"'!"&amp;"C$5:C1000"), $C94, INDIRECT("'"&amp;Assemblies[Assy]&amp;"'!"&amp;"A$5:A1000"))=0,NA(),SUMIF(INDIRECT("'"&amp;Assemblies[Assy]&amp;"'!"&amp;"C$5:C1000"), $C94, INDIRECT("'"&amp;Assemblies[Assy]&amp;"'!"&amp;"A$5:A1000")))),"")), " ,", ""))</f>
        <v>, 2x10.2.6.2,</v>
      </c>
      <c r="Z94" s="141">
        <v>0</v>
      </c>
      <c r="AA94" s="141">
        <v>0</v>
      </c>
      <c r="AB94" s="141">
        <v>0</v>
      </c>
      <c r="AC94" s="39">
        <v>0</v>
      </c>
      <c r="AD94" s="141" t="s">
        <v>1473</v>
      </c>
      <c r="AE94" s="296"/>
      <c r="AF94" s="156"/>
      <c r="AG94"/>
    </row>
    <row r="95" spans="1:33" x14ac:dyDescent="0.25">
      <c r="A95" s="24" t="s">
        <v>2203</v>
      </c>
      <c r="B95" s="134" t="s">
        <v>54</v>
      </c>
      <c r="C95" t="str">
        <f>_xlfn.CONCAT(A95,".",B95)</f>
        <v>PG10.10.2.6.A</v>
      </c>
      <c r="D95" t="s">
        <v>2204</v>
      </c>
      <c r="E95" s="18">
        <v>47.3</v>
      </c>
      <c r="F95" s="19" cm="1">
        <f t="array" aca="1" ref="F95" ca="1">SUMPRODUCT(SUMIF(INDIRECT("'"&amp;Assemblies[Assy]&amp;"'!"&amp;"C5:C1000"),C95,(INDIRECT("'"&amp;Assemblies[Assy]&amp;"'!"&amp;"O5:O1000"))))</f>
        <v>4</v>
      </c>
      <c r="G95" s="19">
        <v>4</v>
      </c>
      <c r="H95" s="19" t="str">
        <f ca="1">IF(F95&lt;=G95," ","YES")</f>
        <v xml:space="preserve"> </v>
      </c>
      <c r="I95">
        <v>4</v>
      </c>
      <c r="J95">
        <v>4</v>
      </c>
      <c r="K95" s="40">
        <v>45541</v>
      </c>
      <c r="L95">
        <v>4</v>
      </c>
      <c r="M95" s="40">
        <v>45558</v>
      </c>
      <c r="N95">
        <v>4</v>
      </c>
      <c r="O95" t="s">
        <v>1986</v>
      </c>
      <c r="P95" t="s">
        <v>1987</v>
      </c>
      <c r="R95" t="s">
        <v>2178</v>
      </c>
      <c r="T95" s="40">
        <v>45489</v>
      </c>
      <c r="U95" s="40">
        <v>45490</v>
      </c>
      <c r="V95" s="40">
        <v>45522</v>
      </c>
      <c r="W95" s="40">
        <v>45522</v>
      </c>
      <c r="X95" s="157">
        <v>55609</v>
      </c>
      <c r="Y95" s="40" t="str" cm="1">
        <f t="array" aca="1" ref="Y95" ca="1">TRIM(SUBSTITUTE(_xlfn.ARRAYTOTEXT(IFERROR(CONCATENATE(SUMIF(INDIRECT("'"&amp;Assemblies[Assy]&amp;"'!"&amp;"C$5:C1000"), $C95, INDIRECT("'"&amp;Assemblies[Assy]&amp;"'!"&amp;"O$5:O1000")), "x",Assemblies[Assy],".",IF(SUMIF(INDIRECT("'"&amp;Assemblies[Assy]&amp;"'!"&amp;"C$5:C1000"), $C95, INDIRECT("'"&amp;Assemblies[Assy]&amp;"'!"&amp;"A$5:A1000"))=0,NA(),SUMIF(INDIRECT("'"&amp;Assemblies[Assy]&amp;"'!"&amp;"C$5:C1000"), $C95, INDIRECT("'"&amp;Assemblies[Assy]&amp;"'!"&amp;"A$5:A1000")))),"")), " ,", ""))</f>
        <v>, 4x10.2.6,</v>
      </c>
      <c r="Z95" s="141">
        <v>0</v>
      </c>
      <c r="AA95" s="141">
        <v>0</v>
      </c>
      <c r="AB95" s="141">
        <v>0</v>
      </c>
      <c r="AC95" s="39">
        <v>0</v>
      </c>
      <c r="AD95" s="141" t="s">
        <v>1473</v>
      </c>
      <c r="AE95" s="296">
        <v>55723</v>
      </c>
      <c r="AF95" s="156"/>
      <c r="AG95"/>
    </row>
    <row r="96" spans="1:33" x14ac:dyDescent="0.25">
      <c r="A96" s="24" t="s">
        <v>2205</v>
      </c>
      <c r="B96" s="134" t="s">
        <v>54</v>
      </c>
      <c r="C96" t="str">
        <f>_xlfn.CONCAT(A96,".",B96)</f>
        <v>PG10.10.2.7.1.A</v>
      </c>
      <c r="D96" t="s">
        <v>2206</v>
      </c>
      <c r="E96" s="18">
        <f>Z96+AA96+AB96+(65*AC96)</f>
        <v>0</v>
      </c>
      <c r="F96" s="19" cm="1">
        <f t="array" aca="1" ref="F96" ca="1">SUMPRODUCT(SUMIF(INDIRECT("'"&amp;Assemblies[Assy]&amp;"'!"&amp;"C5:C1000"),C96,(INDIRECT("'"&amp;Assemblies[Assy]&amp;"'!"&amp;"O5:O1000"))))</f>
        <v>2</v>
      </c>
      <c r="G96" s="19">
        <v>2</v>
      </c>
      <c r="H96" s="19" t="str">
        <f ca="1">IF(F96&lt;=G96," ","YES")</f>
        <v xml:space="preserve"> </v>
      </c>
      <c r="O96" t="s">
        <v>2202</v>
      </c>
      <c r="P96" t="s">
        <v>1993</v>
      </c>
      <c r="S96" t="s">
        <v>2207</v>
      </c>
      <c r="W96" s="40">
        <v>45520</v>
      </c>
      <c r="X96" s="157">
        <v>55627</v>
      </c>
      <c r="Y96" s="40" t="str" cm="1">
        <f t="array" aca="1" ref="Y96" ca="1">TRIM(SUBSTITUTE(_xlfn.ARRAYTOTEXT(IFERROR(CONCATENATE(SUMIF(INDIRECT("'"&amp;Assemblies[Assy]&amp;"'!"&amp;"C$5:C1000"), $C96, INDIRECT("'"&amp;Assemblies[Assy]&amp;"'!"&amp;"O$5:O1000")), "x",Assemblies[Assy],".",IF(SUMIF(INDIRECT("'"&amp;Assemblies[Assy]&amp;"'!"&amp;"C$5:C1000"), $C96, INDIRECT("'"&amp;Assemblies[Assy]&amp;"'!"&amp;"A$5:A1000"))=0,NA(),SUMIF(INDIRECT("'"&amp;Assemblies[Assy]&amp;"'!"&amp;"C$5:C1000"), $C96, INDIRECT("'"&amp;Assemblies[Assy]&amp;"'!"&amp;"A$5:A1000")))),"")), " ,", ""))</f>
        <v>, 1x10.2.5.2, 1x10.2.7.1,</v>
      </c>
      <c r="Z96" s="141">
        <v>0</v>
      </c>
      <c r="AA96" s="141">
        <v>0</v>
      </c>
      <c r="AB96" s="141">
        <v>0</v>
      </c>
      <c r="AC96" s="39">
        <v>0</v>
      </c>
      <c r="AD96" s="141" t="s">
        <v>1473</v>
      </c>
      <c r="AE96" s="296"/>
      <c r="AF96" s="156"/>
      <c r="AG96"/>
    </row>
    <row r="97" spans="1:33" x14ac:dyDescent="0.25">
      <c r="A97" s="24" t="s">
        <v>2208</v>
      </c>
      <c r="B97" s="134" t="s">
        <v>54</v>
      </c>
      <c r="C97" t="str">
        <f>_xlfn.CONCAT(A97,".",B97)</f>
        <v>PG10.10.2.7.A</v>
      </c>
      <c r="D97" t="s">
        <v>2209</v>
      </c>
      <c r="E97" s="18">
        <v>181</v>
      </c>
      <c r="F97" s="19" cm="1">
        <f t="array" aca="1" ref="F97" ca="1">SUMPRODUCT(SUMIF(INDIRECT("'"&amp;Assemblies[Assy]&amp;"'!"&amp;"C5:C1000"),C97,(INDIRECT("'"&amp;Assemblies[Assy]&amp;"'!"&amp;"O5:O1000"))))</f>
        <v>2</v>
      </c>
      <c r="G97" s="19">
        <v>2</v>
      </c>
      <c r="H97" s="19" t="str">
        <f ca="1">IF(F97&lt;=G97," ","YES")</f>
        <v xml:space="preserve"> </v>
      </c>
      <c r="I97">
        <v>2</v>
      </c>
      <c r="J97">
        <v>2</v>
      </c>
      <c r="K97" s="40">
        <v>45541</v>
      </c>
      <c r="L97">
        <v>2</v>
      </c>
      <c r="N97">
        <v>2</v>
      </c>
      <c r="O97" t="s">
        <v>2026</v>
      </c>
      <c r="P97" t="s">
        <v>2027</v>
      </c>
      <c r="R97" t="s">
        <v>2178</v>
      </c>
      <c r="T97" s="40">
        <v>45489</v>
      </c>
      <c r="U97" s="40">
        <v>45490</v>
      </c>
      <c r="V97" s="40">
        <v>45522</v>
      </c>
      <c r="W97" s="40">
        <v>45522</v>
      </c>
      <c r="X97" s="157">
        <v>55609</v>
      </c>
      <c r="Y97" s="40" t="str" cm="1">
        <f t="array" aca="1" ref="Y97" ca="1">TRIM(SUBSTITUTE(_xlfn.ARRAYTOTEXT(IFERROR(CONCATENATE(SUMIF(INDIRECT("'"&amp;Assemblies[Assy]&amp;"'!"&amp;"C$5:C1000"), $C97, INDIRECT("'"&amp;Assemblies[Assy]&amp;"'!"&amp;"O$5:O1000")), "x",Assemblies[Assy],".",IF(SUMIF(INDIRECT("'"&amp;Assemblies[Assy]&amp;"'!"&amp;"C$5:C1000"), $C97, INDIRECT("'"&amp;Assemblies[Assy]&amp;"'!"&amp;"A$5:A1000"))=0,NA(),SUMIF(INDIRECT("'"&amp;Assemblies[Assy]&amp;"'!"&amp;"C$5:C1000"), $C97, INDIRECT("'"&amp;Assemblies[Assy]&amp;"'!"&amp;"A$5:A1000")))),"")), " ,", ""))</f>
        <v>, 2x10.2.7,</v>
      </c>
      <c r="Z97" s="141">
        <v>0</v>
      </c>
      <c r="AA97" s="141">
        <v>0</v>
      </c>
      <c r="AB97" s="141">
        <v>0</v>
      </c>
      <c r="AC97" s="39">
        <v>0</v>
      </c>
      <c r="AD97" s="141" t="s">
        <v>1473</v>
      </c>
      <c r="AE97" s="296">
        <v>55722</v>
      </c>
      <c r="AF97" s="156"/>
      <c r="AG97"/>
    </row>
    <row r="98" spans="1:33" x14ac:dyDescent="0.25">
      <c r="A98" s="24" t="s">
        <v>2210</v>
      </c>
      <c r="B98" s="134" t="s">
        <v>56</v>
      </c>
      <c r="C98" t="str">
        <f>_xlfn.CONCAT(A98,".",B98)</f>
        <v>PG10.10.2.8.1.B</v>
      </c>
      <c r="D98" t="s">
        <v>2211</v>
      </c>
      <c r="E98" s="18">
        <f>Z98+AA98+AB98+(65*AC98)</f>
        <v>0</v>
      </c>
      <c r="F98" s="19" cm="1">
        <f t="array" aca="1" ref="F98" ca="1">SUMPRODUCT(SUMIF(INDIRECT("'"&amp;Assemblies[Assy]&amp;"'!"&amp;"C5:C1000"),C98,(INDIRECT("'"&amp;Assemblies[Assy]&amp;"'!"&amp;"O5:O1000"))))</f>
        <v>1</v>
      </c>
      <c r="G98" s="19">
        <v>1</v>
      </c>
      <c r="H98" s="19" t="str">
        <f ca="1">IF(F98&lt;=G98," ","YES")</f>
        <v xml:space="preserve"> </v>
      </c>
      <c r="I98">
        <v>1</v>
      </c>
      <c r="J98">
        <v>1</v>
      </c>
      <c r="L98">
        <v>1</v>
      </c>
      <c r="N98">
        <v>1</v>
      </c>
      <c r="O98" t="s">
        <v>2189</v>
      </c>
      <c r="P98" t="s">
        <v>1993</v>
      </c>
      <c r="R98" t="s">
        <v>1989</v>
      </c>
      <c r="S98" t="s">
        <v>2576</v>
      </c>
      <c r="U98" s="40">
        <v>45540</v>
      </c>
      <c r="V98" s="40">
        <v>45555</v>
      </c>
      <c r="W98" s="40">
        <v>45555</v>
      </c>
      <c r="X98" s="157">
        <v>55720</v>
      </c>
      <c r="Y98" s="40" t="str" cm="1">
        <f t="array" aca="1" ref="Y98" ca="1">TRIM(SUBSTITUTE(_xlfn.ARRAYTOTEXT(IFERROR(CONCATENATE(SUMIF(INDIRECT("'"&amp;Assemblies[Assy]&amp;"'!"&amp;"C$5:C1000"), $C98, INDIRECT("'"&amp;Assemblies[Assy]&amp;"'!"&amp;"O$5:O1000")), "x",Assemblies[Assy],".",IF(SUMIF(INDIRECT("'"&amp;Assemblies[Assy]&amp;"'!"&amp;"C$5:C1000"), $C98, INDIRECT("'"&amp;Assemblies[Assy]&amp;"'!"&amp;"A$5:A1000"))=0,NA(),SUMIF(INDIRECT("'"&amp;Assemblies[Assy]&amp;"'!"&amp;"C$5:C1000"), $C98, INDIRECT("'"&amp;Assemblies[Assy]&amp;"'!"&amp;"A$5:A1000")))),"")), " ,", ""))</f>
        <v>, 1x10.2.8.1,</v>
      </c>
      <c r="Z98" s="141">
        <v>0</v>
      </c>
      <c r="AA98" s="141">
        <v>0</v>
      </c>
      <c r="AB98" s="141">
        <v>0</v>
      </c>
      <c r="AC98" s="39">
        <v>0</v>
      </c>
      <c r="AD98" s="141" t="s">
        <v>1473</v>
      </c>
      <c r="AE98" s="296"/>
      <c r="AF98" s="156"/>
      <c r="AG98"/>
    </row>
    <row r="99" spans="1:33" x14ac:dyDescent="0.25">
      <c r="A99" s="24" t="s">
        <v>2212</v>
      </c>
      <c r="B99" s="134" t="s">
        <v>54</v>
      </c>
      <c r="C99" t="str">
        <f>_xlfn.CONCAT(A99,".",B99)</f>
        <v>PG10.10.2.8.A</v>
      </c>
      <c r="D99" t="s">
        <v>2213</v>
      </c>
      <c r="E99" s="18">
        <v>35.54</v>
      </c>
      <c r="F99" s="19" cm="1">
        <f t="array" aca="1" ref="F99" ca="1">SUMPRODUCT(SUMIF(INDIRECT("'"&amp;Assemblies[Assy]&amp;"'!"&amp;"C5:C1000"),C99,(INDIRECT("'"&amp;Assemblies[Assy]&amp;"'!"&amp;"O5:O1000"))))</f>
        <v>4</v>
      </c>
      <c r="G99" s="19">
        <v>4</v>
      </c>
      <c r="H99" s="19" t="str">
        <f ca="1">IF(F99&lt;=G99," ","YES")</f>
        <v xml:space="preserve"> </v>
      </c>
      <c r="I99">
        <v>4</v>
      </c>
      <c r="J99">
        <v>4</v>
      </c>
      <c r="K99" s="40">
        <v>45541</v>
      </c>
      <c r="L99">
        <v>4</v>
      </c>
      <c r="N99">
        <v>4</v>
      </c>
      <c r="O99" t="s">
        <v>2026</v>
      </c>
      <c r="P99" t="s">
        <v>2027</v>
      </c>
      <c r="R99" t="s">
        <v>2178</v>
      </c>
      <c r="T99" s="40">
        <v>45489</v>
      </c>
      <c r="U99" s="40">
        <v>45490</v>
      </c>
      <c r="V99" s="40">
        <v>45522</v>
      </c>
      <c r="W99" s="40">
        <v>45522</v>
      </c>
      <c r="X99" s="157">
        <v>55609</v>
      </c>
      <c r="Y99" s="40" t="str" cm="1">
        <f t="array" aca="1" ref="Y99" ca="1">TRIM(SUBSTITUTE(_xlfn.ARRAYTOTEXT(IFERROR(CONCATENATE(SUMIF(INDIRECT("'"&amp;Assemblies[Assy]&amp;"'!"&amp;"C$5:C1000"), $C99, INDIRECT("'"&amp;Assemblies[Assy]&amp;"'!"&amp;"O$5:O1000")), "x",Assemblies[Assy],".",IF(SUMIF(INDIRECT("'"&amp;Assemblies[Assy]&amp;"'!"&amp;"C$5:C1000"), $C99, INDIRECT("'"&amp;Assemblies[Assy]&amp;"'!"&amp;"A$5:A1000"))=0,NA(),SUMIF(INDIRECT("'"&amp;Assemblies[Assy]&amp;"'!"&amp;"C$5:C1000"), $C99, INDIRECT("'"&amp;Assemblies[Assy]&amp;"'!"&amp;"A$5:A1000")))),"")), " ,", ""))</f>
        <v>, 4x10.2.8,</v>
      </c>
      <c r="Z99" s="141">
        <v>0</v>
      </c>
      <c r="AA99" s="141">
        <v>0</v>
      </c>
      <c r="AB99" s="141">
        <v>0</v>
      </c>
      <c r="AC99" s="39">
        <v>0</v>
      </c>
      <c r="AD99" s="141" t="s">
        <v>1473</v>
      </c>
      <c r="AE99" s="296">
        <v>55722</v>
      </c>
      <c r="AF99" s="156"/>
      <c r="AG99"/>
    </row>
    <row r="100" spans="1:33" x14ac:dyDescent="0.25">
      <c r="A100" s="24" t="s">
        <v>2214</v>
      </c>
      <c r="B100" s="134" t="s">
        <v>54</v>
      </c>
      <c r="C100" t="str">
        <f>_xlfn.CONCAT(A100,".",B100)</f>
        <v>PG10.10.2.9.A</v>
      </c>
      <c r="D100" t="s">
        <v>2215</v>
      </c>
      <c r="E100" s="18">
        <f>Z100+AA100+AB100+(65*AC100)</f>
        <v>0</v>
      </c>
      <c r="F100" s="19" cm="1">
        <f t="array" aca="1" ref="F100" ca="1">SUMPRODUCT(SUMIF(INDIRECT("'"&amp;Assemblies[Assy]&amp;"'!"&amp;"C5:C1000"),C100,(INDIRECT("'"&amp;Assemblies[Assy]&amp;"'!"&amp;"O5:O1000"))))</f>
        <v>2</v>
      </c>
      <c r="G100" s="19">
        <v>2</v>
      </c>
      <c r="H100" s="19" t="str">
        <f ca="1">IF(F100&lt;=G100," ","YES")</f>
        <v xml:space="preserve"> </v>
      </c>
      <c r="I100">
        <v>2</v>
      </c>
      <c r="J100">
        <v>2</v>
      </c>
      <c r="L100">
        <v>2</v>
      </c>
      <c r="N100">
        <v>2</v>
      </c>
      <c r="O100" t="s">
        <v>2021</v>
      </c>
      <c r="P100" t="s">
        <v>2175</v>
      </c>
      <c r="R100" t="s">
        <v>2488</v>
      </c>
      <c r="T100" s="40">
        <v>45526</v>
      </c>
      <c r="U100" s="40">
        <v>45527</v>
      </c>
      <c r="V100" s="40">
        <v>45548</v>
      </c>
      <c r="W100" s="40">
        <v>45548</v>
      </c>
      <c r="X100" s="157">
        <v>55702</v>
      </c>
      <c r="Y100" s="40" t="str" cm="1">
        <f t="array" aca="1" ref="Y100" ca="1">TRIM(SUBSTITUTE(_xlfn.ARRAYTOTEXT(IFERROR(CONCATENATE(SUMIF(INDIRECT("'"&amp;Assemblies[Assy]&amp;"'!"&amp;"C$5:C1000"), $C100, INDIRECT("'"&amp;Assemblies[Assy]&amp;"'!"&amp;"O$5:O1000")), "x",Assemblies[Assy],".",IF(SUMIF(INDIRECT("'"&amp;Assemblies[Assy]&amp;"'!"&amp;"C$5:C1000"), $C100, INDIRECT("'"&amp;Assemblies[Assy]&amp;"'!"&amp;"A$5:A1000"))=0,NA(),SUMIF(INDIRECT("'"&amp;Assemblies[Assy]&amp;"'!"&amp;"C$5:C1000"), $C100, INDIRECT("'"&amp;Assemblies[Assy]&amp;"'!"&amp;"A$5:A1000")))),"")), " ,", ""))</f>
        <v>,</v>
      </c>
      <c r="Z100" s="141">
        <v>0</v>
      </c>
      <c r="AA100" s="141">
        <v>0</v>
      </c>
      <c r="AB100" s="141">
        <v>0</v>
      </c>
      <c r="AC100" s="39">
        <v>0</v>
      </c>
      <c r="AD100" s="141" t="s">
        <v>1473</v>
      </c>
      <c r="AE100" s="296"/>
      <c r="AF100" s="156"/>
      <c r="AG100"/>
    </row>
    <row r="101" spans="1:33" x14ac:dyDescent="0.25">
      <c r="A101" s="24" t="s">
        <v>2216</v>
      </c>
      <c r="B101" s="134" t="s">
        <v>54</v>
      </c>
      <c r="C101" t="str">
        <f>_xlfn.CONCAT(A101,".",B101)</f>
        <v>PG10.10.3.1.1.A</v>
      </c>
      <c r="D101" t="s">
        <v>2217</v>
      </c>
      <c r="E101" s="18">
        <v>45</v>
      </c>
      <c r="F101" s="19" cm="1">
        <f t="array" aca="1" ref="F101" ca="1">SUMPRODUCT(SUMIF(INDIRECT("'"&amp;Assemblies[Assy]&amp;"'!"&amp;"C5:C1000"),C101,(INDIRECT("'"&amp;Assemblies[Assy]&amp;"'!"&amp;"O5:O1000"))))</f>
        <v>4</v>
      </c>
      <c r="G101" s="19">
        <v>4</v>
      </c>
      <c r="H101" s="19" t="str">
        <f ca="1">IF(F101&lt;=G101," ","YES")</f>
        <v xml:space="preserve"> </v>
      </c>
      <c r="I101">
        <v>4</v>
      </c>
      <c r="J101">
        <v>4</v>
      </c>
      <c r="K101" s="40">
        <v>45541</v>
      </c>
      <c r="L101">
        <v>4</v>
      </c>
      <c r="M101" s="40">
        <v>45558</v>
      </c>
      <c r="N101">
        <v>4</v>
      </c>
      <c r="O101" t="s">
        <v>1986</v>
      </c>
      <c r="P101" t="s">
        <v>1987</v>
      </c>
      <c r="R101" t="s">
        <v>2192</v>
      </c>
      <c r="T101" s="40">
        <v>45489</v>
      </c>
      <c r="U101" s="40">
        <v>45490</v>
      </c>
      <c r="V101" s="40">
        <v>45522</v>
      </c>
      <c r="W101" s="40">
        <v>45522</v>
      </c>
      <c r="X101" s="157">
        <v>55608</v>
      </c>
      <c r="Y101" s="40" t="str" cm="1">
        <f t="array" aca="1" ref="Y101" ca="1">TRIM(SUBSTITUTE(_xlfn.ARRAYTOTEXT(IFERROR(CONCATENATE(SUMIF(INDIRECT("'"&amp;Assemblies[Assy]&amp;"'!"&amp;"C$5:C1000"), $C101, INDIRECT("'"&amp;Assemblies[Assy]&amp;"'!"&amp;"O$5:O1000")), "x",Assemblies[Assy],".",IF(SUMIF(INDIRECT("'"&amp;Assemblies[Assy]&amp;"'!"&amp;"C$5:C1000"), $C101, INDIRECT("'"&amp;Assemblies[Assy]&amp;"'!"&amp;"A$5:A1000"))=0,NA(),SUMIF(INDIRECT("'"&amp;Assemblies[Assy]&amp;"'!"&amp;"C$5:C1000"), $C101, INDIRECT("'"&amp;Assemblies[Assy]&amp;"'!"&amp;"A$5:A1000")))),"")), " ,", ""))</f>
        <v>, 4x10.3.1.1,</v>
      </c>
      <c r="Z101" s="141">
        <v>0</v>
      </c>
      <c r="AA101" s="141">
        <v>0</v>
      </c>
      <c r="AB101" s="141">
        <v>0</v>
      </c>
      <c r="AC101" s="39">
        <v>0</v>
      </c>
      <c r="AD101" s="141" t="s">
        <v>1473</v>
      </c>
      <c r="AE101" s="296">
        <v>55723</v>
      </c>
      <c r="AF101" s="156"/>
      <c r="AG101"/>
    </row>
    <row r="102" spans="1:33" x14ac:dyDescent="0.25">
      <c r="A102" s="24" t="s">
        <v>2218</v>
      </c>
      <c r="B102" s="134" t="s">
        <v>54</v>
      </c>
      <c r="C102" t="str">
        <f>_xlfn.CONCAT(A102,".",B102)</f>
        <v>PG10.10.3.1.A</v>
      </c>
      <c r="D102" t="s">
        <v>2219</v>
      </c>
      <c r="E102" s="18">
        <f>Z102+AA102+AB102+(65*AC102)</f>
        <v>0</v>
      </c>
      <c r="F102" s="19" cm="1">
        <f t="array" aca="1" ref="F102" ca="1">SUMPRODUCT(SUMIF(INDIRECT("'"&amp;Assemblies[Assy]&amp;"'!"&amp;"C5:C1000"),C102,(INDIRECT("'"&amp;Assemblies[Assy]&amp;"'!"&amp;"O5:O1000"))))</f>
        <v>1</v>
      </c>
      <c r="G102" s="19">
        <v>1</v>
      </c>
      <c r="H102" s="19" t="str">
        <f ca="1">IF(F102&lt;=G102," ","YES")</f>
        <v xml:space="preserve"> </v>
      </c>
      <c r="I102">
        <v>1</v>
      </c>
      <c r="J102">
        <v>1</v>
      </c>
      <c r="L102">
        <v>1</v>
      </c>
      <c r="N102">
        <v>1</v>
      </c>
      <c r="O102" t="s">
        <v>2021</v>
      </c>
      <c r="P102" t="s">
        <v>2220</v>
      </c>
      <c r="R102" t="s">
        <v>2488</v>
      </c>
      <c r="T102" s="40">
        <v>45526</v>
      </c>
      <c r="U102" s="40">
        <v>45527</v>
      </c>
      <c r="V102" s="40">
        <v>45548</v>
      </c>
      <c r="W102" s="40">
        <v>45548</v>
      </c>
      <c r="X102" s="157">
        <v>55702</v>
      </c>
      <c r="Y102" s="40" t="str" cm="1">
        <f t="array" aca="1" ref="Y102" ca="1">TRIM(SUBSTITUTE(_xlfn.ARRAYTOTEXT(IFERROR(CONCATENATE(SUMIF(INDIRECT("'"&amp;Assemblies[Assy]&amp;"'!"&amp;"C$5:C1000"), $C102, INDIRECT("'"&amp;Assemblies[Assy]&amp;"'!"&amp;"O$5:O1000")), "x",Assemblies[Assy],".",IF(SUMIF(INDIRECT("'"&amp;Assemblies[Assy]&amp;"'!"&amp;"C$5:C1000"), $C102, INDIRECT("'"&amp;Assemblies[Assy]&amp;"'!"&amp;"A$5:A1000"))=0,NA(),SUMIF(INDIRECT("'"&amp;Assemblies[Assy]&amp;"'!"&amp;"C$5:C1000"), $C102, INDIRECT("'"&amp;Assemblies[Assy]&amp;"'!"&amp;"A$5:A1000")))),"")), " ,", ""))</f>
        <v>, 1x10.3.1,</v>
      </c>
      <c r="Z102" s="141">
        <v>0</v>
      </c>
      <c r="AA102" s="141">
        <v>0</v>
      </c>
      <c r="AB102" s="141">
        <v>0</v>
      </c>
      <c r="AC102" s="39">
        <v>0</v>
      </c>
      <c r="AD102" s="141" t="s">
        <v>1473</v>
      </c>
      <c r="AE102" s="296"/>
      <c r="AF102" s="156"/>
      <c r="AG102"/>
    </row>
    <row r="103" spans="1:33" x14ac:dyDescent="0.25">
      <c r="A103" s="24" t="s">
        <v>2221</v>
      </c>
      <c r="B103" s="134" t="s">
        <v>54</v>
      </c>
      <c r="C103" t="str">
        <f>_xlfn.CONCAT(A103,".",B103)</f>
        <v>PG10.10.3.2.A</v>
      </c>
      <c r="D103" t="s">
        <v>2222</v>
      </c>
      <c r="E103" s="18">
        <f>Z103+AA103+AB103+(65*AC103)</f>
        <v>0</v>
      </c>
      <c r="F103" s="19" cm="1">
        <f t="array" aca="1" ref="F103" ca="1">SUMPRODUCT(SUMIF(INDIRECT("'"&amp;Assemblies[Assy]&amp;"'!"&amp;"C5:C1000"),C103,(INDIRECT("'"&amp;Assemblies[Assy]&amp;"'!"&amp;"O5:O1000"))))</f>
        <v>2</v>
      </c>
      <c r="G103" s="19">
        <v>2</v>
      </c>
      <c r="H103" s="19" t="str">
        <f ca="1">IF(F103&lt;=G103," ","YES")</f>
        <v xml:space="preserve"> </v>
      </c>
      <c r="I103">
        <v>2</v>
      </c>
      <c r="J103">
        <v>2</v>
      </c>
      <c r="L103">
        <v>2</v>
      </c>
      <c r="N103">
        <v>2</v>
      </c>
      <c r="O103" t="s">
        <v>2021</v>
      </c>
      <c r="P103" t="s">
        <v>2030</v>
      </c>
      <c r="R103" t="s">
        <v>2488</v>
      </c>
      <c r="T103" s="40">
        <v>45526</v>
      </c>
      <c r="U103" s="40">
        <v>45527</v>
      </c>
      <c r="V103" s="40">
        <v>45548</v>
      </c>
      <c r="W103" s="40">
        <v>45548</v>
      </c>
      <c r="X103" s="157">
        <v>55702</v>
      </c>
      <c r="Y103" s="40" t="str" cm="1">
        <f t="array" aca="1" ref="Y103" ca="1">TRIM(SUBSTITUTE(_xlfn.ARRAYTOTEXT(IFERROR(CONCATENATE(SUMIF(INDIRECT("'"&amp;Assemblies[Assy]&amp;"'!"&amp;"C$5:C1000"), $C103, INDIRECT("'"&amp;Assemblies[Assy]&amp;"'!"&amp;"O$5:O1000")), "x",Assemblies[Assy],".",IF(SUMIF(INDIRECT("'"&amp;Assemblies[Assy]&amp;"'!"&amp;"C$5:C1000"), $C103, INDIRECT("'"&amp;Assemblies[Assy]&amp;"'!"&amp;"A$5:A1000"))=0,NA(),SUMIF(INDIRECT("'"&amp;Assemblies[Assy]&amp;"'!"&amp;"C$5:C1000"), $C103, INDIRECT("'"&amp;Assemblies[Assy]&amp;"'!"&amp;"A$5:A1000")))),"")), " ,", ""))</f>
        <v>,</v>
      </c>
      <c r="Z103" s="141">
        <v>0</v>
      </c>
      <c r="AA103" s="141">
        <v>0</v>
      </c>
      <c r="AB103" s="141">
        <v>0</v>
      </c>
      <c r="AC103" s="39">
        <v>0</v>
      </c>
      <c r="AD103" s="141"/>
      <c r="AE103" s="296"/>
      <c r="AF103" s="156"/>
      <c r="AG103"/>
    </row>
    <row r="104" spans="1:33" x14ac:dyDescent="0.25">
      <c r="A104" s="24" t="s">
        <v>3810</v>
      </c>
      <c r="B104" s="134" t="s">
        <v>54</v>
      </c>
      <c r="C104" t="str">
        <f>_xlfn.CONCAT(A104,".",B104)</f>
        <v>PG10.11.1.1.A</v>
      </c>
      <c r="D104" t="s">
        <v>2223</v>
      </c>
      <c r="E104" s="18">
        <f>Z104+AA104+AB104+(65*AC104)</f>
        <v>0</v>
      </c>
      <c r="F104" s="19" cm="1">
        <f t="array" aca="1" ref="F104" ca="1">SUMPRODUCT(SUMIF(INDIRECT("'"&amp;Assemblies[Assy]&amp;"'!"&amp;"C5:C1000"),C104,(INDIRECT("'"&amp;Assemblies[Assy]&amp;"'!"&amp;"O5:O1000"))))</f>
        <v>1</v>
      </c>
      <c r="G104" s="19">
        <v>1</v>
      </c>
      <c r="H104" s="19" t="str">
        <f ca="1">IF(F104&lt;=G104," ","YES")</f>
        <v xml:space="preserve"> </v>
      </c>
      <c r="I104">
        <v>1</v>
      </c>
      <c r="J104">
        <v>1</v>
      </c>
      <c r="K104" s="40">
        <v>45553</v>
      </c>
      <c r="L104">
        <v>1</v>
      </c>
      <c r="M104" s="40">
        <v>45560</v>
      </c>
      <c r="N104">
        <v>1</v>
      </c>
      <c r="O104" t="s">
        <v>1986</v>
      </c>
      <c r="P104" t="s">
        <v>2165</v>
      </c>
      <c r="R104" t="s">
        <v>2178</v>
      </c>
      <c r="T104" s="40">
        <v>45503</v>
      </c>
      <c r="U104" s="40">
        <v>45509</v>
      </c>
      <c r="V104" s="40">
        <v>45540</v>
      </c>
      <c r="W104" s="40">
        <v>45540</v>
      </c>
      <c r="X104" s="157">
        <v>55656</v>
      </c>
      <c r="Y104" s="40" t="str" cm="1">
        <f t="array" aca="1" ref="Y104" ca="1">TRIM(SUBSTITUTE(_xlfn.ARRAYTOTEXT(IFERROR(CONCATENATE(SUMIF(INDIRECT("'"&amp;Assemblies[Assy]&amp;"'!"&amp;"C$5:C1000"), $C104, INDIRECT("'"&amp;Assemblies[Assy]&amp;"'!"&amp;"O$5:O1000")), "x",Assemblies[Assy],".",IF(SUMIF(INDIRECT("'"&amp;Assemblies[Assy]&amp;"'!"&amp;"C$5:C1000"), $C104, INDIRECT("'"&amp;Assemblies[Assy]&amp;"'!"&amp;"A$5:A1000"))=0,NA(),SUMIF(INDIRECT("'"&amp;Assemblies[Assy]&amp;"'!"&amp;"C$5:C1000"), $C104, INDIRECT("'"&amp;Assemblies[Assy]&amp;"'!"&amp;"A$5:A1000")))),"")), " ,", ""))</f>
        <v>, 1x11.1.1,</v>
      </c>
      <c r="AD104" s="141"/>
      <c r="AE104" s="297">
        <v>55743</v>
      </c>
      <c r="AF104" s="156"/>
      <c r="AG104"/>
    </row>
    <row r="105" spans="1:33" x14ac:dyDescent="0.25">
      <c r="A105" s="24" t="s">
        <v>2224</v>
      </c>
      <c r="B105" s="134" t="s">
        <v>54</v>
      </c>
      <c r="C105" t="str">
        <f>_xlfn.CONCAT(A105,".",B105)</f>
        <v>PG10.12.1.A</v>
      </c>
      <c r="D105" t="s">
        <v>2225</v>
      </c>
      <c r="E105" s="18">
        <f>Z105+AA105+AB105+(65*AC105)</f>
        <v>0</v>
      </c>
      <c r="F105" s="19" cm="1">
        <f t="array" aca="1" ref="F105" ca="1">SUMPRODUCT(SUMIF(INDIRECT("'"&amp;Assemblies[Assy]&amp;"'!"&amp;"C5:C1000"),C105,(INDIRECT("'"&amp;Assemblies[Assy]&amp;"'!"&amp;"O5:O1000"))))</f>
        <v>2</v>
      </c>
      <c r="G105" s="19">
        <v>2</v>
      </c>
      <c r="H105" s="19" t="str">
        <f ca="1">IF(F105&lt;=G105," ","YES")</f>
        <v xml:space="preserve"> </v>
      </c>
      <c r="O105" t="s">
        <v>3784</v>
      </c>
      <c r="P105" t="s">
        <v>3785</v>
      </c>
      <c r="R105" t="s">
        <v>3817</v>
      </c>
      <c r="U105" s="40">
        <v>45546</v>
      </c>
      <c r="V105" s="40">
        <v>45569</v>
      </c>
      <c r="W105" s="40">
        <v>45569</v>
      </c>
      <c r="X105" s="157">
        <v>55734</v>
      </c>
      <c r="Y105" s="40" t="str" cm="1">
        <f t="array" aca="1" ref="Y105" ca="1">TRIM(SUBSTITUTE(_xlfn.ARRAYTOTEXT(IFERROR(CONCATENATE(SUMIF(INDIRECT("'"&amp;Assemblies[Assy]&amp;"'!"&amp;"C$5:C1000"), $C105, INDIRECT("'"&amp;Assemblies[Assy]&amp;"'!"&amp;"O$5:O1000")), "x",Assemblies[Assy],".",IF(SUMIF(INDIRECT("'"&amp;Assemblies[Assy]&amp;"'!"&amp;"C$5:C1000"), $C105, INDIRECT("'"&amp;Assemblies[Assy]&amp;"'!"&amp;"A$5:A1000"))=0,NA(),SUMIF(INDIRECT("'"&amp;Assemblies[Assy]&amp;"'!"&amp;"C$5:C1000"), $C105, INDIRECT("'"&amp;Assemblies[Assy]&amp;"'!"&amp;"A$5:A1000")))),"")), " ,", ""))</f>
        <v>, 2x12.1</v>
      </c>
      <c r="Z105" s="141">
        <v>0</v>
      </c>
      <c r="AA105" s="141">
        <v>0</v>
      </c>
      <c r="AB105" s="141">
        <v>0</v>
      </c>
      <c r="AC105" s="39">
        <v>0</v>
      </c>
      <c r="AD105" s="141"/>
      <c r="AE105" s="296"/>
      <c r="AF105" s="156"/>
      <c r="AG105"/>
    </row>
    <row r="106" spans="1:33" x14ac:dyDescent="0.25">
      <c r="A106" s="24" t="s">
        <v>3790</v>
      </c>
      <c r="B106" s="134" t="s">
        <v>54</v>
      </c>
      <c r="C106" t="str">
        <f>_xlfn.CONCAT(A106,".",B106)</f>
        <v>PG10.12.10.A</v>
      </c>
      <c r="D106" t="s">
        <v>3815</v>
      </c>
      <c r="E106" s="18">
        <f>Z106+AA106+AB106+(65*AC106)</f>
        <v>0</v>
      </c>
      <c r="F106" s="19" cm="1">
        <f t="array" aca="1" ref="F106" ca="1">SUMPRODUCT(SUMIF(INDIRECT("'"&amp;Assemblies[Assy]&amp;"'!"&amp;"C5:C1000"),C106,(INDIRECT("'"&amp;Assemblies[Assy]&amp;"'!"&amp;"O5:O1000"))))</f>
        <v>1</v>
      </c>
      <c r="G106" s="19">
        <v>1</v>
      </c>
      <c r="H106" s="19" t="str">
        <f ca="1">IF(F106&lt;=G106," ","YES")</f>
        <v xml:space="preserve"> </v>
      </c>
      <c r="O106" t="s">
        <v>3786</v>
      </c>
      <c r="P106" t="s">
        <v>1993</v>
      </c>
      <c r="R106" t="s">
        <v>2333</v>
      </c>
      <c r="S106" t="s">
        <v>3831</v>
      </c>
      <c r="T106" s="157" t="s">
        <v>2747</v>
      </c>
      <c r="U106" s="157" t="s">
        <v>2747</v>
      </c>
      <c r="V106" s="157" t="s">
        <v>2747</v>
      </c>
      <c r="W106" s="157" t="s">
        <v>2747</v>
      </c>
      <c r="X106" s="157">
        <v>55738</v>
      </c>
      <c r="Y106" s="40" t="str" cm="1">
        <f t="array" aca="1" ref="Y106" ca="1">TRIM(SUBSTITUTE(_xlfn.ARRAYTOTEXT(IFERROR(CONCATENATE(SUMIF(INDIRECT("'"&amp;Assemblies[Assy]&amp;"'!"&amp;"C$5:C1000"), $C106, INDIRECT("'"&amp;Assemblies[Assy]&amp;"'!"&amp;"O$5:O1000")), "x",Assemblies[Assy],".",IF(SUMIF(INDIRECT("'"&amp;Assemblies[Assy]&amp;"'!"&amp;"C$5:C1000"), $C106, INDIRECT("'"&amp;Assemblies[Assy]&amp;"'!"&amp;"A$5:A1000"))=0,NA(),SUMIF(INDIRECT("'"&amp;Assemblies[Assy]&amp;"'!"&amp;"C$5:C1000"), $C106, INDIRECT("'"&amp;Assemblies[Assy]&amp;"'!"&amp;"A$5:A1000")))),"")), " ,", ""))</f>
        <v>, 1x12.10</v>
      </c>
      <c r="AD106" s="141"/>
      <c r="AE106" s="296"/>
      <c r="AF106" s="156"/>
      <c r="AG106"/>
    </row>
    <row r="107" spans="1:33" x14ac:dyDescent="0.25">
      <c r="A107" s="24" t="s">
        <v>2226</v>
      </c>
      <c r="B107" s="134" t="s">
        <v>54</v>
      </c>
      <c r="C107" t="str">
        <f>_xlfn.CONCAT(A107,".",B107)</f>
        <v>PG10.12.2.A</v>
      </c>
      <c r="D107" t="s">
        <v>2227</v>
      </c>
      <c r="E107" s="18">
        <f>Z107+AA107+AB107+(65*AC107)</f>
        <v>0</v>
      </c>
      <c r="F107" s="19" cm="1">
        <f t="array" aca="1" ref="F107" ca="1">SUMPRODUCT(SUMIF(INDIRECT("'"&amp;Assemblies[Assy]&amp;"'!"&amp;"C5:C1000"),C107,(INDIRECT("'"&amp;Assemblies[Assy]&amp;"'!"&amp;"O5:O1000"))))</f>
        <v>2</v>
      </c>
      <c r="G107" s="19">
        <v>2</v>
      </c>
      <c r="H107" s="19" t="str">
        <f ca="1">IF(F107&lt;=G107," ","YES")</f>
        <v xml:space="preserve"> </v>
      </c>
      <c r="O107" t="s">
        <v>3784</v>
      </c>
      <c r="P107" t="s">
        <v>3785</v>
      </c>
      <c r="R107" t="s">
        <v>3817</v>
      </c>
      <c r="U107" s="40">
        <v>45546</v>
      </c>
      <c r="V107" s="40">
        <v>45569</v>
      </c>
      <c r="W107" s="40">
        <v>45569</v>
      </c>
      <c r="X107" s="157">
        <v>55734</v>
      </c>
      <c r="Y107" s="40" t="str" cm="1">
        <f t="array" aca="1" ref="Y107" ca="1">TRIM(SUBSTITUTE(_xlfn.ARRAYTOTEXT(IFERROR(CONCATENATE(SUMIF(INDIRECT("'"&amp;Assemblies[Assy]&amp;"'!"&amp;"C$5:C1000"), $C107, INDIRECT("'"&amp;Assemblies[Assy]&amp;"'!"&amp;"O$5:O1000")), "x",Assemblies[Assy],".",IF(SUMIF(INDIRECT("'"&amp;Assemblies[Assy]&amp;"'!"&amp;"C$5:C1000"), $C107, INDIRECT("'"&amp;Assemblies[Assy]&amp;"'!"&amp;"A$5:A1000"))=0,NA(),SUMIF(INDIRECT("'"&amp;Assemblies[Assy]&amp;"'!"&amp;"C$5:C1000"), $C107, INDIRECT("'"&amp;Assemblies[Assy]&amp;"'!"&amp;"A$5:A1000")))),"")), " ,", ""))</f>
        <v>, 2x12.2</v>
      </c>
      <c r="Z107" s="141">
        <v>0</v>
      </c>
      <c r="AA107" s="141">
        <v>0</v>
      </c>
      <c r="AB107" s="141">
        <v>0</v>
      </c>
      <c r="AC107" s="39">
        <v>0</v>
      </c>
      <c r="AD107" s="141"/>
      <c r="AE107" s="296"/>
      <c r="AF107" s="156"/>
      <c r="AG107"/>
    </row>
    <row r="108" spans="1:33" x14ac:dyDescent="0.25">
      <c r="A108" s="24" t="s">
        <v>2228</v>
      </c>
      <c r="B108" s="134" t="s">
        <v>54</v>
      </c>
      <c r="C108" t="str">
        <f>_xlfn.CONCAT(A108,".",B108)</f>
        <v>PG10.12.3.A</v>
      </c>
      <c r="D108" t="s">
        <v>2229</v>
      </c>
      <c r="E108" s="18">
        <f>Z108+AA108+AB108+(65*AC108)</f>
        <v>0</v>
      </c>
      <c r="F108" s="19" cm="1">
        <f t="array" aca="1" ref="F108" ca="1">SUMPRODUCT(SUMIF(INDIRECT("'"&amp;Assemblies[Assy]&amp;"'!"&amp;"C5:C1000"),C108,(INDIRECT("'"&amp;Assemblies[Assy]&amp;"'!"&amp;"O5:O1000"))))</f>
        <v>1</v>
      </c>
      <c r="G108" s="19">
        <v>1</v>
      </c>
      <c r="H108" s="19" t="str">
        <f ca="1">IF(F108&lt;=G108," ","YES")</f>
        <v xml:space="preserve"> </v>
      </c>
      <c r="O108" t="s">
        <v>3784</v>
      </c>
      <c r="P108" t="s">
        <v>3785</v>
      </c>
      <c r="R108" t="s">
        <v>3817</v>
      </c>
      <c r="U108" s="40">
        <v>45546</v>
      </c>
      <c r="V108" s="40">
        <v>45569</v>
      </c>
      <c r="W108" s="40">
        <v>45569</v>
      </c>
      <c r="X108" s="157">
        <v>55734</v>
      </c>
      <c r="Y108" s="40" t="str" cm="1">
        <f t="array" aca="1" ref="Y108" ca="1">TRIM(SUBSTITUTE(_xlfn.ARRAYTOTEXT(IFERROR(CONCATENATE(SUMIF(INDIRECT("'"&amp;Assemblies[Assy]&amp;"'!"&amp;"C$5:C1000"), $C108, INDIRECT("'"&amp;Assemblies[Assy]&amp;"'!"&amp;"O$5:O1000")), "x",Assemblies[Assy],".",IF(SUMIF(INDIRECT("'"&amp;Assemblies[Assy]&amp;"'!"&amp;"C$5:C1000"), $C108, INDIRECT("'"&amp;Assemblies[Assy]&amp;"'!"&amp;"A$5:A1000"))=0,NA(),SUMIF(INDIRECT("'"&amp;Assemblies[Assy]&amp;"'!"&amp;"C$5:C1000"), $C108, INDIRECT("'"&amp;Assemblies[Assy]&amp;"'!"&amp;"A$5:A1000")))),"")), " ,", ""))</f>
        <v>, 1x12.3</v>
      </c>
      <c r="Z108" s="141">
        <v>0</v>
      </c>
      <c r="AA108" s="141">
        <v>0</v>
      </c>
      <c r="AB108" s="141">
        <v>0</v>
      </c>
      <c r="AC108" s="39">
        <v>0</v>
      </c>
      <c r="AD108" s="141"/>
      <c r="AE108" s="296"/>
      <c r="AF108" s="156"/>
      <c r="AG108"/>
    </row>
    <row r="109" spans="1:33" x14ac:dyDescent="0.25">
      <c r="A109" s="24" t="s">
        <v>2230</v>
      </c>
      <c r="B109" s="134" t="s">
        <v>54</v>
      </c>
      <c r="C109" t="str">
        <f>_xlfn.CONCAT(A109,".",B109)</f>
        <v>PG10.12.4.A</v>
      </c>
      <c r="D109" t="s">
        <v>2231</v>
      </c>
      <c r="E109" s="18">
        <f>Z109+AA109+AB109+(65*AC109)</f>
        <v>0</v>
      </c>
      <c r="F109" s="19" cm="1">
        <f t="array" aca="1" ref="F109" ca="1">SUMPRODUCT(SUMIF(INDIRECT("'"&amp;Assemblies[Assy]&amp;"'!"&amp;"C5:C1000"),C109,(INDIRECT("'"&amp;Assemblies[Assy]&amp;"'!"&amp;"O5:O1000"))))</f>
        <v>1</v>
      </c>
      <c r="G109" s="19">
        <v>1</v>
      </c>
      <c r="H109" s="19" t="str">
        <f ca="1">IF(F109&lt;=G109," ","YES")</f>
        <v xml:space="preserve"> </v>
      </c>
      <c r="O109" t="s">
        <v>3784</v>
      </c>
      <c r="P109" t="s">
        <v>3785</v>
      </c>
      <c r="R109" t="s">
        <v>3817</v>
      </c>
      <c r="U109" s="40">
        <v>45546</v>
      </c>
      <c r="V109" s="40">
        <v>45569</v>
      </c>
      <c r="W109" s="40">
        <v>45569</v>
      </c>
      <c r="X109" s="157">
        <v>55734</v>
      </c>
      <c r="Y109" s="40" t="str" cm="1">
        <f t="array" aca="1" ref="Y109" ca="1">TRIM(SUBSTITUTE(_xlfn.ARRAYTOTEXT(IFERROR(CONCATENATE(SUMIF(INDIRECT("'"&amp;Assemblies[Assy]&amp;"'!"&amp;"C$5:C1000"), $C109, INDIRECT("'"&amp;Assemblies[Assy]&amp;"'!"&amp;"O$5:O1000")), "x",Assemblies[Assy],".",IF(SUMIF(INDIRECT("'"&amp;Assemblies[Assy]&amp;"'!"&amp;"C$5:C1000"), $C109, INDIRECT("'"&amp;Assemblies[Assy]&amp;"'!"&amp;"A$5:A1000"))=0,NA(),SUMIF(INDIRECT("'"&amp;Assemblies[Assy]&amp;"'!"&amp;"C$5:C1000"), $C109, INDIRECT("'"&amp;Assemblies[Assy]&amp;"'!"&amp;"A$5:A1000")))),"")), " ,", ""))</f>
        <v>, 1x12.4</v>
      </c>
      <c r="Z109" s="141">
        <v>0</v>
      </c>
      <c r="AA109" s="141">
        <v>0</v>
      </c>
      <c r="AB109" s="141">
        <v>0</v>
      </c>
      <c r="AC109" s="39">
        <v>0</v>
      </c>
      <c r="AD109" s="141"/>
      <c r="AE109" s="296"/>
      <c r="AF109" s="156"/>
      <c r="AG109"/>
    </row>
    <row r="110" spans="1:33" x14ac:dyDescent="0.25">
      <c r="A110" s="24" t="s">
        <v>2232</v>
      </c>
      <c r="B110" s="134" t="s">
        <v>54</v>
      </c>
      <c r="C110" t="str">
        <f>_xlfn.CONCAT(A110,".",B110)</f>
        <v>PG10.12.5.A</v>
      </c>
      <c r="D110" t="s">
        <v>3814</v>
      </c>
      <c r="E110" s="18">
        <f>Z110+AA110+AB110+(65*AC110)</f>
        <v>0</v>
      </c>
      <c r="F110" s="19" cm="1">
        <f t="array" aca="1" ref="F110" ca="1">SUMPRODUCT(SUMIF(INDIRECT("'"&amp;Assemblies[Assy]&amp;"'!"&amp;"C5:C1000"),C110,(INDIRECT("'"&amp;Assemblies[Assy]&amp;"'!"&amp;"O5:O1000"))))</f>
        <v>1</v>
      </c>
      <c r="G110" s="19">
        <v>1</v>
      </c>
      <c r="H110" s="19" t="str">
        <f ca="1">IF(F110&lt;=G110," ","YES")</f>
        <v xml:space="preserve"> </v>
      </c>
      <c r="O110" t="s">
        <v>3786</v>
      </c>
      <c r="P110" t="s">
        <v>1993</v>
      </c>
      <c r="R110" t="s">
        <v>2333</v>
      </c>
      <c r="S110" t="s">
        <v>3831</v>
      </c>
      <c r="T110" s="157" t="s">
        <v>2747</v>
      </c>
      <c r="U110" s="157" t="s">
        <v>2747</v>
      </c>
      <c r="V110" s="157" t="s">
        <v>2747</v>
      </c>
      <c r="W110" s="157" t="s">
        <v>2747</v>
      </c>
      <c r="X110" s="157">
        <v>55738</v>
      </c>
      <c r="Y110" s="40" t="str" cm="1">
        <f t="array" aca="1" ref="Y110" ca="1">TRIM(SUBSTITUTE(_xlfn.ARRAYTOTEXT(IFERROR(CONCATENATE(SUMIF(INDIRECT("'"&amp;Assemblies[Assy]&amp;"'!"&amp;"C$5:C1000"), $C110, INDIRECT("'"&amp;Assemblies[Assy]&amp;"'!"&amp;"O$5:O1000")), "x",Assemblies[Assy],".",IF(SUMIF(INDIRECT("'"&amp;Assemblies[Assy]&amp;"'!"&amp;"C$5:C1000"), $C110, INDIRECT("'"&amp;Assemblies[Assy]&amp;"'!"&amp;"A$5:A1000"))=0,NA(),SUMIF(INDIRECT("'"&amp;Assemblies[Assy]&amp;"'!"&amp;"C$5:C1000"), $C110, INDIRECT("'"&amp;Assemblies[Assy]&amp;"'!"&amp;"A$5:A1000")))),"")), " ,", ""))</f>
        <v>, 1x12.5</v>
      </c>
      <c r="Z110" s="141">
        <v>0</v>
      </c>
      <c r="AA110" s="141">
        <v>0</v>
      </c>
      <c r="AB110" s="141">
        <v>0</v>
      </c>
      <c r="AC110" s="39">
        <v>0</v>
      </c>
      <c r="AD110" s="141"/>
      <c r="AE110" s="296"/>
      <c r="AF110" s="156"/>
      <c r="AG110"/>
    </row>
    <row r="111" spans="1:33" x14ac:dyDescent="0.25">
      <c r="A111" s="24" t="s">
        <v>2233</v>
      </c>
      <c r="B111" s="134" t="s">
        <v>54</v>
      </c>
      <c r="C111" t="str">
        <f>_xlfn.CONCAT(A111,".",B111)</f>
        <v>PG10.12.6.A</v>
      </c>
      <c r="D111" t="s">
        <v>3783</v>
      </c>
      <c r="E111" s="18">
        <f>Z111+AA111+AB111+(65*AC111)</f>
        <v>0</v>
      </c>
      <c r="F111" s="19" cm="1">
        <f t="array" aca="1" ref="F111" ca="1">SUMPRODUCT(SUMIF(INDIRECT("'"&amp;Assemblies[Assy]&amp;"'!"&amp;"C5:C1000"),C111,(INDIRECT("'"&amp;Assemblies[Assy]&amp;"'!"&amp;"O5:O1000"))))</f>
        <v>1</v>
      </c>
      <c r="G111" s="19">
        <v>1</v>
      </c>
      <c r="H111" s="19" t="str">
        <f ca="1">IF(F111&lt;=G111," ","YES")</f>
        <v xml:space="preserve"> </v>
      </c>
      <c r="O111" t="s">
        <v>3786</v>
      </c>
      <c r="P111" t="s">
        <v>1993</v>
      </c>
      <c r="R111" t="s">
        <v>2333</v>
      </c>
      <c r="S111" t="s">
        <v>3831</v>
      </c>
      <c r="T111" s="157" t="s">
        <v>2747</v>
      </c>
      <c r="U111" s="157" t="s">
        <v>2747</v>
      </c>
      <c r="V111" s="157" t="s">
        <v>2747</v>
      </c>
      <c r="W111" s="157" t="s">
        <v>2747</v>
      </c>
      <c r="X111" s="157">
        <v>55738</v>
      </c>
      <c r="Y111" s="40" t="str" cm="1">
        <f t="array" aca="1" ref="Y111" ca="1">TRIM(SUBSTITUTE(_xlfn.ARRAYTOTEXT(IFERROR(CONCATENATE(SUMIF(INDIRECT("'"&amp;Assemblies[Assy]&amp;"'!"&amp;"C$5:C1000"), $C111, INDIRECT("'"&amp;Assemblies[Assy]&amp;"'!"&amp;"O$5:O1000")), "x",Assemblies[Assy],".",IF(SUMIF(INDIRECT("'"&amp;Assemblies[Assy]&amp;"'!"&amp;"C$5:C1000"), $C111, INDIRECT("'"&amp;Assemblies[Assy]&amp;"'!"&amp;"A$5:A1000"))=0,NA(),SUMIF(INDIRECT("'"&amp;Assemblies[Assy]&amp;"'!"&amp;"C$5:C1000"), $C111, INDIRECT("'"&amp;Assemblies[Assy]&amp;"'!"&amp;"A$5:A1000")))),"")), " ,", ""))</f>
        <v>, 1x12.6</v>
      </c>
      <c r="Z111" s="141">
        <v>0</v>
      </c>
      <c r="AA111" s="141">
        <v>0</v>
      </c>
      <c r="AB111" s="141">
        <v>0</v>
      </c>
      <c r="AC111" s="39">
        <v>0</v>
      </c>
      <c r="AD111" s="141"/>
      <c r="AE111" s="296"/>
      <c r="AF111" s="156"/>
      <c r="AG111"/>
    </row>
    <row r="112" spans="1:33" x14ac:dyDescent="0.25">
      <c r="A112" s="24" t="s">
        <v>3787</v>
      </c>
      <c r="B112" s="134" t="s">
        <v>54</v>
      </c>
      <c r="C112" t="str">
        <f>_xlfn.CONCAT(A112,".",B112)</f>
        <v>PG10.12.7.A</v>
      </c>
      <c r="D112" t="s">
        <v>3791</v>
      </c>
      <c r="E112" s="18">
        <f>Z112+AA112+AB112+(65*AC112)</f>
        <v>0</v>
      </c>
      <c r="F112" s="19" cm="1">
        <f t="array" aca="1" ref="F112" ca="1">SUMPRODUCT(SUMIF(INDIRECT("'"&amp;Assemblies[Assy]&amp;"'!"&amp;"C5:C1000"),C112,(INDIRECT("'"&amp;Assemblies[Assy]&amp;"'!"&amp;"O5:O1000"))))</f>
        <v>1</v>
      </c>
      <c r="G112" s="19">
        <v>1</v>
      </c>
      <c r="H112" s="19" t="str">
        <f ca="1">IF(F112&lt;=G112," ","YES")</f>
        <v xml:space="preserve"> </v>
      </c>
      <c r="O112" t="s">
        <v>3816</v>
      </c>
      <c r="P112" t="s">
        <v>1993</v>
      </c>
      <c r="R112" t="s">
        <v>2333</v>
      </c>
      <c r="S112" t="s">
        <v>3831</v>
      </c>
      <c r="T112" s="157" t="s">
        <v>2747</v>
      </c>
      <c r="U112" s="157" t="s">
        <v>2747</v>
      </c>
      <c r="V112" s="157" t="s">
        <v>2747</v>
      </c>
      <c r="W112" s="157" t="s">
        <v>2747</v>
      </c>
      <c r="X112" s="157">
        <v>55738</v>
      </c>
      <c r="Y112" s="40" t="str" cm="1">
        <f t="array" aca="1" ref="Y112" ca="1">TRIM(SUBSTITUTE(_xlfn.ARRAYTOTEXT(IFERROR(CONCATENATE(SUMIF(INDIRECT("'"&amp;Assemblies[Assy]&amp;"'!"&amp;"C$5:C1000"), $C112, INDIRECT("'"&amp;Assemblies[Assy]&amp;"'!"&amp;"O$5:O1000")), "x",Assemblies[Assy],".",IF(SUMIF(INDIRECT("'"&amp;Assemblies[Assy]&amp;"'!"&amp;"C$5:C1000"), $C112, INDIRECT("'"&amp;Assemblies[Assy]&amp;"'!"&amp;"A$5:A1000"))=0,NA(),SUMIF(INDIRECT("'"&amp;Assemblies[Assy]&amp;"'!"&amp;"C$5:C1000"), $C112, INDIRECT("'"&amp;Assemblies[Assy]&amp;"'!"&amp;"A$5:A1000")))),"")), " ,", ""))</f>
        <v>, 1x12.7</v>
      </c>
      <c r="AD112" s="141"/>
      <c r="AE112" s="296"/>
      <c r="AF112" s="156"/>
      <c r="AG112"/>
    </row>
    <row r="113" spans="1:33" x14ac:dyDescent="0.25">
      <c r="A113" s="24" t="s">
        <v>3788</v>
      </c>
      <c r="B113" s="134" t="s">
        <v>54</v>
      </c>
      <c r="C113" t="str">
        <f>_xlfn.CONCAT(A113,".",B113)</f>
        <v>PG10.12.8.A</v>
      </c>
      <c r="D113" t="s">
        <v>3792</v>
      </c>
      <c r="E113" s="18">
        <f>Z113+AA113+AB113+(65*AC113)</f>
        <v>0</v>
      </c>
      <c r="F113" s="19" cm="1">
        <f t="array" aca="1" ref="F113" ca="1">SUMPRODUCT(SUMIF(INDIRECT("'"&amp;Assemblies[Assy]&amp;"'!"&amp;"C5:C1000"),C113,(INDIRECT("'"&amp;Assemblies[Assy]&amp;"'!"&amp;"O5:O1000"))))</f>
        <v>1</v>
      </c>
      <c r="G113" s="19">
        <v>1</v>
      </c>
      <c r="H113" s="19" t="str">
        <f ca="1">IF(F113&lt;=G113," ","YES")</f>
        <v xml:space="preserve"> </v>
      </c>
      <c r="O113" t="s">
        <v>3816</v>
      </c>
      <c r="P113" t="s">
        <v>1993</v>
      </c>
      <c r="R113" t="s">
        <v>2333</v>
      </c>
      <c r="S113" t="s">
        <v>3830</v>
      </c>
      <c r="T113" s="157" t="s">
        <v>2747</v>
      </c>
      <c r="U113" s="157" t="s">
        <v>2747</v>
      </c>
      <c r="V113" s="157" t="s">
        <v>2747</v>
      </c>
      <c r="W113" s="157" t="s">
        <v>2747</v>
      </c>
      <c r="X113" s="157" t="s">
        <v>2747</v>
      </c>
      <c r="Y113" s="40" t="str" cm="1">
        <f t="array" aca="1" ref="Y113" ca="1">TRIM(SUBSTITUTE(_xlfn.ARRAYTOTEXT(IFERROR(CONCATENATE(SUMIF(INDIRECT("'"&amp;Assemblies[Assy]&amp;"'!"&amp;"C$5:C1000"), $C113, INDIRECT("'"&amp;Assemblies[Assy]&amp;"'!"&amp;"O$5:O1000")), "x",Assemblies[Assy],".",IF(SUMIF(INDIRECT("'"&amp;Assemblies[Assy]&amp;"'!"&amp;"C$5:C1000"), $C113, INDIRECT("'"&amp;Assemblies[Assy]&amp;"'!"&amp;"A$5:A1000"))=0,NA(),SUMIF(INDIRECT("'"&amp;Assemblies[Assy]&amp;"'!"&amp;"C$5:C1000"), $C113, INDIRECT("'"&amp;Assemblies[Assy]&amp;"'!"&amp;"A$5:A1000")))),"")), " ,", ""))</f>
        <v>, 1x12.8</v>
      </c>
      <c r="AD113" s="141"/>
      <c r="AE113" s="296"/>
      <c r="AF113" s="156"/>
      <c r="AG113"/>
    </row>
    <row r="114" spans="1:33" x14ac:dyDescent="0.25">
      <c r="A114" s="24" t="s">
        <v>3789</v>
      </c>
      <c r="B114" s="134" t="s">
        <v>54</v>
      </c>
      <c r="C114" t="str">
        <f>_xlfn.CONCAT(A114,".",B114)</f>
        <v>PG10.12.9.A</v>
      </c>
      <c r="D114" t="s">
        <v>3793</v>
      </c>
      <c r="E114" s="18">
        <f>Z114+AA114+AB114+(65*AC114)</f>
        <v>0</v>
      </c>
      <c r="F114" s="19" cm="1">
        <f t="array" aca="1" ref="F114" ca="1">SUMPRODUCT(SUMIF(INDIRECT("'"&amp;Assemblies[Assy]&amp;"'!"&amp;"C5:C1000"),C114,(INDIRECT("'"&amp;Assemblies[Assy]&amp;"'!"&amp;"O5:O1000"))))</f>
        <v>1</v>
      </c>
      <c r="G114" s="19">
        <v>1</v>
      </c>
      <c r="H114" s="19" t="str">
        <f ca="1">IF(F114&lt;=G114," ","YES")</f>
        <v xml:space="preserve"> </v>
      </c>
      <c r="O114" t="s">
        <v>3816</v>
      </c>
      <c r="P114" t="s">
        <v>1993</v>
      </c>
      <c r="R114" t="s">
        <v>2333</v>
      </c>
      <c r="S114" t="s">
        <v>3831</v>
      </c>
      <c r="T114" s="157" t="s">
        <v>2747</v>
      </c>
      <c r="U114" s="157" t="s">
        <v>2747</v>
      </c>
      <c r="V114" s="157" t="s">
        <v>2747</v>
      </c>
      <c r="W114" s="157" t="s">
        <v>2747</v>
      </c>
      <c r="X114" s="157">
        <v>55738</v>
      </c>
      <c r="Y114" s="40" t="str" cm="1">
        <f t="array" aca="1" ref="Y114" ca="1">TRIM(SUBSTITUTE(_xlfn.ARRAYTOTEXT(IFERROR(CONCATENATE(SUMIF(INDIRECT("'"&amp;Assemblies[Assy]&amp;"'!"&amp;"C$5:C1000"), $C114, INDIRECT("'"&amp;Assemblies[Assy]&amp;"'!"&amp;"O$5:O1000")), "x",Assemblies[Assy],".",IF(SUMIF(INDIRECT("'"&amp;Assemblies[Assy]&amp;"'!"&amp;"C$5:C1000"), $C114, INDIRECT("'"&amp;Assemblies[Assy]&amp;"'!"&amp;"A$5:A1000"))=0,NA(),SUMIF(INDIRECT("'"&amp;Assemblies[Assy]&amp;"'!"&amp;"C$5:C1000"), $C114, INDIRECT("'"&amp;Assemblies[Assy]&amp;"'!"&amp;"A$5:A1000")))),"")), " ,", ""))</f>
        <v>, 1x12.9</v>
      </c>
      <c r="AD114" s="141"/>
      <c r="AE114" s="296"/>
      <c r="AF114" s="156"/>
      <c r="AG114"/>
    </row>
    <row r="115" spans="1:33" x14ac:dyDescent="0.25">
      <c r="A115" s="24" t="s">
        <v>2236</v>
      </c>
      <c r="B115" s="134" t="s">
        <v>54</v>
      </c>
      <c r="C115" t="str">
        <f>_xlfn.CONCAT(A115,".",B115)</f>
        <v>PG10.2.1.1.1.A</v>
      </c>
      <c r="D115" t="s">
        <v>2237</v>
      </c>
      <c r="E115" s="18">
        <v>41.35</v>
      </c>
      <c r="F115" s="19" cm="1">
        <f t="array" aca="1" ref="F115" ca="1">SUMPRODUCT(SUMIF(INDIRECT("'"&amp;Assemblies[Assy]&amp;"'!"&amp;"C5:C1000"),C115,(INDIRECT("'"&amp;Assemblies[Assy]&amp;"'!"&amp;"O5:O1000"))))</f>
        <v>14</v>
      </c>
      <c r="G115" s="19">
        <v>14</v>
      </c>
      <c r="H115" s="19" t="str">
        <f ca="1">IF(F115&lt;=G115," ","YES")</f>
        <v xml:space="preserve"> </v>
      </c>
      <c r="I115">
        <v>14</v>
      </c>
      <c r="J115">
        <v>14</v>
      </c>
      <c r="K115" s="40">
        <v>45512</v>
      </c>
      <c r="L115">
        <v>14</v>
      </c>
      <c r="M115" s="40">
        <v>45520</v>
      </c>
      <c r="N115">
        <v>14</v>
      </c>
      <c r="O115" t="s">
        <v>2026</v>
      </c>
      <c r="P115" t="s">
        <v>2027</v>
      </c>
      <c r="R115" t="s">
        <v>1989</v>
      </c>
      <c r="T115" s="40">
        <v>45461</v>
      </c>
      <c r="U115" s="40">
        <v>45467</v>
      </c>
      <c r="V115" s="40">
        <v>45504</v>
      </c>
      <c r="W115" s="40">
        <v>45504</v>
      </c>
      <c r="X115" s="157">
        <v>55570</v>
      </c>
      <c r="Y115" s="40" t="str" cm="1">
        <f t="array" aca="1" ref="Y115" ca="1">TRIM(SUBSTITUTE(_xlfn.ARRAYTOTEXT(IFERROR(CONCATENATE(SUMIF(INDIRECT("'"&amp;Assemblies[Assy]&amp;"'!"&amp;"C$5:C1000"), $C115, INDIRECT("'"&amp;Assemblies[Assy]&amp;"'!"&amp;"O$5:O1000")), "x",Assemblies[Assy],".",IF(SUMIF(INDIRECT("'"&amp;Assemblies[Assy]&amp;"'!"&amp;"C$5:C1000"), $C115, INDIRECT("'"&amp;Assemblies[Assy]&amp;"'!"&amp;"A$5:A1000"))=0,NA(),SUMIF(INDIRECT("'"&amp;Assemblies[Assy]&amp;"'!"&amp;"C$5:C1000"), $C115, INDIRECT("'"&amp;Assemblies[Assy]&amp;"'!"&amp;"A$5:A1000")))),"")), " ,", ""))</f>
        <v>, 14x2.1.1.1,</v>
      </c>
      <c r="Z115" s="141">
        <v>0</v>
      </c>
      <c r="AA115" s="141">
        <v>0</v>
      </c>
      <c r="AB115" s="136">
        <v>0</v>
      </c>
      <c r="AC115" s="39">
        <v>0</v>
      </c>
      <c r="AD115" s="141"/>
      <c r="AE115" s="296">
        <v>55670</v>
      </c>
      <c r="AF115" s="141"/>
      <c r="AG115"/>
    </row>
    <row r="116" spans="1:33" x14ac:dyDescent="0.25">
      <c r="A116" s="24" t="s">
        <v>2238</v>
      </c>
      <c r="B116" s="134" t="s">
        <v>54</v>
      </c>
      <c r="C116" t="str">
        <f>_xlfn.CONCAT(A116,".",B116)</f>
        <v>PG10.2.1.1.A</v>
      </c>
      <c r="D116" t="s">
        <v>2239</v>
      </c>
      <c r="E116" s="18">
        <f>Z116+AA116+AB116+(65*AC116)</f>
        <v>0</v>
      </c>
      <c r="F116" s="19" cm="1">
        <f t="array" aca="1" ref="F116" ca="1">SUMPRODUCT(SUMIF(INDIRECT("'"&amp;Assemblies[Assy]&amp;"'!"&amp;"C5:C1000"),C116,(INDIRECT("'"&amp;Assemblies[Assy]&amp;"'!"&amp;"O5:O1000"))))</f>
        <v>2</v>
      </c>
      <c r="G116" s="19">
        <v>2</v>
      </c>
      <c r="H116" s="19" t="str">
        <f ca="1">IF(F116&lt;=G116," ","YES")</f>
        <v xml:space="preserve"> </v>
      </c>
      <c r="I116">
        <v>2</v>
      </c>
      <c r="J116">
        <v>2</v>
      </c>
      <c r="L116">
        <v>2</v>
      </c>
      <c r="N116">
        <v>2</v>
      </c>
      <c r="O116" t="s">
        <v>2240</v>
      </c>
      <c r="R116" t="s">
        <v>1988</v>
      </c>
      <c r="Y116" s="40" t="str" cm="1">
        <f t="array" aca="1" ref="Y116" ca="1">TRIM(SUBSTITUTE(_xlfn.ARRAYTOTEXT(IFERROR(CONCATENATE(SUMIF(INDIRECT("'"&amp;Assemblies[Assy]&amp;"'!"&amp;"C$5:C1000"), $C116, INDIRECT("'"&amp;Assemblies[Assy]&amp;"'!"&amp;"O$5:O1000")), "x",Assemblies[Assy],".",IF(SUMIF(INDIRECT("'"&amp;Assemblies[Assy]&amp;"'!"&amp;"C$5:C1000"), $C116, INDIRECT("'"&amp;Assemblies[Assy]&amp;"'!"&amp;"A$5:A1000"))=0,NA(),SUMIF(INDIRECT("'"&amp;Assemblies[Assy]&amp;"'!"&amp;"C$5:C1000"), $C116, INDIRECT("'"&amp;Assemblies[Assy]&amp;"'!"&amp;"A$5:A1000")))),"")), " ,", ""))</f>
        <v>, 2x2.1.1,</v>
      </c>
      <c r="Z116" s="141">
        <v>0</v>
      </c>
      <c r="AA116" s="141">
        <v>0</v>
      </c>
      <c r="AB116" s="136">
        <v>0</v>
      </c>
      <c r="AC116" s="39">
        <v>0</v>
      </c>
      <c r="AD116" s="141"/>
      <c r="AE116" s="296"/>
      <c r="AF116" s="141"/>
      <c r="AG116"/>
    </row>
    <row r="117" spans="1:33" x14ac:dyDescent="0.25">
      <c r="A117" s="24" t="s">
        <v>2241</v>
      </c>
      <c r="B117" s="134" t="s">
        <v>54</v>
      </c>
      <c r="C117" t="str">
        <f>_xlfn.CONCAT(A117,".",B117)</f>
        <v>PG10.2.1.2.1.A</v>
      </c>
      <c r="D117" t="s">
        <v>2242</v>
      </c>
      <c r="E117" s="18">
        <v>219.41</v>
      </c>
      <c r="F117" s="19" cm="1">
        <f t="array" aca="1" ref="F117" ca="1">SUMPRODUCT(SUMIF(INDIRECT("'"&amp;Assemblies[Assy]&amp;"'!"&amp;"C5:C1000"),C117,(INDIRECT("'"&amp;Assemblies[Assy]&amp;"'!"&amp;"O5:O1000"))))</f>
        <v>2</v>
      </c>
      <c r="G117" s="19">
        <v>2</v>
      </c>
      <c r="H117" s="19" t="str">
        <f ca="1">IF(F117&lt;=G117," ","YES")</f>
        <v xml:space="preserve"> </v>
      </c>
      <c r="I117">
        <v>2</v>
      </c>
      <c r="J117">
        <v>2</v>
      </c>
      <c r="K117" s="40">
        <v>45541</v>
      </c>
      <c r="L117">
        <v>2</v>
      </c>
      <c r="N117">
        <v>2</v>
      </c>
      <c r="O117" t="s">
        <v>2243</v>
      </c>
      <c r="P117" t="s">
        <v>2027</v>
      </c>
      <c r="R117" t="s">
        <v>2052</v>
      </c>
      <c r="S117" t="s">
        <v>2244</v>
      </c>
      <c r="T117" s="40">
        <v>45502</v>
      </c>
      <c r="U117" s="40">
        <v>45520</v>
      </c>
      <c r="V117" s="40">
        <v>46993</v>
      </c>
      <c r="W117" s="40">
        <v>45532</v>
      </c>
      <c r="X117" s="157">
        <v>55687</v>
      </c>
      <c r="Y117" s="40" t="str" cm="1">
        <f t="array" aca="1" ref="Y117" ca="1">TRIM(SUBSTITUTE(_xlfn.ARRAYTOTEXT(IFERROR(CONCATENATE(SUMIF(INDIRECT("'"&amp;Assemblies[Assy]&amp;"'!"&amp;"C$5:C1000"), $C117, INDIRECT("'"&amp;Assemblies[Assy]&amp;"'!"&amp;"O$5:O1000")), "x",Assemblies[Assy],".",IF(SUMIF(INDIRECT("'"&amp;Assemblies[Assy]&amp;"'!"&amp;"C$5:C1000"), $C117, INDIRECT("'"&amp;Assemblies[Assy]&amp;"'!"&amp;"A$5:A1000"))=0,NA(),SUMIF(INDIRECT("'"&amp;Assemblies[Assy]&amp;"'!"&amp;"C$5:C1000"), $C117, INDIRECT("'"&amp;Assemblies[Assy]&amp;"'!"&amp;"A$5:A1000")))),"")), " ,", ""))</f>
        <v>, 2x2.1.2.1,</v>
      </c>
      <c r="Z117" s="141">
        <v>160.26</v>
      </c>
      <c r="AA117" s="141">
        <v>0</v>
      </c>
      <c r="AB117" s="141">
        <v>0</v>
      </c>
      <c r="AC117" s="39">
        <v>0.75</v>
      </c>
      <c r="AD117" s="141"/>
      <c r="AE117" s="296">
        <v>55722</v>
      </c>
      <c r="AF117" s="156"/>
      <c r="AG117"/>
    </row>
    <row r="118" spans="1:33" x14ac:dyDescent="0.25">
      <c r="A118" s="24" t="s">
        <v>2245</v>
      </c>
      <c r="B118" s="134" t="s">
        <v>54</v>
      </c>
      <c r="C118" t="str">
        <f>_xlfn.CONCAT(A118,".",B118)</f>
        <v>PG10.2.1.3.1.A</v>
      </c>
      <c r="D118" t="s">
        <v>2246</v>
      </c>
      <c r="E118" s="18">
        <v>795</v>
      </c>
      <c r="F118" s="19" cm="1">
        <f t="array" aca="1" ref="F118" ca="1">SUMPRODUCT(SUMIF(INDIRECT("'"&amp;Assemblies[Assy]&amp;"'!"&amp;"C5:C1000"),C118,(INDIRECT("'"&amp;Assemblies[Assy]&amp;"'!"&amp;"O5:O1000"))))</f>
        <v>2</v>
      </c>
      <c r="G118" s="19">
        <v>2</v>
      </c>
      <c r="H118" s="19" t="str">
        <f ca="1">IF(F118&lt;=G118," ","YES")</f>
        <v xml:space="preserve"> </v>
      </c>
      <c r="I118">
        <v>2</v>
      </c>
      <c r="J118">
        <v>2</v>
      </c>
      <c r="K118" s="40">
        <v>45553</v>
      </c>
      <c r="L118">
        <v>2</v>
      </c>
      <c r="M118" s="40">
        <v>45558</v>
      </c>
      <c r="N118">
        <v>2</v>
      </c>
      <c r="O118" t="s">
        <v>2026</v>
      </c>
      <c r="P118" t="s">
        <v>2027</v>
      </c>
      <c r="R118" t="s">
        <v>2090</v>
      </c>
      <c r="T118" s="40">
        <v>45504</v>
      </c>
      <c r="U118" s="40">
        <v>45511</v>
      </c>
      <c r="V118" s="40">
        <v>45546</v>
      </c>
      <c r="W118" s="40">
        <v>45546</v>
      </c>
      <c r="X118" s="157">
        <v>55663</v>
      </c>
      <c r="Y118" s="40" t="str" cm="1">
        <f t="array" aca="1" ref="Y118" ca="1">TRIM(SUBSTITUTE(_xlfn.ARRAYTOTEXT(IFERROR(CONCATENATE(SUMIF(INDIRECT("'"&amp;Assemblies[Assy]&amp;"'!"&amp;"C$5:C1000"), $C118, INDIRECT("'"&amp;Assemblies[Assy]&amp;"'!"&amp;"O$5:O1000")), "x",Assemblies[Assy],".",IF(SUMIF(INDIRECT("'"&amp;Assemblies[Assy]&amp;"'!"&amp;"C$5:C1000"), $C118, INDIRECT("'"&amp;Assemblies[Assy]&amp;"'!"&amp;"A$5:A1000"))=0,NA(),SUMIF(INDIRECT("'"&amp;Assemblies[Assy]&amp;"'!"&amp;"C$5:C1000"), $C118, INDIRECT("'"&amp;Assemblies[Assy]&amp;"'!"&amp;"A$5:A1000")))),"")), " ,", ""))</f>
        <v>, 2x2.1.3.1,</v>
      </c>
      <c r="Z118" s="141">
        <v>0</v>
      </c>
      <c r="AA118" s="141">
        <v>0</v>
      </c>
      <c r="AB118" s="141">
        <v>0</v>
      </c>
      <c r="AC118" s="39">
        <v>0</v>
      </c>
      <c r="AD118" s="141"/>
      <c r="AE118" s="296">
        <v>55739</v>
      </c>
      <c r="AF118" s="156"/>
      <c r="AG118"/>
    </row>
    <row r="119" spans="1:33" x14ac:dyDescent="0.25">
      <c r="A119" s="24" t="s">
        <v>2159</v>
      </c>
      <c r="B119" s="134" t="s">
        <v>54</v>
      </c>
      <c r="C119" t="str">
        <f>_xlfn.CONCAT(A119,".",B119)</f>
        <v>PG10.2.1.4.1.A</v>
      </c>
      <c r="D119" t="s">
        <v>2160</v>
      </c>
      <c r="E119" s="18">
        <f>Z119+AA119+AB119+(65*AC119)</f>
        <v>65</v>
      </c>
      <c r="F119" s="19" cm="1">
        <f t="array" aca="1" ref="F119" ca="1">SUMPRODUCT(SUMIF(INDIRECT("'"&amp;Assemblies[Assy]&amp;"'!"&amp;"C5:C1000"),C119,(INDIRECT("'"&amp;Assemblies[Assy]&amp;"'!"&amp;"O5:O1000"))))</f>
        <v>1</v>
      </c>
      <c r="G119" s="19">
        <v>1</v>
      </c>
      <c r="H119" s="19" t="str">
        <f ca="1">IF(F119&lt;=G119," ","YES")</f>
        <v xml:space="preserve"> </v>
      </c>
      <c r="O119" t="s">
        <v>1999</v>
      </c>
      <c r="P119" t="s">
        <v>1993</v>
      </c>
      <c r="R119" t="s">
        <v>2000</v>
      </c>
      <c r="T119" s="40" t="s">
        <v>2001</v>
      </c>
      <c r="U119" s="40">
        <v>45530</v>
      </c>
      <c r="V119" s="40">
        <v>45561</v>
      </c>
      <c r="X119" s="157">
        <v>55708</v>
      </c>
      <c r="Y119" s="40" t="str" cm="1">
        <f t="array" aca="1" ref="Y119" ca="1">TRIM(SUBSTITUTE(_xlfn.ARRAYTOTEXT(IFERROR(CONCATENATE(SUMIF(INDIRECT("'"&amp;Assemblies[Assy]&amp;"'!"&amp;"C$5:C1000"), $C119, INDIRECT("'"&amp;Assemblies[Assy]&amp;"'!"&amp;"O$5:O1000")), "x",Assemblies[Assy],".",IF(SUMIF(INDIRECT("'"&amp;Assemblies[Assy]&amp;"'!"&amp;"C$5:C1000"), $C119, INDIRECT("'"&amp;Assemblies[Assy]&amp;"'!"&amp;"A$5:A1000"))=0,NA(),SUMIF(INDIRECT("'"&amp;Assemblies[Assy]&amp;"'!"&amp;"C$5:C1000"), $C119, INDIRECT("'"&amp;Assemblies[Assy]&amp;"'!"&amp;"A$5:A1000")))),"")), " ,", ""))</f>
        <v>, 1x2.1.4.1,</v>
      </c>
      <c r="Z119" s="141">
        <v>65</v>
      </c>
      <c r="AA119" s="141">
        <v>0</v>
      </c>
      <c r="AB119" s="141">
        <v>0</v>
      </c>
      <c r="AC119" s="39">
        <v>0</v>
      </c>
      <c r="AD119" s="141" t="s">
        <v>1473</v>
      </c>
      <c r="AE119" s="296"/>
      <c r="AF119" s="156"/>
      <c r="AG119"/>
    </row>
    <row r="120" spans="1:33" x14ac:dyDescent="0.25">
      <c r="A120" s="24" t="s">
        <v>2161</v>
      </c>
      <c r="B120" s="134" t="s">
        <v>54</v>
      </c>
      <c r="C120" t="str">
        <f>_xlfn.CONCAT(A120,".",B120)</f>
        <v>PG10.2.1.5.1.A</v>
      </c>
      <c r="D120" t="s">
        <v>2162</v>
      </c>
      <c r="E120" s="18">
        <f>Z120+AA120+AB120+(65*AC120)</f>
        <v>70</v>
      </c>
      <c r="F120" s="19" cm="1">
        <f t="array" aca="1" ref="F120" ca="1">SUMPRODUCT(SUMIF(INDIRECT("'"&amp;Assemblies[Assy]&amp;"'!"&amp;"C5:C1000"),C120,(INDIRECT("'"&amp;Assemblies[Assy]&amp;"'!"&amp;"O5:O1000"))))</f>
        <v>1</v>
      </c>
      <c r="G120" s="19">
        <v>1</v>
      </c>
      <c r="H120" s="19" t="str">
        <f ca="1">IF(F120&lt;=G120," ","YES")</f>
        <v xml:space="preserve"> </v>
      </c>
      <c r="O120" t="s">
        <v>1999</v>
      </c>
      <c r="P120" t="s">
        <v>1993</v>
      </c>
      <c r="R120" t="s">
        <v>2000</v>
      </c>
      <c r="T120" s="40" t="s">
        <v>2001</v>
      </c>
      <c r="U120" s="40">
        <v>45530</v>
      </c>
      <c r="V120" s="40">
        <v>45561</v>
      </c>
      <c r="X120" s="157">
        <v>55708</v>
      </c>
      <c r="Y120" s="40" t="str" cm="1">
        <f t="array" aca="1" ref="Y120" ca="1">TRIM(SUBSTITUTE(_xlfn.ARRAYTOTEXT(IFERROR(CONCATENATE(SUMIF(INDIRECT("'"&amp;Assemblies[Assy]&amp;"'!"&amp;"C$5:C1000"), $C120, INDIRECT("'"&amp;Assemblies[Assy]&amp;"'!"&amp;"O$5:O1000")), "x",Assemblies[Assy],".",IF(SUMIF(INDIRECT("'"&amp;Assemblies[Assy]&amp;"'!"&amp;"C$5:C1000"), $C120, INDIRECT("'"&amp;Assemblies[Assy]&amp;"'!"&amp;"A$5:A1000"))=0,NA(),SUMIF(INDIRECT("'"&amp;Assemblies[Assy]&amp;"'!"&amp;"C$5:C1000"), $C120, INDIRECT("'"&amp;Assemblies[Assy]&amp;"'!"&amp;"A$5:A1000")))),"")), " ,", ""))</f>
        <v>, 1x2.1.5.1,</v>
      </c>
      <c r="Z120" s="141">
        <v>70</v>
      </c>
      <c r="AA120" s="141">
        <v>0</v>
      </c>
      <c r="AB120" s="141">
        <v>0</v>
      </c>
      <c r="AC120" s="39">
        <v>0</v>
      </c>
      <c r="AD120" s="141" t="s">
        <v>1473</v>
      </c>
      <c r="AE120" s="296"/>
      <c r="AF120" s="156"/>
      <c r="AG120"/>
    </row>
    <row r="121" spans="1:33" x14ac:dyDescent="0.25">
      <c r="A121" s="24" t="s">
        <v>3679</v>
      </c>
      <c r="B121" s="134" t="s">
        <v>54</v>
      </c>
      <c r="C121" t="str">
        <f>_xlfn.CONCAT(A121,".",B121)</f>
        <v>PG10.2.1.6.1.A</v>
      </c>
      <c r="D121" t="s">
        <v>3694</v>
      </c>
      <c r="E121" s="18">
        <f>Z121+AA121+AB121+(65*AC121)</f>
        <v>0</v>
      </c>
      <c r="F121" s="19" cm="1">
        <f t="array" aca="1" ref="F121" ca="1">SUMPRODUCT(SUMIF(INDIRECT("'"&amp;Assemblies[Assy]&amp;"'!"&amp;"C5:C1000"),C121,(INDIRECT("'"&amp;Assemblies[Assy]&amp;"'!"&amp;"O5:O1000"))))</f>
        <v>1</v>
      </c>
      <c r="H121" s="19" t="str">
        <f ca="1">IF(F121&lt;=G121," ","YES")</f>
        <v>YES</v>
      </c>
      <c r="O121" t="s">
        <v>1999</v>
      </c>
      <c r="P121" t="s">
        <v>1993</v>
      </c>
      <c r="R121" t="s">
        <v>3898</v>
      </c>
      <c r="T121" s="40">
        <v>45561</v>
      </c>
      <c r="Y121" s="40" t="str" cm="1">
        <f t="array" aca="1" ref="Y121" ca="1">TRIM(SUBSTITUTE(_xlfn.ARRAYTOTEXT(IFERROR(CONCATENATE(SUMIF(INDIRECT("'"&amp;Assemblies[Assy]&amp;"'!"&amp;"C$5:C1000"), $C121, INDIRECT("'"&amp;Assemblies[Assy]&amp;"'!"&amp;"O$5:O1000")), "x",Assemblies[Assy],".",IF(SUMIF(INDIRECT("'"&amp;Assemblies[Assy]&amp;"'!"&amp;"C$5:C1000"), $C121, INDIRECT("'"&amp;Assemblies[Assy]&amp;"'!"&amp;"A$5:A1000"))=0,NA(),SUMIF(INDIRECT("'"&amp;Assemblies[Assy]&amp;"'!"&amp;"C$5:C1000"), $C121, INDIRECT("'"&amp;Assemblies[Assy]&amp;"'!"&amp;"A$5:A1000")))),"")), " ,", ""))</f>
        <v>, 1x2.1.6.1,</v>
      </c>
      <c r="Z121" s="141">
        <v>0</v>
      </c>
      <c r="AA121" s="141">
        <v>0</v>
      </c>
      <c r="AB121" s="178">
        <v>0</v>
      </c>
      <c r="AC121" s="39">
        <v>0</v>
      </c>
      <c r="AD121" s="141" t="s">
        <v>1473</v>
      </c>
      <c r="AE121" s="296"/>
      <c r="AF121" s="156"/>
      <c r="AG121"/>
    </row>
    <row r="122" spans="1:33" x14ac:dyDescent="0.25">
      <c r="A122" s="24" t="s">
        <v>3680</v>
      </c>
      <c r="B122" s="134" t="s">
        <v>54</v>
      </c>
      <c r="C122" t="str">
        <f>_xlfn.CONCAT(A122,".",B122)</f>
        <v>PG10.2.1.7.1.A</v>
      </c>
      <c r="D122" t="s">
        <v>2148</v>
      </c>
      <c r="E122" s="18">
        <f>Z122+AA122+AB122+(65*AC122)</f>
        <v>0</v>
      </c>
      <c r="F122" s="19" cm="1">
        <f t="array" aca="1" ref="F122" ca="1">SUMPRODUCT(SUMIF(INDIRECT("'"&amp;Assemblies[Assy]&amp;"'!"&amp;"C5:C1000"),C122,(INDIRECT("'"&amp;Assemblies[Assy]&amp;"'!"&amp;"O5:O1000"))))</f>
        <v>1</v>
      </c>
      <c r="H122" s="19" t="str">
        <f ca="1">IF(F122&lt;=G122," ","YES")</f>
        <v>YES</v>
      </c>
      <c r="O122" t="s">
        <v>1999</v>
      </c>
      <c r="P122" t="s">
        <v>1993</v>
      </c>
      <c r="R122" t="s">
        <v>3898</v>
      </c>
      <c r="T122" s="40">
        <v>45561</v>
      </c>
      <c r="Y122" s="40" t="str" cm="1">
        <f t="array" aca="1" ref="Y122" ca="1">TRIM(SUBSTITUTE(_xlfn.ARRAYTOTEXT(IFERROR(CONCATENATE(SUMIF(INDIRECT("'"&amp;Assemblies[Assy]&amp;"'!"&amp;"C$5:C1000"), $C122, INDIRECT("'"&amp;Assemblies[Assy]&amp;"'!"&amp;"O$5:O1000")), "x",Assemblies[Assy],".",IF(SUMIF(INDIRECT("'"&amp;Assemblies[Assy]&amp;"'!"&amp;"C$5:C1000"), $C122, INDIRECT("'"&amp;Assemblies[Assy]&amp;"'!"&amp;"A$5:A1000"))=0,NA(),SUMIF(INDIRECT("'"&amp;Assemblies[Assy]&amp;"'!"&amp;"C$5:C1000"), $C122, INDIRECT("'"&amp;Assemblies[Assy]&amp;"'!"&amp;"A$5:A1000")))),"")), " ,", ""))</f>
        <v>, 1x2.1.7.1,</v>
      </c>
      <c r="Z122" s="141">
        <v>0</v>
      </c>
      <c r="AA122" s="141">
        <v>0</v>
      </c>
      <c r="AB122" s="178">
        <v>0</v>
      </c>
      <c r="AC122" s="39">
        <v>0</v>
      </c>
      <c r="AD122" s="141" t="s">
        <v>1473</v>
      </c>
      <c r="AE122" s="296"/>
      <c r="AF122" s="156"/>
      <c r="AG122"/>
    </row>
    <row r="123" spans="1:33" x14ac:dyDescent="0.25">
      <c r="A123" s="24" t="s">
        <v>3681</v>
      </c>
      <c r="B123" s="134" t="s">
        <v>54</v>
      </c>
      <c r="C123" t="str">
        <f>_xlfn.CONCAT(A123,".",B123)</f>
        <v>PG10.2.1.8.1.A</v>
      </c>
      <c r="D123" t="s">
        <v>3695</v>
      </c>
      <c r="E123" s="18">
        <f>Z123+AA123+AB123+(65*AC123)</f>
        <v>0</v>
      </c>
      <c r="F123" s="19" cm="1">
        <f t="array" aca="1" ref="F123" ca="1">SUMPRODUCT(SUMIF(INDIRECT("'"&amp;Assemblies[Assy]&amp;"'!"&amp;"C5:C1000"),C123,(INDIRECT("'"&amp;Assemblies[Assy]&amp;"'!"&amp;"O5:O1000"))))</f>
        <v>1</v>
      </c>
      <c r="H123" s="19" t="str">
        <f ca="1">IF(F123&lt;=G123," ","YES")</f>
        <v>YES</v>
      </c>
      <c r="O123" t="s">
        <v>1999</v>
      </c>
      <c r="P123" t="s">
        <v>1993</v>
      </c>
      <c r="R123" t="s">
        <v>3898</v>
      </c>
      <c r="T123" s="40">
        <v>45561</v>
      </c>
      <c r="Y123" s="40" t="str" cm="1">
        <f t="array" aca="1" ref="Y123" ca="1">TRIM(SUBSTITUTE(_xlfn.ARRAYTOTEXT(IFERROR(CONCATENATE(SUMIF(INDIRECT("'"&amp;Assemblies[Assy]&amp;"'!"&amp;"C$5:C1000"), $C123, INDIRECT("'"&amp;Assemblies[Assy]&amp;"'!"&amp;"O$5:O1000")), "x",Assemblies[Assy],".",IF(SUMIF(INDIRECT("'"&amp;Assemblies[Assy]&amp;"'!"&amp;"C$5:C1000"), $C123, INDIRECT("'"&amp;Assemblies[Assy]&amp;"'!"&amp;"A$5:A1000"))=0,NA(),SUMIF(INDIRECT("'"&amp;Assemblies[Assy]&amp;"'!"&amp;"C$5:C1000"), $C123, INDIRECT("'"&amp;Assemblies[Assy]&amp;"'!"&amp;"A$5:A1000")))),"")), " ,", ""))</f>
        <v>, 1x2.1.8.1,</v>
      </c>
      <c r="Z123" s="141">
        <v>0</v>
      </c>
      <c r="AA123" s="141">
        <v>0</v>
      </c>
      <c r="AB123" s="178">
        <v>0</v>
      </c>
      <c r="AC123" s="39">
        <v>0</v>
      </c>
      <c r="AD123" s="141" t="s">
        <v>1473</v>
      </c>
      <c r="AE123" s="296"/>
      <c r="AF123" s="156"/>
      <c r="AG123"/>
    </row>
    <row r="124" spans="1:33" x14ac:dyDescent="0.25">
      <c r="A124" s="24" t="s">
        <v>2251</v>
      </c>
      <c r="B124" s="134" t="s">
        <v>54</v>
      </c>
      <c r="C124" t="str">
        <f>_xlfn.CONCAT(A124,".",B124)</f>
        <v>PG10.2.2.1.1.1.A</v>
      </c>
      <c r="D124" t="s">
        <v>2252</v>
      </c>
      <c r="E124" s="18">
        <v>17.899999999999999</v>
      </c>
      <c r="F124" s="19" cm="1">
        <f t="array" aca="1" ref="F124" ca="1">SUMPRODUCT(SUMIF(INDIRECT("'"&amp;Assemblies[Assy]&amp;"'!"&amp;"C5:C1000"),C124,(INDIRECT("'"&amp;Assemblies[Assy]&amp;"'!"&amp;"O5:O1000"))))</f>
        <v>24</v>
      </c>
      <c r="G124" s="19">
        <v>50</v>
      </c>
      <c r="H124" s="19" t="str">
        <f ca="1">IF(F124&lt;=G124," ","YES")</f>
        <v xml:space="preserve"> </v>
      </c>
      <c r="I124">
        <v>50</v>
      </c>
      <c r="J124">
        <v>50</v>
      </c>
      <c r="K124" s="40">
        <v>45541</v>
      </c>
      <c r="L124">
        <v>50</v>
      </c>
      <c r="N124">
        <v>50</v>
      </c>
      <c r="O124" t="s">
        <v>2026</v>
      </c>
      <c r="P124" t="s">
        <v>2027</v>
      </c>
      <c r="R124" t="s">
        <v>1989</v>
      </c>
      <c r="T124" s="40" t="s">
        <v>2253</v>
      </c>
      <c r="U124" s="40">
        <v>45513</v>
      </c>
      <c r="V124" s="40">
        <v>45534</v>
      </c>
      <c r="W124" s="40">
        <v>45534</v>
      </c>
      <c r="X124" s="157">
        <v>55675</v>
      </c>
      <c r="Y124" s="40" t="str" cm="1">
        <f t="array" aca="1" ref="Y124" ca="1">TRIM(SUBSTITUTE(_xlfn.ARRAYTOTEXT(IFERROR(CONCATENATE(SUMIF(INDIRECT("'"&amp;Assemblies[Assy]&amp;"'!"&amp;"C$5:C1000"), $C124, INDIRECT("'"&amp;Assemblies[Assy]&amp;"'!"&amp;"O$5:O1000")), "x",Assemblies[Assy],".",IF(SUMIF(INDIRECT("'"&amp;Assemblies[Assy]&amp;"'!"&amp;"C$5:C1000"), $C124, INDIRECT("'"&amp;Assemblies[Assy]&amp;"'!"&amp;"A$5:A1000"))=0,NA(),SUMIF(INDIRECT("'"&amp;Assemblies[Assy]&amp;"'!"&amp;"C$5:C1000"), $C124, INDIRECT("'"&amp;Assemblies[Assy]&amp;"'!"&amp;"A$5:A1000")))),"")), " ,", ""))</f>
        <v>, 24x2.2.1.1.1,</v>
      </c>
      <c r="Z124" s="141">
        <v>0</v>
      </c>
      <c r="AA124" s="141">
        <v>0</v>
      </c>
      <c r="AB124" s="141">
        <v>0</v>
      </c>
      <c r="AC124" s="39">
        <v>0</v>
      </c>
      <c r="AD124" s="141"/>
      <c r="AE124" s="296">
        <v>55722</v>
      </c>
      <c r="AF124" s="156"/>
      <c r="AG124"/>
    </row>
    <row r="125" spans="1:33" x14ac:dyDescent="0.25">
      <c r="A125" s="24" t="s">
        <v>2254</v>
      </c>
      <c r="B125" s="134" t="s">
        <v>54</v>
      </c>
      <c r="C125" t="str">
        <f>_xlfn.CONCAT(A125,".",B125)</f>
        <v>PG10.2.2.1.1.2.A</v>
      </c>
      <c r="D125" t="s">
        <v>2255</v>
      </c>
      <c r="E125" s="18">
        <v>9.6</v>
      </c>
      <c r="F125" s="19" cm="1">
        <f t="array" aca="1" ref="F125" ca="1">SUMPRODUCT(SUMIF(INDIRECT("'"&amp;Assemblies[Assy]&amp;"'!"&amp;"C5:C1000"),C125,(INDIRECT("'"&amp;Assemblies[Assy]&amp;"'!"&amp;"O5:O1000"))))</f>
        <v>12</v>
      </c>
      <c r="G125" s="19">
        <v>50</v>
      </c>
      <c r="H125" s="19" t="str">
        <f ca="1">IF(F125&lt;=G125," ","YES")</f>
        <v xml:space="preserve"> </v>
      </c>
      <c r="I125">
        <v>50</v>
      </c>
      <c r="J125">
        <v>50</v>
      </c>
      <c r="L125">
        <v>50</v>
      </c>
      <c r="N125">
        <v>50</v>
      </c>
      <c r="O125" t="s">
        <v>2256</v>
      </c>
      <c r="P125" t="s">
        <v>2130</v>
      </c>
      <c r="R125" t="s">
        <v>1989</v>
      </c>
      <c r="T125" s="40" t="s">
        <v>2253</v>
      </c>
      <c r="U125" s="40">
        <v>45513</v>
      </c>
      <c r="V125" s="40">
        <v>45534</v>
      </c>
      <c r="W125" s="40">
        <v>45534</v>
      </c>
      <c r="X125" s="157">
        <v>55675</v>
      </c>
      <c r="Y125" s="40" t="str" cm="1">
        <f t="array" aca="1" ref="Y125" ca="1">TRIM(SUBSTITUTE(_xlfn.ARRAYTOTEXT(IFERROR(CONCATENATE(SUMIF(INDIRECT("'"&amp;Assemblies[Assy]&amp;"'!"&amp;"C$5:C1000"), $C125, INDIRECT("'"&amp;Assemblies[Assy]&amp;"'!"&amp;"O$5:O1000")), "x",Assemblies[Assy],".",IF(SUMIF(INDIRECT("'"&amp;Assemblies[Assy]&amp;"'!"&amp;"C$5:C1000"), $C125, INDIRECT("'"&amp;Assemblies[Assy]&amp;"'!"&amp;"A$5:A1000"))=0,NA(),SUMIF(INDIRECT("'"&amp;Assemblies[Assy]&amp;"'!"&amp;"C$5:C1000"), $C125, INDIRECT("'"&amp;Assemblies[Assy]&amp;"'!"&amp;"A$5:A1000")))),"")), " ,", ""))</f>
        <v>, 12x2.2.1.1.2,</v>
      </c>
      <c r="Z125" s="178">
        <v>0</v>
      </c>
      <c r="AA125" s="178">
        <v>0</v>
      </c>
      <c r="AB125" s="178">
        <v>0</v>
      </c>
      <c r="AC125" s="39">
        <v>0</v>
      </c>
      <c r="AD125" s="178"/>
      <c r="AE125" s="297"/>
      <c r="AF125" s="271"/>
      <c r="AG125"/>
    </row>
    <row r="126" spans="1:33" x14ac:dyDescent="0.25">
      <c r="A126" s="24" t="s">
        <v>2257</v>
      </c>
      <c r="B126" s="134" t="s">
        <v>54</v>
      </c>
      <c r="C126" t="str">
        <f>_xlfn.CONCAT(A126,".",B126)</f>
        <v>PG10.2.2.1.1.3.A</v>
      </c>
      <c r="D126" t="s">
        <v>2258</v>
      </c>
      <c r="E126" s="18">
        <v>8.15</v>
      </c>
      <c r="F126" s="19" cm="1">
        <f t="array" aca="1" ref="F126" ca="1">SUMPRODUCT(SUMIF(INDIRECT("'"&amp;Assemblies[Assy]&amp;"'!"&amp;"C5:C1000"),C126,(INDIRECT("'"&amp;Assemblies[Assy]&amp;"'!"&amp;"O5:O1000"))))</f>
        <v>12</v>
      </c>
      <c r="G126" s="19">
        <v>50</v>
      </c>
      <c r="H126" s="19" t="str">
        <f ca="1">IF(F126&lt;=G126," ","YES")</f>
        <v xml:space="preserve"> </v>
      </c>
      <c r="I126">
        <v>50</v>
      </c>
      <c r="J126">
        <v>50</v>
      </c>
      <c r="L126">
        <v>50</v>
      </c>
      <c r="N126">
        <v>50</v>
      </c>
      <c r="O126" t="s">
        <v>2256</v>
      </c>
      <c r="P126" t="s">
        <v>2130</v>
      </c>
      <c r="R126" t="s">
        <v>1989</v>
      </c>
      <c r="T126" s="40" t="s">
        <v>2253</v>
      </c>
      <c r="U126" s="40">
        <v>45513</v>
      </c>
      <c r="V126" s="40">
        <v>45534</v>
      </c>
      <c r="W126" s="40">
        <v>45534</v>
      </c>
      <c r="X126" s="157">
        <v>55675</v>
      </c>
      <c r="Y126" s="40" t="str" cm="1">
        <f t="array" aca="1" ref="Y126" ca="1">TRIM(SUBSTITUTE(_xlfn.ARRAYTOTEXT(IFERROR(CONCATENATE(SUMIF(INDIRECT("'"&amp;Assemblies[Assy]&amp;"'!"&amp;"C$5:C1000"), $C126, INDIRECT("'"&amp;Assemblies[Assy]&amp;"'!"&amp;"O$5:O1000")), "x",Assemblies[Assy],".",IF(SUMIF(INDIRECT("'"&amp;Assemblies[Assy]&amp;"'!"&amp;"C$5:C1000"), $C126, INDIRECT("'"&amp;Assemblies[Assy]&amp;"'!"&amp;"A$5:A1000"))=0,NA(),SUMIF(INDIRECT("'"&amp;Assemblies[Assy]&amp;"'!"&amp;"C$5:C1000"), $C126, INDIRECT("'"&amp;Assemblies[Assy]&amp;"'!"&amp;"A$5:A1000")))),"")), " ,", ""))</f>
        <v>, 12x2.2.1.1.3,</v>
      </c>
      <c r="Z126" s="141">
        <v>0</v>
      </c>
      <c r="AA126" s="141">
        <v>0</v>
      </c>
      <c r="AB126" s="141">
        <v>0</v>
      </c>
      <c r="AC126" s="39">
        <v>0</v>
      </c>
      <c r="AD126" s="141"/>
      <c r="AE126" s="296"/>
      <c r="AF126" s="156"/>
      <c r="AG126"/>
    </row>
    <row r="127" spans="1:33" x14ac:dyDescent="0.25">
      <c r="A127" s="24" t="s">
        <v>2234</v>
      </c>
      <c r="B127" s="134" t="s">
        <v>54</v>
      </c>
      <c r="C127" t="str">
        <f>_xlfn.CONCAT(A127,".",B127)</f>
        <v>PG10.2.2.1.1.A</v>
      </c>
      <c r="D127" t="s">
        <v>2235</v>
      </c>
      <c r="E127" s="18">
        <f>Z127+AA127+AB127+(65*AC127)</f>
        <v>65</v>
      </c>
      <c r="F127" s="19" cm="1">
        <f t="array" aca="1" ref="F127" ca="1">SUMPRODUCT(SUMIF(INDIRECT("'"&amp;Assemblies[Assy]&amp;"'!"&amp;"C5:C1000"),C127,(INDIRECT("'"&amp;Assemblies[Assy]&amp;"'!"&amp;"O5:O1000"))))</f>
        <v>1</v>
      </c>
      <c r="G127" s="19">
        <v>1</v>
      </c>
      <c r="H127" s="19" t="str">
        <f ca="1">IF(F127&lt;=G127," ","YES")</f>
        <v xml:space="preserve"> </v>
      </c>
      <c r="O127" t="s">
        <v>1999</v>
      </c>
      <c r="P127" t="s">
        <v>1993</v>
      </c>
      <c r="R127" t="s">
        <v>2000</v>
      </c>
      <c r="T127" s="40" t="s">
        <v>2001</v>
      </c>
      <c r="U127" s="40">
        <v>45530</v>
      </c>
      <c r="V127" s="40">
        <v>45561</v>
      </c>
      <c r="X127" s="157">
        <v>55708</v>
      </c>
      <c r="Y127" s="40" t="str" cm="1">
        <f t="array" aca="1" ref="Y127" ca="1">TRIM(SUBSTITUTE(_xlfn.ARRAYTOTEXT(IFERROR(CONCATENATE(SUMIF(INDIRECT("'"&amp;Assemblies[Assy]&amp;"'!"&amp;"C$5:C1000"), $C127, INDIRECT("'"&amp;Assemblies[Assy]&amp;"'!"&amp;"O$5:O1000")), "x",Assemblies[Assy],".",IF(SUMIF(INDIRECT("'"&amp;Assemblies[Assy]&amp;"'!"&amp;"C$5:C1000"), $C127, INDIRECT("'"&amp;Assemblies[Assy]&amp;"'!"&amp;"A$5:A1000"))=0,NA(),SUMIF(INDIRECT("'"&amp;Assemblies[Assy]&amp;"'!"&amp;"C$5:C1000"), $C127, INDIRECT("'"&amp;Assemblies[Assy]&amp;"'!"&amp;"A$5:A1000")))),"")), " ,", ""))</f>
        <v>, 1x2.2.1.1,</v>
      </c>
      <c r="Z127" s="141">
        <v>65</v>
      </c>
      <c r="AA127" s="141">
        <v>0</v>
      </c>
      <c r="AB127" s="141">
        <v>0</v>
      </c>
      <c r="AC127" s="39">
        <v>0</v>
      </c>
      <c r="AD127" s="141" t="s">
        <v>1473</v>
      </c>
      <c r="AE127" s="296"/>
      <c r="AF127" s="156"/>
      <c r="AG127"/>
    </row>
    <row r="128" spans="1:33" x14ac:dyDescent="0.25">
      <c r="A128" s="24" t="s">
        <v>2247</v>
      </c>
      <c r="B128" s="134" t="s">
        <v>54</v>
      </c>
      <c r="C128" t="str">
        <f>_xlfn.CONCAT(A128,".",B128)</f>
        <v>PG10.2.2.1.2.A</v>
      </c>
      <c r="D128" t="s">
        <v>2248</v>
      </c>
      <c r="E128" s="18">
        <f>Z128+AA128+AB128+(65*AC128)</f>
        <v>60</v>
      </c>
      <c r="F128" s="19" cm="1">
        <f t="array" aca="1" ref="F128" ca="1">SUMPRODUCT(SUMIF(INDIRECT("'"&amp;Assemblies[Assy]&amp;"'!"&amp;"C5:C1000"),C128,(INDIRECT("'"&amp;Assemblies[Assy]&amp;"'!"&amp;"O5:O1000"))))</f>
        <v>1</v>
      </c>
      <c r="G128" s="19">
        <v>1</v>
      </c>
      <c r="H128" s="19" t="str">
        <f ca="1">IF(F128&lt;=G128," ","YES")</f>
        <v xml:space="preserve"> </v>
      </c>
      <c r="O128" t="s">
        <v>1999</v>
      </c>
      <c r="P128" t="s">
        <v>1993</v>
      </c>
      <c r="R128" t="s">
        <v>2000</v>
      </c>
      <c r="T128" s="40" t="s">
        <v>2001</v>
      </c>
      <c r="U128" s="40">
        <v>45530</v>
      </c>
      <c r="V128" s="40">
        <v>45561</v>
      </c>
      <c r="X128" s="157">
        <v>55708</v>
      </c>
      <c r="Y128" s="40" t="str" cm="1">
        <f t="array" aca="1" ref="Y128" ca="1">TRIM(SUBSTITUTE(_xlfn.ARRAYTOTEXT(IFERROR(CONCATENATE(SUMIF(INDIRECT("'"&amp;Assemblies[Assy]&amp;"'!"&amp;"C$5:C1000"), $C128, INDIRECT("'"&amp;Assemblies[Assy]&amp;"'!"&amp;"O$5:O1000")), "x",Assemblies[Assy],".",IF(SUMIF(INDIRECT("'"&amp;Assemblies[Assy]&amp;"'!"&amp;"C$5:C1000"), $C128, INDIRECT("'"&amp;Assemblies[Assy]&amp;"'!"&amp;"A$5:A1000"))=0,NA(),SUMIF(INDIRECT("'"&amp;Assemblies[Assy]&amp;"'!"&amp;"C$5:C1000"), $C128, INDIRECT("'"&amp;Assemblies[Assy]&amp;"'!"&amp;"A$5:A1000")))),"")), " ,", ""))</f>
        <v>, 1x2.2.1.2,</v>
      </c>
      <c r="Z128" s="141">
        <v>60</v>
      </c>
      <c r="AA128" s="141">
        <v>0</v>
      </c>
      <c r="AB128" s="141">
        <v>0</v>
      </c>
      <c r="AC128" s="39">
        <v>0</v>
      </c>
      <c r="AD128" s="141" t="s">
        <v>1473</v>
      </c>
      <c r="AE128" s="296"/>
      <c r="AF128" s="156"/>
      <c r="AG128"/>
    </row>
    <row r="129" spans="1:33" x14ac:dyDescent="0.25">
      <c r="A129" s="24" t="s">
        <v>2249</v>
      </c>
      <c r="B129" s="134" t="s">
        <v>54</v>
      </c>
      <c r="C129" t="str">
        <f>_xlfn.CONCAT(A129,".",B129)</f>
        <v>PG10.2.2.2.1.A</v>
      </c>
      <c r="D129" t="s">
        <v>2250</v>
      </c>
      <c r="E129" s="18">
        <f>Z129+AA129+AB129+(65*AC129)</f>
        <v>60</v>
      </c>
      <c r="F129" s="19" cm="1">
        <f t="array" aca="1" ref="F129" ca="1">SUMPRODUCT(SUMIF(INDIRECT("'"&amp;Assemblies[Assy]&amp;"'!"&amp;"C5:C1000"),C129,(INDIRECT("'"&amp;Assemblies[Assy]&amp;"'!"&amp;"O5:O1000"))))</f>
        <v>1</v>
      </c>
      <c r="G129" s="19">
        <v>1</v>
      </c>
      <c r="H129" s="19" t="str">
        <f ca="1">IF(F129&lt;=G129," ","YES")</f>
        <v xml:space="preserve"> </v>
      </c>
      <c r="O129" t="s">
        <v>1999</v>
      </c>
      <c r="P129" t="s">
        <v>1993</v>
      </c>
      <c r="R129" t="s">
        <v>2000</v>
      </c>
      <c r="T129" s="40" t="s">
        <v>2001</v>
      </c>
      <c r="U129" s="40">
        <v>45530</v>
      </c>
      <c r="V129" s="40">
        <v>45561</v>
      </c>
      <c r="X129" s="157">
        <v>55708</v>
      </c>
      <c r="Y129" s="40" t="str" cm="1">
        <f t="array" aca="1" ref="Y129" ca="1">TRIM(SUBSTITUTE(_xlfn.ARRAYTOTEXT(IFERROR(CONCATENATE(SUMIF(INDIRECT("'"&amp;Assemblies[Assy]&amp;"'!"&amp;"C$5:C1000"), $C129, INDIRECT("'"&amp;Assemblies[Assy]&amp;"'!"&amp;"O$5:O1000")), "x",Assemblies[Assy],".",IF(SUMIF(INDIRECT("'"&amp;Assemblies[Assy]&amp;"'!"&amp;"C$5:C1000"), $C129, INDIRECT("'"&amp;Assemblies[Assy]&amp;"'!"&amp;"A$5:A1000"))=0,NA(),SUMIF(INDIRECT("'"&amp;Assemblies[Assy]&amp;"'!"&amp;"C$5:C1000"), $C129, INDIRECT("'"&amp;Assemblies[Assy]&amp;"'!"&amp;"A$5:A1000")))),"")), " ,", ""))</f>
        <v>, 1x2.2.2.1,</v>
      </c>
      <c r="Z129" s="141">
        <v>60</v>
      </c>
      <c r="AA129" s="141">
        <v>0</v>
      </c>
      <c r="AB129" s="141">
        <v>0</v>
      </c>
      <c r="AC129" s="39">
        <v>0</v>
      </c>
      <c r="AD129" s="141" t="s">
        <v>1473</v>
      </c>
      <c r="AE129" s="296"/>
      <c r="AF129" s="156"/>
      <c r="AG129"/>
    </row>
    <row r="130" spans="1:33" x14ac:dyDescent="0.25">
      <c r="A130" s="24" t="s">
        <v>2259</v>
      </c>
      <c r="B130" s="134" t="s">
        <v>54</v>
      </c>
      <c r="C130" t="str">
        <f>_xlfn.CONCAT(A130,".",B130)</f>
        <v>PG10.2.2.2.2.A</v>
      </c>
      <c r="D130" t="s">
        <v>2260</v>
      </c>
      <c r="E130" s="18">
        <f>Z130+AA130+AB130+(65*AC130)</f>
        <v>65</v>
      </c>
      <c r="F130" s="19" cm="1">
        <f t="array" aca="1" ref="F130" ca="1">SUMPRODUCT(SUMIF(INDIRECT("'"&amp;Assemblies[Assy]&amp;"'!"&amp;"C5:C1000"),C130,(INDIRECT("'"&amp;Assemblies[Assy]&amp;"'!"&amp;"O5:O1000"))))</f>
        <v>1</v>
      </c>
      <c r="G130" s="19">
        <v>1</v>
      </c>
      <c r="H130" s="19" t="str">
        <f ca="1">IF(F130&lt;=G130," ","YES")</f>
        <v xml:space="preserve"> </v>
      </c>
      <c r="O130" t="s">
        <v>1999</v>
      </c>
      <c r="P130" t="s">
        <v>1993</v>
      </c>
      <c r="R130" t="s">
        <v>2000</v>
      </c>
      <c r="T130" s="40" t="s">
        <v>2001</v>
      </c>
      <c r="U130" s="40">
        <v>45530</v>
      </c>
      <c r="V130" s="40">
        <v>45561</v>
      </c>
      <c r="X130" s="157">
        <v>55708</v>
      </c>
      <c r="Y130" s="40" t="str" cm="1">
        <f t="array" aca="1" ref="Y130" ca="1">TRIM(SUBSTITUTE(_xlfn.ARRAYTOTEXT(IFERROR(CONCATENATE(SUMIF(INDIRECT("'"&amp;Assemblies[Assy]&amp;"'!"&amp;"C$5:C1000"), $C130, INDIRECT("'"&amp;Assemblies[Assy]&amp;"'!"&amp;"O$5:O1000")), "x",Assemblies[Assy],".",IF(SUMIF(INDIRECT("'"&amp;Assemblies[Assy]&amp;"'!"&amp;"C$5:C1000"), $C130, INDIRECT("'"&amp;Assemblies[Assy]&amp;"'!"&amp;"A$5:A1000"))=0,NA(),SUMIF(INDIRECT("'"&amp;Assemblies[Assy]&amp;"'!"&amp;"C$5:C1000"), $C130, INDIRECT("'"&amp;Assemblies[Assy]&amp;"'!"&amp;"A$5:A1000")))),"")), " ,", ""))</f>
        <v>, 1x2.2.2.2,</v>
      </c>
      <c r="Z130" s="141">
        <v>65</v>
      </c>
      <c r="AA130" s="141">
        <v>0</v>
      </c>
      <c r="AB130" s="141">
        <v>0</v>
      </c>
      <c r="AC130" s="39">
        <v>0</v>
      </c>
      <c r="AD130" s="141" t="s">
        <v>1473</v>
      </c>
      <c r="AE130" s="296"/>
      <c r="AF130" s="156"/>
      <c r="AG130"/>
    </row>
    <row r="131" spans="1:33" x14ac:dyDescent="0.25">
      <c r="A131" s="24" t="s">
        <v>2261</v>
      </c>
      <c r="B131" s="134" t="s">
        <v>54</v>
      </c>
      <c r="C131" t="str">
        <f>_xlfn.CONCAT(A131,".",B131)</f>
        <v>PG10.2.2.3.1.A</v>
      </c>
      <c r="D131" t="s">
        <v>2262</v>
      </c>
      <c r="E131" s="18">
        <f>Z131+AA131+AB131+(65*AC131)</f>
        <v>55</v>
      </c>
      <c r="F131" s="19" cm="1">
        <f t="array" aca="1" ref="F131" ca="1">SUMPRODUCT(SUMIF(INDIRECT("'"&amp;Assemblies[Assy]&amp;"'!"&amp;"C5:C1000"),C131,(INDIRECT("'"&amp;Assemblies[Assy]&amp;"'!"&amp;"O5:O1000"))))</f>
        <v>1</v>
      </c>
      <c r="G131" s="19">
        <v>1</v>
      </c>
      <c r="H131" s="19" t="str">
        <f ca="1">IF(F131&lt;=G131," ","YES")</f>
        <v xml:space="preserve"> </v>
      </c>
      <c r="O131" t="s">
        <v>1999</v>
      </c>
      <c r="P131" t="s">
        <v>1993</v>
      </c>
      <c r="R131" t="s">
        <v>2000</v>
      </c>
      <c r="T131" s="40" t="s">
        <v>2001</v>
      </c>
      <c r="U131" s="40">
        <v>45530</v>
      </c>
      <c r="V131" s="40">
        <v>45561</v>
      </c>
      <c r="X131" s="157">
        <v>55708</v>
      </c>
      <c r="Y131" s="40" t="str" cm="1">
        <f t="array" aca="1" ref="Y131" ca="1">TRIM(SUBSTITUTE(_xlfn.ARRAYTOTEXT(IFERROR(CONCATENATE(SUMIF(INDIRECT("'"&amp;Assemblies[Assy]&amp;"'!"&amp;"C$5:C1000"), $C131, INDIRECT("'"&amp;Assemblies[Assy]&amp;"'!"&amp;"O$5:O1000")), "x",Assemblies[Assy],".",IF(SUMIF(INDIRECT("'"&amp;Assemblies[Assy]&amp;"'!"&amp;"C$5:C1000"), $C131, INDIRECT("'"&amp;Assemblies[Assy]&amp;"'!"&amp;"A$5:A1000"))=0,NA(),SUMIF(INDIRECT("'"&amp;Assemblies[Assy]&amp;"'!"&amp;"C$5:C1000"), $C131, INDIRECT("'"&amp;Assemblies[Assy]&amp;"'!"&amp;"A$5:A1000")))),"")), " ,", ""))</f>
        <v>, 1x2.2.3.1,</v>
      </c>
      <c r="Z131" s="141">
        <v>55</v>
      </c>
      <c r="AA131" s="141">
        <v>0</v>
      </c>
      <c r="AB131" s="141">
        <v>0</v>
      </c>
      <c r="AC131" s="39">
        <v>0</v>
      </c>
      <c r="AD131" s="141" t="s">
        <v>1473</v>
      </c>
      <c r="AE131" s="296"/>
      <c r="AF131" s="156"/>
      <c r="AG131"/>
    </row>
    <row r="132" spans="1:33" x14ac:dyDescent="0.25">
      <c r="A132" s="24" t="s">
        <v>2263</v>
      </c>
      <c r="B132" s="134" t="s">
        <v>54</v>
      </c>
      <c r="C132" t="str">
        <f>_xlfn.CONCAT(A132,".",B132)</f>
        <v>PG10.2.2.4.1.A</v>
      </c>
      <c r="D132" t="s">
        <v>2264</v>
      </c>
      <c r="E132" s="18">
        <f>Z132+AA132+AB132+(65*AC132)</f>
        <v>55</v>
      </c>
      <c r="F132" s="19" cm="1">
        <f t="array" aca="1" ref="F132" ca="1">SUMPRODUCT(SUMIF(INDIRECT("'"&amp;Assemblies[Assy]&amp;"'!"&amp;"C5:C1000"),C132,(INDIRECT("'"&amp;Assemblies[Assy]&amp;"'!"&amp;"O5:O1000"))))</f>
        <v>1</v>
      </c>
      <c r="G132" s="19">
        <v>1</v>
      </c>
      <c r="H132" s="19" t="str">
        <f ca="1">IF(F132&lt;=G132," ","YES")</f>
        <v xml:space="preserve"> </v>
      </c>
      <c r="O132" t="s">
        <v>1999</v>
      </c>
      <c r="P132" t="s">
        <v>1993</v>
      </c>
      <c r="R132" t="s">
        <v>2000</v>
      </c>
      <c r="T132" s="40" t="s">
        <v>2001</v>
      </c>
      <c r="U132" s="40">
        <v>45530</v>
      </c>
      <c r="V132" s="40">
        <v>45561</v>
      </c>
      <c r="X132" s="157">
        <v>55708</v>
      </c>
      <c r="Y132" s="40" t="str" cm="1">
        <f t="array" aca="1" ref="Y132" ca="1">TRIM(SUBSTITUTE(_xlfn.ARRAYTOTEXT(IFERROR(CONCATENATE(SUMIF(INDIRECT("'"&amp;Assemblies[Assy]&amp;"'!"&amp;"C$5:C1000"), $C132, INDIRECT("'"&amp;Assemblies[Assy]&amp;"'!"&amp;"O$5:O1000")), "x",Assemblies[Assy],".",IF(SUMIF(INDIRECT("'"&amp;Assemblies[Assy]&amp;"'!"&amp;"C$5:C1000"), $C132, INDIRECT("'"&amp;Assemblies[Assy]&amp;"'!"&amp;"A$5:A1000"))=0,NA(),SUMIF(INDIRECT("'"&amp;Assemblies[Assy]&amp;"'!"&amp;"C$5:C1000"), $C132, INDIRECT("'"&amp;Assemblies[Assy]&amp;"'!"&amp;"A$5:A1000")))),"")), " ,", ""))</f>
        <v>, 1x2.2.4.1,</v>
      </c>
      <c r="Z132" s="141">
        <v>55</v>
      </c>
      <c r="AA132" s="141">
        <v>0</v>
      </c>
      <c r="AB132" s="141">
        <v>0</v>
      </c>
      <c r="AC132" s="39">
        <v>0</v>
      </c>
      <c r="AD132" s="141" t="s">
        <v>1473</v>
      </c>
      <c r="AE132" s="296"/>
      <c r="AF132" s="156"/>
      <c r="AG132"/>
    </row>
    <row r="133" spans="1:33" x14ac:dyDescent="0.25">
      <c r="A133" s="24" t="s">
        <v>2387</v>
      </c>
      <c r="B133" s="134" t="s">
        <v>54</v>
      </c>
      <c r="C133" t="str">
        <f>_xlfn.CONCAT(A133,".",B133)</f>
        <v>PG10.2.2.5.1.A</v>
      </c>
      <c r="D133" t="s">
        <v>1601</v>
      </c>
      <c r="E133" s="18">
        <f>Z133+AA133+AB133+(65*AC133)</f>
        <v>84.9</v>
      </c>
      <c r="F133" s="19" cm="1">
        <f t="array" aca="1" ref="F133" ca="1">SUMPRODUCT(SUMIF(INDIRECT("'"&amp;Assemblies[Assy]&amp;"'!"&amp;"C5:C1000"),C133,(INDIRECT("'"&amp;Assemblies[Assy]&amp;"'!"&amp;"O5:O1000"))))</f>
        <v>2</v>
      </c>
      <c r="G133" s="19">
        <v>2</v>
      </c>
      <c r="H133" s="19" t="str">
        <f ca="1">IF(F133&lt;=G133," ","YES")</f>
        <v xml:space="preserve"> </v>
      </c>
      <c r="O133" t="s">
        <v>1999</v>
      </c>
      <c r="P133" t="s">
        <v>2386</v>
      </c>
      <c r="R133" t="s">
        <v>3781</v>
      </c>
      <c r="T133" s="40">
        <v>45545</v>
      </c>
      <c r="U133" s="40">
        <v>45554</v>
      </c>
      <c r="V133" s="40">
        <v>45576</v>
      </c>
      <c r="X133" s="157">
        <v>55745</v>
      </c>
      <c r="Y133" s="40" t="str" cm="1">
        <f t="array" aca="1" ref="Y133" ca="1">TRIM(SUBSTITUTE(_xlfn.ARRAYTOTEXT(IFERROR(CONCATENATE(SUMIF(INDIRECT("'"&amp;Assemblies[Assy]&amp;"'!"&amp;"C$5:C1000"), $C133, INDIRECT("'"&amp;Assemblies[Assy]&amp;"'!"&amp;"O$5:O1000")), "x",Assemblies[Assy],".",IF(SUMIF(INDIRECT("'"&amp;Assemblies[Assy]&amp;"'!"&amp;"C$5:C1000"), $C133, INDIRECT("'"&amp;Assemblies[Assy]&amp;"'!"&amp;"A$5:A1000"))=0,NA(),SUMIF(INDIRECT("'"&amp;Assemblies[Assy]&amp;"'!"&amp;"C$5:C1000"), $C133, INDIRECT("'"&amp;Assemblies[Assy]&amp;"'!"&amp;"A$5:A1000")))),"")), " ,", ""))</f>
        <v>, 2x2.2.5.1,</v>
      </c>
      <c r="Z133" s="141">
        <v>84.9</v>
      </c>
      <c r="AA133" s="141">
        <v>0</v>
      </c>
      <c r="AB133" s="136">
        <v>0</v>
      </c>
      <c r="AC133" s="39">
        <v>0</v>
      </c>
      <c r="AD133" s="141" t="s">
        <v>1473</v>
      </c>
      <c r="AE133" s="296"/>
      <c r="AF133" s="156"/>
      <c r="AG133"/>
    </row>
    <row r="134" spans="1:33" x14ac:dyDescent="0.25">
      <c r="A134" s="24" t="s">
        <v>2443</v>
      </c>
      <c r="B134" s="134" t="s">
        <v>54</v>
      </c>
      <c r="C134" t="str">
        <f>_xlfn.CONCAT(A134,".",B134)</f>
        <v>PG10.2.2.6.1.A</v>
      </c>
      <c r="D134" t="s">
        <v>1603</v>
      </c>
      <c r="E134" s="18">
        <f>Z134+AA134+AB134+(65*AC134)</f>
        <v>84.9</v>
      </c>
      <c r="F134" s="19" cm="1">
        <f t="array" aca="1" ref="F134" ca="1">SUMPRODUCT(SUMIF(INDIRECT("'"&amp;Assemblies[Assy]&amp;"'!"&amp;"C5:C1000"),C134,(INDIRECT("'"&amp;Assemblies[Assy]&amp;"'!"&amp;"O5:O1000"))))</f>
        <v>1</v>
      </c>
      <c r="G134" s="19">
        <v>1</v>
      </c>
      <c r="H134" s="19" t="str">
        <f ca="1">IF(F134&lt;=G134," ","YES")</f>
        <v xml:space="preserve"> </v>
      </c>
      <c r="O134" t="s">
        <v>1999</v>
      </c>
      <c r="P134" t="s">
        <v>2386</v>
      </c>
      <c r="R134" t="s">
        <v>3781</v>
      </c>
      <c r="T134" s="40">
        <v>45545</v>
      </c>
      <c r="U134" s="40">
        <v>45554</v>
      </c>
      <c r="V134" s="40">
        <v>45576</v>
      </c>
      <c r="X134" s="157">
        <v>55745</v>
      </c>
      <c r="Y134" s="40" t="str" cm="1">
        <f t="array" aca="1" ref="Y134" ca="1">TRIM(SUBSTITUTE(_xlfn.ARRAYTOTEXT(IFERROR(CONCATENATE(SUMIF(INDIRECT("'"&amp;Assemblies[Assy]&amp;"'!"&amp;"C$5:C1000"), $C134, INDIRECT("'"&amp;Assemblies[Assy]&amp;"'!"&amp;"O$5:O1000")), "x",Assemblies[Assy],".",IF(SUMIF(INDIRECT("'"&amp;Assemblies[Assy]&amp;"'!"&amp;"C$5:C1000"), $C134, INDIRECT("'"&amp;Assemblies[Assy]&amp;"'!"&amp;"A$5:A1000"))=0,NA(),SUMIF(INDIRECT("'"&amp;Assemblies[Assy]&amp;"'!"&amp;"C$5:C1000"), $C134, INDIRECT("'"&amp;Assemblies[Assy]&amp;"'!"&amp;"A$5:A1000")))),"")), " ,", ""))</f>
        <v>, 1x2.2.6.1,</v>
      </c>
      <c r="Z134" s="141">
        <v>84.9</v>
      </c>
      <c r="AA134" s="141">
        <v>0</v>
      </c>
      <c r="AB134" s="136">
        <v>0</v>
      </c>
      <c r="AC134" s="39">
        <v>0</v>
      </c>
      <c r="AD134" s="141" t="s">
        <v>1473</v>
      </c>
      <c r="AE134" s="296"/>
      <c r="AF134" s="156"/>
      <c r="AG134"/>
    </row>
    <row r="135" spans="1:33" x14ac:dyDescent="0.25">
      <c r="A135" s="24" t="s">
        <v>2268</v>
      </c>
      <c r="B135" s="134" t="s">
        <v>54</v>
      </c>
      <c r="C135" t="str">
        <f>_xlfn.CONCAT(A135,".",B135)</f>
        <v>PG10.2.3.1.1.A</v>
      </c>
      <c r="D135" t="s">
        <v>2269</v>
      </c>
      <c r="E135" s="18">
        <v>71.400000000000006</v>
      </c>
      <c r="F135" s="19" cm="1">
        <f t="array" aca="1" ref="F135" ca="1">SUMPRODUCT(SUMIF(INDIRECT("'"&amp;Assemblies[Assy]&amp;"'!"&amp;"C5:C1000"),C135,(INDIRECT("'"&amp;Assemblies[Assy]&amp;"'!"&amp;"O5:O1000"))))</f>
        <v>3</v>
      </c>
      <c r="G135" s="19">
        <v>3</v>
      </c>
      <c r="H135" s="19" t="str">
        <f ca="1">IF(F135&lt;=G135," ","YES")</f>
        <v xml:space="preserve"> </v>
      </c>
      <c r="I135">
        <v>3</v>
      </c>
      <c r="J135">
        <v>3</v>
      </c>
      <c r="L135">
        <v>3</v>
      </c>
      <c r="N135">
        <v>3</v>
      </c>
      <c r="O135" t="s">
        <v>1986</v>
      </c>
      <c r="P135" t="s">
        <v>2165</v>
      </c>
      <c r="R135" t="s">
        <v>3662</v>
      </c>
      <c r="T135" s="40">
        <v>45527</v>
      </c>
      <c r="U135" s="40">
        <v>45530</v>
      </c>
      <c r="V135" s="40">
        <v>45560</v>
      </c>
      <c r="W135" s="40">
        <v>45560</v>
      </c>
      <c r="X135" s="157">
        <v>55706</v>
      </c>
      <c r="Y135" s="40" t="str" cm="1">
        <f t="array" aca="1" ref="Y135" ca="1">TRIM(SUBSTITUTE(_xlfn.ARRAYTOTEXT(IFERROR(CONCATENATE(SUMIF(INDIRECT("'"&amp;Assemblies[Assy]&amp;"'!"&amp;"C$5:C1000"), $C135, INDIRECT("'"&amp;Assemblies[Assy]&amp;"'!"&amp;"O$5:O1000")), "x",Assemblies[Assy],".",IF(SUMIF(INDIRECT("'"&amp;Assemblies[Assy]&amp;"'!"&amp;"C$5:C1000"), $C135, INDIRECT("'"&amp;Assemblies[Assy]&amp;"'!"&amp;"A$5:A1000"))=0,NA(),SUMIF(INDIRECT("'"&amp;Assemblies[Assy]&amp;"'!"&amp;"C$5:C1000"), $C135, INDIRECT("'"&amp;Assemblies[Assy]&amp;"'!"&amp;"A$5:A1000")))),"")), " ,", ""))</f>
        <v>, 3x2.3.1.1,</v>
      </c>
      <c r="Z135" s="141">
        <v>0</v>
      </c>
      <c r="AA135" s="141">
        <v>0</v>
      </c>
      <c r="AB135" s="141">
        <v>0</v>
      </c>
      <c r="AC135" s="39">
        <v>0</v>
      </c>
      <c r="AD135" s="141"/>
      <c r="AE135" s="296"/>
      <c r="AF135" s="156"/>
      <c r="AG135"/>
    </row>
    <row r="136" spans="1:33" x14ac:dyDescent="0.25">
      <c r="A136" s="24" t="s">
        <v>2270</v>
      </c>
      <c r="B136" s="134" t="s">
        <v>54</v>
      </c>
      <c r="C136" t="str">
        <f>_xlfn.CONCAT(A136,".",B136)</f>
        <v>PG10.2.3.1.A</v>
      </c>
      <c r="D136" t="s">
        <v>2271</v>
      </c>
      <c r="E136" s="18">
        <v>622.54999999999995</v>
      </c>
      <c r="F136" s="19" cm="1">
        <f t="array" aca="1" ref="F136" ca="1">SUMPRODUCT(SUMIF(INDIRECT("'"&amp;Assemblies[Assy]&amp;"'!"&amp;"C5:C1000"),C136,(INDIRECT("'"&amp;Assemblies[Assy]&amp;"'!"&amp;"O5:O1000"))))</f>
        <v>6</v>
      </c>
      <c r="G136" s="19">
        <v>6</v>
      </c>
      <c r="H136" s="19" t="str">
        <f ca="1">IF(F136&lt;=G136," ","YES")</f>
        <v xml:space="preserve"> </v>
      </c>
      <c r="I136">
        <v>6</v>
      </c>
      <c r="J136">
        <v>6</v>
      </c>
      <c r="L136">
        <v>6</v>
      </c>
      <c r="N136">
        <v>6</v>
      </c>
      <c r="O136" t="s">
        <v>2067</v>
      </c>
      <c r="P136" t="s">
        <v>1987</v>
      </c>
      <c r="Q136" t="s">
        <v>1988</v>
      </c>
      <c r="R136" t="s">
        <v>2068</v>
      </c>
      <c r="T136" s="40">
        <v>45435</v>
      </c>
      <c r="U136" s="40">
        <v>45448</v>
      </c>
      <c r="V136" s="40">
        <v>45504</v>
      </c>
      <c r="W136" s="40">
        <v>45504</v>
      </c>
      <c r="X136" s="157">
        <v>55540</v>
      </c>
      <c r="Y136" s="40" t="str" cm="1">
        <f t="array" aca="1" ref="Y136" ca="1">TRIM(SUBSTITUTE(_xlfn.ARRAYTOTEXT(IFERROR(CONCATENATE(SUMIF(INDIRECT("'"&amp;Assemblies[Assy]&amp;"'!"&amp;"C$5:C1000"), $C136, INDIRECT("'"&amp;Assemblies[Assy]&amp;"'!"&amp;"O$5:O1000")), "x",Assemblies[Assy],".",IF(SUMIF(INDIRECT("'"&amp;Assemblies[Assy]&amp;"'!"&amp;"C$5:C1000"), $C136, INDIRECT("'"&amp;Assemblies[Assy]&amp;"'!"&amp;"A$5:A1000"))=0,NA(),SUMIF(INDIRECT("'"&amp;Assemblies[Assy]&amp;"'!"&amp;"C$5:C1000"), $C136, INDIRECT("'"&amp;Assemblies[Assy]&amp;"'!"&amp;"A$5:A1000")))),"")), " ,", ""))</f>
        <v>, 6x2.3.1,</v>
      </c>
      <c r="Z136" s="141">
        <v>0</v>
      </c>
      <c r="AA136" s="141">
        <v>0</v>
      </c>
      <c r="AB136" s="141">
        <v>0</v>
      </c>
      <c r="AC136" s="39">
        <v>0</v>
      </c>
      <c r="AD136" s="141"/>
      <c r="AE136" s="296">
        <v>55665</v>
      </c>
      <c r="AF136" s="141"/>
      <c r="AG136"/>
    </row>
    <row r="137" spans="1:33" x14ac:dyDescent="0.25">
      <c r="A137" s="24" t="s">
        <v>2272</v>
      </c>
      <c r="B137" s="134" t="s">
        <v>54</v>
      </c>
      <c r="C137" t="str">
        <f>_xlfn.CONCAT(A137,".",B137)</f>
        <v>PG10.2.3.4.1.A</v>
      </c>
      <c r="D137" t="s">
        <v>2273</v>
      </c>
      <c r="E137" s="18">
        <v>435</v>
      </c>
      <c r="F137" s="19" cm="1">
        <f t="array" aca="1" ref="F137" ca="1">SUMPRODUCT(SUMIF(INDIRECT("'"&amp;Assemblies[Assy]&amp;"'!"&amp;"C5:C1000"),C137,(INDIRECT("'"&amp;Assemblies[Assy]&amp;"'!"&amp;"O5:O1000"))))</f>
        <v>30</v>
      </c>
      <c r="G137" s="19">
        <v>33</v>
      </c>
      <c r="H137" s="19" t="str">
        <f ca="1">IF(F137&lt;=G137," ","YES")</f>
        <v xml:space="preserve"> </v>
      </c>
      <c r="O137" t="s">
        <v>1986</v>
      </c>
      <c r="P137" t="s">
        <v>2274</v>
      </c>
      <c r="R137" t="s">
        <v>2090</v>
      </c>
      <c r="S137" t="s">
        <v>2111</v>
      </c>
      <c r="T137" s="40">
        <v>45413</v>
      </c>
      <c r="U137" s="40">
        <v>45442</v>
      </c>
      <c r="V137" s="40">
        <v>45519</v>
      </c>
      <c r="W137" s="40">
        <v>45541</v>
      </c>
      <c r="X137" s="157">
        <v>55526</v>
      </c>
      <c r="Y137" s="40" t="str" cm="1">
        <f t="array" aca="1" ref="Y137" ca="1">TRIM(SUBSTITUTE(_xlfn.ARRAYTOTEXT(IFERROR(CONCATENATE(SUMIF(INDIRECT("'"&amp;Assemblies[Assy]&amp;"'!"&amp;"C$5:C1000"), $C137, INDIRECT("'"&amp;Assemblies[Assy]&amp;"'!"&amp;"O$5:O1000")), "x",Assemblies[Assy],".",IF(SUMIF(INDIRECT("'"&amp;Assemblies[Assy]&amp;"'!"&amp;"C$5:C1000"), $C137, INDIRECT("'"&amp;Assemblies[Assy]&amp;"'!"&amp;"A$5:A1000"))=0,NA(),SUMIF(INDIRECT("'"&amp;Assemblies[Assy]&amp;"'!"&amp;"C$5:C1000"), $C137, INDIRECT("'"&amp;Assemblies[Assy]&amp;"'!"&amp;"A$5:A1000")))),"")), " ,", ""))</f>
        <v>, 30x2.3.4.1,</v>
      </c>
      <c r="Z137" s="141">
        <v>0</v>
      </c>
      <c r="AA137" s="141">
        <v>0</v>
      </c>
      <c r="AB137" s="141">
        <v>0</v>
      </c>
      <c r="AC137" s="39">
        <v>0</v>
      </c>
      <c r="AD137" s="141"/>
      <c r="AE137" s="296"/>
      <c r="AF137" s="141"/>
      <c r="AG137"/>
    </row>
    <row r="138" spans="1:33" x14ac:dyDescent="0.25">
      <c r="A138" s="24" t="s">
        <v>2275</v>
      </c>
      <c r="B138" s="134" t="s">
        <v>54</v>
      </c>
      <c r="C138" t="str">
        <f>_xlfn.CONCAT(A138,".",B138)</f>
        <v>PG10.2.3.4.2.A</v>
      </c>
      <c r="D138" t="s">
        <v>2276</v>
      </c>
      <c r="E138" s="18">
        <v>235</v>
      </c>
      <c r="F138" s="19" cm="1">
        <f t="array" aca="1" ref="F138" ca="1">SUMPRODUCT(SUMIF(INDIRECT("'"&amp;Assemblies[Assy]&amp;"'!"&amp;"C5:C1000"),C138,(INDIRECT("'"&amp;Assemblies[Assy]&amp;"'!"&amp;"O5:O1000"))))</f>
        <v>3</v>
      </c>
      <c r="G138" s="19">
        <v>3</v>
      </c>
      <c r="H138" s="19" t="str">
        <f ca="1">IF(F138&lt;=G138," ","YES")</f>
        <v xml:space="preserve"> </v>
      </c>
      <c r="I138">
        <v>3</v>
      </c>
      <c r="J138">
        <v>3</v>
      </c>
      <c r="K138" s="40">
        <v>45553</v>
      </c>
      <c r="L138">
        <v>3</v>
      </c>
      <c r="M138" s="40">
        <v>45558</v>
      </c>
      <c r="N138">
        <v>3</v>
      </c>
      <c r="O138" t="s">
        <v>2026</v>
      </c>
      <c r="P138" t="s">
        <v>2027</v>
      </c>
      <c r="R138" t="s">
        <v>2090</v>
      </c>
      <c r="T138" s="40">
        <v>45504</v>
      </c>
      <c r="U138" s="40">
        <v>45511</v>
      </c>
      <c r="V138" s="40">
        <v>45546</v>
      </c>
      <c r="W138" s="40">
        <v>45546</v>
      </c>
      <c r="X138" s="157">
        <v>55663</v>
      </c>
      <c r="Y138" s="40" t="str" cm="1">
        <f t="array" aca="1" ref="Y138" ca="1">TRIM(SUBSTITUTE(_xlfn.ARRAYTOTEXT(IFERROR(CONCATENATE(SUMIF(INDIRECT("'"&amp;Assemblies[Assy]&amp;"'!"&amp;"C$5:C1000"), $C138, INDIRECT("'"&amp;Assemblies[Assy]&amp;"'!"&amp;"O$5:O1000")), "x",Assemblies[Assy],".",IF(SUMIF(INDIRECT("'"&amp;Assemblies[Assy]&amp;"'!"&amp;"C$5:C1000"), $C138, INDIRECT("'"&amp;Assemblies[Assy]&amp;"'!"&amp;"A$5:A1000"))=0,NA(),SUMIF(INDIRECT("'"&amp;Assemblies[Assy]&amp;"'!"&amp;"C$5:C1000"), $C138, INDIRECT("'"&amp;Assemblies[Assy]&amp;"'!"&amp;"A$5:A1000")))),"")), " ,", ""))</f>
        <v>, 3x2.3.4.2,</v>
      </c>
      <c r="Z138" s="141">
        <v>0</v>
      </c>
      <c r="AA138" s="141">
        <v>0</v>
      </c>
      <c r="AB138" s="141">
        <v>0</v>
      </c>
      <c r="AC138" s="39">
        <v>0</v>
      </c>
      <c r="AD138" s="141"/>
      <c r="AE138" s="296">
        <v>55739</v>
      </c>
      <c r="AF138" s="178"/>
      <c r="AG138"/>
    </row>
    <row r="139" spans="1:33" x14ac:dyDescent="0.25">
      <c r="A139" s="24" t="s">
        <v>2277</v>
      </c>
      <c r="B139" s="134" t="s">
        <v>54</v>
      </c>
      <c r="C139" t="str">
        <f>_xlfn.CONCAT(A139,".",B139)</f>
        <v>PG10.2.3.5.A</v>
      </c>
      <c r="D139" t="s">
        <v>2278</v>
      </c>
      <c r="E139" s="18">
        <v>238.95</v>
      </c>
      <c r="F139" s="19">
        <v>6</v>
      </c>
      <c r="G139" s="19">
        <v>6</v>
      </c>
      <c r="H139" s="19" t="str">
        <f>IF(F139&lt;=G139," ","YES")</f>
        <v xml:space="preserve"> </v>
      </c>
      <c r="I139">
        <v>6</v>
      </c>
      <c r="J139">
        <v>6</v>
      </c>
      <c r="L139">
        <v>6</v>
      </c>
      <c r="N139">
        <v>6</v>
      </c>
      <c r="O139" t="s">
        <v>2026</v>
      </c>
      <c r="P139" t="s">
        <v>2027</v>
      </c>
      <c r="Q139" t="s">
        <v>1988</v>
      </c>
      <c r="R139" t="s">
        <v>1989</v>
      </c>
      <c r="S139" t="s">
        <v>2279</v>
      </c>
      <c r="T139" s="40">
        <v>45453</v>
      </c>
      <c r="U139" s="40">
        <v>45453</v>
      </c>
      <c r="V139" s="40">
        <v>45481</v>
      </c>
      <c r="W139" s="40">
        <v>45481</v>
      </c>
      <c r="X139" s="157">
        <v>55532</v>
      </c>
      <c r="Y139" s="40" t="str" cm="1">
        <f t="array" aca="1" ref="Y139" ca="1">TRIM(SUBSTITUTE(_xlfn.ARRAYTOTEXT(IFERROR(CONCATENATE(SUMIF(INDIRECT("'"&amp;Assemblies[Assy]&amp;"'!"&amp;"C$5:C1000"), $C139, INDIRECT("'"&amp;Assemblies[Assy]&amp;"'!"&amp;"O$5:O1000")), "x",Assemblies[Assy],".",IF(SUMIF(INDIRECT("'"&amp;Assemblies[Assy]&amp;"'!"&amp;"C$5:C1000"), $C139, INDIRECT("'"&amp;Assemblies[Assy]&amp;"'!"&amp;"A$5:A1000"))=0,NA(),SUMIF(INDIRECT("'"&amp;Assemblies[Assy]&amp;"'!"&amp;"C$5:C1000"), $C139, INDIRECT("'"&amp;Assemblies[Assy]&amp;"'!"&amp;"A$5:A1000")))),"")), " ,", ""))</f>
        <v>, 6x2.3.5,</v>
      </c>
      <c r="Z139" s="141">
        <v>0</v>
      </c>
      <c r="AA139" s="141">
        <v>0</v>
      </c>
      <c r="AB139" s="141">
        <v>0</v>
      </c>
      <c r="AC139" s="39">
        <v>0</v>
      </c>
      <c r="AD139" s="141"/>
      <c r="AE139" s="296">
        <v>55598</v>
      </c>
      <c r="AF139" s="141"/>
      <c r="AG139"/>
    </row>
    <row r="140" spans="1:33" x14ac:dyDescent="0.25">
      <c r="A140" s="24" t="s">
        <v>2280</v>
      </c>
      <c r="B140" s="134" t="s">
        <v>54</v>
      </c>
      <c r="C140" t="str">
        <f>_xlfn.CONCAT(A140,".",B140)</f>
        <v>PG10.2.3.7.1.A</v>
      </c>
      <c r="D140" t="s">
        <v>2281</v>
      </c>
      <c r="E140" s="18">
        <v>128</v>
      </c>
      <c r="F140" s="19" cm="1">
        <f t="array" aca="1" ref="F140" ca="1">SUMPRODUCT(SUMIF(INDIRECT("'"&amp;Assemblies[Assy]&amp;"'!"&amp;"C5:C1000"),C140,(INDIRECT("'"&amp;Assemblies[Assy]&amp;"'!"&amp;"O5:O1000"))))</f>
        <v>1</v>
      </c>
      <c r="G140" s="19">
        <v>1</v>
      </c>
      <c r="H140" s="19" t="str">
        <f ca="1">IF(F140&lt;=G140," ","YES")</f>
        <v xml:space="preserve"> </v>
      </c>
      <c r="I140">
        <v>1</v>
      </c>
      <c r="J140">
        <v>1</v>
      </c>
      <c r="L140">
        <v>1</v>
      </c>
      <c r="N140">
        <v>1</v>
      </c>
      <c r="O140" t="s">
        <v>1986</v>
      </c>
      <c r="P140" t="s">
        <v>1987</v>
      </c>
      <c r="Q140" t="s">
        <v>1988</v>
      </c>
      <c r="R140" t="s">
        <v>1996</v>
      </c>
      <c r="T140" s="40">
        <v>45434</v>
      </c>
      <c r="U140" s="40">
        <v>45435</v>
      </c>
      <c r="V140" s="40">
        <v>45467</v>
      </c>
      <c r="W140" s="40">
        <v>45467</v>
      </c>
      <c r="X140" s="157">
        <v>55523</v>
      </c>
      <c r="Y140" s="40" t="str" cm="1">
        <f t="array" aca="1" ref="Y140" ca="1">TRIM(SUBSTITUTE(_xlfn.ARRAYTOTEXT(IFERROR(CONCATENATE(SUMIF(INDIRECT("'"&amp;Assemblies[Assy]&amp;"'!"&amp;"C$5:C1000"), $C140, INDIRECT("'"&amp;Assemblies[Assy]&amp;"'!"&amp;"O$5:O1000")), "x",Assemblies[Assy],".",IF(SUMIF(INDIRECT("'"&amp;Assemblies[Assy]&amp;"'!"&amp;"C$5:C1000"), $C140, INDIRECT("'"&amp;Assemblies[Assy]&amp;"'!"&amp;"A$5:A1000"))=0,NA(),SUMIF(INDIRECT("'"&amp;Assemblies[Assy]&amp;"'!"&amp;"C$5:C1000"), $C140, INDIRECT("'"&amp;Assemblies[Assy]&amp;"'!"&amp;"A$5:A1000")))),"")), " ,", ""))</f>
        <v>, 1x2.3.7.1,</v>
      </c>
      <c r="Z140" s="141">
        <v>0</v>
      </c>
      <c r="AA140" s="141">
        <v>0</v>
      </c>
      <c r="AB140" s="141">
        <v>0</v>
      </c>
      <c r="AC140" s="39">
        <v>0</v>
      </c>
      <c r="AD140" s="141"/>
      <c r="AE140" s="296">
        <v>55547</v>
      </c>
      <c r="AF140" s="178"/>
      <c r="AG140"/>
    </row>
    <row r="141" spans="1:33" x14ac:dyDescent="0.25">
      <c r="A141" s="24" t="s">
        <v>2282</v>
      </c>
      <c r="B141" s="134" t="s">
        <v>54</v>
      </c>
      <c r="C141" t="str">
        <f>_xlfn.CONCAT(A141,".",B141)</f>
        <v>PG10.2.3.7.2.A</v>
      </c>
      <c r="D141" t="s">
        <v>2283</v>
      </c>
      <c r="E141" s="18">
        <v>192.5</v>
      </c>
      <c r="F141" s="19" cm="1">
        <f t="array" aca="1" ref="F141" ca="1">SUMPRODUCT(SUMIF(INDIRECT("'"&amp;Assemblies[Assy]&amp;"'!"&amp;"C5:C1000"),C141,(INDIRECT("'"&amp;Assemblies[Assy]&amp;"'!"&amp;"O5:O1000"))))</f>
        <v>1</v>
      </c>
      <c r="G141" s="19">
        <v>1</v>
      </c>
      <c r="H141" s="19" t="str">
        <f ca="1">IF(F141&lt;=G141," ","YES")</f>
        <v xml:space="preserve"> </v>
      </c>
      <c r="I141">
        <v>1</v>
      </c>
      <c r="J141">
        <v>1</v>
      </c>
      <c r="L141">
        <v>1</v>
      </c>
      <c r="N141">
        <v>1</v>
      </c>
      <c r="O141" t="s">
        <v>2021</v>
      </c>
      <c r="P141" t="s">
        <v>1993</v>
      </c>
      <c r="Q141" t="s">
        <v>1988</v>
      </c>
      <c r="R141" t="s">
        <v>1996</v>
      </c>
      <c r="T141" s="40">
        <v>45434</v>
      </c>
      <c r="U141" s="40">
        <v>45435</v>
      </c>
      <c r="V141" s="40">
        <v>45467</v>
      </c>
      <c r="W141" s="40">
        <v>45467</v>
      </c>
      <c r="X141" s="157">
        <v>55523</v>
      </c>
      <c r="Y141" s="40" t="str" cm="1">
        <f t="array" aca="1" ref="Y141" ca="1">TRIM(SUBSTITUTE(_xlfn.ARRAYTOTEXT(IFERROR(CONCATENATE(SUMIF(INDIRECT("'"&amp;Assemblies[Assy]&amp;"'!"&amp;"C$5:C1000"), $C141, INDIRECT("'"&amp;Assemblies[Assy]&amp;"'!"&amp;"O$5:O1000")), "x",Assemblies[Assy],".",IF(SUMIF(INDIRECT("'"&amp;Assemblies[Assy]&amp;"'!"&amp;"C$5:C1000"), $C141, INDIRECT("'"&amp;Assemblies[Assy]&amp;"'!"&amp;"A$5:A1000"))=0,NA(),SUMIF(INDIRECT("'"&amp;Assemblies[Assy]&amp;"'!"&amp;"C$5:C1000"), $C141, INDIRECT("'"&amp;Assemblies[Assy]&amp;"'!"&amp;"A$5:A1000")))),"")), " ,", ""))</f>
        <v>, 1x2.3.7.2,</v>
      </c>
      <c r="Z141" s="141">
        <v>0</v>
      </c>
      <c r="AA141" s="141">
        <v>0</v>
      </c>
      <c r="AB141" s="141">
        <v>0</v>
      </c>
      <c r="AC141" s="39">
        <v>0</v>
      </c>
      <c r="AD141" s="141"/>
      <c r="AE141" s="296"/>
      <c r="AF141" s="178"/>
      <c r="AG141"/>
    </row>
    <row r="142" spans="1:33" x14ac:dyDescent="0.25">
      <c r="A142" s="24" t="s">
        <v>3844</v>
      </c>
      <c r="B142" s="134" t="s">
        <v>54</v>
      </c>
      <c r="C142" t="str">
        <f>_xlfn.CONCAT(A142,".",B142)</f>
        <v>PG10.2.3.8.1.A</v>
      </c>
      <c r="D142" t="s">
        <v>3847</v>
      </c>
      <c r="E142" s="18">
        <f>Z142+AA142+AB142+(65*AC142)</f>
        <v>0</v>
      </c>
      <c r="F142" s="19" cm="1">
        <f t="array" aca="1" ref="F142" ca="1">SUMPRODUCT(SUMIF(INDIRECT("'"&amp;Assemblies[Assy]&amp;"'!"&amp;"C5:C1000"),C142,(INDIRECT("'"&amp;Assemblies[Assy]&amp;"'!"&amp;"O5:O1000"))))</f>
        <v>6</v>
      </c>
      <c r="G142" s="19">
        <v>6</v>
      </c>
      <c r="H142" s="19" t="str">
        <f ca="1">IF(F142&lt;=G142," ","YES")</f>
        <v xml:space="preserve"> </v>
      </c>
      <c r="O142" t="s">
        <v>2021</v>
      </c>
      <c r="P142" t="s">
        <v>2030</v>
      </c>
      <c r="R142" t="s">
        <v>3662</v>
      </c>
      <c r="T142" s="40" t="s">
        <v>2747</v>
      </c>
      <c r="U142" s="40">
        <v>45560</v>
      </c>
      <c r="V142" s="40">
        <v>45570</v>
      </c>
      <c r="W142" s="40">
        <v>45570</v>
      </c>
      <c r="X142" s="157">
        <v>55757</v>
      </c>
      <c r="Y142" s="40" t="str" cm="1">
        <f t="array" aca="1" ref="Y142" ca="1">TRIM(SUBSTITUTE(_xlfn.ARRAYTOTEXT(IFERROR(CONCATENATE(SUMIF(INDIRECT("'"&amp;Assemblies[Assy]&amp;"'!"&amp;"C$5:C1000"), $C142, INDIRECT("'"&amp;Assemblies[Assy]&amp;"'!"&amp;"O$5:O1000")), "x",Assemblies[Assy],".",IF(SUMIF(INDIRECT("'"&amp;Assemblies[Assy]&amp;"'!"&amp;"C$5:C1000"), $C142, INDIRECT("'"&amp;Assemblies[Assy]&amp;"'!"&amp;"A$5:A1000"))=0,NA(),SUMIF(INDIRECT("'"&amp;Assemblies[Assy]&amp;"'!"&amp;"C$5:C1000"), $C142, INDIRECT("'"&amp;Assemblies[Assy]&amp;"'!"&amp;"A$5:A1000")))),"")), " ,", ""))</f>
        <v>, 6x2.3.8.1,</v>
      </c>
      <c r="Z142" s="141">
        <v>0</v>
      </c>
      <c r="AA142" s="141">
        <v>0</v>
      </c>
      <c r="AB142" s="141">
        <v>0</v>
      </c>
      <c r="AC142" s="39">
        <v>0</v>
      </c>
      <c r="AD142" s="141"/>
      <c r="AE142" s="296"/>
      <c r="AF142" s="271"/>
      <c r="AG142"/>
    </row>
    <row r="143" spans="1:33" x14ac:dyDescent="0.25">
      <c r="A143" s="24" t="s">
        <v>3845</v>
      </c>
      <c r="B143" s="134" t="s">
        <v>54</v>
      </c>
      <c r="C143" t="str">
        <f>_xlfn.CONCAT(A143,".",B143)</f>
        <v>PG10.2.3.8.2.A</v>
      </c>
      <c r="D143" t="s">
        <v>3848</v>
      </c>
      <c r="E143" s="18">
        <f>Z143+AA143+AB143+(65*AC143)</f>
        <v>0</v>
      </c>
      <c r="F143" s="19" cm="1">
        <f t="array" aca="1" ref="F143" ca="1">SUMPRODUCT(SUMIF(INDIRECT("'"&amp;Assemblies[Assy]&amp;"'!"&amp;"C5:C1000"),C143,(INDIRECT("'"&amp;Assemblies[Assy]&amp;"'!"&amp;"O5:O1000"))))</f>
        <v>6</v>
      </c>
      <c r="G143" s="19">
        <v>6</v>
      </c>
      <c r="H143" s="19" t="str">
        <f ca="1">IF(F143&lt;=G143," ","YES")</f>
        <v xml:space="preserve"> </v>
      </c>
      <c r="O143" t="s">
        <v>2021</v>
      </c>
      <c r="P143" t="s">
        <v>2030</v>
      </c>
      <c r="R143" t="s">
        <v>3662</v>
      </c>
      <c r="T143" s="40" t="s">
        <v>2747</v>
      </c>
      <c r="U143" s="40">
        <v>45560</v>
      </c>
      <c r="V143" s="40">
        <v>45570</v>
      </c>
      <c r="W143" s="40">
        <v>45570</v>
      </c>
      <c r="X143" s="157">
        <v>55757</v>
      </c>
      <c r="Y143" s="40" t="str" cm="1">
        <f t="array" aca="1" ref="Y143" ca="1">TRIM(SUBSTITUTE(_xlfn.ARRAYTOTEXT(IFERROR(CONCATENATE(SUMIF(INDIRECT("'"&amp;Assemblies[Assy]&amp;"'!"&amp;"C$5:C1000"), $C143, INDIRECT("'"&amp;Assemblies[Assy]&amp;"'!"&amp;"O$5:O1000")), "x",Assemblies[Assy],".",IF(SUMIF(INDIRECT("'"&amp;Assemblies[Assy]&amp;"'!"&amp;"C$5:C1000"), $C143, INDIRECT("'"&amp;Assemblies[Assy]&amp;"'!"&amp;"A$5:A1000"))=0,NA(),SUMIF(INDIRECT("'"&amp;Assemblies[Assy]&amp;"'!"&amp;"C$5:C1000"), $C143, INDIRECT("'"&amp;Assemblies[Assy]&amp;"'!"&amp;"A$5:A1000")))),"")), " ,", ""))</f>
        <v>, 6x2.3.8.2,</v>
      </c>
      <c r="Z143" s="141">
        <v>0</v>
      </c>
      <c r="AA143" s="141">
        <v>0</v>
      </c>
      <c r="AB143" s="141">
        <v>0</v>
      </c>
      <c r="AC143" s="39">
        <v>0</v>
      </c>
      <c r="AD143" s="141"/>
      <c r="AE143" s="296"/>
      <c r="AF143" s="271"/>
      <c r="AG143"/>
    </row>
    <row r="144" spans="1:33" x14ac:dyDescent="0.25">
      <c r="A144" s="24" t="s">
        <v>3846</v>
      </c>
      <c r="B144" s="134" t="s">
        <v>54</v>
      </c>
      <c r="C144" t="str">
        <f>_xlfn.CONCAT(A144,".",B144)</f>
        <v>PG10.2.3.8.3.A</v>
      </c>
      <c r="D144" t="s">
        <v>3849</v>
      </c>
      <c r="E144" s="18">
        <f>Z144+AA144+AB144+(65*AC144)</f>
        <v>0</v>
      </c>
      <c r="F144" s="19" cm="1">
        <f t="array" aca="1" ref="F144" ca="1">SUMPRODUCT(SUMIF(INDIRECT("'"&amp;Assemblies[Assy]&amp;"'!"&amp;"C5:C1000"),C144,(INDIRECT("'"&amp;Assemblies[Assy]&amp;"'!"&amp;"O5:O1000"))))</f>
        <v>6</v>
      </c>
      <c r="G144" s="19">
        <v>6</v>
      </c>
      <c r="H144" s="19" t="str">
        <f ca="1">IF(F144&lt;=G144," ","YES")</f>
        <v xml:space="preserve"> </v>
      </c>
      <c r="O144" t="s">
        <v>2021</v>
      </c>
      <c r="P144" t="s">
        <v>2030</v>
      </c>
      <c r="R144" t="s">
        <v>3662</v>
      </c>
      <c r="T144" s="40" t="s">
        <v>2747</v>
      </c>
      <c r="U144" s="40">
        <v>45560</v>
      </c>
      <c r="V144" s="40">
        <v>45570</v>
      </c>
      <c r="W144" s="40">
        <v>45570</v>
      </c>
      <c r="X144" s="157">
        <v>55757</v>
      </c>
      <c r="Y144" s="40" t="str" cm="1">
        <f t="array" aca="1" ref="Y144" ca="1">TRIM(SUBSTITUTE(_xlfn.ARRAYTOTEXT(IFERROR(CONCATENATE(SUMIF(INDIRECT("'"&amp;Assemblies[Assy]&amp;"'!"&amp;"C$5:C1000"), $C144, INDIRECT("'"&amp;Assemblies[Assy]&amp;"'!"&amp;"O$5:O1000")), "x",Assemblies[Assy],".",IF(SUMIF(INDIRECT("'"&amp;Assemblies[Assy]&amp;"'!"&amp;"C$5:C1000"), $C144, INDIRECT("'"&amp;Assemblies[Assy]&amp;"'!"&amp;"A$5:A1000"))=0,NA(),SUMIF(INDIRECT("'"&amp;Assemblies[Assy]&amp;"'!"&amp;"C$5:C1000"), $C144, INDIRECT("'"&amp;Assemblies[Assy]&amp;"'!"&amp;"A$5:A1000")))),"")), " ,", ""))</f>
        <v>, 6x2.3.8.3,</v>
      </c>
      <c r="Z144" s="141">
        <v>0</v>
      </c>
      <c r="AA144" s="141">
        <v>0</v>
      </c>
      <c r="AB144" s="141">
        <v>0</v>
      </c>
      <c r="AC144" s="39">
        <v>0</v>
      </c>
      <c r="AD144" s="141"/>
      <c r="AE144" s="296"/>
      <c r="AF144" s="271"/>
      <c r="AG144"/>
    </row>
    <row r="145" spans="1:33" x14ac:dyDescent="0.25">
      <c r="A145" s="24" t="s">
        <v>2287</v>
      </c>
      <c r="B145" s="134" t="s">
        <v>54</v>
      </c>
      <c r="C145" t="str">
        <f>_xlfn.CONCAT(A145,".",B145)</f>
        <v>PG10.3.1.1.1.A</v>
      </c>
      <c r="D145" t="s">
        <v>2288</v>
      </c>
      <c r="E145" s="18">
        <v>865</v>
      </c>
      <c r="F145" s="19" cm="1">
        <f t="array" aca="1" ref="F145" ca="1">SUMPRODUCT(SUMIF(INDIRECT("'"&amp;Assemblies[Assy]&amp;"'!"&amp;"C5:C1000"),C145,(INDIRECT("'"&amp;Assemblies[Assy]&amp;"'!"&amp;"O5:O1000"))))</f>
        <v>2</v>
      </c>
      <c r="G145" s="19">
        <v>2</v>
      </c>
      <c r="H145" s="19" t="str">
        <f ca="1">IF(F145&lt;=G145," ","YES")</f>
        <v xml:space="preserve"> </v>
      </c>
      <c r="I145">
        <v>2</v>
      </c>
      <c r="J145">
        <v>2</v>
      </c>
      <c r="K145" s="40">
        <v>45553</v>
      </c>
      <c r="L145">
        <v>2</v>
      </c>
      <c r="M145" s="40">
        <v>45558</v>
      </c>
      <c r="N145">
        <v>2</v>
      </c>
      <c r="O145" t="s">
        <v>2026</v>
      </c>
      <c r="P145" t="s">
        <v>2027</v>
      </c>
      <c r="R145" t="s">
        <v>2090</v>
      </c>
      <c r="T145" s="40">
        <v>45504</v>
      </c>
      <c r="U145" s="40">
        <v>45511</v>
      </c>
      <c r="V145" s="40">
        <v>45546</v>
      </c>
      <c r="W145" s="40">
        <v>45546</v>
      </c>
      <c r="X145" s="157">
        <v>55663</v>
      </c>
      <c r="Y145" s="40" t="str" cm="1">
        <f t="array" aca="1" ref="Y145" ca="1">TRIM(SUBSTITUTE(_xlfn.ARRAYTOTEXT(IFERROR(CONCATENATE(SUMIF(INDIRECT("'"&amp;Assemblies[Assy]&amp;"'!"&amp;"C$5:C1000"), $C145, INDIRECT("'"&amp;Assemblies[Assy]&amp;"'!"&amp;"O$5:O1000")), "x",Assemblies[Assy],".",IF(SUMIF(INDIRECT("'"&amp;Assemblies[Assy]&amp;"'!"&amp;"C$5:C1000"), $C145, INDIRECT("'"&amp;Assemblies[Assy]&amp;"'!"&amp;"A$5:A1000"))=0,NA(),SUMIF(INDIRECT("'"&amp;Assemblies[Assy]&amp;"'!"&amp;"C$5:C1000"), $C145, INDIRECT("'"&amp;Assemblies[Assy]&amp;"'!"&amp;"A$5:A1000")))),"")), " ,", ""))</f>
        <v>, 2x3.1.1.1,</v>
      </c>
      <c r="Z145" s="141">
        <v>0</v>
      </c>
      <c r="AA145" s="141">
        <v>0</v>
      </c>
      <c r="AB145" s="141">
        <v>0</v>
      </c>
      <c r="AC145" s="39">
        <v>0</v>
      </c>
      <c r="AD145" s="141"/>
      <c r="AE145" s="296">
        <v>55739</v>
      </c>
      <c r="AF145" s="156"/>
      <c r="AG145"/>
    </row>
    <row r="146" spans="1:33" x14ac:dyDescent="0.25">
      <c r="A146" s="24" t="s">
        <v>2289</v>
      </c>
      <c r="B146" s="134" t="s">
        <v>54</v>
      </c>
      <c r="C146" t="str">
        <f>_xlfn.CONCAT(A146,".",B146)</f>
        <v>PG10.3.1.1.A</v>
      </c>
      <c r="D146" t="s">
        <v>2290</v>
      </c>
      <c r="E146" s="18">
        <f>Z146+AA146+AB146+(65*AC146)</f>
        <v>0</v>
      </c>
      <c r="F146" s="19" cm="1">
        <f t="array" aca="1" ref="F146" ca="1">SUMPRODUCT(SUMIF(INDIRECT("'"&amp;Assemblies[Assy]&amp;"'!"&amp;"C5:C1000"),C146,(INDIRECT("'"&amp;Assemblies[Assy]&amp;"'!"&amp;"O5:O1000"))))</f>
        <v>2</v>
      </c>
      <c r="G146" s="19">
        <v>2</v>
      </c>
      <c r="H146" s="19" t="str">
        <f ca="1">IF(F146&lt;=G146," ","YES")</f>
        <v xml:space="preserve"> </v>
      </c>
      <c r="I146">
        <v>2</v>
      </c>
      <c r="J146">
        <v>2</v>
      </c>
      <c r="L146">
        <v>2</v>
      </c>
      <c r="N146">
        <v>2</v>
      </c>
      <c r="O146" t="s">
        <v>2291</v>
      </c>
      <c r="R146" t="s">
        <v>1988</v>
      </c>
      <c r="T146" s="40">
        <v>45504</v>
      </c>
      <c r="Y146" s="40" t="str" cm="1">
        <f t="array" aca="1" ref="Y146" ca="1">TRIM(SUBSTITUTE(_xlfn.ARRAYTOTEXT(IFERROR(CONCATENATE(SUMIF(INDIRECT("'"&amp;Assemblies[Assy]&amp;"'!"&amp;"C$5:C1000"), $C146, INDIRECT("'"&amp;Assemblies[Assy]&amp;"'!"&amp;"O$5:O1000")), "x",Assemblies[Assy],".",IF(SUMIF(INDIRECT("'"&amp;Assemblies[Assy]&amp;"'!"&amp;"C$5:C1000"), $C146, INDIRECT("'"&amp;Assemblies[Assy]&amp;"'!"&amp;"A$5:A1000"))=0,NA(),SUMIF(INDIRECT("'"&amp;Assemblies[Assy]&amp;"'!"&amp;"C$5:C1000"), $C146, INDIRECT("'"&amp;Assemblies[Assy]&amp;"'!"&amp;"A$5:A1000")))),"")), " ,", ""))</f>
        <v>, 2x3.1.1,</v>
      </c>
      <c r="Z146" s="141">
        <v>0</v>
      </c>
      <c r="AA146" s="141">
        <v>0</v>
      </c>
      <c r="AB146" s="141">
        <v>0</v>
      </c>
      <c r="AC146" s="39">
        <v>0</v>
      </c>
      <c r="AD146" s="141"/>
      <c r="AE146" s="296"/>
      <c r="AF146" s="156"/>
      <c r="AG146"/>
    </row>
    <row r="147" spans="1:33" x14ac:dyDescent="0.25">
      <c r="A147" s="24" t="s">
        <v>2292</v>
      </c>
      <c r="B147" s="134" t="s">
        <v>54</v>
      </c>
      <c r="C147" t="str">
        <f>_xlfn.CONCAT(A147,".",B147)</f>
        <v>PG10.3.1.2.1.A</v>
      </c>
      <c r="D147" t="s">
        <v>2293</v>
      </c>
      <c r="E147" s="18">
        <v>205.45</v>
      </c>
      <c r="F147" s="19" cm="1">
        <f t="array" aca="1" ref="F147" ca="1">SUMPRODUCT(SUMIF(INDIRECT("'"&amp;Assemblies[Assy]&amp;"'!"&amp;"C5:C1000"),C147,(INDIRECT("'"&amp;Assemblies[Assy]&amp;"'!"&amp;"O5:O1000"))))</f>
        <v>2</v>
      </c>
      <c r="G147" s="19">
        <v>2</v>
      </c>
      <c r="H147" s="19" t="str">
        <f ca="1">IF(F147&lt;=G147," ","YES")</f>
        <v xml:space="preserve"> </v>
      </c>
      <c r="I147">
        <v>2</v>
      </c>
      <c r="J147">
        <v>2</v>
      </c>
      <c r="K147" s="40">
        <v>45541</v>
      </c>
      <c r="L147">
        <v>2</v>
      </c>
      <c r="N147">
        <v>2</v>
      </c>
      <c r="O147" t="s">
        <v>2243</v>
      </c>
      <c r="P147" t="s">
        <v>1993</v>
      </c>
      <c r="R147" t="s">
        <v>2052</v>
      </c>
      <c r="S147" t="s">
        <v>2244</v>
      </c>
      <c r="T147" s="40">
        <v>45502</v>
      </c>
      <c r="U147" s="40">
        <v>45520</v>
      </c>
      <c r="V147" s="40">
        <v>45532</v>
      </c>
      <c r="W147" s="40">
        <v>45532</v>
      </c>
      <c r="X147" s="157">
        <v>55687</v>
      </c>
      <c r="Y147" s="40" t="str" cm="1">
        <f t="array" aca="1" ref="Y147" ca="1">TRIM(SUBSTITUTE(_xlfn.ARRAYTOTEXT(IFERROR(CONCATENATE(SUMIF(INDIRECT("'"&amp;Assemblies[Assy]&amp;"'!"&amp;"C$5:C1000"), $C147, INDIRECT("'"&amp;Assemblies[Assy]&amp;"'!"&amp;"O$5:O1000")), "x",Assemblies[Assy],".",IF(SUMIF(INDIRECT("'"&amp;Assemblies[Assy]&amp;"'!"&amp;"C$5:C1000"), $C147, INDIRECT("'"&amp;Assemblies[Assy]&amp;"'!"&amp;"A$5:A1000"))=0,NA(),SUMIF(INDIRECT("'"&amp;Assemblies[Assy]&amp;"'!"&amp;"C$5:C1000"), $C147, INDIRECT("'"&amp;Assemblies[Assy]&amp;"'!"&amp;"A$5:A1000")))),"")), " ,", ""))</f>
        <v>, 2x3.1.2.1,</v>
      </c>
      <c r="Z147" s="141">
        <v>160.26</v>
      </c>
      <c r="AC147" s="39">
        <v>0.75</v>
      </c>
      <c r="AD147" s="141"/>
      <c r="AE147" s="296">
        <v>55722</v>
      </c>
      <c r="AF147" s="156"/>
      <c r="AG147"/>
    </row>
    <row r="148" spans="1:33" x14ac:dyDescent="0.25">
      <c r="A148" s="24" t="s">
        <v>3682</v>
      </c>
      <c r="B148" s="134" t="s">
        <v>54</v>
      </c>
      <c r="C148" t="str">
        <f>_xlfn.CONCAT(A148,".",B148)</f>
        <v>PG10.3.1.3.1.A</v>
      </c>
      <c r="D148" t="s">
        <v>3696</v>
      </c>
      <c r="E148" s="18">
        <f>Z148+AA148+AB148+(65*AC148)</f>
        <v>0</v>
      </c>
      <c r="F148" s="19" cm="1">
        <f t="array" aca="1" ref="F148" ca="1">SUMPRODUCT(SUMIF(INDIRECT("'"&amp;Assemblies[Assy]&amp;"'!"&amp;"C5:C1000"),C148,(INDIRECT("'"&amp;Assemblies[Assy]&amp;"'!"&amp;"O5:O1000"))))</f>
        <v>1</v>
      </c>
      <c r="H148" s="19" t="str">
        <f ca="1">IF(F148&lt;=G148," ","YES")</f>
        <v>YES</v>
      </c>
      <c r="O148" t="s">
        <v>1999</v>
      </c>
      <c r="P148" t="s">
        <v>1993</v>
      </c>
      <c r="R148" t="s">
        <v>3898</v>
      </c>
      <c r="T148" s="40">
        <v>45561</v>
      </c>
      <c r="Y148" s="40" t="str" cm="1">
        <f t="array" aca="1" ref="Y148" ca="1">TRIM(SUBSTITUTE(_xlfn.ARRAYTOTEXT(IFERROR(CONCATENATE(SUMIF(INDIRECT("'"&amp;Assemblies[Assy]&amp;"'!"&amp;"C$5:C1000"), $C148, INDIRECT("'"&amp;Assemblies[Assy]&amp;"'!"&amp;"O$5:O1000")), "x",Assemblies[Assy],".",IF(SUMIF(INDIRECT("'"&amp;Assemblies[Assy]&amp;"'!"&amp;"C$5:C1000"), $C148, INDIRECT("'"&amp;Assemblies[Assy]&amp;"'!"&amp;"A$5:A1000"))=0,NA(),SUMIF(INDIRECT("'"&amp;Assemblies[Assy]&amp;"'!"&amp;"C$5:C1000"), $C148, INDIRECT("'"&amp;Assemblies[Assy]&amp;"'!"&amp;"A$5:A1000")))),"")), " ,", ""))</f>
        <v>, 1x3.1.3.1,</v>
      </c>
      <c r="Z148" s="141">
        <v>0</v>
      </c>
      <c r="AA148" s="141">
        <v>0</v>
      </c>
      <c r="AB148" s="178">
        <v>0</v>
      </c>
      <c r="AC148" s="39">
        <v>0</v>
      </c>
      <c r="AD148" s="141" t="s">
        <v>1473</v>
      </c>
      <c r="AE148" s="296"/>
      <c r="AF148" s="156"/>
      <c r="AG148"/>
    </row>
    <row r="149" spans="1:33" x14ac:dyDescent="0.25">
      <c r="A149" s="24" t="s">
        <v>3683</v>
      </c>
      <c r="B149" s="134" t="s">
        <v>54</v>
      </c>
      <c r="C149" t="str">
        <f>_xlfn.CONCAT(A149,".",B149)</f>
        <v>PG10.3.1.4.1.A</v>
      </c>
      <c r="D149" t="s">
        <v>3697</v>
      </c>
      <c r="E149" s="18">
        <f>Z149+AA149+AB149+(65*AC149)</f>
        <v>0</v>
      </c>
      <c r="F149" s="19" cm="1">
        <f t="array" aca="1" ref="F149" ca="1">SUMPRODUCT(SUMIF(INDIRECT("'"&amp;Assemblies[Assy]&amp;"'!"&amp;"C5:C1000"),C149,(INDIRECT("'"&amp;Assemblies[Assy]&amp;"'!"&amp;"O5:O1000"))))</f>
        <v>1</v>
      </c>
      <c r="H149" s="19" t="str">
        <f ca="1">IF(F149&lt;=G149," ","YES")</f>
        <v>YES</v>
      </c>
      <c r="O149" t="s">
        <v>1999</v>
      </c>
      <c r="P149" t="s">
        <v>1993</v>
      </c>
      <c r="R149" t="s">
        <v>3898</v>
      </c>
      <c r="T149" s="40">
        <v>45561</v>
      </c>
      <c r="Y149" s="40" t="str" cm="1">
        <f t="array" aca="1" ref="Y149" ca="1">TRIM(SUBSTITUTE(_xlfn.ARRAYTOTEXT(IFERROR(CONCATENATE(SUMIF(INDIRECT("'"&amp;Assemblies[Assy]&amp;"'!"&amp;"C$5:C1000"), $C149, INDIRECT("'"&amp;Assemblies[Assy]&amp;"'!"&amp;"O$5:O1000")), "x",Assemblies[Assy],".",IF(SUMIF(INDIRECT("'"&amp;Assemblies[Assy]&amp;"'!"&amp;"C$5:C1000"), $C149, INDIRECT("'"&amp;Assemblies[Assy]&amp;"'!"&amp;"A$5:A1000"))=0,NA(),SUMIF(INDIRECT("'"&amp;Assemblies[Assy]&amp;"'!"&amp;"C$5:C1000"), $C149, INDIRECT("'"&amp;Assemblies[Assy]&amp;"'!"&amp;"A$5:A1000")))),"")), " ,", ""))</f>
        <v>, 1x3.1.4.1,</v>
      </c>
      <c r="Z149" s="141">
        <v>0</v>
      </c>
      <c r="AA149" s="141">
        <v>0</v>
      </c>
      <c r="AB149" s="178">
        <v>0</v>
      </c>
      <c r="AC149" s="39">
        <v>0</v>
      </c>
      <c r="AD149" s="141" t="s">
        <v>1473</v>
      </c>
      <c r="AE149" s="296"/>
      <c r="AF149" s="156"/>
      <c r="AG149"/>
    </row>
    <row r="150" spans="1:33" x14ac:dyDescent="0.25">
      <c r="A150" s="24" t="s">
        <v>3684</v>
      </c>
      <c r="B150" s="134" t="s">
        <v>54</v>
      </c>
      <c r="C150" t="str">
        <f>_xlfn.CONCAT(A150,".",B150)</f>
        <v>PG10.3.1.5.1.A</v>
      </c>
      <c r="D150" t="s">
        <v>3698</v>
      </c>
      <c r="E150" s="18">
        <f>Z150+AA150+AB150+(65*AC150)</f>
        <v>0</v>
      </c>
      <c r="F150" s="19" cm="1">
        <f t="array" aca="1" ref="F150" ca="1">SUMPRODUCT(SUMIF(INDIRECT("'"&amp;Assemblies[Assy]&amp;"'!"&amp;"C5:C1000"),C150,(INDIRECT("'"&amp;Assemblies[Assy]&amp;"'!"&amp;"O5:O1000"))))</f>
        <v>1</v>
      </c>
      <c r="H150" s="19" t="str">
        <f ca="1">IF(F150&lt;=G150," ","YES")</f>
        <v>YES</v>
      </c>
      <c r="O150" t="s">
        <v>1999</v>
      </c>
      <c r="P150" t="s">
        <v>1993</v>
      </c>
      <c r="R150" t="s">
        <v>3898</v>
      </c>
      <c r="T150" s="40">
        <v>45561</v>
      </c>
      <c r="Y150" s="40" t="str" cm="1">
        <f t="array" aca="1" ref="Y150" ca="1">TRIM(SUBSTITUTE(_xlfn.ARRAYTOTEXT(IFERROR(CONCATENATE(SUMIF(INDIRECT("'"&amp;Assemblies[Assy]&amp;"'!"&amp;"C$5:C1000"), $C150, INDIRECT("'"&amp;Assemblies[Assy]&amp;"'!"&amp;"O$5:O1000")), "x",Assemblies[Assy],".",IF(SUMIF(INDIRECT("'"&amp;Assemblies[Assy]&amp;"'!"&amp;"C$5:C1000"), $C150, INDIRECT("'"&amp;Assemblies[Assy]&amp;"'!"&amp;"A$5:A1000"))=0,NA(),SUMIF(INDIRECT("'"&amp;Assemblies[Assy]&amp;"'!"&amp;"C$5:C1000"), $C150, INDIRECT("'"&amp;Assemblies[Assy]&amp;"'!"&amp;"A$5:A1000")))),"")), " ,", ""))</f>
        <v>, 1x3.1.5.1,</v>
      </c>
      <c r="Z150" s="141">
        <v>0</v>
      </c>
      <c r="AA150" s="141">
        <v>0</v>
      </c>
      <c r="AB150" s="178">
        <v>0</v>
      </c>
      <c r="AC150" s="39">
        <v>0</v>
      </c>
      <c r="AD150" s="141" t="s">
        <v>1473</v>
      </c>
      <c r="AE150" s="296"/>
      <c r="AF150" s="156"/>
      <c r="AG150"/>
    </row>
    <row r="151" spans="1:33" x14ac:dyDescent="0.25">
      <c r="A151" s="24" t="s">
        <v>3685</v>
      </c>
      <c r="B151" s="134" t="s">
        <v>54</v>
      </c>
      <c r="C151" t="str">
        <f>_xlfn.CONCAT(A151,".",B151)</f>
        <v>PG10.3.1.6.1.A</v>
      </c>
      <c r="D151" t="s">
        <v>3699</v>
      </c>
      <c r="E151" s="18">
        <f>Z151+AA151+AB151+(65*AC151)</f>
        <v>0</v>
      </c>
      <c r="F151" s="19" cm="1">
        <f t="array" aca="1" ref="F151" ca="1">SUMPRODUCT(SUMIF(INDIRECT("'"&amp;Assemblies[Assy]&amp;"'!"&amp;"C5:C1000"),C151,(INDIRECT("'"&amp;Assemblies[Assy]&amp;"'!"&amp;"O5:O1000"))))</f>
        <v>1</v>
      </c>
      <c r="H151" s="19" t="str">
        <f ca="1">IF(F151&lt;=G151," ","YES")</f>
        <v>YES</v>
      </c>
      <c r="O151" t="s">
        <v>1999</v>
      </c>
      <c r="P151" t="s">
        <v>1993</v>
      </c>
      <c r="R151" t="s">
        <v>3898</v>
      </c>
      <c r="T151" s="40">
        <v>45561</v>
      </c>
      <c r="Y151" s="40" t="str" cm="1">
        <f t="array" aca="1" ref="Y151" ca="1">TRIM(SUBSTITUTE(_xlfn.ARRAYTOTEXT(IFERROR(CONCATENATE(SUMIF(INDIRECT("'"&amp;Assemblies[Assy]&amp;"'!"&amp;"C$5:C1000"), $C151, INDIRECT("'"&amp;Assemblies[Assy]&amp;"'!"&amp;"O$5:O1000")), "x",Assemblies[Assy],".",IF(SUMIF(INDIRECT("'"&amp;Assemblies[Assy]&amp;"'!"&amp;"C$5:C1000"), $C151, INDIRECT("'"&amp;Assemblies[Assy]&amp;"'!"&amp;"A$5:A1000"))=0,NA(),SUMIF(INDIRECT("'"&amp;Assemblies[Assy]&amp;"'!"&amp;"C$5:C1000"), $C151, INDIRECT("'"&amp;Assemblies[Assy]&amp;"'!"&amp;"A$5:A1000")))),"")), " ,", ""))</f>
        <v>, 1x3.1.6.1,</v>
      </c>
      <c r="Z151" s="141">
        <v>0</v>
      </c>
      <c r="AA151" s="141">
        <v>0</v>
      </c>
      <c r="AB151" s="178">
        <v>0</v>
      </c>
      <c r="AC151" s="39">
        <v>0</v>
      </c>
      <c r="AD151" s="141" t="s">
        <v>1473</v>
      </c>
      <c r="AE151" s="296"/>
      <c r="AF151" s="156"/>
      <c r="AG151"/>
    </row>
    <row r="152" spans="1:33" x14ac:dyDescent="0.25">
      <c r="A152" s="24" t="s">
        <v>3686</v>
      </c>
      <c r="B152" s="134" t="s">
        <v>54</v>
      </c>
      <c r="C152" t="str">
        <f>_xlfn.CONCAT(A152,".",B152)</f>
        <v>PG10.3.1.7.1.A</v>
      </c>
      <c r="D152" t="s">
        <v>3700</v>
      </c>
      <c r="E152" s="18">
        <f>Z152+AA152+AB152+(65*AC152)</f>
        <v>0</v>
      </c>
      <c r="F152" s="19" cm="1">
        <f t="array" aca="1" ref="F152" ca="1">SUMPRODUCT(SUMIF(INDIRECT("'"&amp;Assemblies[Assy]&amp;"'!"&amp;"C5:C1000"),C152,(INDIRECT("'"&amp;Assemblies[Assy]&amp;"'!"&amp;"O5:O1000"))))</f>
        <v>1</v>
      </c>
      <c r="H152" s="19" t="str">
        <f ca="1">IF(F152&lt;=G152," ","YES")</f>
        <v>YES</v>
      </c>
      <c r="O152" t="s">
        <v>1999</v>
      </c>
      <c r="P152" t="s">
        <v>1993</v>
      </c>
      <c r="R152" t="s">
        <v>3898</v>
      </c>
      <c r="T152" s="40">
        <v>45561</v>
      </c>
      <c r="Y152" s="40" t="str" cm="1">
        <f t="array" aca="1" ref="Y152" ca="1">TRIM(SUBSTITUTE(_xlfn.ARRAYTOTEXT(IFERROR(CONCATENATE(SUMIF(INDIRECT("'"&amp;Assemblies[Assy]&amp;"'!"&amp;"C$5:C1000"), $C152, INDIRECT("'"&amp;Assemblies[Assy]&amp;"'!"&amp;"O$5:O1000")), "x",Assemblies[Assy],".",IF(SUMIF(INDIRECT("'"&amp;Assemblies[Assy]&amp;"'!"&amp;"C$5:C1000"), $C152, INDIRECT("'"&amp;Assemblies[Assy]&amp;"'!"&amp;"A$5:A1000"))=0,NA(),SUMIF(INDIRECT("'"&amp;Assemblies[Assy]&amp;"'!"&amp;"C$5:C1000"), $C152, INDIRECT("'"&amp;Assemblies[Assy]&amp;"'!"&amp;"A$5:A1000")))),"")), " ,", ""))</f>
        <v>, 1x3.1.7.1,</v>
      </c>
      <c r="Z152" s="141">
        <v>0</v>
      </c>
      <c r="AA152" s="141">
        <v>0</v>
      </c>
      <c r="AB152" s="178">
        <v>0</v>
      </c>
      <c r="AC152" s="39">
        <v>0</v>
      </c>
      <c r="AD152" s="141" t="s">
        <v>1473</v>
      </c>
      <c r="AE152" s="296"/>
      <c r="AF152" s="156"/>
      <c r="AG152"/>
    </row>
    <row r="153" spans="1:33" x14ac:dyDescent="0.25">
      <c r="A153" s="24" t="s">
        <v>2265</v>
      </c>
      <c r="B153" s="134" t="s">
        <v>54</v>
      </c>
      <c r="C153" t="str">
        <f>_xlfn.CONCAT(A153,".",B153)</f>
        <v>PG10.3.2.1.1.A</v>
      </c>
      <c r="D153" t="s">
        <v>1622</v>
      </c>
      <c r="E153" s="18">
        <f>Z153+AA153+AB153+(65*AC153)</f>
        <v>65</v>
      </c>
      <c r="F153" s="19" cm="1">
        <f t="array" aca="1" ref="F153" ca="1">SUMPRODUCT(SUMIF(INDIRECT("'"&amp;Assemblies[Assy]&amp;"'!"&amp;"C5:C1000"),C153,(INDIRECT("'"&amp;Assemblies[Assy]&amp;"'!"&amp;"O5:O1000"))))</f>
        <v>1</v>
      </c>
      <c r="G153" s="19">
        <v>1</v>
      </c>
      <c r="H153" s="19" t="str">
        <f ca="1">IF(F153&lt;=G153," ","YES")</f>
        <v xml:space="preserve"> </v>
      </c>
      <c r="O153" t="s">
        <v>1999</v>
      </c>
      <c r="P153" t="s">
        <v>1993</v>
      </c>
      <c r="R153" t="s">
        <v>2000</v>
      </c>
      <c r="T153" s="40" t="s">
        <v>2001</v>
      </c>
      <c r="U153" s="40">
        <v>45530</v>
      </c>
      <c r="V153" s="40">
        <v>45561</v>
      </c>
      <c r="X153" s="157">
        <v>55708</v>
      </c>
      <c r="Y153" s="40" t="str" cm="1">
        <f t="array" aca="1" ref="Y153" ca="1">TRIM(SUBSTITUTE(_xlfn.ARRAYTOTEXT(IFERROR(CONCATENATE(SUMIF(INDIRECT("'"&amp;Assemblies[Assy]&amp;"'!"&amp;"C$5:C1000"), $C153, INDIRECT("'"&amp;Assemblies[Assy]&amp;"'!"&amp;"O$5:O1000")), "x",Assemblies[Assy],".",IF(SUMIF(INDIRECT("'"&amp;Assemblies[Assy]&amp;"'!"&amp;"C$5:C1000"), $C153, INDIRECT("'"&amp;Assemblies[Assy]&amp;"'!"&amp;"A$5:A1000"))=0,NA(),SUMIF(INDIRECT("'"&amp;Assemblies[Assy]&amp;"'!"&amp;"C$5:C1000"), $C153, INDIRECT("'"&amp;Assemblies[Assy]&amp;"'!"&amp;"A$5:A1000")))),"")), " ,", ""))</f>
        <v>, 1x3.2.1.1,</v>
      </c>
      <c r="Z153" s="141">
        <v>65</v>
      </c>
      <c r="AA153" s="141">
        <v>0</v>
      </c>
      <c r="AB153" s="141">
        <v>0</v>
      </c>
      <c r="AC153" s="39">
        <v>0</v>
      </c>
      <c r="AD153" s="141" t="s">
        <v>1473</v>
      </c>
      <c r="AE153" s="296"/>
      <c r="AF153" s="156"/>
      <c r="AG153"/>
    </row>
    <row r="154" spans="1:33" x14ac:dyDescent="0.25">
      <c r="A154" s="24" t="s">
        <v>2459</v>
      </c>
      <c r="B154" s="134" t="s">
        <v>54</v>
      </c>
      <c r="C154" t="str">
        <f>_xlfn.CONCAT(A154,".",B154)</f>
        <v>PG10.3.2.10.1.A</v>
      </c>
      <c r="D154" t="s">
        <v>1644</v>
      </c>
      <c r="E154" s="18">
        <f>Z154+AA154+AB154+(65*AC154)</f>
        <v>84.9</v>
      </c>
      <c r="F154" s="19" cm="1">
        <f t="array" aca="1" ref="F154" ca="1">SUMPRODUCT(SUMIF(INDIRECT("'"&amp;Assemblies[Assy]&amp;"'!"&amp;"C5:C1000"),C154,(INDIRECT("'"&amp;Assemblies[Assy]&amp;"'!"&amp;"O5:O1000"))))</f>
        <v>1</v>
      </c>
      <c r="G154" s="19">
        <v>1</v>
      </c>
      <c r="H154" s="19" t="str">
        <f ca="1">IF(F154&lt;=G154," ","YES")</f>
        <v xml:space="preserve"> </v>
      </c>
      <c r="O154" t="s">
        <v>1999</v>
      </c>
      <c r="P154" t="s">
        <v>2386</v>
      </c>
      <c r="R154" t="s">
        <v>3781</v>
      </c>
      <c r="T154" s="40">
        <v>45545</v>
      </c>
      <c r="U154" s="40">
        <v>45554</v>
      </c>
      <c r="V154" s="40">
        <v>45576</v>
      </c>
      <c r="X154" s="157">
        <v>55745</v>
      </c>
      <c r="Y154" s="40" t="str" cm="1">
        <f t="array" aca="1" ref="Y154" ca="1">TRIM(SUBSTITUTE(_xlfn.ARRAYTOTEXT(IFERROR(CONCATENATE(SUMIF(INDIRECT("'"&amp;Assemblies[Assy]&amp;"'!"&amp;"C$5:C1000"), $C154, INDIRECT("'"&amp;Assemblies[Assy]&amp;"'!"&amp;"O$5:O1000")), "x",Assemblies[Assy],".",IF(SUMIF(INDIRECT("'"&amp;Assemblies[Assy]&amp;"'!"&amp;"C$5:C1000"), $C154, INDIRECT("'"&amp;Assemblies[Assy]&amp;"'!"&amp;"A$5:A1000"))=0,NA(),SUMIF(INDIRECT("'"&amp;Assemblies[Assy]&amp;"'!"&amp;"C$5:C1000"), $C154, INDIRECT("'"&amp;Assemblies[Assy]&amp;"'!"&amp;"A$5:A1000")))),"")), " ,", ""))</f>
        <v>, 1x3.2.10.1,</v>
      </c>
      <c r="Z154" s="141">
        <v>84.9</v>
      </c>
      <c r="AA154" s="141">
        <v>0</v>
      </c>
      <c r="AB154" s="136">
        <v>0</v>
      </c>
      <c r="AC154" s="39">
        <v>0</v>
      </c>
      <c r="AD154" s="141" t="s">
        <v>1473</v>
      </c>
      <c r="AE154" s="296"/>
      <c r="AF154" s="156"/>
      <c r="AG154"/>
    </row>
    <row r="155" spans="1:33" x14ac:dyDescent="0.25">
      <c r="A155" s="24" t="s">
        <v>3823</v>
      </c>
      <c r="B155" s="134" t="s">
        <v>54</v>
      </c>
      <c r="C155" t="str">
        <f>_xlfn.CONCAT(A155,".",B155)</f>
        <v>PG10.3.2.10.2.A</v>
      </c>
      <c r="D155" t="s">
        <v>3824</v>
      </c>
      <c r="E155" s="18">
        <f>Z155+AA155+AB155+(65*AC155)</f>
        <v>84.91</v>
      </c>
      <c r="F155" s="19" cm="1">
        <f t="array" aca="1" ref="F155" ca="1">SUMPRODUCT(SUMIF(INDIRECT("'"&amp;Assemblies[Assy]&amp;"'!"&amp;"C5:C1000"),C155,(INDIRECT("'"&amp;Assemblies[Assy]&amp;"'!"&amp;"O5:O1000"))))</f>
        <v>1</v>
      </c>
      <c r="G155" s="19">
        <v>1</v>
      </c>
      <c r="H155" s="19" t="str">
        <f ca="1">IF(F155&lt;=G155," ","YES")</f>
        <v xml:space="preserve"> </v>
      </c>
      <c r="O155" t="s">
        <v>1999</v>
      </c>
      <c r="P155" t="s">
        <v>2386</v>
      </c>
      <c r="R155" t="s">
        <v>3781</v>
      </c>
      <c r="T155" s="40">
        <v>45545</v>
      </c>
      <c r="U155" s="40">
        <v>45554</v>
      </c>
      <c r="V155" s="40">
        <v>45576</v>
      </c>
      <c r="X155" s="157">
        <v>55745</v>
      </c>
      <c r="Y155" s="40" t="str" cm="1">
        <f t="array" aca="1" ref="Y155" ca="1">TRIM(SUBSTITUTE(_xlfn.ARRAYTOTEXT(IFERROR(CONCATENATE(SUMIF(INDIRECT("'"&amp;Assemblies[Assy]&amp;"'!"&amp;"C$5:C1000"), $C155, INDIRECT("'"&amp;Assemblies[Assy]&amp;"'!"&amp;"O$5:O1000")), "x",Assemblies[Assy],".",IF(SUMIF(INDIRECT("'"&amp;Assemblies[Assy]&amp;"'!"&amp;"C$5:C1000"), $C155, INDIRECT("'"&amp;Assemblies[Assy]&amp;"'!"&amp;"A$5:A1000"))=0,NA(),SUMIF(INDIRECT("'"&amp;Assemblies[Assy]&amp;"'!"&amp;"C$5:C1000"), $C155, INDIRECT("'"&amp;Assemblies[Assy]&amp;"'!"&amp;"A$5:A1000")))),"")), " ,", ""))</f>
        <v>,</v>
      </c>
      <c r="Z155" s="141">
        <v>84.91</v>
      </c>
      <c r="AA155" s="141">
        <v>0</v>
      </c>
      <c r="AB155" s="136">
        <v>0</v>
      </c>
      <c r="AC155" s="39">
        <v>0</v>
      </c>
      <c r="AD155" s="141" t="s">
        <v>1473</v>
      </c>
      <c r="AE155" s="296"/>
      <c r="AF155" s="156"/>
      <c r="AG155"/>
    </row>
    <row r="156" spans="1:33" x14ac:dyDescent="0.25">
      <c r="A156" s="24" t="s">
        <v>2266</v>
      </c>
      <c r="B156" s="134" t="s">
        <v>54</v>
      </c>
      <c r="C156" t="str">
        <f>_xlfn.CONCAT(A156,".",B156)</f>
        <v>PG10.3.2.2.1.A</v>
      </c>
      <c r="D156" t="s">
        <v>1628</v>
      </c>
      <c r="E156" s="18">
        <f>Z156+AA156+AB156+(65*AC156)</f>
        <v>65</v>
      </c>
      <c r="F156" s="19" cm="1">
        <f t="array" aca="1" ref="F156" ca="1">SUMPRODUCT(SUMIF(INDIRECT("'"&amp;Assemblies[Assy]&amp;"'!"&amp;"C5:C1000"),C156,(INDIRECT("'"&amp;Assemblies[Assy]&amp;"'!"&amp;"O5:O1000"))))</f>
        <v>1</v>
      </c>
      <c r="G156" s="19">
        <v>1</v>
      </c>
      <c r="H156" s="19" t="str">
        <f ca="1">IF(F156&lt;=G156," ","YES")</f>
        <v xml:space="preserve"> </v>
      </c>
      <c r="O156" t="s">
        <v>1999</v>
      </c>
      <c r="P156" t="s">
        <v>1993</v>
      </c>
      <c r="R156" t="s">
        <v>2000</v>
      </c>
      <c r="T156" s="40" t="s">
        <v>2001</v>
      </c>
      <c r="U156" s="40">
        <v>45530</v>
      </c>
      <c r="V156" s="40">
        <v>45561</v>
      </c>
      <c r="X156" s="157">
        <v>55708</v>
      </c>
      <c r="Y156" s="40" t="str" cm="1">
        <f t="array" aca="1" ref="Y156" ca="1">TRIM(SUBSTITUTE(_xlfn.ARRAYTOTEXT(IFERROR(CONCATENATE(SUMIF(INDIRECT("'"&amp;Assemblies[Assy]&amp;"'!"&amp;"C$5:C1000"), $C156, INDIRECT("'"&amp;Assemblies[Assy]&amp;"'!"&amp;"O$5:O1000")), "x",Assemblies[Assy],".",IF(SUMIF(INDIRECT("'"&amp;Assemblies[Assy]&amp;"'!"&amp;"C$5:C1000"), $C156, INDIRECT("'"&amp;Assemblies[Assy]&amp;"'!"&amp;"A$5:A1000"))=0,NA(),SUMIF(INDIRECT("'"&amp;Assemblies[Assy]&amp;"'!"&amp;"C$5:C1000"), $C156, INDIRECT("'"&amp;Assemblies[Assy]&amp;"'!"&amp;"A$5:A1000")))),"")), " ,", ""))</f>
        <v>, 1x3.2.2.1,</v>
      </c>
      <c r="Z156" s="141">
        <v>65</v>
      </c>
      <c r="AA156" s="141">
        <v>0</v>
      </c>
      <c r="AB156" s="141">
        <v>0</v>
      </c>
      <c r="AC156" s="39">
        <v>0</v>
      </c>
      <c r="AD156" s="141" t="s">
        <v>1473</v>
      </c>
      <c r="AE156" s="296"/>
      <c r="AF156" s="156"/>
      <c r="AG156"/>
    </row>
    <row r="157" spans="1:33" x14ac:dyDescent="0.25">
      <c r="A157" s="24" t="s">
        <v>2267</v>
      </c>
      <c r="B157" s="134" t="s">
        <v>54</v>
      </c>
      <c r="C157" t="str">
        <f>_xlfn.CONCAT(A157,".",B157)</f>
        <v>PG10.3.2.3.1.A</v>
      </c>
      <c r="D157" t="s">
        <v>1630</v>
      </c>
      <c r="E157" s="18">
        <f>Z157+AA157+AB157+(65*AC157)</f>
        <v>65</v>
      </c>
      <c r="F157" s="19" cm="1">
        <f t="array" aca="1" ref="F157" ca="1">SUMPRODUCT(SUMIF(INDIRECT("'"&amp;Assemblies[Assy]&amp;"'!"&amp;"C5:C1000"),C157,(INDIRECT("'"&amp;Assemblies[Assy]&amp;"'!"&amp;"O5:O1000"))))</f>
        <v>1</v>
      </c>
      <c r="G157" s="19">
        <v>1</v>
      </c>
      <c r="H157" s="19" t="str">
        <f ca="1">IF(F157&lt;=G157," ","YES")</f>
        <v xml:space="preserve"> </v>
      </c>
      <c r="O157" t="s">
        <v>1999</v>
      </c>
      <c r="P157" t="s">
        <v>1993</v>
      </c>
      <c r="R157" t="s">
        <v>2000</v>
      </c>
      <c r="T157" s="40" t="s">
        <v>2001</v>
      </c>
      <c r="U157" s="40">
        <v>45530</v>
      </c>
      <c r="V157" s="40">
        <v>45561</v>
      </c>
      <c r="X157" s="157">
        <v>55708</v>
      </c>
      <c r="Y157" s="40" t="str" cm="1">
        <f t="array" aca="1" ref="Y157" ca="1">TRIM(SUBSTITUTE(_xlfn.ARRAYTOTEXT(IFERROR(CONCATENATE(SUMIF(INDIRECT("'"&amp;Assemblies[Assy]&amp;"'!"&amp;"C$5:C1000"), $C157, INDIRECT("'"&amp;Assemblies[Assy]&amp;"'!"&amp;"O$5:O1000")), "x",Assemblies[Assy],".",IF(SUMIF(INDIRECT("'"&amp;Assemblies[Assy]&amp;"'!"&amp;"C$5:C1000"), $C157, INDIRECT("'"&amp;Assemblies[Assy]&amp;"'!"&amp;"A$5:A1000"))=0,NA(),SUMIF(INDIRECT("'"&amp;Assemblies[Assy]&amp;"'!"&amp;"C$5:C1000"), $C157, INDIRECT("'"&amp;Assemblies[Assy]&amp;"'!"&amp;"A$5:A1000")))),"")), " ,", ""))</f>
        <v>, 1x3.2.3.1,</v>
      </c>
      <c r="Z157" s="141">
        <v>65</v>
      </c>
      <c r="AA157" s="141">
        <v>0</v>
      </c>
      <c r="AB157" s="141">
        <v>0</v>
      </c>
      <c r="AC157" s="39">
        <v>0</v>
      </c>
      <c r="AD157" s="141" t="s">
        <v>1473</v>
      </c>
      <c r="AE157" s="296"/>
      <c r="AF157" s="156"/>
      <c r="AG157"/>
    </row>
    <row r="158" spans="1:33" x14ac:dyDescent="0.25">
      <c r="A158" s="24" t="s">
        <v>2284</v>
      </c>
      <c r="B158" s="134" t="s">
        <v>54</v>
      </c>
      <c r="C158" t="str">
        <f>_xlfn.CONCAT(A158,".",B158)</f>
        <v>PG10.3.2.4.1.A</v>
      </c>
      <c r="D158" t="s">
        <v>1632</v>
      </c>
      <c r="E158" s="18">
        <f>Z158+AA158+AB158+(65*AC158)</f>
        <v>65</v>
      </c>
      <c r="F158" s="19" cm="1">
        <f t="array" aca="1" ref="F158" ca="1">SUMPRODUCT(SUMIF(INDIRECT("'"&amp;Assemblies[Assy]&amp;"'!"&amp;"C5:C1000"),C158,(INDIRECT("'"&amp;Assemblies[Assy]&amp;"'!"&amp;"O5:O1000"))))</f>
        <v>1</v>
      </c>
      <c r="G158" s="19">
        <v>1</v>
      </c>
      <c r="H158" s="19" t="str">
        <f ca="1">IF(F158&lt;=G158," ","YES")</f>
        <v xml:space="preserve"> </v>
      </c>
      <c r="O158" t="s">
        <v>1999</v>
      </c>
      <c r="P158" t="s">
        <v>1993</v>
      </c>
      <c r="R158" t="s">
        <v>2000</v>
      </c>
      <c r="T158" s="40" t="s">
        <v>2001</v>
      </c>
      <c r="U158" s="40">
        <v>45530</v>
      </c>
      <c r="V158" s="40">
        <v>45561</v>
      </c>
      <c r="X158" s="157">
        <v>55708</v>
      </c>
      <c r="Y158" s="40" t="str" cm="1">
        <f t="array" aca="1" ref="Y158" ca="1">TRIM(SUBSTITUTE(_xlfn.ARRAYTOTEXT(IFERROR(CONCATENATE(SUMIF(INDIRECT("'"&amp;Assemblies[Assy]&amp;"'!"&amp;"C$5:C1000"), $C158, INDIRECT("'"&amp;Assemblies[Assy]&amp;"'!"&amp;"O$5:O1000")), "x",Assemblies[Assy],".",IF(SUMIF(INDIRECT("'"&amp;Assemblies[Assy]&amp;"'!"&amp;"C$5:C1000"), $C158, INDIRECT("'"&amp;Assemblies[Assy]&amp;"'!"&amp;"A$5:A1000"))=0,NA(),SUMIF(INDIRECT("'"&amp;Assemblies[Assy]&amp;"'!"&amp;"C$5:C1000"), $C158, INDIRECT("'"&amp;Assemblies[Assy]&amp;"'!"&amp;"A$5:A1000")))),"")), " ,", ""))</f>
        <v>, 1x3.2.4.1,</v>
      </c>
      <c r="Z158" s="141">
        <v>65</v>
      </c>
      <c r="AA158" s="141">
        <v>0</v>
      </c>
      <c r="AB158" s="141">
        <v>0</v>
      </c>
      <c r="AC158" s="39">
        <v>0</v>
      </c>
      <c r="AD158" s="141" t="s">
        <v>1473</v>
      </c>
      <c r="AE158" s="296"/>
      <c r="AF158" s="156"/>
      <c r="AG158"/>
    </row>
    <row r="159" spans="1:33" x14ac:dyDescent="0.25">
      <c r="A159" s="24" t="s">
        <v>2285</v>
      </c>
      <c r="B159" s="134" t="s">
        <v>54</v>
      </c>
      <c r="C159" t="str">
        <f>_xlfn.CONCAT(A159,".",B159)</f>
        <v>PG10.3.2.5.1.A</v>
      </c>
      <c r="D159" t="s">
        <v>2286</v>
      </c>
      <c r="E159" s="18">
        <f>Z159+AA159+AB159+(65*AC159)</f>
        <v>50</v>
      </c>
      <c r="F159" s="19" cm="1">
        <f t="array" aca="1" ref="F159" ca="1">SUMPRODUCT(SUMIF(INDIRECT("'"&amp;Assemblies[Assy]&amp;"'!"&amp;"C5:C1000"),C159,(INDIRECT("'"&amp;Assemblies[Assy]&amp;"'!"&amp;"O5:O1000"))))</f>
        <v>2</v>
      </c>
      <c r="G159" s="19">
        <v>2</v>
      </c>
      <c r="H159" s="19" t="str">
        <f ca="1">IF(F159&lt;=G159," ","YES")</f>
        <v xml:space="preserve"> </v>
      </c>
      <c r="O159" t="s">
        <v>1999</v>
      </c>
      <c r="P159" t="s">
        <v>1993</v>
      </c>
      <c r="R159" t="s">
        <v>2000</v>
      </c>
      <c r="T159" s="40" t="s">
        <v>2001</v>
      </c>
      <c r="U159" s="40">
        <v>45530</v>
      </c>
      <c r="V159" s="40">
        <v>45561</v>
      </c>
      <c r="X159" s="157">
        <v>55708</v>
      </c>
      <c r="Y159" s="40" t="str" cm="1">
        <f t="array" aca="1" ref="Y159" ca="1">TRIM(SUBSTITUTE(_xlfn.ARRAYTOTEXT(IFERROR(CONCATENATE(SUMIF(INDIRECT("'"&amp;Assemblies[Assy]&amp;"'!"&amp;"C$5:C1000"), $C159, INDIRECT("'"&amp;Assemblies[Assy]&amp;"'!"&amp;"O$5:O1000")), "x",Assemblies[Assy],".",IF(SUMIF(INDIRECT("'"&amp;Assemblies[Assy]&amp;"'!"&amp;"C$5:C1000"), $C159, INDIRECT("'"&amp;Assemblies[Assy]&amp;"'!"&amp;"A$5:A1000"))=0,NA(),SUMIF(INDIRECT("'"&amp;Assemblies[Assy]&amp;"'!"&amp;"C$5:C1000"), $C159, INDIRECT("'"&amp;Assemblies[Assy]&amp;"'!"&amp;"A$5:A1000")))),"")), " ,", ""))</f>
        <v>, 2x3.2.5.1,</v>
      </c>
      <c r="Z159" s="141">
        <v>50</v>
      </c>
      <c r="AA159" s="141">
        <v>0</v>
      </c>
      <c r="AB159" s="141">
        <v>0</v>
      </c>
      <c r="AC159" s="39">
        <v>0</v>
      </c>
      <c r="AD159" s="141" t="s">
        <v>1473</v>
      </c>
      <c r="AE159" s="296"/>
      <c r="AF159" s="156"/>
      <c r="AG159"/>
    </row>
    <row r="160" spans="1:33" x14ac:dyDescent="0.25">
      <c r="A160" s="24" t="s">
        <v>2294</v>
      </c>
      <c r="B160" s="134" t="s">
        <v>54</v>
      </c>
      <c r="C160" t="str">
        <f>_xlfn.CONCAT(A160,".",B160)</f>
        <v>PG10.3.2.5.2.A</v>
      </c>
      <c r="D160" t="s">
        <v>2295</v>
      </c>
      <c r="E160" s="18">
        <f>Z160+AA160+AB160+(65*AC160)</f>
        <v>50</v>
      </c>
      <c r="F160" s="19" cm="1">
        <f t="array" aca="1" ref="F160" ca="1">SUMPRODUCT(SUMIF(INDIRECT("'"&amp;Assemblies[Assy]&amp;"'!"&amp;"C5:C1000"),C160,(INDIRECT("'"&amp;Assemblies[Assy]&amp;"'!"&amp;"O5:O1000"))))</f>
        <v>2</v>
      </c>
      <c r="G160" s="19">
        <v>2</v>
      </c>
      <c r="H160" s="19" t="str">
        <f ca="1">IF(F160&lt;=G160," ","YES")</f>
        <v xml:space="preserve"> </v>
      </c>
      <c r="O160" t="s">
        <v>1999</v>
      </c>
      <c r="P160" t="s">
        <v>1993</v>
      </c>
      <c r="R160" t="s">
        <v>2000</v>
      </c>
      <c r="T160" s="40" t="s">
        <v>2001</v>
      </c>
      <c r="U160" s="40">
        <v>45530</v>
      </c>
      <c r="V160" s="40">
        <v>45561</v>
      </c>
      <c r="X160" s="157">
        <v>55708</v>
      </c>
      <c r="Y160" s="40" t="str" cm="1">
        <f t="array" aca="1" ref="Y160" ca="1">TRIM(SUBSTITUTE(_xlfn.ARRAYTOTEXT(IFERROR(CONCATENATE(SUMIF(INDIRECT("'"&amp;Assemblies[Assy]&amp;"'!"&amp;"C$5:C1000"), $C160, INDIRECT("'"&amp;Assemblies[Assy]&amp;"'!"&amp;"O$5:O1000")), "x",Assemblies[Assy],".",IF(SUMIF(INDIRECT("'"&amp;Assemblies[Assy]&amp;"'!"&amp;"C$5:C1000"), $C160, INDIRECT("'"&amp;Assemblies[Assy]&amp;"'!"&amp;"A$5:A1000"))=0,NA(),SUMIF(INDIRECT("'"&amp;Assemblies[Assy]&amp;"'!"&amp;"C$5:C1000"), $C160, INDIRECT("'"&amp;Assemblies[Assy]&amp;"'!"&amp;"A$5:A1000")))),"")), " ,", ""))</f>
        <v>, 2x3.2.5.2,</v>
      </c>
      <c r="Z160" s="141">
        <v>50</v>
      </c>
      <c r="AA160" s="141">
        <v>0</v>
      </c>
      <c r="AB160" s="141">
        <v>0</v>
      </c>
      <c r="AC160" s="39">
        <v>0</v>
      </c>
      <c r="AD160" s="178" t="s">
        <v>1473</v>
      </c>
      <c r="AE160" s="297"/>
      <c r="AF160" s="271"/>
      <c r="AG160"/>
    </row>
    <row r="161" spans="1:33" x14ac:dyDescent="0.25">
      <c r="A161" s="24" t="s">
        <v>2306</v>
      </c>
      <c r="B161" s="134" t="s">
        <v>54</v>
      </c>
      <c r="C161" t="str">
        <f>_xlfn.CONCAT(A161,".",B161)</f>
        <v>PG10.3.2.5.3.A</v>
      </c>
      <c r="D161" t="s">
        <v>2307</v>
      </c>
      <c r="E161" s="18">
        <v>52.5</v>
      </c>
      <c r="F161" s="19" cm="1">
        <f t="array" aca="1" ref="F161" ca="1">SUMPRODUCT(SUMIF(INDIRECT("'"&amp;Assemblies[Assy]&amp;"'!"&amp;"C5:C1000"),C161,(INDIRECT("'"&amp;Assemblies[Assy]&amp;"'!"&amp;"O5:O1000"))))</f>
        <v>2</v>
      </c>
      <c r="G161" s="19">
        <v>2</v>
      </c>
      <c r="H161" s="19" t="str">
        <f ca="1">IF(F161&lt;=G161," ","YES")</f>
        <v xml:space="preserve"> </v>
      </c>
      <c r="I161">
        <v>2</v>
      </c>
      <c r="J161">
        <v>2</v>
      </c>
      <c r="K161" s="40">
        <v>45553</v>
      </c>
      <c r="L161">
        <v>2</v>
      </c>
      <c r="M161" s="40">
        <v>45560</v>
      </c>
      <c r="N161">
        <v>2</v>
      </c>
      <c r="O161" t="s">
        <v>1986</v>
      </c>
      <c r="P161" t="s">
        <v>2165</v>
      </c>
      <c r="R161" t="s">
        <v>2178</v>
      </c>
      <c r="T161" s="40">
        <v>45503</v>
      </c>
      <c r="U161" s="40">
        <v>45509</v>
      </c>
      <c r="V161" s="40">
        <v>45540</v>
      </c>
      <c r="W161" s="40">
        <v>45540</v>
      </c>
      <c r="X161" s="157">
        <v>55656</v>
      </c>
      <c r="Y161" s="40" t="str" cm="1">
        <f t="array" aca="1" ref="Y161" ca="1">TRIM(SUBSTITUTE(_xlfn.ARRAYTOTEXT(IFERROR(CONCATENATE(SUMIF(INDIRECT("'"&amp;Assemblies[Assy]&amp;"'!"&amp;"C$5:C1000"), $C161, INDIRECT("'"&amp;Assemblies[Assy]&amp;"'!"&amp;"O$5:O1000")), "x",Assemblies[Assy],".",IF(SUMIF(INDIRECT("'"&amp;Assemblies[Assy]&amp;"'!"&amp;"C$5:C1000"), $C161, INDIRECT("'"&amp;Assemblies[Assy]&amp;"'!"&amp;"A$5:A1000"))=0,NA(),SUMIF(INDIRECT("'"&amp;Assemblies[Assy]&amp;"'!"&amp;"C$5:C1000"), $C161, INDIRECT("'"&amp;Assemblies[Assy]&amp;"'!"&amp;"A$5:A1000")))),"")), " ,", ""))</f>
        <v>, 1x3.2.5.3, 1x3.2.6.3,</v>
      </c>
      <c r="Z161" s="178"/>
      <c r="AA161" s="178"/>
      <c r="AB161" s="178"/>
      <c r="AD161" s="178"/>
      <c r="AE161" s="297">
        <v>55743</v>
      </c>
      <c r="AF161" s="271"/>
      <c r="AG161"/>
    </row>
    <row r="162" spans="1:33" x14ac:dyDescent="0.25">
      <c r="A162" s="24" t="s">
        <v>2308</v>
      </c>
      <c r="B162" s="134" t="s">
        <v>54</v>
      </c>
      <c r="C162" t="str">
        <f>_xlfn.CONCAT(A162,".",B162)</f>
        <v>PG10.3.2.5.4.A</v>
      </c>
      <c r="D162" t="s">
        <v>2309</v>
      </c>
      <c r="E162" s="18">
        <v>99</v>
      </c>
      <c r="F162" s="19" cm="1">
        <f t="array" aca="1" ref="F162" ca="1">SUMPRODUCT(SUMIF(INDIRECT("'"&amp;Assemblies[Assy]&amp;"'!"&amp;"C5:C1000"),C162,(INDIRECT("'"&amp;Assemblies[Assy]&amp;"'!"&amp;"O5:O1000"))))</f>
        <v>2</v>
      </c>
      <c r="G162" s="19">
        <v>2</v>
      </c>
      <c r="H162" s="19" t="str">
        <f ca="1">IF(F162&lt;=G162," ","YES")</f>
        <v xml:space="preserve"> </v>
      </c>
      <c r="I162">
        <v>2</v>
      </c>
      <c r="J162">
        <v>2</v>
      </c>
      <c r="K162" s="40">
        <v>45553</v>
      </c>
      <c r="L162">
        <v>2</v>
      </c>
      <c r="M162" s="40">
        <v>45560</v>
      </c>
      <c r="N162">
        <v>2</v>
      </c>
      <c r="O162" t="s">
        <v>1986</v>
      </c>
      <c r="P162" t="s">
        <v>2165</v>
      </c>
      <c r="R162" t="s">
        <v>2178</v>
      </c>
      <c r="T162" s="40">
        <v>45503</v>
      </c>
      <c r="U162" s="40">
        <v>45509</v>
      </c>
      <c r="V162" s="40">
        <v>45540</v>
      </c>
      <c r="W162" s="40">
        <v>45540</v>
      </c>
      <c r="X162" s="157">
        <v>55656</v>
      </c>
      <c r="Y162" s="40" t="str" cm="1">
        <f t="array" aca="1" ref="Y162" ca="1">TRIM(SUBSTITUTE(_xlfn.ARRAYTOTEXT(IFERROR(CONCATENATE(SUMIF(INDIRECT("'"&amp;Assemblies[Assy]&amp;"'!"&amp;"C$5:C1000"), $C162, INDIRECT("'"&amp;Assemblies[Assy]&amp;"'!"&amp;"O$5:O1000")), "x",Assemblies[Assy],".",IF(SUMIF(INDIRECT("'"&amp;Assemblies[Assy]&amp;"'!"&amp;"C$5:C1000"), $C162, INDIRECT("'"&amp;Assemblies[Assy]&amp;"'!"&amp;"A$5:A1000"))=0,NA(),SUMIF(INDIRECT("'"&amp;Assemblies[Assy]&amp;"'!"&amp;"C$5:C1000"), $C162, INDIRECT("'"&amp;Assemblies[Assy]&amp;"'!"&amp;"A$5:A1000")))),"")), " ,", ""))</f>
        <v>, 1x3.2.5.4, 1x3.2.6.4,</v>
      </c>
      <c r="AD162" s="141"/>
      <c r="AE162" s="297">
        <v>55743</v>
      </c>
      <c r="AF162" s="156"/>
      <c r="AG162"/>
    </row>
    <row r="163" spans="1:33" x14ac:dyDescent="0.25">
      <c r="A163" s="24" t="s">
        <v>2296</v>
      </c>
      <c r="B163" s="134" t="s">
        <v>54</v>
      </c>
      <c r="C163" t="str">
        <f>_xlfn.CONCAT(A163,".",B163)</f>
        <v>PG10.3.2.6.1.A</v>
      </c>
      <c r="D163" t="s">
        <v>2297</v>
      </c>
      <c r="E163" s="18">
        <f>Z163+AA163+AB163+(65*AC163)</f>
        <v>50</v>
      </c>
      <c r="F163" s="19" cm="1">
        <f t="array" aca="1" ref="F163" ca="1">SUMPRODUCT(SUMIF(INDIRECT("'"&amp;Assemblies[Assy]&amp;"'!"&amp;"C5:C1000"),C163,(INDIRECT("'"&amp;Assemblies[Assy]&amp;"'!"&amp;"O5:O1000"))))</f>
        <v>2</v>
      </c>
      <c r="G163" s="19">
        <v>2</v>
      </c>
      <c r="H163" s="19" t="str">
        <f ca="1">IF(F163&lt;=G163," ","YES")</f>
        <v xml:space="preserve"> </v>
      </c>
      <c r="O163" t="s">
        <v>1999</v>
      </c>
      <c r="P163" t="s">
        <v>1993</v>
      </c>
      <c r="R163" t="s">
        <v>2000</v>
      </c>
      <c r="T163" s="40" t="s">
        <v>2001</v>
      </c>
      <c r="U163" s="40">
        <v>45530</v>
      </c>
      <c r="V163" s="40">
        <v>45561</v>
      </c>
      <c r="X163" s="157">
        <v>55708</v>
      </c>
      <c r="Y163" s="40" t="str" cm="1">
        <f t="array" aca="1" ref="Y163" ca="1">TRIM(SUBSTITUTE(_xlfn.ARRAYTOTEXT(IFERROR(CONCATENATE(SUMIF(INDIRECT("'"&amp;Assemblies[Assy]&amp;"'!"&amp;"C$5:C1000"), $C163, INDIRECT("'"&amp;Assemblies[Assy]&amp;"'!"&amp;"O$5:O1000")), "x",Assemblies[Assy],".",IF(SUMIF(INDIRECT("'"&amp;Assemblies[Assy]&amp;"'!"&amp;"C$5:C1000"), $C163, INDIRECT("'"&amp;Assemblies[Assy]&amp;"'!"&amp;"A$5:A1000"))=0,NA(),SUMIF(INDIRECT("'"&amp;Assemblies[Assy]&amp;"'!"&amp;"C$5:C1000"), $C163, INDIRECT("'"&amp;Assemblies[Assy]&amp;"'!"&amp;"A$5:A1000")))),"")), " ,", ""))</f>
        <v>, 2x3.2.6.1,</v>
      </c>
      <c r="Z163" s="141">
        <v>50</v>
      </c>
      <c r="AA163" s="141">
        <v>0</v>
      </c>
      <c r="AB163" s="141">
        <v>0</v>
      </c>
      <c r="AC163" s="39">
        <v>0</v>
      </c>
      <c r="AD163" s="141" t="s">
        <v>1473</v>
      </c>
      <c r="AE163" s="296"/>
      <c r="AF163" s="156"/>
      <c r="AG163"/>
    </row>
    <row r="164" spans="1:33" x14ac:dyDescent="0.25">
      <c r="A164" s="24" t="s">
        <v>2298</v>
      </c>
      <c r="B164" s="134" t="s">
        <v>54</v>
      </c>
      <c r="C164" t="str">
        <f>_xlfn.CONCAT(A164,".",B164)</f>
        <v>PG10.3.2.6.2.A</v>
      </c>
      <c r="D164" t="s">
        <v>2299</v>
      </c>
      <c r="E164" s="18">
        <f>Z164+AA164+AB164+(65*AC164)</f>
        <v>50</v>
      </c>
      <c r="F164" s="19" cm="1">
        <f t="array" aca="1" ref="F164" ca="1">SUMPRODUCT(SUMIF(INDIRECT("'"&amp;Assemblies[Assy]&amp;"'!"&amp;"C5:C1000"),C164,(INDIRECT("'"&amp;Assemblies[Assy]&amp;"'!"&amp;"O5:O1000"))))</f>
        <v>2</v>
      </c>
      <c r="G164" s="19">
        <v>2</v>
      </c>
      <c r="H164" s="19" t="str">
        <f ca="1">IF(F164&lt;=G164," ","YES")</f>
        <v xml:space="preserve"> </v>
      </c>
      <c r="O164" t="s">
        <v>1999</v>
      </c>
      <c r="P164" t="s">
        <v>1993</v>
      </c>
      <c r="R164" t="s">
        <v>2000</v>
      </c>
      <c r="T164" s="40" t="s">
        <v>2001</v>
      </c>
      <c r="U164" s="40">
        <v>45530</v>
      </c>
      <c r="V164" s="40">
        <v>45561</v>
      </c>
      <c r="X164" s="157">
        <v>55708</v>
      </c>
      <c r="Y164" s="40" t="str" cm="1">
        <f t="array" aca="1" ref="Y164" ca="1">TRIM(SUBSTITUTE(_xlfn.ARRAYTOTEXT(IFERROR(CONCATENATE(SUMIF(INDIRECT("'"&amp;Assemblies[Assy]&amp;"'!"&amp;"C$5:C1000"), $C164, INDIRECT("'"&amp;Assemblies[Assy]&amp;"'!"&amp;"O$5:O1000")), "x",Assemblies[Assy],".",IF(SUMIF(INDIRECT("'"&amp;Assemblies[Assy]&amp;"'!"&amp;"C$5:C1000"), $C164, INDIRECT("'"&amp;Assemblies[Assy]&amp;"'!"&amp;"A$5:A1000"))=0,NA(),SUMIF(INDIRECT("'"&amp;Assemblies[Assy]&amp;"'!"&amp;"C$5:C1000"), $C164, INDIRECT("'"&amp;Assemblies[Assy]&amp;"'!"&amp;"A$5:A1000")))),"")), " ,", ""))</f>
        <v>, 2x3.2.6.2,</v>
      </c>
      <c r="Z164" s="141">
        <v>50</v>
      </c>
      <c r="AA164" s="141">
        <v>0</v>
      </c>
      <c r="AB164" s="141">
        <v>0</v>
      </c>
      <c r="AC164" s="39">
        <v>0</v>
      </c>
      <c r="AD164" s="141" t="s">
        <v>1473</v>
      </c>
      <c r="AE164" s="296"/>
      <c r="AF164" s="156"/>
      <c r="AG164"/>
    </row>
    <row r="165" spans="1:33" x14ac:dyDescent="0.25">
      <c r="A165" s="24" t="s">
        <v>2300</v>
      </c>
      <c r="B165" s="134" t="s">
        <v>54</v>
      </c>
      <c r="C165" t="str">
        <f>_xlfn.CONCAT(A165,".",B165)</f>
        <v>PG10.3.2.7.1.A</v>
      </c>
      <c r="D165" t="s">
        <v>2301</v>
      </c>
      <c r="E165" s="18">
        <f>Z165+AA165+AB165+(65*AC165)</f>
        <v>45</v>
      </c>
      <c r="F165" s="19" cm="1">
        <f t="array" aca="1" ref="F165" ca="1">SUMPRODUCT(SUMIF(INDIRECT("'"&amp;Assemblies[Assy]&amp;"'!"&amp;"C5:C1000"),C165,(INDIRECT("'"&amp;Assemblies[Assy]&amp;"'!"&amp;"O5:O1000"))))</f>
        <v>1</v>
      </c>
      <c r="G165" s="19">
        <v>1</v>
      </c>
      <c r="H165" s="19" t="str">
        <f ca="1">IF(F165&lt;=G165," ","YES")</f>
        <v xml:space="preserve"> </v>
      </c>
      <c r="O165" t="s">
        <v>1999</v>
      </c>
      <c r="P165" t="s">
        <v>1993</v>
      </c>
      <c r="R165" t="s">
        <v>2000</v>
      </c>
      <c r="T165" s="40" t="s">
        <v>2001</v>
      </c>
      <c r="U165" s="40">
        <v>45530</v>
      </c>
      <c r="V165" s="40">
        <v>45561</v>
      </c>
      <c r="X165" s="157">
        <v>55708</v>
      </c>
      <c r="Y165" s="40" t="str" cm="1">
        <f t="array" aca="1" ref="Y165" ca="1">TRIM(SUBSTITUTE(_xlfn.ARRAYTOTEXT(IFERROR(CONCATENATE(SUMIF(INDIRECT("'"&amp;Assemblies[Assy]&amp;"'!"&amp;"C$5:C1000"), $C165, INDIRECT("'"&amp;Assemblies[Assy]&amp;"'!"&amp;"O$5:O1000")), "x",Assemblies[Assy],".",IF(SUMIF(INDIRECT("'"&amp;Assemblies[Assy]&amp;"'!"&amp;"C$5:C1000"), $C165, INDIRECT("'"&amp;Assemblies[Assy]&amp;"'!"&amp;"A$5:A1000"))=0,NA(),SUMIF(INDIRECT("'"&amp;Assemblies[Assy]&amp;"'!"&amp;"C$5:C1000"), $C165, INDIRECT("'"&amp;Assemblies[Assy]&amp;"'!"&amp;"A$5:A1000")))),"")), " ,", ""))</f>
        <v>, 1x3.2.7.1,</v>
      </c>
      <c r="Z165" s="141">
        <v>45</v>
      </c>
      <c r="AA165" s="141">
        <v>0</v>
      </c>
      <c r="AB165" s="141">
        <v>0</v>
      </c>
      <c r="AC165" s="39">
        <v>0</v>
      </c>
      <c r="AD165" s="141" t="s">
        <v>1473</v>
      </c>
      <c r="AE165" s="296"/>
      <c r="AF165" s="156"/>
      <c r="AG165"/>
    </row>
    <row r="166" spans="1:33" x14ac:dyDescent="0.25">
      <c r="A166" s="24" t="s">
        <v>2302</v>
      </c>
      <c r="B166" s="134" t="s">
        <v>54</v>
      </c>
      <c r="C166" t="str">
        <f>_xlfn.CONCAT(A166,".",B166)</f>
        <v>PG10.3.2.7.2.A</v>
      </c>
      <c r="D166" t="s">
        <v>2303</v>
      </c>
      <c r="E166" s="18">
        <f>Z166+AA166+AB166+(65*AC166)</f>
        <v>40</v>
      </c>
      <c r="F166" s="19" cm="1">
        <f t="array" aca="1" ref="F166" ca="1">SUMPRODUCT(SUMIF(INDIRECT("'"&amp;Assemblies[Assy]&amp;"'!"&amp;"C5:C1000"),C166,(INDIRECT("'"&amp;Assemblies[Assy]&amp;"'!"&amp;"O5:O1000"))))</f>
        <v>1</v>
      </c>
      <c r="G166" s="19">
        <v>1</v>
      </c>
      <c r="H166" s="19" t="str">
        <f ca="1">IF(F166&lt;=G166," ","YES")</f>
        <v xml:space="preserve"> </v>
      </c>
      <c r="O166" t="s">
        <v>1999</v>
      </c>
      <c r="P166" t="s">
        <v>1993</v>
      </c>
      <c r="R166" t="s">
        <v>2000</v>
      </c>
      <c r="T166" s="40" t="s">
        <v>2001</v>
      </c>
      <c r="U166" s="40">
        <v>45530</v>
      </c>
      <c r="V166" s="40">
        <v>45561</v>
      </c>
      <c r="X166" s="157">
        <v>55708</v>
      </c>
      <c r="Y166" s="40" t="str" cm="1">
        <f t="array" aca="1" ref="Y166" ca="1">TRIM(SUBSTITUTE(_xlfn.ARRAYTOTEXT(IFERROR(CONCATENATE(SUMIF(INDIRECT("'"&amp;Assemblies[Assy]&amp;"'!"&amp;"C$5:C1000"), $C166, INDIRECT("'"&amp;Assemblies[Assy]&amp;"'!"&amp;"O$5:O1000")), "x",Assemblies[Assy],".",IF(SUMIF(INDIRECT("'"&amp;Assemblies[Assy]&amp;"'!"&amp;"C$5:C1000"), $C166, INDIRECT("'"&amp;Assemblies[Assy]&amp;"'!"&amp;"A$5:A1000"))=0,NA(),SUMIF(INDIRECT("'"&amp;Assemblies[Assy]&amp;"'!"&amp;"C$5:C1000"), $C166, INDIRECT("'"&amp;Assemblies[Assy]&amp;"'!"&amp;"A$5:A1000")))),"")), " ,", ""))</f>
        <v>, 1x3.2.7.2,</v>
      </c>
      <c r="Z166" s="141">
        <v>40</v>
      </c>
      <c r="AA166" s="141">
        <v>0</v>
      </c>
      <c r="AB166" s="141">
        <v>0</v>
      </c>
      <c r="AC166" s="39">
        <v>0</v>
      </c>
      <c r="AD166" s="141" t="s">
        <v>1473</v>
      </c>
      <c r="AE166" s="296"/>
      <c r="AF166" s="156"/>
      <c r="AG166"/>
    </row>
    <row r="167" spans="1:33" x14ac:dyDescent="0.25">
      <c r="A167" s="24" t="s">
        <v>2304</v>
      </c>
      <c r="B167" s="134" t="s">
        <v>54</v>
      </c>
      <c r="C167" t="str">
        <f>_xlfn.CONCAT(A167,".",B167)</f>
        <v>PG10.3.2.8.1.A</v>
      </c>
      <c r="D167" t="s">
        <v>2305</v>
      </c>
      <c r="E167" s="18">
        <f>Z167+AA167+AB167+(65*AC167)</f>
        <v>45</v>
      </c>
      <c r="F167" s="19" cm="1">
        <f t="array" aca="1" ref="F167" ca="1">SUMPRODUCT(SUMIF(INDIRECT("'"&amp;Assemblies[Assy]&amp;"'!"&amp;"C5:C1000"),C167,(INDIRECT("'"&amp;Assemblies[Assy]&amp;"'!"&amp;"O5:O1000"))))</f>
        <v>1</v>
      </c>
      <c r="G167" s="19">
        <v>1</v>
      </c>
      <c r="H167" s="19" t="str">
        <f ca="1">IF(F167&lt;=G167," ","YES")</f>
        <v xml:space="preserve"> </v>
      </c>
      <c r="O167" t="s">
        <v>1999</v>
      </c>
      <c r="P167" t="s">
        <v>1993</v>
      </c>
      <c r="R167" t="s">
        <v>2000</v>
      </c>
      <c r="T167" s="40" t="s">
        <v>2001</v>
      </c>
      <c r="U167" s="40">
        <v>45530</v>
      </c>
      <c r="V167" s="40">
        <v>45561</v>
      </c>
      <c r="X167" s="157">
        <v>55708</v>
      </c>
      <c r="Y167" s="40" t="str" cm="1">
        <f t="array" aca="1" ref="Y167" ca="1">TRIM(SUBSTITUTE(_xlfn.ARRAYTOTEXT(IFERROR(CONCATENATE(SUMIF(INDIRECT("'"&amp;Assemblies[Assy]&amp;"'!"&amp;"C$5:C1000"), $C167, INDIRECT("'"&amp;Assemblies[Assy]&amp;"'!"&amp;"O$5:O1000")), "x",Assemblies[Assy],".",IF(SUMIF(INDIRECT("'"&amp;Assemblies[Assy]&amp;"'!"&amp;"C$5:C1000"), $C167, INDIRECT("'"&amp;Assemblies[Assy]&amp;"'!"&amp;"A$5:A1000"))=0,NA(),SUMIF(INDIRECT("'"&amp;Assemblies[Assy]&amp;"'!"&amp;"C$5:C1000"), $C167, INDIRECT("'"&amp;Assemblies[Assy]&amp;"'!"&amp;"A$5:A1000")))),"")), " ,", ""))</f>
        <v>, 1x3.2.8.1,</v>
      </c>
      <c r="Z167" s="141">
        <v>45</v>
      </c>
      <c r="AA167" s="141">
        <v>0</v>
      </c>
      <c r="AB167" s="141">
        <v>0</v>
      </c>
      <c r="AC167" s="39">
        <v>0</v>
      </c>
      <c r="AD167" s="141" t="s">
        <v>1473</v>
      </c>
      <c r="AE167" s="296"/>
      <c r="AF167" s="156"/>
      <c r="AG167"/>
    </row>
    <row r="168" spans="1:33" x14ac:dyDescent="0.25">
      <c r="A168" s="24" t="s">
        <v>2310</v>
      </c>
      <c r="B168" s="134" t="s">
        <v>54</v>
      </c>
      <c r="C168" t="str">
        <f>_xlfn.CONCAT(A168,".",B168)</f>
        <v>PG10.3.2.8.2.A</v>
      </c>
      <c r="D168" t="s">
        <v>2311</v>
      </c>
      <c r="E168" s="18">
        <f>Z168+AA168+AB168+(65*AC168)</f>
        <v>40</v>
      </c>
      <c r="F168" s="19" cm="1">
        <f t="array" aca="1" ref="F168" ca="1">SUMPRODUCT(SUMIF(INDIRECT("'"&amp;Assemblies[Assy]&amp;"'!"&amp;"C5:C1000"),C168,(INDIRECT("'"&amp;Assemblies[Assy]&amp;"'!"&amp;"O5:O1000"))))</f>
        <v>1</v>
      </c>
      <c r="G168" s="19">
        <v>1</v>
      </c>
      <c r="H168" s="19" t="str">
        <f ca="1">IF(F168&lt;=G168," ","YES")</f>
        <v xml:space="preserve"> </v>
      </c>
      <c r="O168" t="s">
        <v>1999</v>
      </c>
      <c r="P168" t="s">
        <v>1993</v>
      </c>
      <c r="R168" t="s">
        <v>2000</v>
      </c>
      <c r="T168" s="40" t="s">
        <v>2001</v>
      </c>
      <c r="U168" s="40">
        <v>45530</v>
      </c>
      <c r="V168" s="40">
        <v>45561</v>
      </c>
      <c r="X168" s="157">
        <v>55708</v>
      </c>
      <c r="Y168" s="40" t="str" cm="1">
        <f t="array" aca="1" ref="Y168" ca="1">TRIM(SUBSTITUTE(_xlfn.ARRAYTOTEXT(IFERROR(CONCATENATE(SUMIF(INDIRECT("'"&amp;Assemblies[Assy]&amp;"'!"&amp;"C$5:C1000"), $C168, INDIRECT("'"&amp;Assemblies[Assy]&amp;"'!"&amp;"O$5:O1000")), "x",Assemblies[Assy],".",IF(SUMIF(INDIRECT("'"&amp;Assemblies[Assy]&amp;"'!"&amp;"C$5:C1000"), $C168, INDIRECT("'"&amp;Assemblies[Assy]&amp;"'!"&amp;"A$5:A1000"))=0,NA(),SUMIF(INDIRECT("'"&amp;Assemblies[Assy]&amp;"'!"&amp;"C$5:C1000"), $C168, INDIRECT("'"&amp;Assemblies[Assy]&amp;"'!"&amp;"A$5:A1000")))),"")), " ,", ""))</f>
        <v>, 1x3.2.8.2,</v>
      </c>
      <c r="Z168" s="141">
        <v>40</v>
      </c>
      <c r="AA168" s="141">
        <v>0</v>
      </c>
      <c r="AB168" s="141">
        <v>0</v>
      </c>
      <c r="AC168" s="39">
        <v>0</v>
      </c>
      <c r="AD168" s="141" t="s">
        <v>1473</v>
      </c>
      <c r="AE168" s="296"/>
      <c r="AF168" s="156"/>
      <c r="AG168"/>
    </row>
    <row r="169" spans="1:33" x14ac:dyDescent="0.25">
      <c r="A169" s="24" t="s">
        <v>2444</v>
      </c>
      <c r="B169" s="134" t="s">
        <v>54</v>
      </c>
      <c r="C169" t="str">
        <f>_xlfn.CONCAT(A169,".",B169)</f>
        <v>PG10.3.2.9.1.A</v>
      </c>
      <c r="D169" t="s">
        <v>1642</v>
      </c>
      <c r="E169" s="18">
        <f>Z169+AA169+AB169+(65*AC169)</f>
        <v>84.91</v>
      </c>
      <c r="F169" s="19" cm="1">
        <f t="array" aca="1" ref="F169" ca="1">SUMPRODUCT(SUMIF(INDIRECT("'"&amp;Assemblies[Assy]&amp;"'!"&amp;"C5:C1000"),C169,(INDIRECT("'"&amp;Assemblies[Assy]&amp;"'!"&amp;"O5:O1000"))))</f>
        <v>2</v>
      </c>
      <c r="G169" s="19">
        <v>2</v>
      </c>
      <c r="H169" s="19" t="str">
        <f ca="1">IF(F169&lt;=G169," ","YES")</f>
        <v xml:space="preserve"> </v>
      </c>
      <c r="O169" t="s">
        <v>1999</v>
      </c>
      <c r="P169" t="s">
        <v>2386</v>
      </c>
      <c r="R169" t="s">
        <v>3781</v>
      </c>
      <c r="T169" s="40">
        <v>45545</v>
      </c>
      <c r="U169" s="40">
        <v>45554</v>
      </c>
      <c r="V169" s="40">
        <v>45576</v>
      </c>
      <c r="X169" s="157">
        <v>55745</v>
      </c>
      <c r="Y169" s="40" t="str" cm="1">
        <f t="array" aca="1" ref="Y169" ca="1">TRIM(SUBSTITUTE(_xlfn.ARRAYTOTEXT(IFERROR(CONCATENATE(SUMIF(INDIRECT("'"&amp;Assemblies[Assy]&amp;"'!"&amp;"C$5:C1000"), $C169, INDIRECT("'"&amp;Assemblies[Assy]&amp;"'!"&amp;"O$5:O1000")), "x",Assemblies[Assy],".",IF(SUMIF(INDIRECT("'"&amp;Assemblies[Assy]&amp;"'!"&amp;"C$5:C1000"), $C169, INDIRECT("'"&amp;Assemblies[Assy]&amp;"'!"&amp;"A$5:A1000"))=0,NA(),SUMIF(INDIRECT("'"&amp;Assemblies[Assy]&amp;"'!"&amp;"C$5:C1000"), $C169, INDIRECT("'"&amp;Assemblies[Assy]&amp;"'!"&amp;"A$5:A1000")))),"")), " ,", ""))</f>
        <v>, 2x3.2.9.1,</v>
      </c>
      <c r="Z169" s="141">
        <v>84.91</v>
      </c>
      <c r="AA169" s="141">
        <v>0</v>
      </c>
      <c r="AB169" s="136">
        <v>0</v>
      </c>
      <c r="AC169" s="39">
        <v>0</v>
      </c>
      <c r="AD169" s="141" t="s">
        <v>1473</v>
      </c>
      <c r="AE169" s="296"/>
      <c r="AF169" s="156"/>
      <c r="AG169"/>
    </row>
    <row r="170" spans="1:33" x14ac:dyDescent="0.25">
      <c r="A170" s="24" t="s">
        <v>2323</v>
      </c>
      <c r="B170" s="134" t="s">
        <v>54</v>
      </c>
      <c r="C170" t="str">
        <f>_xlfn.CONCAT(A170,".",B170)</f>
        <v>PG10.3.4.1.A</v>
      </c>
      <c r="D170" t="s">
        <v>2324</v>
      </c>
      <c r="E170" s="18">
        <v>60</v>
      </c>
      <c r="F170" s="19" cm="1">
        <f t="array" aca="1" ref="F170" ca="1">SUMPRODUCT(SUMIF(INDIRECT("'"&amp;Assemblies[Assy]&amp;"'!"&amp;"C5:C1000"),C170,(INDIRECT("'"&amp;Assemblies[Assy]&amp;"'!"&amp;"O5:O1000"))))</f>
        <v>2</v>
      </c>
      <c r="G170" s="19">
        <v>2</v>
      </c>
      <c r="H170" s="19" t="str">
        <f ca="1">IF(F170&lt;=G170," ","YES")</f>
        <v xml:space="preserve"> </v>
      </c>
      <c r="I170">
        <v>2</v>
      </c>
      <c r="J170">
        <v>2</v>
      </c>
      <c r="L170">
        <v>2</v>
      </c>
      <c r="N170">
        <v>2</v>
      </c>
      <c r="O170" t="s">
        <v>2189</v>
      </c>
      <c r="P170" t="s">
        <v>1993</v>
      </c>
      <c r="R170" t="s">
        <v>2178</v>
      </c>
      <c r="T170" s="40">
        <v>45503</v>
      </c>
      <c r="U170" s="40">
        <v>45509</v>
      </c>
      <c r="V170" s="40">
        <v>45540</v>
      </c>
      <c r="W170" s="40">
        <v>45540</v>
      </c>
      <c r="X170" s="157">
        <v>55656</v>
      </c>
      <c r="Y170" s="40" t="str" cm="1">
        <f t="array" aca="1" ref="Y170" ca="1">TRIM(SUBSTITUTE(_xlfn.ARRAYTOTEXT(IFERROR(CONCATENATE(SUMIF(INDIRECT("'"&amp;Assemblies[Assy]&amp;"'!"&amp;"C$5:C1000"), $C170, INDIRECT("'"&amp;Assemblies[Assy]&amp;"'!"&amp;"O$5:O1000")), "x",Assemblies[Assy],".",IF(SUMIF(INDIRECT("'"&amp;Assemblies[Assy]&amp;"'!"&amp;"C$5:C1000"), $C170, INDIRECT("'"&amp;Assemblies[Assy]&amp;"'!"&amp;"A$5:A1000"))=0,NA(),SUMIF(INDIRECT("'"&amp;Assemblies[Assy]&amp;"'!"&amp;"C$5:C1000"), $C170, INDIRECT("'"&amp;Assemblies[Assy]&amp;"'!"&amp;"A$5:A1000")))),"")), " ,", ""))</f>
        <v>, 2x3.4.1,</v>
      </c>
      <c r="Z170" s="141">
        <v>0</v>
      </c>
      <c r="AA170" s="141">
        <v>0</v>
      </c>
      <c r="AB170" s="141">
        <v>0</v>
      </c>
      <c r="AC170" s="39">
        <v>0</v>
      </c>
      <c r="AD170" s="141"/>
      <c r="AE170" s="296"/>
      <c r="AF170" s="156"/>
      <c r="AG170"/>
    </row>
    <row r="171" spans="1:33" x14ac:dyDescent="0.25">
      <c r="A171" s="24" t="s">
        <v>2325</v>
      </c>
      <c r="B171" s="134" t="s">
        <v>54</v>
      </c>
      <c r="C171" t="str">
        <f>_xlfn.CONCAT(A171,".",B171)</f>
        <v>PG10.3.4.2.A</v>
      </c>
      <c r="D171" t="s">
        <v>2326</v>
      </c>
      <c r="E171" s="18">
        <v>122</v>
      </c>
      <c r="F171" s="19" cm="1">
        <f t="array" aca="1" ref="F171" ca="1">SUMPRODUCT(SUMIF(INDIRECT("'"&amp;Assemblies[Assy]&amp;"'!"&amp;"C5:C1000"),C171,(INDIRECT("'"&amp;Assemblies[Assy]&amp;"'!"&amp;"O5:O1000"))))</f>
        <v>2</v>
      </c>
      <c r="G171" s="19">
        <v>2</v>
      </c>
      <c r="H171" s="19" t="str">
        <f ca="1">IF(F171&lt;=G171," ","YES")</f>
        <v xml:space="preserve"> </v>
      </c>
      <c r="I171">
        <v>2</v>
      </c>
      <c r="J171">
        <v>2</v>
      </c>
      <c r="K171" s="40">
        <v>45553</v>
      </c>
      <c r="L171">
        <v>2</v>
      </c>
      <c r="M171" s="40">
        <v>45558</v>
      </c>
      <c r="N171">
        <v>2</v>
      </c>
      <c r="O171" t="s">
        <v>2026</v>
      </c>
      <c r="P171" t="s">
        <v>2027</v>
      </c>
      <c r="R171" t="s">
        <v>2178</v>
      </c>
      <c r="T171" s="40">
        <v>45503</v>
      </c>
      <c r="U171" s="40">
        <v>45509</v>
      </c>
      <c r="V171" s="40">
        <v>45540</v>
      </c>
      <c r="W171" s="40">
        <v>45540</v>
      </c>
      <c r="X171" s="157">
        <v>55656</v>
      </c>
      <c r="Y171" s="40" t="str" cm="1">
        <f t="array" aca="1" ref="Y171" ca="1">TRIM(SUBSTITUTE(_xlfn.ARRAYTOTEXT(IFERROR(CONCATENATE(SUMIF(INDIRECT("'"&amp;Assemblies[Assy]&amp;"'!"&amp;"C$5:C1000"), $C171, INDIRECT("'"&amp;Assemblies[Assy]&amp;"'!"&amp;"O$5:O1000")), "x",Assemblies[Assy],".",IF(SUMIF(INDIRECT("'"&amp;Assemblies[Assy]&amp;"'!"&amp;"C$5:C1000"), $C171, INDIRECT("'"&amp;Assemblies[Assy]&amp;"'!"&amp;"A$5:A1000"))=0,NA(),SUMIF(INDIRECT("'"&amp;Assemblies[Assy]&amp;"'!"&amp;"C$5:C1000"), $C171, INDIRECT("'"&amp;Assemblies[Assy]&amp;"'!"&amp;"A$5:A1000")))),"")), " ,", ""))</f>
        <v>, 2x3.4.2,</v>
      </c>
      <c r="Z171" s="141">
        <v>0</v>
      </c>
      <c r="AA171" s="141">
        <v>0</v>
      </c>
      <c r="AB171" s="141">
        <v>0</v>
      </c>
      <c r="AC171" s="39">
        <v>0</v>
      </c>
      <c r="AD171" s="141"/>
      <c r="AE171" s="296">
        <v>55739</v>
      </c>
      <c r="AF171" s="156"/>
      <c r="AG171"/>
    </row>
    <row r="172" spans="1:33" x14ac:dyDescent="0.25">
      <c r="A172" s="24" t="s">
        <v>2329</v>
      </c>
      <c r="B172" s="134" t="s">
        <v>54</v>
      </c>
      <c r="C172" t="str">
        <f>_xlfn.CONCAT(A172,".",B172)</f>
        <v>PG10.4.1.1.1.A</v>
      </c>
      <c r="D172" t="s">
        <v>2330</v>
      </c>
      <c r="E172" s="18">
        <v>495</v>
      </c>
      <c r="F172" s="19" cm="1">
        <f t="array" aca="1" ref="F172" ca="1">SUMPRODUCT(SUMIF(INDIRECT("'"&amp;Assemblies[Assy]&amp;"'!"&amp;"C5:C1000"),C172,(INDIRECT("'"&amp;Assemblies[Assy]&amp;"'!"&amp;"O5:O1000"))))</f>
        <v>2</v>
      </c>
      <c r="G172" s="19">
        <v>2</v>
      </c>
      <c r="H172" s="19" t="str">
        <f ca="1">IF(F172&lt;=G172," ","YES")</f>
        <v xml:space="preserve"> </v>
      </c>
      <c r="I172">
        <v>2</v>
      </c>
      <c r="J172">
        <v>2</v>
      </c>
      <c r="K172" s="40">
        <v>45553</v>
      </c>
      <c r="L172">
        <v>2</v>
      </c>
      <c r="M172" s="40">
        <v>45560</v>
      </c>
      <c r="N172">
        <v>2</v>
      </c>
      <c r="O172" t="s">
        <v>2067</v>
      </c>
      <c r="P172" t="s">
        <v>2165</v>
      </c>
      <c r="R172" t="s">
        <v>2090</v>
      </c>
      <c r="T172" s="40">
        <v>45504</v>
      </c>
      <c r="U172" s="40">
        <v>45511</v>
      </c>
      <c r="V172" s="40">
        <v>45546</v>
      </c>
      <c r="W172" s="40">
        <v>45546</v>
      </c>
      <c r="X172" s="157">
        <v>55663</v>
      </c>
      <c r="Y172" s="40" t="str" cm="1">
        <f t="array" aca="1" ref="Y172" ca="1">TRIM(SUBSTITUTE(_xlfn.ARRAYTOTEXT(IFERROR(CONCATENATE(SUMIF(INDIRECT("'"&amp;Assemblies[Assy]&amp;"'!"&amp;"C$5:C1000"), $C172, INDIRECT("'"&amp;Assemblies[Assy]&amp;"'!"&amp;"O$5:O1000")), "x",Assemblies[Assy],".",IF(SUMIF(INDIRECT("'"&amp;Assemblies[Assy]&amp;"'!"&amp;"C$5:C1000"), $C172, INDIRECT("'"&amp;Assemblies[Assy]&amp;"'!"&amp;"A$5:A1000"))=0,NA(),SUMIF(INDIRECT("'"&amp;Assemblies[Assy]&amp;"'!"&amp;"C$5:C1000"), $C172, INDIRECT("'"&amp;Assemblies[Assy]&amp;"'!"&amp;"A$5:A1000")))),"")), " ,", ""))</f>
        <v>, 2x4.1.1.1,</v>
      </c>
      <c r="Z172" s="141">
        <v>0</v>
      </c>
      <c r="AA172" s="141">
        <v>0</v>
      </c>
      <c r="AB172" s="141">
        <v>0</v>
      </c>
      <c r="AC172" s="39">
        <v>0</v>
      </c>
      <c r="AD172" s="141"/>
      <c r="AE172" s="296">
        <v>55741</v>
      </c>
      <c r="AF172" s="156"/>
      <c r="AG172"/>
    </row>
    <row r="173" spans="1:33" x14ac:dyDescent="0.25">
      <c r="A173" s="24" t="s">
        <v>2331</v>
      </c>
      <c r="B173" s="134" t="s">
        <v>54</v>
      </c>
      <c r="C173" t="str">
        <f>_xlfn.CONCAT(A173,".",B173)</f>
        <v>PG10.4.1.1.A</v>
      </c>
      <c r="D173" t="s">
        <v>2332</v>
      </c>
      <c r="E173" s="18">
        <f>Z173+AA173+AB173+(65*AC173)</f>
        <v>0</v>
      </c>
      <c r="F173" s="19" cm="1">
        <f t="array" aca="1" ref="F173" ca="1">SUMPRODUCT(SUMIF(INDIRECT("'"&amp;Assemblies[Assy]&amp;"'!"&amp;"C5:C1000"),C173,(INDIRECT("'"&amp;Assemblies[Assy]&amp;"'!"&amp;"O5:O1000"))))</f>
        <v>2</v>
      </c>
      <c r="G173" s="19">
        <v>2</v>
      </c>
      <c r="H173" s="19" t="str">
        <f ca="1">IF(F173&lt;=G173," ","YES")</f>
        <v xml:space="preserve"> </v>
      </c>
      <c r="I173">
        <v>2</v>
      </c>
      <c r="J173">
        <v>2</v>
      </c>
      <c r="L173">
        <v>2</v>
      </c>
      <c r="N173">
        <v>2</v>
      </c>
      <c r="O173" t="s">
        <v>2240</v>
      </c>
      <c r="P173" t="s">
        <v>1993</v>
      </c>
      <c r="R173" t="s">
        <v>2333</v>
      </c>
      <c r="Y173" s="40" t="str" cm="1">
        <f t="array" aca="1" ref="Y173" ca="1">TRIM(SUBSTITUTE(_xlfn.ARRAYTOTEXT(IFERROR(CONCATENATE(SUMIF(INDIRECT("'"&amp;Assemblies[Assy]&amp;"'!"&amp;"C$5:C1000"), $C173, INDIRECT("'"&amp;Assemblies[Assy]&amp;"'!"&amp;"O$5:O1000")), "x",Assemblies[Assy],".",IF(SUMIF(INDIRECT("'"&amp;Assemblies[Assy]&amp;"'!"&amp;"C$5:C1000"), $C173, INDIRECT("'"&amp;Assemblies[Assy]&amp;"'!"&amp;"A$5:A1000"))=0,NA(),SUMIF(INDIRECT("'"&amp;Assemblies[Assy]&amp;"'!"&amp;"C$5:C1000"), $C173, INDIRECT("'"&amp;Assemblies[Assy]&amp;"'!"&amp;"A$5:A1000")))),"")), " ,", ""))</f>
        <v>, 2x4.1.1,</v>
      </c>
      <c r="AD173" s="141"/>
      <c r="AE173" s="296"/>
      <c r="AF173" s="156"/>
      <c r="AG173"/>
    </row>
    <row r="174" spans="1:33" x14ac:dyDescent="0.25">
      <c r="A174" s="24" t="s">
        <v>2312</v>
      </c>
      <c r="B174" s="134" t="s">
        <v>54</v>
      </c>
      <c r="C174" t="str">
        <f>_xlfn.CONCAT(A174,".",B174)</f>
        <v>PG10.4.1.10.1.A</v>
      </c>
      <c r="D174" t="s">
        <v>2313</v>
      </c>
      <c r="E174" s="18">
        <f>Z174+AA174+AB174+(65*AC174)</f>
        <v>145</v>
      </c>
      <c r="F174" s="19" cm="1">
        <f t="array" aca="1" ref="F174" ca="1">SUMPRODUCT(SUMIF(INDIRECT("'"&amp;Assemblies[Assy]&amp;"'!"&amp;"C5:C1000"),C174,(INDIRECT("'"&amp;Assemblies[Assy]&amp;"'!"&amp;"O5:O1000"))))</f>
        <v>1</v>
      </c>
      <c r="G174" s="19">
        <v>1</v>
      </c>
      <c r="H174" s="19" t="str">
        <f ca="1">IF(F174&lt;=G174," ","YES")</f>
        <v xml:space="preserve"> </v>
      </c>
      <c r="O174" t="s">
        <v>1999</v>
      </c>
      <c r="P174" t="s">
        <v>1993</v>
      </c>
      <c r="R174" t="s">
        <v>2000</v>
      </c>
      <c r="T174" s="40" t="s">
        <v>2001</v>
      </c>
      <c r="U174" s="40">
        <v>45530</v>
      </c>
      <c r="V174" s="40">
        <v>45561</v>
      </c>
      <c r="X174" s="157">
        <v>55708</v>
      </c>
      <c r="Y174" s="40" t="str" cm="1">
        <f t="array" aca="1" ref="Y174" ca="1">TRIM(SUBSTITUTE(_xlfn.ARRAYTOTEXT(IFERROR(CONCATENATE(SUMIF(INDIRECT("'"&amp;Assemblies[Assy]&amp;"'!"&amp;"C$5:C1000"), $C174, INDIRECT("'"&amp;Assemblies[Assy]&amp;"'!"&amp;"O$5:O1000")), "x",Assemblies[Assy],".",IF(SUMIF(INDIRECT("'"&amp;Assemblies[Assy]&amp;"'!"&amp;"C$5:C1000"), $C174, INDIRECT("'"&amp;Assemblies[Assy]&amp;"'!"&amp;"A$5:A1000"))=0,NA(),SUMIF(INDIRECT("'"&amp;Assemblies[Assy]&amp;"'!"&amp;"C$5:C1000"), $C174, INDIRECT("'"&amp;Assemblies[Assy]&amp;"'!"&amp;"A$5:A1000")))),"")), " ,", ""))</f>
        <v>, 1x4.1.10.1,</v>
      </c>
      <c r="Z174" s="141">
        <v>145</v>
      </c>
      <c r="AA174" s="141">
        <v>0</v>
      </c>
      <c r="AB174" s="141">
        <v>0</v>
      </c>
      <c r="AC174" s="39">
        <v>0</v>
      </c>
      <c r="AD174" s="141" t="s">
        <v>1473</v>
      </c>
      <c r="AE174" s="296"/>
      <c r="AF174" s="156"/>
      <c r="AG174"/>
    </row>
    <row r="175" spans="1:33" x14ac:dyDescent="0.25">
      <c r="A175" s="24" t="s">
        <v>2314</v>
      </c>
      <c r="B175" s="134" t="s">
        <v>54</v>
      </c>
      <c r="C175" t="str">
        <f>_xlfn.CONCAT(A175,".",B175)</f>
        <v>PG10.4.1.11.1.A</v>
      </c>
      <c r="D175" t="s">
        <v>2315</v>
      </c>
      <c r="E175" s="18">
        <f>Z175+AA175+AB175+(65*AC175)</f>
        <v>70</v>
      </c>
      <c r="F175" s="19" cm="1">
        <f t="array" aca="1" ref="F175" ca="1">SUMPRODUCT(SUMIF(INDIRECT("'"&amp;Assemblies[Assy]&amp;"'!"&amp;"C5:C1000"),C175,(INDIRECT("'"&amp;Assemblies[Assy]&amp;"'!"&amp;"O5:O1000"))))</f>
        <v>2</v>
      </c>
      <c r="G175" s="19">
        <v>2</v>
      </c>
      <c r="H175" s="19" t="str">
        <f ca="1">IF(F175&lt;=G175," ","YES")</f>
        <v xml:space="preserve"> </v>
      </c>
      <c r="O175" t="s">
        <v>1999</v>
      </c>
      <c r="P175" t="s">
        <v>1993</v>
      </c>
      <c r="R175" t="s">
        <v>2000</v>
      </c>
      <c r="T175" s="40" t="s">
        <v>2001</v>
      </c>
      <c r="U175" s="40">
        <v>45530</v>
      </c>
      <c r="V175" s="40">
        <v>45561</v>
      </c>
      <c r="X175" s="157">
        <v>55708</v>
      </c>
      <c r="Y175" s="40" t="str" cm="1">
        <f t="array" aca="1" ref="Y175" ca="1">TRIM(SUBSTITUTE(_xlfn.ARRAYTOTEXT(IFERROR(CONCATENATE(SUMIF(INDIRECT("'"&amp;Assemblies[Assy]&amp;"'!"&amp;"C$5:C1000"), $C175, INDIRECT("'"&amp;Assemblies[Assy]&amp;"'!"&amp;"O$5:O1000")), "x",Assemblies[Assy],".",IF(SUMIF(INDIRECT("'"&amp;Assemblies[Assy]&amp;"'!"&amp;"C$5:C1000"), $C175, INDIRECT("'"&amp;Assemblies[Assy]&amp;"'!"&amp;"A$5:A1000"))=0,NA(),SUMIF(INDIRECT("'"&amp;Assemblies[Assy]&amp;"'!"&amp;"C$5:C1000"), $C175, INDIRECT("'"&amp;Assemblies[Assy]&amp;"'!"&amp;"A$5:A1000")))),"")), " ,", ""))</f>
        <v>, 2x4.1.11.1,</v>
      </c>
      <c r="Z175" s="141">
        <v>70</v>
      </c>
      <c r="AA175" s="141">
        <v>0</v>
      </c>
      <c r="AB175" s="141">
        <v>0</v>
      </c>
      <c r="AC175" s="39">
        <v>0</v>
      </c>
      <c r="AD175" s="141" t="s">
        <v>1473</v>
      </c>
      <c r="AE175" s="296"/>
      <c r="AF175" s="156"/>
      <c r="AG175"/>
    </row>
    <row r="176" spans="1:33" x14ac:dyDescent="0.25">
      <c r="A176" s="24" t="s">
        <v>2381</v>
      </c>
      <c r="B176" s="134" t="s">
        <v>54</v>
      </c>
      <c r="C176" t="str">
        <f>_xlfn.CONCAT(A176,".",B176)</f>
        <v>PG10.4.1.12.1.A</v>
      </c>
      <c r="D176" t="s">
        <v>2382</v>
      </c>
      <c r="E176" s="18">
        <f>Z176+AA176+AB176+(65*AC176)</f>
        <v>0</v>
      </c>
      <c r="F176" s="19" cm="1">
        <f t="array" aca="1" ref="F176" ca="1">SUMPRODUCT(SUMIF(INDIRECT("'"&amp;Assemblies[Assy]&amp;"'!"&amp;"C5:C1000"),C176,(INDIRECT("'"&amp;Assemblies[Assy]&amp;"'!"&amp;"O5:O1000"))))</f>
        <v>0</v>
      </c>
      <c r="H176" s="19" t="str">
        <f ca="1">IF(F176&lt;=G176," ","YES")</f>
        <v xml:space="preserve"> </v>
      </c>
      <c r="O176" t="s">
        <v>1999</v>
      </c>
      <c r="P176" t="s">
        <v>1993</v>
      </c>
      <c r="S176" t="s">
        <v>2579</v>
      </c>
      <c r="X176" s="157" t="s">
        <v>3775</v>
      </c>
      <c r="Y176" s="40" t="str" cm="1">
        <f t="array" aca="1" ref="Y176" ca="1">TRIM(SUBSTITUTE(_xlfn.ARRAYTOTEXT(IFERROR(CONCATENATE(SUMIF(INDIRECT("'"&amp;Assemblies[Assy]&amp;"'!"&amp;"C$5:C1000"), $C176, INDIRECT("'"&amp;Assemblies[Assy]&amp;"'!"&amp;"O$5:O1000")), "x",Assemblies[Assy],".",IF(SUMIF(INDIRECT("'"&amp;Assemblies[Assy]&amp;"'!"&amp;"C$5:C1000"), $C176, INDIRECT("'"&amp;Assemblies[Assy]&amp;"'!"&amp;"A$5:A1000"))=0,NA(),SUMIF(INDIRECT("'"&amp;Assemblies[Assy]&amp;"'!"&amp;"C$5:C1000"), $C176, INDIRECT("'"&amp;Assemblies[Assy]&amp;"'!"&amp;"A$5:A1000")))),"")), " ,", ""))</f>
        <v>,</v>
      </c>
      <c r="Z176" s="141">
        <v>0</v>
      </c>
      <c r="AA176" s="141">
        <v>0</v>
      </c>
      <c r="AB176" s="136">
        <v>0</v>
      </c>
      <c r="AC176" s="39">
        <v>0</v>
      </c>
      <c r="AD176" s="141"/>
      <c r="AE176" s="296"/>
      <c r="AF176" s="156"/>
      <c r="AG176"/>
    </row>
    <row r="177" spans="1:33" x14ac:dyDescent="0.25">
      <c r="A177" s="24" t="s">
        <v>2381</v>
      </c>
      <c r="B177" s="134" t="s">
        <v>56</v>
      </c>
      <c r="C177" t="str">
        <f>_xlfn.CONCAT(A177,".",B177)</f>
        <v>PG10.4.1.12.1.B</v>
      </c>
      <c r="D177" t="s">
        <v>2382</v>
      </c>
      <c r="E177" s="18">
        <f>Z177+AA177+AB177+(65*AC177)</f>
        <v>0</v>
      </c>
      <c r="F177" s="19" cm="1">
        <f t="array" aca="1" ref="F177" ca="1">SUMPRODUCT(SUMIF(INDIRECT("'"&amp;Assemblies[Assy]&amp;"'!"&amp;"C5:C1000"),C177,(INDIRECT("'"&amp;Assemblies[Assy]&amp;"'!"&amp;"O5:O1000"))))</f>
        <v>1</v>
      </c>
      <c r="H177" s="19" t="str">
        <f ca="1">IF(F177&lt;=G177," ","YES")</f>
        <v>YES</v>
      </c>
      <c r="O177" t="s">
        <v>1999</v>
      </c>
      <c r="P177" t="s">
        <v>1993</v>
      </c>
      <c r="R177" t="s">
        <v>3898</v>
      </c>
      <c r="S177" t="s">
        <v>2383</v>
      </c>
      <c r="T177" s="40">
        <v>45561</v>
      </c>
      <c r="Y177" s="40" t="str" cm="1">
        <f t="array" aca="1" ref="Y177" ca="1">TRIM(SUBSTITUTE(_xlfn.ARRAYTOTEXT(IFERROR(CONCATENATE(SUMIF(INDIRECT("'"&amp;Assemblies[Assy]&amp;"'!"&amp;"C$5:C1000"), $C177, INDIRECT("'"&amp;Assemblies[Assy]&amp;"'!"&amp;"O$5:O1000")), "x",Assemblies[Assy],".",IF(SUMIF(INDIRECT("'"&amp;Assemblies[Assy]&amp;"'!"&amp;"C$5:C1000"), $C177, INDIRECT("'"&amp;Assemblies[Assy]&amp;"'!"&amp;"A$5:A1000"))=0,NA(),SUMIF(INDIRECT("'"&amp;Assemblies[Assy]&amp;"'!"&amp;"C$5:C1000"), $C177, INDIRECT("'"&amp;Assemblies[Assy]&amp;"'!"&amp;"A$5:A1000")))),"")), " ,", ""))</f>
        <v>, 1x4.1.12.1,</v>
      </c>
      <c r="Z177" s="141">
        <v>0</v>
      </c>
      <c r="AA177" s="141">
        <v>0</v>
      </c>
      <c r="AB177" s="141">
        <v>0</v>
      </c>
      <c r="AC177" s="39">
        <v>0</v>
      </c>
      <c r="AD177" s="141" t="s">
        <v>1473</v>
      </c>
      <c r="AE177" s="296"/>
      <c r="AF177" s="156"/>
      <c r="AG177"/>
    </row>
    <row r="178" spans="1:33" x14ac:dyDescent="0.25">
      <c r="A178" s="24" t="s">
        <v>3687</v>
      </c>
      <c r="B178" s="134" t="s">
        <v>54</v>
      </c>
      <c r="C178" t="str">
        <f>_xlfn.CONCAT(A178,".",B178)</f>
        <v>PG10.4.1.13.1.A</v>
      </c>
      <c r="D178" t="s">
        <v>3701</v>
      </c>
      <c r="E178" s="18">
        <f>Z178+AA178+AB178+(65*AC178)</f>
        <v>0</v>
      </c>
      <c r="F178" s="19" cm="1">
        <f t="array" aca="1" ref="F178" ca="1">SUMPRODUCT(SUMIF(INDIRECT("'"&amp;Assemblies[Assy]&amp;"'!"&amp;"C5:C1000"),C178,(INDIRECT("'"&amp;Assemblies[Assy]&amp;"'!"&amp;"O5:O1000"))))</f>
        <v>1</v>
      </c>
      <c r="H178" s="19" t="str">
        <f ca="1">IF(F178&lt;=G178," ","YES")</f>
        <v>YES</v>
      </c>
      <c r="O178" t="s">
        <v>1999</v>
      </c>
      <c r="P178" t="s">
        <v>1993</v>
      </c>
      <c r="R178" t="s">
        <v>3898</v>
      </c>
      <c r="T178" s="40">
        <v>45561</v>
      </c>
      <c r="Y178" s="40" t="str" cm="1">
        <f t="array" aca="1" ref="Y178" ca="1">TRIM(SUBSTITUTE(_xlfn.ARRAYTOTEXT(IFERROR(CONCATENATE(SUMIF(INDIRECT("'"&amp;Assemblies[Assy]&amp;"'!"&amp;"C$5:C1000"), $C178, INDIRECT("'"&amp;Assemblies[Assy]&amp;"'!"&amp;"O$5:O1000")), "x",Assemblies[Assy],".",IF(SUMIF(INDIRECT("'"&amp;Assemblies[Assy]&amp;"'!"&amp;"C$5:C1000"), $C178, INDIRECT("'"&amp;Assemblies[Assy]&amp;"'!"&amp;"A$5:A1000"))=0,NA(),SUMIF(INDIRECT("'"&amp;Assemblies[Assy]&amp;"'!"&amp;"C$5:C1000"), $C178, INDIRECT("'"&amp;Assemblies[Assy]&amp;"'!"&amp;"A$5:A1000")))),"")), " ,", ""))</f>
        <v>, 1x4.1.13.1,</v>
      </c>
      <c r="Z178" s="141">
        <v>0</v>
      </c>
      <c r="AA178" s="141">
        <v>0</v>
      </c>
      <c r="AB178" s="178">
        <v>0</v>
      </c>
      <c r="AC178" s="39">
        <v>0</v>
      </c>
      <c r="AD178" s="141" t="s">
        <v>1473</v>
      </c>
      <c r="AE178" s="296"/>
      <c r="AF178" s="156"/>
      <c r="AG178"/>
    </row>
    <row r="179" spans="1:33" x14ac:dyDescent="0.25">
      <c r="A179" s="24" t="s">
        <v>3688</v>
      </c>
      <c r="B179" s="134" t="s">
        <v>54</v>
      </c>
      <c r="C179" t="str">
        <f>_xlfn.CONCAT(A179,".",B179)</f>
        <v>PG10.4.1.14.1.A</v>
      </c>
      <c r="D179" t="s">
        <v>3702</v>
      </c>
      <c r="E179" s="18">
        <f>Z179+AA179+AB179+(65*AC179)</f>
        <v>0</v>
      </c>
      <c r="F179" s="19" cm="1">
        <f t="array" aca="1" ref="F179" ca="1">SUMPRODUCT(SUMIF(INDIRECT("'"&amp;Assemblies[Assy]&amp;"'!"&amp;"C5:C1000"),C179,(INDIRECT("'"&amp;Assemblies[Assy]&amp;"'!"&amp;"O5:O1000"))))</f>
        <v>1</v>
      </c>
      <c r="H179" s="19" t="str">
        <f ca="1">IF(F179&lt;=G179," ","YES")</f>
        <v>YES</v>
      </c>
      <c r="O179" t="s">
        <v>1999</v>
      </c>
      <c r="P179" t="s">
        <v>1993</v>
      </c>
      <c r="R179" t="s">
        <v>3898</v>
      </c>
      <c r="T179" s="40">
        <v>45561</v>
      </c>
      <c r="Y179" s="40" t="str" cm="1">
        <f t="array" aca="1" ref="Y179" ca="1">TRIM(SUBSTITUTE(_xlfn.ARRAYTOTEXT(IFERROR(CONCATENATE(SUMIF(INDIRECT("'"&amp;Assemblies[Assy]&amp;"'!"&amp;"C$5:C1000"), $C179, INDIRECT("'"&amp;Assemblies[Assy]&amp;"'!"&amp;"O$5:O1000")), "x",Assemblies[Assy],".",IF(SUMIF(INDIRECT("'"&amp;Assemblies[Assy]&amp;"'!"&amp;"C$5:C1000"), $C179, INDIRECT("'"&amp;Assemblies[Assy]&amp;"'!"&amp;"A$5:A1000"))=0,NA(),SUMIF(INDIRECT("'"&amp;Assemblies[Assy]&amp;"'!"&amp;"C$5:C1000"), $C179, INDIRECT("'"&amp;Assemblies[Assy]&amp;"'!"&amp;"A$5:A1000")))),"")), " ,", ""))</f>
        <v>, 1x4.1.14.1,</v>
      </c>
      <c r="Z179" s="141">
        <v>0</v>
      </c>
      <c r="AA179" s="141">
        <v>0</v>
      </c>
      <c r="AB179" s="178">
        <v>0</v>
      </c>
      <c r="AC179" s="39">
        <v>0</v>
      </c>
      <c r="AD179" s="141" t="s">
        <v>1473</v>
      </c>
      <c r="AE179" s="296"/>
      <c r="AF179" s="156"/>
      <c r="AG179"/>
    </row>
    <row r="180" spans="1:33" x14ac:dyDescent="0.25">
      <c r="A180" s="24" t="s">
        <v>3689</v>
      </c>
      <c r="B180" s="134" t="s">
        <v>54</v>
      </c>
      <c r="C180" t="str">
        <f>_xlfn.CONCAT(A180,".",B180)</f>
        <v>PG10.4.1.15.1.A</v>
      </c>
      <c r="D180" t="s">
        <v>3703</v>
      </c>
      <c r="E180" s="18">
        <f>Z180+AA180+AB180+(65*AC180)</f>
        <v>0</v>
      </c>
      <c r="F180" s="19" cm="1">
        <f t="array" aca="1" ref="F180" ca="1">SUMPRODUCT(SUMIF(INDIRECT("'"&amp;Assemblies[Assy]&amp;"'!"&amp;"C5:C1000"),C180,(INDIRECT("'"&amp;Assemblies[Assy]&amp;"'!"&amp;"O5:O1000"))))</f>
        <v>1</v>
      </c>
      <c r="H180" s="19" t="str">
        <f ca="1">IF(F180&lt;=G180," ","YES")</f>
        <v>YES</v>
      </c>
      <c r="O180" t="s">
        <v>1999</v>
      </c>
      <c r="P180" t="s">
        <v>1993</v>
      </c>
      <c r="R180" t="s">
        <v>3898</v>
      </c>
      <c r="T180" s="40">
        <v>45561</v>
      </c>
      <c r="Y180" s="40" t="str" cm="1">
        <f t="array" aca="1" ref="Y180" ca="1">TRIM(SUBSTITUTE(_xlfn.ARRAYTOTEXT(IFERROR(CONCATENATE(SUMIF(INDIRECT("'"&amp;Assemblies[Assy]&amp;"'!"&amp;"C$5:C1000"), $C180, INDIRECT("'"&amp;Assemblies[Assy]&amp;"'!"&amp;"O$5:O1000")), "x",Assemblies[Assy],".",IF(SUMIF(INDIRECT("'"&amp;Assemblies[Assy]&amp;"'!"&amp;"C$5:C1000"), $C180, INDIRECT("'"&amp;Assemblies[Assy]&amp;"'!"&amp;"A$5:A1000"))=0,NA(),SUMIF(INDIRECT("'"&amp;Assemblies[Assy]&amp;"'!"&amp;"C$5:C1000"), $C180, INDIRECT("'"&amp;Assemblies[Assy]&amp;"'!"&amp;"A$5:A1000")))),"")), " ,", ""))</f>
        <v>, 1x4.1.15.1,</v>
      </c>
      <c r="Z180" s="141">
        <v>0</v>
      </c>
      <c r="AA180" s="141">
        <v>0</v>
      </c>
      <c r="AB180" s="178">
        <v>0</v>
      </c>
      <c r="AC180" s="39">
        <v>0</v>
      </c>
      <c r="AD180" s="141" t="s">
        <v>1473</v>
      </c>
      <c r="AE180" s="296"/>
      <c r="AF180" s="156"/>
      <c r="AG180"/>
    </row>
    <row r="181" spans="1:33" x14ac:dyDescent="0.25">
      <c r="A181" s="24" t="s">
        <v>3690</v>
      </c>
      <c r="B181" s="134" t="s">
        <v>54</v>
      </c>
      <c r="C181" t="str">
        <f>_xlfn.CONCAT(A181,".",B181)</f>
        <v>PG10.4.1.16.1.A</v>
      </c>
      <c r="D181" t="s">
        <v>3704</v>
      </c>
      <c r="E181" s="18">
        <f>Z181+AA181+AB181+(65*AC181)</f>
        <v>0</v>
      </c>
      <c r="F181" s="19" cm="1">
        <f t="array" aca="1" ref="F181" ca="1">SUMPRODUCT(SUMIF(INDIRECT("'"&amp;Assemblies[Assy]&amp;"'!"&amp;"C5:C1000"),C181,(INDIRECT("'"&amp;Assemblies[Assy]&amp;"'!"&amp;"O5:O1000"))))</f>
        <v>1</v>
      </c>
      <c r="H181" s="19" t="str">
        <f ca="1">IF(F181&lt;=G181," ","YES")</f>
        <v>YES</v>
      </c>
      <c r="O181" t="s">
        <v>1999</v>
      </c>
      <c r="P181" t="s">
        <v>1993</v>
      </c>
      <c r="R181" t="s">
        <v>3898</v>
      </c>
      <c r="T181" s="40">
        <v>45561</v>
      </c>
      <c r="Y181" s="40" t="str" cm="1">
        <f t="array" aca="1" ref="Y181" ca="1">TRIM(SUBSTITUTE(_xlfn.ARRAYTOTEXT(IFERROR(CONCATENATE(SUMIF(INDIRECT("'"&amp;Assemblies[Assy]&amp;"'!"&amp;"C$5:C1000"), $C181, INDIRECT("'"&amp;Assemblies[Assy]&amp;"'!"&amp;"O$5:O1000")), "x",Assemblies[Assy],".",IF(SUMIF(INDIRECT("'"&amp;Assemblies[Assy]&amp;"'!"&amp;"C$5:C1000"), $C181, INDIRECT("'"&amp;Assemblies[Assy]&amp;"'!"&amp;"A$5:A1000"))=0,NA(),SUMIF(INDIRECT("'"&amp;Assemblies[Assy]&amp;"'!"&amp;"C$5:C1000"), $C181, INDIRECT("'"&amp;Assemblies[Assy]&amp;"'!"&amp;"A$5:A1000")))),"")), " ,", ""))</f>
        <v>, 1x4.1.16.1,</v>
      </c>
      <c r="Z181" s="141">
        <v>0</v>
      </c>
      <c r="AA181" s="141">
        <v>0</v>
      </c>
      <c r="AB181" s="178">
        <v>0</v>
      </c>
      <c r="AC181" s="39">
        <v>0</v>
      </c>
      <c r="AD181" s="141" t="s">
        <v>1473</v>
      </c>
      <c r="AE181" s="296"/>
      <c r="AF181" s="156"/>
      <c r="AG181"/>
    </row>
    <row r="182" spans="1:33" x14ac:dyDescent="0.25">
      <c r="A182" s="24" t="s">
        <v>3691</v>
      </c>
      <c r="B182" s="134" t="s">
        <v>54</v>
      </c>
      <c r="C182" t="str">
        <f>_xlfn.CONCAT(A182,".",B182)</f>
        <v>PG10.4.1.17.1.A</v>
      </c>
      <c r="D182" t="s">
        <v>3705</v>
      </c>
      <c r="E182" s="18">
        <f>Z182+AA182+AB182+(65*AC182)</f>
        <v>0</v>
      </c>
      <c r="F182" s="19" cm="1">
        <f t="array" aca="1" ref="F182" ca="1">SUMPRODUCT(SUMIF(INDIRECT("'"&amp;Assemblies[Assy]&amp;"'!"&amp;"C5:C1000"),C182,(INDIRECT("'"&amp;Assemblies[Assy]&amp;"'!"&amp;"O5:O1000"))))</f>
        <v>1</v>
      </c>
      <c r="H182" s="19" t="str">
        <f ca="1">IF(F182&lt;=G182," ","YES")</f>
        <v>YES</v>
      </c>
      <c r="O182" t="s">
        <v>1999</v>
      </c>
      <c r="P182" t="s">
        <v>1993</v>
      </c>
      <c r="R182" t="s">
        <v>3898</v>
      </c>
      <c r="T182" s="40">
        <v>45561</v>
      </c>
      <c r="Y182" s="40" t="str" cm="1">
        <f t="array" aca="1" ref="Y182" ca="1">TRIM(SUBSTITUTE(_xlfn.ARRAYTOTEXT(IFERROR(CONCATENATE(SUMIF(INDIRECT("'"&amp;Assemblies[Assy]&amp;"'!"&amp;"C$5:C1000"), $C182, INDIRECT("'"&amp;Assemblies[Assy]&amp;"'!"&amp;"O$5:O1000")), "x",Assemblies[Assy],".",IF(SUMIF(INDIRECT("'"&amp;Assemblies[Assy]&amp;"'!"&amp;"C$5:C1000"), $C182, INDIRECT("'"&amp;Assemblies[Assy]&amp;"'!"&amp;"A$5:A1000"))=0,NA(),SUMIF(INDIRECT("'"&amp;Assemblies[Assy]&amp;"'!"&amp;"C$5:C1000"), $C182, INDIRECT("'"&amp;Assemblies[Assy]&amp;"'!"&amp;"A$5:A1000")))),"")), " ,", ""))</f>
        <v>, 1x4.1.17.1,</v>
      </c>
      <c r="Z182" s="141">
        <v>0</v>
      </c>
      <c r="AA182" s="141">
        <v>0</v>
      </c>
      <c r="AB182" s="178">
        <v>0</v>
      </c>
      <c r="AC182" s="39">
        <v>0</v>
      </c>
      <c r="AD182" s="141" t="s">
        <v>1473</v>
      </c>
      <c r="AE182" s="296"/>
      <c r="AF182" s="156"/>
      <c r="AG182"/>
    </row>
    <row r="183" spans="1:33" x14ac:dyDescent="0.25">
      <c r="A183" s="24" t="s">
        <v>3692</v>
      </c>
      <c r="B183" s="134" t="s">
        <v>54</v>
      </c>
      <c r="C183" t="str">
        <f>_xlfn.CONCAT(A183,".",B183)</f>
        <v>PG10.4.1.18.1.A</v>
      </c>
      <c r="D183" t="s">
        <v>3706</v>
      </c>
      <c r="E183" s="18">
        <f>Z183+AA183+AB183+(65*AC183)</f>
        <v>0</v>
      </c>
      <c r="F183" s="19" cm="1">
        <f t="array" aca="1" ref="F183" ca="1">SUMPRODUCT(SUMIF(INDIRECT("'"&amp;Assemblies[Assy]&amp;"'!"&amp;"C5:C1000"),C183,(INDIRECT("'"&amp;Assemblies[Assy]&amp;"'!"&amp;"O5:O1000"))))</f>
        <v>1</v>
      </c>
      <c r="H183" s="19" t="str">
        <f ca="1">IF(F183&lt;=G183," ","YES")</f>
        <v>YES</v>
      </c>
      <c r="O183" t="s">
        <v>1999</v>
      </c>
      <c r="P183" t="s">
        <v>1993</v>
      </c>
      <c r="R183" t="s">
        <v>3898</v>
      </c>
      <c r="T183" s="40">
        <v>45561</v>
      </c>
      <c r="Y183" s="40" t="str" cm="1">
        <f t="array" aca="1" ref="Y183" ca="1">TRIM(SUBSTITUTE(_xlfn.ARRAYTOTEXT(IFERROR(CONCATENATE(SUMIF(INDIRECT("'"&amp;Assemblies[Assy]&amp;"'!"&amp;"C$5:C1000"), $C183, INDIRECT("'"&amp;Assemblies[Assy]&amp;"'!"&amp;"O$5:O1000")), "x",Assemblies[Assy],".",IF(SUMIF(INDIRECT("'"&amp;Assemblies[Assy]&amp;"'!"&amp;"C$5:C1000"), $C183, INDIRECT("'"&amp;Assemblies[Assy]&amp;"'!"&amp;"A$5:A1000"))=0,NA(),SUMIF(INDIRECT("'"&amp;Assemblies[Assy]&amp;"'!"&amp;"C$5:C1000"), $C183, INDIRECT("'"&amp;Assemblies[Assy]&amp;"'!"&amp;"A$5:A1000")))),"")), " ,", ""))</f>
        <v>, 1x4.1.18.1,</v>
      </c>
      <c r="Z183" s="141">
        <v>0</v>
      </c>
      <c r="AA183" s="141">
        <v>0</v>
      </c>
      <c r="AB183" s="178">
        <v>0</v>
      </c>
      <c r="AC183" s="39">
        <v>0</v>
      </c>
      <c r="AD183" s="141" t="s">
        <v>1473</v>
      </c>
      <c r="AE183" s="296"/>
      <c r="AF183" s="156"/>
      <c r="AG183"/>
    </row>
    <row r="184" spans="1:33" x14ac:dyDescent="0.25">
      <c r="A184" s="24" t="s">
        <v>3693</v>
      </c>
      <c r="B184" s="134" t="s">
        <v>54</v>
      </c>
      <c r="C184" t="str">
        <f>_xlfn.CONCAT(A184,".",B184)</f>
        <v>PG10.4.1.19.1.A</v>
      </c>
      <c r="D184" t="s">
        <v>3707</v>
      </c>
      <c r="E184" s="18">
        <f>Z184+AA184+AB184+(65*AC184)</f>
        <v>0</v>
      </c>
      <c r="F184" s="19" cm="1">
        <f t="array" aca="1" ref="F184" ca="1">SUMPRODUCT(SUMIF(INDIRECT("'"&amp;Assemblies[Assy]&amp;"'!"&amp;"C5:C1000"),C184,(INDIRECT("'"&amp;Assemblies[Assy]&amp;"'!"&amp;"O5:O1000"))))</f>
        <v>1</v>
      </c>
      <c r="H184" s="19" t="str">
        <f ca="1">IF(F184&lt;=G184," ","YES")</f>
        <v>YES</v>
      </c>
      <c r="O184" t="s">
        <v>1999</v>
      </c>
      <c r="P184" t="s">
        <v>1993</v>
      </c>
      <c r="R184" t="s">
        <v>3898</v>
      </c>
      <c r="T184" s="40">
        <v>45561</v>
      </c>
      <c r="Y184" s="40" t="str" cm="1">
        <f t="array" aca="1" ref="Y184" ca="1">TRIM(SUBSTITUTE(_xlfn.ARRAYTOTEXT(IFERROR(CONCATENATE(SUMIF(INDIRECT("'"&amp;Assemblies[Assy]&amp;"'!"&amp;"C$5:C1000"), $C184, INDIRECT("'"&amp;Assemblies[Assy]&amp;"'!"&amp;"O$5:O1000")), "x",Assemblies[Assy],".",IF(SUMIF(INDIRECT("'"&amp;Assemblies[Assy]&amp;"'!"&amp;"C$5:C1000"), $C184, INDIRECT("'"&amp;Assemblies[Assy]&amp;"'!"&amp;"A$5:A1000"))=0,NA(),SUMIF(INDIRECT("'"&amp;Assemblies[Assy]&amp;"'!"&amp;"C$5:C1000"), $C184, INDIRECT("'"&amp;Assemblies[Assy]&amp;"'!"&amp;"A$5:A1000")))),"")), " ,", ""))</f>
        <v>, 1x4.1.19.1,</v>
      </c>
      <c r="Z184" s="141">
        <v>0</v>
      </c>
      <c r="AA184" s="141">
        <v>0</v>
      </c>
      <c r="AB184" s="178">
        <v>0</v>
      </c>
      <c r="AC184" s="39">
        <v>0</v>
      </c>
      <c r="AD184" s="141" t="s">
        <v>1473</v>
      </c>
      <c r="AE184" s="296"/>
      <c r="AF184" s="156"/>
      <c r="AG184"/>
    </row>
    <row r="185" spans="1:33" x14ac:dyDescent="0.25">
      <c r="A185" s="24" t="s">
        <v>2342</v>
      </c>
      <c r="B185" s="134" t="s">
        <v>54</v>
      </c>
      <c r="C185" t="str">
        <f>_xlfn.CONCAT(A185,".",B185)</f>
        <v>PG10.4.1.2.1.A</v>
      </c>
      <c r="D185" t="s">
        <v>2343</v>
      </c>
      <c r="E185" s="18">
        <v>182.02</v>
      </c>
      <c r="F185" s="19" cm="1">
        <f t="array" aca="1" ref="F185" ca="1">SUMPRODUCT(SUMIF(INDIRECT("'"&amp;Assemblies[Assy]&amp;"'!"&amp;"C5:C1000"),C185,(INDIRECT("'"&amp;Assemblies[Assy]&amp;"'!"&amp;"O5:O1000"))))</f>
        <v>2</v>
      </c>
      <c r="G185" s="19">
        <v>2</v>
      </c>
      <c r="H185" s="19" t="str">
        <f ca="1">IF(F185&lt;=G185," ","YES")</f>
        <v xml:space="preserve"> </v>
      </c>
      <c r="I185">
        <v>2</v>
      </c>
      <c r="J185">
        <v>2</v>
      </c>
      <c r="K185" s="40">
        <v>45541</v>
      </c>
      <c r="L185">
        <v>2</v>
      </c>
      <c r="N185">
        <v>2</v>
      </c>
      <c r="O185" t="s">
        <v>2243</v>
      </c>
      <c r="R185" t="s">
        <v>2052</v>
      </c>
      <c r="S185" t="s">
        <v>2244</v>
      </c>
      <c r="T185" s="40">
        <v>45502</v>
      </c>
      <c r="U185" s="40">
        <v>45520</v>
      </c>
      <c r="V185" s="40">
        <v>45532</v>
      </c>
      <c r="W185" s="40">
        <v>45532</v>
      </c>
      <c r="X185" s="157">
        <v>55687</v>
      </c>
      <c r="Y185" s="40" t="str" cm="1">
        <f t="array" aca="1" ref="Y185" ca="1">TRIM(SUBSTITUTE(_xlfn.ARRAYTOTEXT(IFERROR(CONCATENATE(SUMIF(INDIRECT("'"&amp;Assemblies[Assy]&amp;"'!"&amp;"C$5:C1000"), $C185, INDIRECT("'"&amp;Assemblies[Assy]&amp;"'!"&amp;"O$5:O1000")), "x",Assemblies[Assy],".",IF(SUMIF(INDIRECT("'"&amp;Assemblies[Assy]&amp;"'!"&amp;"C$5:C1000"), $C185, INDIRECT("'"&amp;Assemblies[Assy]&amp;"'!"&amp;"A$5:A1000"))=0,NA(),SUMIF(INDIRECT("'"&amp;Assemblies[Assy]&amp;"'!"&amp;"C$5:C1000"), $C185, INDIRECT("'"&amp;Assemblies[Assy]&amp;"'!"&amp;"A$5:A1000")))),"")), " ,", ""))</f>
        <v>, 2x4.1.2.1,</v>
      </c>
      <c r="Z185" s="141">
        <v>128.21</v>
      </c>
      <c r="AA185" s="141">
        <v>0</v>
      </c>
      <c r="AB185" s="141">
        <v>0</v>
      </c>
      <c r="AC185" s="39">
        <v>0.75</v>
      </c>
      <c r="AD185" s="141"/>
      <c r="AE185" s="296">
        <v>55722</v>
      </c>
      <c r="AF185" s="156"/>
      <c r="AG185"/>
    </row>
    <row r="186" spans="1:33" x14ac:dyDescent="0.25">
      <c r="A186" s="24" t="s">
        <v>2344</v>
      </c>
      <c r="B186" s="134" t="s">
        <v>54</v>
      </c>
      <c r="C186" t="str">
        <f>_xlfn.CONCAT(A186,".",B186)</f>
        <v>PG10.4.1.3.1.A</v>
      </c>
      <c r="D186" t="s">
        <v>2345</v>
      </c>
      <c r="E186" s="18">
        <v>655</v>
      </c>
      <c r="F186" s="19" cm="1">
        <f t="array" aca="1" ref="F186" ca="1">SUMPRODUCT(SUMIF(INDIRECT("'"&amp;Assemblies[Assy]&amp;"'!"&amp;"C5:C1000"),C186,(INDIRECT("'"&amp;Assemblies[Assy]&amp;"'!"&amp;"O5:O1000"))))</f>
        <v>4</v>
      </c>
      <c r="G186" s="19">
        <v>4</v>
      </c>
      <c r="H186" s="19" t="str">
        <f ca="1">IF(F186&lt;=G186," ","YES")</f>
        <v xml:space="preserve"> </v>
      </c>
      <c r="I186">
        <v>4</v>
      </c>
      <c r="J186">
        <v>4</v>
      </c>
      <c r="K186" s="40">
        <v>45553</v>
      </c>
      <c r="L186">
        <v>4</v>
      </c>
      <c r="M186" s="40">
        <v>45558</v>
      </c>
      <c r="N186">
        <v>4</v>
      </c>
      <c r="O186" t="s">
        <v>2026</v>
      </c>
      <c r="P186" t="s">
        <v>2027</v>
      </c>
      <c r="R186" t="s">
        <v>2090</v>
      </c>
      <c r="T186" s="40">
        <v>45504</v>
      </c>
      <c r="U186" s="40">
        <v>45511</v>
      </c>
      <c r="V186" s="40">
        <v>45546</v>
      </c>
      <c r="W186" s="40">
        <v>45546</v>
      </c>
      <c r="X186" s="157">
        <v>55663</v>
      </c>
      <c r="Y186" s="40" t="str" cm="1">
        <f t="array" aca="1" ref="Y186" ca="1">TRIM(SUBSTITUTE(_xlfn.ARRAYTOTEXT(IFERROR(CONCATENATE(SUMIF(INDIRECT("'"&amp;Assemblies[Assy]&amp;"'!"&amp;"C$5:C1000"), $C186, INDIRECT("'"&amp;Assemblies[Assy]&amp;"'!"&amp;"O$5:O1000")), "x",Assemblies[Assy],".",IF(SUMIF(INDIRECT("'"&amp;Assemblies[Assy]&amp;"'!"&amp;"C$5:C1000"), $C186, INDIRECT("'"&amp;Assemblies[Assy]&amp;"'!"&amp;"A$5:A1000"))=0,NA(),SUMIF(INDIRECT("'"&amp;Assemblies[Assy]&amp;"'!"&amp;"C$5:C1000"), $C186, INDIRECT("'"&amp;Assemblies[Assy]&amp;"'!"&amp;"A$5:A1000")))),"")), " ,", ""))</f>
        <v>, 4x4.1.3.1,</v>
      </c>
      <c r="Z186" s="141">
        <v>0</v>
      </c>
      <c r="AA186" s="141">
        <v>0</v>
      </c>
      <c r="AB186" s="141">
        <v>0</v>
      </c>
      <c r="AC186" s="39">
        <v>0</v>
      </c>
      <c r="AD186" s="141"/>
      <c r="AE186" s="296">
        <v>55739</v>
      </c>
      <c r="AF186" s="156"/>
      <c r="AG186"/>
    </row>
    <row r="187" spans="1:33" x14ac:dyDescent="0.25">
      <c r="A187" s="24" t="s">
        <v>2346</v>
      </c>
      <c r="B187" s="134" t="s">
        <v>54</v>
      </c>
      <c r="C187" t="str">
        <f>_xlfn.CONCAT(A187,".",B187)</f>
        <v>PG10.4.1.4.1.A</v>
      </c>
      <c r="D187" t="s">
        <v>2347</v>
      </c>
      <c r="E187" s="18">
        <v>170.05</v>
      </c>
      <c r="F187" s="19" cm="1">
        <f t="array" aca="1" ref="F187" ca="1">SUMPRODUCT(SUMIF(INDIRECT("'"&amp;Assemblies[Assy]&amp;"'!"&amp;"C5:C1000"),C187,(INDIRECT("'"&amp;Assemblies[Assy]&amp;"'!"&amp;"O5:O1000"))))</f>
        <v>2</v>
      </c>
      <c r="G187" s="19">
        <v>2</v>
      </c>
      <c r="H187" s="19" t="str">
        <f ca="1">IF(F187&lt;=G187," ","YES")</f>
        <v xml:space="preserve"> </v>
      </c>
      <c r="I187">
        <v>2</v>
      </c>
      <c r="J187">
        <v>2</v>
      </c>
      <c r="K187" s="40">
        <v>45541</v>
      </c>
      <c r="L187">
        <v>2</v>
      </c>
      <c r="N187">
        <v>2</v>
      </c>
      <c r="O187" t="s">
        <v>2243</v>
      </c>
      <c r="Q187" t="s">
        <v>2027</v>
      </c>
      <c r="R187" t="s">
        <v>2052</v>
      </c>
      <c r="S187" t="s">
        <v>2244</v>
      </c>
      <c r="T187" s="40">
        <v>45502</v>
      </c>
      <c r="U187" s="40">
        <v>45520</v>
      </c>
      <c r="V187" s="40">
        <v>45532</v>
      </c>
      <c r="W187" s="40">
        <v>45532</v>
      </c>
      <c r="X187" s="157">
        <v>55636</v>
      </c>
      <c r="Y187" s="40" t="str" cm="1">
        <f t="array" aca="1" ref="Y187" ca="1">TRIM(SUBSTITUTE(_xlfn.ARRAYTOTEXT(IFERROR(CONCATENATE(SUMIF(INDIRECT("'"&amp;Assemblies[Assy]&amp;"'!"&amp;"C$5:C1000"), $C187, INDIRECT("'"&amp;Assemblies[Assy]&amp;"'!"&amp;"O$5:O1000")), "x",Assemblies[Assy],".",IF(SUMIF(INDIRECT("'"&amp;Assemblies[Assy]&amp;"'!"&amp;"C$5:C1000"), $C187, INDIRECT("'"&amp;Assemblies[Assy]&amp;"'!"&amp;"A$5:A1000"))=0,NA(),SUMIF(INDIRECT("'"&amp;Assemblies[Assy]&amp;"'!"&amp;"C$5:C1000"), $C187, INDIRECT("'"&amp;Assemblies[Assy]&amp;"'!"&amp;"A$5:A1000")))),"")), " ,", ""))</f>
        <v>, 2x4.1.4.1,</v>
      </c>
      <c r="Z187" s="141">
        <v>112.19</v>
      </c>
      <c r="AA187" s="141">
        <v>0</v>
      </c>
      <c r="AB187" s="141">
        <v>0</v>
      </c>
      <c r="AC187" s="39">
        <v>0.75</v>
      </c>
      <c r="AD187" s="141"/>
      <c r="AE187" s="296">
        <v>55722</v>
      </c>
      <c r="AF187" s="156"/>
      <c r="AG187"/>
    </row>
    <row r="188" spans="1:33" x14ac:dyDescent="0.25">
      <c r="A188" s="24" t="s">
        <v>2348</v>
      </c>
      <c r="B188" s="134" t="s">
        <v>54</v>
      </c>
      <c r="C188" t="str">
        <f>_xlfn.CONCAT(A188,".",B188)</f>
        <v>PG10.4.1.5.1.A</v>
      </c>
      <c r="D188" t="s">
        <v>2349</v>
      </c>
      <c r="E188" s="18">
        <v>83.27</v>
      </c>
      <c r="F188" s="19" cm="1">
        <f t="array" aca="1" ref="F188" ca="1">SUMPRODUCT(SUMIF(INDIRECT("'"&amp;Assemblies[Assy]&amp;"'!"&amp;"C5:C1000"),C188,(INDIRECT("'"&amp;Assemblies[Assy]&amp;"'!"&amp;"O5:O1000"))))</f>
        <v>2</v>
      </c>
      <c r="G188" s="19">
        <v>2</v>
      </c>
      <c r="H188" s="19" t="str">
        <f ca="1">IF(F188&lt;=G188," ","YES")</f>
        <v xml:space="preserve"> </v>
      </c>
      <c r="I188">
        <v>2</v>
      </c>
      <c r="J188">
        <v>2</v>
      </c>
      <c r="K188" s="40">
        <v>45541</v>
      </c>
      <c r="L188">
        <v>2</v>
      </c>
      <c r="N188">
        <v>2</v>
      </c>
      <c r="O188" t="s">
        <v>2243</v>
      </c>
      <c r="Q188" t="s">
        <v>2027</v>
      </c>
      <c r="R188" t="s">
        <v>2052</v>
      </c>
      <c r="S188" t="s">
        <v>2244</v>
      </c>
      <c r="T188" s="40">
        <v>45502</v>
      </c>
      <c r="U188" s="40">
        <v>45520</v>
      </c>
      <c r="V188" s="40">
        <v>45532</v>
      </c>
      <c r="W188" s="40">
        <v>45532</v>
      </c>
      <c r="X188" s="157">
        <v>55687</v>
      </c>
      <c r="Y188" s="40" t="str" cm="1">
        <f t="array" aca="1" ref="Y188" ca="1">TRIM(SUBSTITUTE(_xlfn.ARRAYTOTEXT(IFERROR(CONCATENATE(SUMIF(INDIRECT("'"&amp;Assemblies[Assy]&amp;"'!"&amp;"C$5:C1000"), $C188, INDIRECT("'"&amp;Assemblies[Assy]&amp;"'!"&amp;"O$5:O1000")), "x",Assemblies[Assy],".",IF(SUMIF(INDIRECT("'"&amp;Assemblies[Assy]&amp;"'!"&amp;"C$5:C1000"), $C188, INDIRECT("'"&amp;Assemblies[Assy]&amp;"'!"&amp;"A$5:A1000"))=0,NA(),SUMIF(INDIRECT("'"&amp;Assemblies[Assy]&amp;"'!"&amp;"C$5:C1000"), $C188, INDIRECT("'"&amp;Assemblies[Assy]&amp;"'!"&amp;"A$5:A1000")))),"")), " ,", ""))</f>
        <v>, 2x4.1.5.1,</v>
      </c>
      <c r="Z188" s="141">
        <v>80.14</v>
      </c>
      <c r="AA188" s="141">
        <v>0</v>
      </c>
      <c r="AB188" s="141">
        <v>0</v>
      </c>
      <c r="AC188" s="39">
        <v>0.5</v>
      </c>
      <c r="AD188" s="141"/>
      <c r="AE188" s="296">
        <v>55722</v>
      </c>
      <c r="AF188" s="156"/>
      <c r="AG188"/>
    </row>
    <row r="189" spans="1:33" x14ac:dyDescent="0.25">
      <c r="A189" s="24" t="s">
        <v>2350</v>
      </c>
      <c r="B189" s="134" t="s">
        <v>54</v>
      </c>
      <c r="C189" t="str">
        <f>_xlfn.CONCAT(A189,".",B189)</f>
        <v>PG10.4.1.6.1.A</v>
      </c>
      <c r="D189" t="s">
        <v>2351</v>
      </c>
      <c r="E189" s="18">
        <v>395</v>
      </c>
      <c r="F189" s="19" cm="1">
        <f t="array" aca="1" ref="F189" ca="1">SUMPRODUCT(SUMIF(INDIRECT("'"&amp;Assemblies[Assy]&amp;"'!"&amp;"C5:C1000"),C189,(INDIRECT("'"&amp;Assemblies[Assy]&amp;"'!"&amp;"O5:O1000"))))</f>
        <v>2</v>
      </c>
      <c r="G189" s="19">
        <v>2</v>
      </c>
      <c r="H189" s="19" t="str">
        <f ca="1">IF(F189&lt;=G189," ","YES")</f>
        <v xml:space="preserve"> </v>
      </c>
      <c r="I189">
        <v>2</v>
      </c>
      <c r="J189">
        <v>2</v>
      </c>
      <c r="K189" s="40">
        <v>45553</v>
      </c>
      <c r="L189">
        <v>2</v>
      </c>
      <c r="M189" s="40">
        <v>45560</v>
      </c>
      <c r="N189">
        <v>2</v>
      </c>
      <c r="O189" t="s">
        <v>2067</v>
      </c>
      <c r="P189" t="s">
        <v>2352</v>
      </c>
      <c r="R189" t="s">
        <v>2090</v>
      </c>
      <c r="T189" s="40">
        <v>45504</v>
      </c>
      <c r="U189" s="40">
        <v>45511</v>
      </c>
      <c r="V189" s="40">
        <v>45546</v>
      </c>
      <c r="W189" s="40">
        <v>45546</v>
      </c>
      <c r="X189" s="157">
        <v>55663</v>
      </c>
      <c r="Y189" s="40" t="str" cm="1">
        <f t="array" aca="1" ref="Y189" ca="1">TRIM(SUBSTITUTE(_xlfn.ARRAYTOTEXT(IFERROR(CONCATENATE(SUMIF(INDIRECT("'"&amp;Assemblies[Assy]&amp;"'!"&amp;"C$5:C1000"), $C189, INDIRECT("'"&amp;Assemblies[Assy]&amp;"'!"&amp;"O$5:O1000")), "x",Assemblies[Assy],".",IF(SUMIF(INDIRECT("'"&amp;Assemblies[Assy]&amp;"'!"&amp;"C$5:C1000"), $C189, INDIRECT("'"&amp;Assemblies[Assy]&amp;"'!"&amp;"A$5:A1000"))=0,NA(),SUMIF(INDIRECT("'"&amp;Assemblies[Assy]&amp;"'!"&amp;"C$5:C1000"), $C189, INDIRECT("'"&amp;Assemblies[Assy]&amp;"'!"&amp;"A$5:A1000")))),"")), " ,", ""))</f>
        <v>, 2x4.1.6.1,</v>
      </c>
      <c r="Z189" s="141">
        <v>0</v>
      </c>
      <c r="AA189" s="141">
        <v>0</v>
      </c>
      <c r="AB189" s="141">
        <v>0</v>
      </c>
      <c r="AC189" s="39">
        <v>0</v>
      </c>
      <c r="AD189" s="141"/>
      <c r="AE189" s="296">
        <v>55741</v>
      </c>
      <c r="AF189" s="156"/>
      <c r="AG189"/>
    </row>
    <row r="190" spans="1:33" x14ac:dyDescent="0.25">
      <c r="A190" s="24" t="s">
        <v>2316</v>
      </c>
      <c r="B190" s="134" t="s">
        <v>54</v>
      </c>
      <c r="C190" t="str">
        <f>_xlfn.CONCAT(A190,".",B190)</f>
        <v>PG10.4.1.7.1.A</v>
      </c>
      <c r="D190" s="288" t="s">
        <v>2317</v>
      </c>
      <c r="E190" s="18">
        <f>Z190+AA190+AB190+(65*AC190)</f>
        <v>0</v>
      </c>
      <c r="F190" s="19" cm="1">
        <f t="array" aca="1" ref="F190" ca="1">SUMPRODUCT(SUMIF(INDIRECT("'"&amp;Assemblies[Assy]&amp;"'!"&amp;"C5:C1000"),C190,(INDIRECT("'"&amp;Assemblies[Assy]&amp;"'!"&amp;"O5:O1000"))))</f>
        <v>0</v>
      </c>
      <c r="H190" s="19" t="str">
        <f ca="1">IF(F190&lt;=G190," ","YES")</f>
        <v xml:space="preserve"> </v>
      </c>
      <c r="O190" t="s">
        <v>1999</v>
      </c>
      <c r="P190" t="s">
        <v>1993</v>
      </c>
      <c r="S190" t="s">
        <v>2580</v>
      </c>
      <c r="X190" s="157" t="s">
        <v>3775</v>
      </c>
      <c r="Y190" s="40" t="str" cm="1">
        <f t="array" aca="1" ref="Y190" ca="1">TRIM(SUBSTITUTE(_xlfn.ARRAYTOTEXT(IFERROR(CONCATENATE(SUMIF(INDIRECT("'"&amp;Assemblies[Assy]&amp;"'!"&amp;"C$5:C1000"), $C190, INDIRECT("'"&amp;Assemblies[Assy]&amp;"'!"&amp;"O$5:O1000")), "x",Assemblies[Assy],".",IF(SUMIF(INDIRECT("'"&amp;Assemblies[Assy]&amp;"'!"&amp;"C$5:C1000"), $C190, INDIRECT("'"&amp;Assemblies[Assy]&amp;"'!"&amp;"A$5:A1000"))=0,NA(),SUMIF(INDIRECT("'"&amp;Assemblies[Assy]&amp;"'!"&amp;"C$5:C1000"), $C190, INDIRECT("'"&amp;Assemblies[Assy]&amp;"'!"&amp;"A$5:A1000")))),"")), " ,", ""))</f>
        <v>,</v>
      </c>
      <c r="Z190" s="141">
        <v>0</v>
      </c>
      <c r="AA190" s="141">
        <v>0</v>
      </c>
      <c r="AB190" s="136">
        <v>0</v>
      </c>
      <c r="AC190" s="39">
        <v>0</v>
      </c>
      <c r="AD190" s="141"/>
      <c r="AE190" s="296"/>
      <c r="AF190" s="156"/>
      <c r="AG190"/>
    </row>
    <row r="191" spans="1:33" x14ac:dyDescent="0.25">
      <c r="A191" s="24" t="s">
        <v>2316</v>
      </c>
      <c r="B191" s="134" t="s">
        <v>56</v>
      </c>
      <c r="C191" t="str">
        <f>_xlfn.CONCAT(A191,".",B191)</f>
        <v>PG10.4.1.7.1.B</v>
      </c>
      <c r="D191" t="s">
        <v>2317</v>
      </c>
      <c r="E191" s="18">
        <f>Z191+AA191+AB191+(65*AC191)</f>
        <v>145</v>
      </c>
      <c r="F191" s="19" cm="1">
        <f t="array" aca="1" ref="F191" ca="1">SUMPRODUCT(SUMIF(INDIRECT("'"&amp;Assemblies[Assy]&amp;"'!"&amp;"C5:C1000"),C191,(INDIRECT("'"&amp;Assemblies[Assy]&amp;"'!"&amp;"O5:O1000"))))</f>
        <v>1</v>
      </c>
      <c r="G191" s="19">
        <v>1</v>
      </c>
      <c r="H191" s="19" t="str">
        <f ca="1">IF(F191&lt;=G191," ","YES")</f>
        <v xml:space="preserve"> </v>
      </c>
      <c r="O191" t="s">
        <v>1999</v>
      </c>
      <c r="P191" t="s">
        <v>1993</v>
      </c>
      <c r="R191" t="s">
        <v>2000</v>
      </c>
      <c r="S191" t="s">
        <v>2318</v>
      </c>
      <c r="T191" s="40" t="s">
        <v>2001</v>
      </c>
      <c r="U191" s="40">
        <v>45530</v>
      </c>
      <c r="V191" s="40">
        <v>45561</v>
      </c>
      <c r="X191" s="157">
        <v>55708</v>
      </c>
      <c r="Y191" s="40" t="str" cm="1">
        <f t="array" aca="1" ref="Y191" ca="1">TRIM(SUBSTITUTE(_xlfn.ARRAYTOTEXT(IFERROR(CONCATENATE(SUMIF(INDIRECT("'"&amp;Assemblies[Assy]&amp;"'!"&amp;"C$5:C1000"), $C191, INDIRECT("'"&amp;Assemblies[Assy]&amp;"'!"&amp;"O$5:O1000")), "x",Assemblies[Assy],".",IF(SUMIF(INDIRECT("'"&amp;Assemblies[Assy]&amp;"'!"&amp;"C$5:C1000"), $C191, INDIRECT("'"&amp;Assemblies[Assy]&amp;"'!"&amp;"A$5:A1000"))=0,NA(),SUMIF(INDIRECT("'"&amp;Assemblies[Assy]&amp;"'!"&amp;"C$5:C1000"), $C191, INDIRECT("'"&amp;Assemblies[Assy]&amp;"'!"&amp;"A$5:A1000")))),"")), " ,", ""))</f>
        <v>, 1x4.1.7.1,</v>
      </c>
      <c r="Z191" s="141">
        <v>145</v>
      </c>
      <c r="AA191" s="141">
        <v>0</v>
      </c>
      <c r="AB191" s="141">
        <v>0</v>
      </c>
      <c r="AC191" s="39">
        <v>0</v>
      </c>
      <c r="AD191" s="141" t="s">
        <v>1473</v>
      </c>
      <c r="AE191" s="296"/>
      <c r="AF191" s="156"/>
      <c r="AG191"/>
    </row>
    <row r="192" spans="1:33" x14ac:dyDescent="0.25">
      <c r="A192" s="24" t="s">
        <v>2357</v>
      </c>
      <c r="B192" s="134" t="s">
        <v>54</v>
      </c>
      <c r="C192" t="str">
        <f>_xlfn.CONCAT(A192,".",B192)</f>
        <v>PG10.4.1.7.2.A</v>
      </c>
      <c r="D192" t="s">
        <v>2358</v>
      </c>
      <c r="E192" s="18">
        <v>38.75</v>
      </c>
      <c r="F192" s="19" cm="1">
        <f t="array" aca="1" ref="F192" ca="1">SUMPRODUCT(SUMIF(INDIRECT("'"&amp;Assemblies[Assy]&amp;"'!"&amp;"C5:C1000"),C192,(INDIRECT("'"&amp;Assemblies[Assy]&amp;"'!"&amp;"O5:O1000"))))</f>
        <v>2</v>
      </c>
      <c r="G192" s="19">
        <v>2</v>
      </c>
      <c r="H192" s="19" t="str">
        <f ca="1">IF(F192&lt;=G192," ","YES")</f>
        <v xml:space="preserve"> </v>
      </c>
      <c r="I192">
        <v>2</v>
      </c>
      <c r="J192">
        <v>2</v>
      </c>
      <c r="K192" s="40">
        <v>45553</v>
      </c>
      <c r="L192">
        <v>2</v>
      </c>
      <c r="M192" s="40">
        <v>45560</v>
      </c>
      <c r="N192">
        <v>2</v>
      </c>
      <c r="O192" t="s">
        <v>1986</v>
      </c>
      <c r="P192" t="s">
        <v>2165</v>
      </c>
      <c r="R192" t="s">
        <v>2178</v>
      </c>
      <c r="T192" s="40">
        <v>45503</v>
      </c>
      <c r="U192" s="40">
        <v>45509</v>
      </c>
      <c r="V192" s="40">
        <v>45540</v>
      </c>
      <c r="W192" s="40">
        <v>45540</v>
      </c>
      <c r="X192" s="157">
        <v>55656</v>
      </c>
      <c r="Y192" s="40" t="str" cm="1">
        <f t="array" aca="1" ref="Y192" ca="1">TRIM(SUBSTITUTE(_xlfn.ARRAYTOTEXT(IFERROR(CONCATENATE(SUMIF(INDIRECT("'"&amp;Assemblies[Assy]&amp;"'!"&amp;"C$5:C1000"), $C192, INDIRECT("'"&amp;Assemblies[Assy]&amp;"'!"&amp;"O$5:O1000")), "x",Assemblies[Assy],".",IF(SUMIF(INDIRECT("'"&amp;Assemblies[Assy]&amp;"'!"&amp;"C$5:C1000"), $C192, INDIRECT("'"&amp;Assemblies[Assy]&amp;"'!"&amp;"A$5:A1000"))=0,NA(),SUMIF(INDIRECT("'"&amp;Assemblies[Assy]&amp;"'!"&amp;"C$5:C1000"), $C192, INDIRECT("'"&amp;Assemblies[Assy]&amp;"'!"&amp;"A$5:A1000")))),"")), " ,", ""))</f>
        <v>, 1x4.1.7.2, 1x4.1.8.1,</v>
      </c>
      <c r="AD192" s="141"/>
      <c r="AE192" s="297">
        <v>55743</v>
      </c>
      <c r="AF192" s="156"/>
      <c r="AG192"/>
    </row>
    <row r="193" spans="1:33" x14ac:dyDescent="0.25">
      <c r="A193" s="24" t="s">
        <v>2319</v>
      </c>
      <c r="B193" s="134" t="s">
        <v>54</v>
      </c>
      <c r="C193" t="str">
        <f>_xlfn.CONCAT(A193,".",B193)</f>
        <v>PG10.4.1.8.1.A</v>
      </c>
      <c r="D193" t="s">
        <v>2320</v>
      </c>
      <c r="E193" s="18">
        <f>Z193+AA193+AB193+(65*AC193)</f>
        <v>145</v>
      </c>
      <c r="F193" s="19" cm="1">
        <f t="array" aca="1" ref="F193" ca="1">SUMPRODUCT(SUMIF(INDIRECT("'"&amp;Assemblies[Assy]&amp;"'!"&amp;"C5:C1000"),C193,(INDIRECT("'"&amp;Assemblies[Assy]&amp;"'!"&amp;"O5:O1000"))))</f>
        <v>1</v>
      </c>
      <c r="G193" s="19">
        <v>1</v>
      </c>
      <c r="H193" s="19" t="str">
        <f ca="1">IF(F193&lt;=G193," ","YES")</f>
        <v xml:space="preserve"> </v>
      </c>
      <c r="O193" t="s">
        <v>1999</v>
      </c>
      <c r="P193" t="s">
        <v>1993</v>
      </c>
      <c r="R193" t="s">
        <v>2000</v>
      </c>
      <c r="T193" s="40" t="s">
        <v>2001</v>
      </c>
      <c r="U193" s="40">
        <v>45530</v>
      </c>
      <c r="V193" s="40">
        <v>45561</v>
      </c>
      <c r="X193" s="157">
        <v>55708</v>
      </c>
      <c r="Y193" s="40" t="str" cm="1">
        <f t="array" aca="1" ref="Y193" ca="1">TRIM(SUBSTITUTE(_xlfn.ARRAYTOTEXT(IFERROR(CONCATENATE(SUMIF(INDIRECT("'"&amp;Assemblies[Assy]&amp;"'!"&amp;"C$5:C1000"), $C193, INDIRECT("'"&amp;Assemblies[Assy]&amp;"'!"&amp;"O$5:O1000")), "x",Assemblies[Assy],".",IF(SUMIF(INDIRECT("'"&amp;Assemblies[Assy]&amp;"'!"&amp;"C$5:C1000"), $C193, INDIRECT("'"&amp;Assemblies[Assy]&amp;"'!"&amp;"A$5:A1000"))=0,NA(),SUMIF(INDIRECT("'"&amp;Assemblies[Assy]&amp;"'!"&amp;"C$5:C1000"), $C193, INDIRECT("'"&amp;Assemblies[Assy]&amp;"'!"&amp;"A$5:A1000")))),"")), " ,", ""))</f>
        <v>, 1x4.1.8.2,</v>
      </c>
      <c r="Z193" s="141">
        <v>145</v>
      </c>
      <c r="AA193" s="141">
        <v>0</v>
      </c>
      <c r="AB193" s="141">
        <v>0</v>
      </c>
      <c r="AC193" s="39">
        <v>0</v>
      </c>
      <c r="AD193" s="141" t="s">
        <v>1473</v>
      </c>
      <c r="AE193" s="296"/>
      <c r="AF193" s="156"/>
      <c r="AG193"/>
    </row>
    <row r="194" spans="1:33" x14ac:dyDescent="0.25">
      <c r="A194" s="24" t="s">
        <v>2361</v>
      </c>
      <c r="B194" s="134" t="s">
        <v>54</v>
      </c>
      <c r="C194" t="str">
        <f>_xlfn.CONCAT(A194,".",B194)</f>
        <v>PG10.4.1.8.2.A</v>
      </c>
      <c r="D194" t="s">
        <v>2362</v>
      </c>
      <c r="E194" s="18">
        <f>Z194+AA194+AB194+(65*AC194)</f>
        <v>0</v>
      </c>
      <c r="F194" s="19" cm="1">
        <f t="array" aca="1" ref="F194" ca="1">SUMPRODUCT(SUMIF(INDIRECT("'"&amp;Assemblies[Assy]&amp;"'!"&amp;"C5:C1000"),C194,(INDIRECT("'"&amp;Assemblies[Assy]&amp;"'!"&amp;"O5:O1000"))))</f>
        <v>8</v>
      </c>
      <c r="G194" s="19">
        <v>8</v>
      </c>
      <c r="H194" s="19" t="str">
        <f ca="1">IF(F194&lt;=G194," ","YES")</f>
        <v xml:space="preserve"> </v>
      </c>
      <c r="I194">
        <v>8</v>
      </c>
      <c r="J194">
        <v>8</v>
      </c>
      <c r="L194">
        <v>8</v>
      </c>
      <c r="N194">
        <v>8</v>
      </c>
      <c r="O194" t="s">
        <v>2021</v>
      </c>
      <c r="P194" t="s">
        <v>2030</v>
      </c>
      <c r="R194" t="s">
        <v>2488</v>
      </c>
      <c r="T194" s="40">
        <v>45526</v>
      </c>
      <c r="U194" s="40">
        <v>45527</v>
      </c>
      <c r="V194" s="40">
        <v>45548</v>
      </c>
      <c r="W194" s="40">
        <v>45548</v>
      </c>
      <c r="X194" s="157">
        <v>55702</v>
      </c>
      <c r="Y194" s="40" t="str" cm="1">
        <f t="array" aca="1" ref="Y194" ca="1">TRIM(SUBSTITUTE(_xlfn.ARRAYTOTEXT(IFERROR(CONCATENATE(SUMIF(INDIRECT("'"&amp;Assemblies[Assy]&amp;"'!"&amp;"C$5:C1000"), $C194, INDIRECT("'"&amp;Assemblies[Assy]&amp;"'!"&amp;"O$5:O1000")), "x",Assemblies[Assy],".",IF(SUMIF(INDIRECT("'"&amp;Assemblies[Assy]&amp;"'!"&amp;"C$5:C1000"), $C194, INDIRECT("'"&amp;Assemblies[Assy]&amp;"'!"&amp;"A$5:A1000"))=0,NA(),SUMIF(INDIRECT("'"&amp;Assemblies[Assy]&amp;"'!"&amp;"C$5:C1000"), $C194, INDIRECT("'"&amp;Assemblies[Assy]&amp;"'!"&amp;"A$5:A1000")))),"")), " ,", ""))</f>
        <v>, 4x4.1.8.3, 4x4.2.1.2,</v>
      </c>
      <c r="Z194" s="141">
        <v>0</v>
      </c>
      <c r="AA194" s="141">
        <v>0</v>
      </c>
      <c r="AB194" s="141">
        <v>0</v>
      </c>
      <c r="AC194" s="39">
        <v>0</v>
      </c>
      <c r="AD194" s="141"/>
      <c r="AE194" s="296"/>
      <c r="AF194" s="156"/>
      <c r="AG194"/>
    </row>
    <row r="195" spans="1:33" x14ac:dyDescent="0.25">
      <c r="A195" s="24" t="s">
        <v>2321</v>
      </c>
      <c r="B195" s="134" t="s">
        <v>54</v>
      </c>
      <c r="C195" t="str">
        <f>_xlfn.CONCAT(A195,".",B195)</f>
        <v>PG10.4.1.9.1.A</v>
      </c>
      <c r="D195" t="s">
        <v>2322</v>
      </c>
      <c r="E195" s="18">
        <f>Z195+AA195+AB195+(65*AC195)</f>
        <v>115</v>
      </c>
      <c r="F195" s="19" cm="1">
        <f t="array" aca="1" ref="F195" ca="1">SUMPRODUCT(SUMIF(INDIRECT("'"&amp;Assemblies[Assy]&amp;"'!"&amp;"C5:C1000"),C195,(INDIRECT("'"&amp;Assemblies[Assy]&amp;"'!"&amp;"O5:O1000"))))</f>
        <v>1</v>
      </c>
      <c r="G195" s="19">
        <v>1</v>
      </c>
      <c r="H195" s="19" t="str">
        <f ca="1">IF(F195&lt;=G195," ","YES")</f>
        <v xml:space="preserve"> </v>
      </c>
      <c r="O195" t="s">
        <v>1999</v>
      </c>
      <c r="P195" t="s">
        <v>1993</v>
      </c>
      <c r="R195" t="s">
        <v>2000</v>
      </c>
      <c r="T195" s="40" t="s">
        <v>2001</v>
      </c>
      <c r="U195" s="40">
        <v>45530</v>
      </c>
      <c r="V195" s="40">
        <v>45561</v>
      </c>
      <c r="X195" s="157">
        <v>55708</v>
      </c>
      <c r="Y195" s="40" t="str" cm="1">
        <f t="array" aca="1" ref="Y195" ca="1">TRIM(SUBSTITUTE(_xlfn.ARRAYTOTEXT(IFERROR(CONCATENATE(SUMIF(INDIRECT("'"&amp;Assemblies[Assy]&amp;"'!"&amp;"C$5:C1000"), $C195, INDIRECT("'"&amp;Assemblies[Assy]&amp;"'!"&amp;"O$5:O1000")), "x",Assemblies[Assy],".",IF(SUMIF(INDIRECT("'"&amp;Assemblies[Assy]&amp;"'!"&amp;"C$5:C1000"), $C195, INDIRECT("'"&amp;Assemblies[Assy]&amp;"'!"&amp;"A$5:A1000"))=0,NA(),SUMIF(INDIRECT("'"&amp;Assemblies[Assy]&amp;"'!"&amp;"C$5:C1000"), $C195, INDIRECT("'"&amp;Assemblies[Assy]&amp;"'!"&amp;"A$5:A1000")))),"")), " ,", ""))</f>
        <v>, 1x4.1.9.1,</v>
      </c>
      <c r="Z195" s="141">
        <v>115</v>
      </c>
      <c r="AA195" s="141">
        <v>0</v>
      </c>
      <c r="AB195" s="141">
        <v>0</v>
      </c>
      <c r="AC195" s="39">
        <v>0</v>
      </c>
      <c r="AD195" s="141" t="s">
        <v>1473</v>
      </c>
      <c r="AE195" s="296"/>
      <c r="AF195" s="156"/>
      <c r="AG195"/>
    </row>
    <row r="196" spans="1:33" x14ac:dyDescent="0.25">
      <c r="A196" s="24" t="s">
        <v>2327</v>
      </c>
      <c r="B196" s="134" t="s">
        <v>54</v>
      </c>
      <c r="C196" t="str">
        <f>_xlfn.CONCAT(A196,".",B196)</f>
        <v>PG10.4.2.1.1.A</v>
      </c>
      <c r="D196" t="s">
        <v>2328</v>
      </c>
      <c r="E196" s="18">
        <f>Z196+AA196+AB196+(65*AC196)</f>
        <v>200</v>
      </c>
      <c r="F196" s="19" cm="1">
        <f t="array" aca="1" ref="F196" ca="1">SUMPRODUCT(SUMIF(INDIRECT("'"&amp;Assemblies[Assy]&amp;"'!"&amp;"C5:C1000"),C196,(INDIRECT("'"&amp;Assemblies[Assy]&amp;"'!"&amp;"O5:O1000"))))</f>
        <v>1</v>
      </c>
      <c r="G196" s="19">
        <v>1</v>
      </c>
      <c r="H196" s="19" t="str">
        <f ca="1">IF(F196&lt;=G196," ","YES")</f>
        <v xml:space="preserve"> </v>
      </c>
      <c r="O196" t="s">
        <v>1999</v>
      </c>
      <c r="P196" t="s">
        <v>1993</v>
      </c>
      <c r="R196" t="s">
        <v>2000</v>
      </c>
      <c r="T196" s="40" t="s">
        <v>2001</v>
      </c>
      <c r="U196" s="40">
        <v>45530</v>
      </c>
      <c r="V196" s="40">
        <v>45561</v>
      </c>
      <c r="X196" s="157">
        <v>55708</v>
      </c>
      <c r="Y196" s="40" t="str" cm="1">
        <f t="array" aca="1" ref="Y196" ca="1">TRIM(SUBSTITUTE(_xlfn.ARRAYTOTEXT(IFERROR(CONCATENATE(SUMIF(INDIRECT("'"&amp;Assemblies[Assy]&amp;"'!"&amp;"C$5:C1000"), $C196, INDIRECT("'"&amp;Assemblies[Assy]&amp;"'!"&amp;"O$5:O1000")), "x",Assemblies[Assy],".",IF(SUMIF(INDIRECT("'"&amp;Assemblies[Assy]&amp;"'!"&amp;"C$5:C1000"), $C196, INDIRECT("'"&amp;Assemblies[Assy]&amp;"'!"&amp;"A$5:A1000"))=0,NA(),SUMIF(INDIRECT("'"&amp;Assemblies[Assy]&amp;"'!"&amp;"C$5:C1000"), $C196, INDIRECT("'"&amp;Assemblies[Assy]&amp;"'!"&amp;"A$5:A1000")))),"")), " ,", ""))</f>
        <v>, 1x4.2.1.1,</v>
      </c>
      <c r="Z196" s="141">
        <v>200</v>
      </c>
      <c r="AA196" s="141">
        <v>0</v>
      </c>
      <c r="AB196" s="141">
        <v>0</v>
      </c>
      <c r="AC196" s="39">
        <v>0</v>
      </c>
      <c r="AD196" s="141" t="s">
        <v>1473</v>
      </c>
      <c r="AE196" s="296"/>
      <c r="AF196" s="156"/>
      <c r="AG196"/>
    </row>
    <row r="197" spans="1:33" x14ac:dyDescent="0.25">
      <c r="A197" s="24" t="s">
        <v>2460</v>
      </c>
      <c r="B197" s="134" t="s">
        <v>54</v>
      </c>
      <c r="C197" t="str">
        <f>_xlfn.CONCAT(A197,".",B197)</f>
        <v>PG10.4.2.10.1.A</v>
      </c>
      <c r="D197" t="s">
        <v>1696</v>
      </c>
      <c r="E197" s="18">
        <f>Z197+AA197+AB197+(65*AC197)</f>
        <v>84.9</v>
      </c>
      <c r="F197" s="19" cm="1">
        <f t="array" aca="1" ref="F197" ca="1">SUMPRODUCT(SUMIF(INDIRECT("'"&amp;Assemblies[Assy]&amp;"'!"&amp;"C5:C1000"),C197,(INDIRECT("'"&amp;Assemblies[Assy]&amp;"'!"&amp;"O5:O1000"))))</f>
        <v>1</v>
      </c>
      <c r="G197" s="19">
        <v>1</v>
      </c>
      <c r="H197" s="19" t="str">
        <f ca="1">IF(F197&lt;=G197," ","YES")</f>
        <v xml:space="preserve"> </v>
      </c>
      <c r="O197" t="s">
        <v>1999</v>
      </c>
      <c r="P197" t="s">
        <v>2386</v>
      </c>
      <c r="R197" t="s">
        <v>3781</v>
      </c>
      <c r="T197" s="40">
        <v>45545</v>
      </c>
      <c r="U197" s="40">
        <v>45554</v>
      </c>
      <c r="V197" s="40">
        <v>45576</v>
      </c>
      <c r="X197" s="157">
        <v>55745</v>
      </c>
      <c r="Y197" s="40" t="str" cm="1">
        <f t="array" aca="1" ref="Y197" ca="1">TRIM(SUBSTITUTE(_xlfn.ARRAYTOTEXT(IFERROR(CONCATENATE(SUMIF(INDIRECT("'"&amp;Assemblies[Assy]&amp;"'!"&amp;"C$5:C1000"), $C197, INDIRECT("'"&amp;Assemblies[Assy]&amp;"'!"&amp;"O$5:O1000")), "x",Assemblies[Assy],".",IF(SUMIF(INDIRECT("'"&amp;Assemblies[Assy]&amp;"'!"&amp;"C$5:C1000"), $C197, INDIRECT("'"&amp;Assemblies[Assy]&amp;"'!"&amp;"A$5:A1000"))=0,NA(),SUMIF(INDIRECT("'"&amp;Assemblies[Assy]&amp;"'!"&amp;"C$5:C1000"), $C197, INDIRECT("'"&amp;Assemblies[Assy]&amp;"'!"&amp;"A$5:A1000")))),"")), " ,", ""))</f>
        <v>, 1x4.2.10.1,</v>
      </c>
      <c r="Z197" s="141">
        <v>84.9</v>
      </c>
      <c r="AA197" s="141">
        <v>0</v>
      </c>
      <c r="AB197" s="136">
        <v>0</v>
      </c>
      <c r="AC197" s="39">
        <v>0</v>
      </c>
      <c r="AD197" s="141" t="s">
        <v>1473</v>
      </c>
      <c r="AE197" s="296"/>
      <c r="AF197" s="156"/>
      <c r="AG197"/>
    </row>
    <row r="198" spans="1:33" x14ac:dyDescent="0.25">
      <c r="A198" s="24" t="s">
        <v>2586</v>
      </c>
      <c r="B198" s="134" t="s">
        <v>54</v>
      </c>
      <c r="C198" t="str">
        <f>_xlfn.CONCAT(A198,".",B198)</f>
        <v>PG10.4.2.11.1.A</v>
      </c>
      <c r="D198" t="s">
        <v>1698</v>
      </c>
      <c r="E198" s="18">
        <f>Z198+AA198+AB198+(65*AC198)</f>
        <v>84.9</v>
      </c>
      <c r="F198" s="19" cm="1">
        <f t="array" aca="1" ref="F198" ca="1">SUMPRODUCT(SUMIF(INDIRECT("'"&amp;Assemblies[Assy]&amp;"'!"&amp;"C5:C1000"),C198,(INDIRECT("'"&amp;Assemblies[Assy]&amp;"'!"&amp;"O5:O1000"))))</f>
        <v>1</v>
      </c>
      <c r="G198" s="19">
        <v>1</v>
      </c>
      <c r="H198" s="19" t="str">
        <f ca="1">IF(F198&lt;=G198," ","YES")</f>
        <v xml:space="preserve"> </v>
      </c>
      <c r="O198" t="s">
        <v>1999</v>
      </c>
      <c r="P198" t="s">
        <v>2386</v>
      </c>
      <c r="R198" t="s">
        <v>3781</v>
      </c>
      <c r="T198" s="40">
        <v>45545</v>
      </c>
      <c r="U198" s="40">
        <v>45554</v>
      </c>
      <c r="V198" s="40">
        <v>45576</v>
      </c>
      <c r="X198" s="157">
        <v>55745</v>
      </c>
      <c r="Y198" s="40" t="str" cm="1">
        <f t="array" aca="1" ref="Y198" ca="1">TRIM(SUBSTITUTE(_xlfn.ARRAYTOTEXT(IFERROR(CONCATENATE(SUMIF(INDIRECT("'"&amp;Assemblies[Assy]&amp;"'!"&amp;"C$5:C1000"), $C198, INDIRECT("'"&amp;Assemblies[Assy]&amp;"'!"&amp;"O$5:O1000")), "x",Assemblies[Assy],".",IF(SUMIF(INDIRECT("'"&amp;Assemblies[Assy]&amp;"'!"&amp;"C$5:C1000"), $C198, INDIRECT("'"&amp;Assemblies[Assy]&amp;"'!"&amp;"A$5:A1000"))=0,NA(),SUMIF(INDIRECT("'"&amp;Assemblies[Assy]&amp;"'!"&amp;"C$5:C1000"), $C198, INDIRECT("'"&amp;Assemblies[Assy]&amp;"'!"&amp;"A$5:A1000")))),"")), " ,", ""))</f>
        <v>, 1x4.2.11.1,</v>
      </c>
      <c r="Z198" s="141">
        <v>84.9</v>
      </c>
      <c r="AA198" s="141">
        <v>0</v>
      </c>
      <c r="AB198" s="178">
        <v>0</v>
      </c>
      <c r="AC198" s="39">
        <v>0</v>
      </c>
      <c r="AD198" s="141" t="s">
        <v>1473</v>
      </c>
      <c r="AE198" s="296"/>
      <c r="AF198" s="156"/>
      <c r="AG198"/>
    </row>
    <row r="199" spans="1:33" x14ac:dyDescent="0.25">
      <c r="A199" s="24" t="s">
        <v>2583</v>
      </c>
      <c r="B199" s="134" t="s">
        <v>54</v>
      </c>
      <c r="C199" t="str">
        <f>_xlfn.CONCAT(A199,".",B199)</f>
        <v>PG10.4.2.12.1.A</v>
      </c>
      <c r="D199" t="s">
        <v>1700</v>
      </c>
      <c r="E199" s="18">
        <f>Z199+AA199+AB199+(65*AC199)</f>
        <v>84.91</v>
      </c>
      <c r="F199" s="19" cm="1">
        <f t="array" aca="1" ref="F199" ca="1">SUMPRODUCT(SUMIF(INDIRECT("'"&amp;Assemblies[Assy]&amp;"'!"&amp;"C5:C1000"),C199,(INDIRECT("'"&amp;Assemblies[Assy]&amp;"'!"&amp;"O5:O1000"))))</f>
        <v>1</v>
      </c>
      <c r="G199" s="19">
        <v>1</v>
      </c>
      <c r="H199" s="19" t="str">
        <f ca="1">IF(F199&lt;=G199," ","YES")</f>
        <v xml:space="preserve"> </v>
      </c>
      <c r="O199" t="s">
        <v>1999</v>
      </c>
      <c r="P199" t="s">
        <v>2386</v>
      </c>
      <c r="R199" t="s">
        <v>3781</v>
      </c>
      <c r="T199" s="40">
        <v>45545</v>
      </c>
      <c r="U199" s="40">
        <v>45554</v>
      </c>
      <c r="V199" s="40">
        <v>45576</v>
      </c>
      <c r="X199" s="157">
        <v>55745</v>
      </c>
      <c r="Y199" s="40" t="str" cm="1">
        <f t="array" aca="1" ref="Y199" ca="1">TRIM(SUBSTITUTE(_xlfn.ARRAYTOTEXT(IFERROR(CONCATENATE(SUMIF(INDIRECT("'"&amp;Assemblies[Assy]&amp;"'!"&amp;"C$5:C1000"), $C199, INDIRECT("'"&amp;Assemblies[Assy]&amp;"'!"&amp;"O$5:O1000")), "x",Assemblies[Assy],".",IF(SUMIF(INDIRECT("'"&amp;Assemblies[Assy]&amp;"'!"&amp;"C$5:C1000"), $C199, INDIRECT("'"&amp;Assemblies[Assy]&amp;"'!"&amp;"A$5:A1000"))=0,NA(),SUMIF(INDIRECT("'"&amp;Assemblies[Assy]&amp;"'!"&amp;"C$5:C1000"), $C199, INDIRECT("'"&amp;Assemblies[Assy]&amp;"'!"&amp;"A$5:A1000")))),"")), " ,", ""))</f>
        <v>, 1x4.2.12.1,</v>
      </c>
      <c r="Z199" s="141">
        <v>84.91</v>
      </c>
      <c r="AA199" s="141">
        <v>0</v>
      </c>
      <c r="AB199" s="178">
        <v>0</v>
      </c>
      <c r="AC199" s="39">
        <v>0</v>
      </c>
      <c r="AD199" s="141" t="s">
        <v>1473</v>
      </c>
      <c r="AE199" s="296"/>
      <c r="AF199" s="156"/>
      <c r="AG199"/>
    </row>
    <row r="200" spans="1:33" x14ac:dyDescent="0.25">
      <c r="A200" s="24" t="s">
        <v>3826</v>
      </c>
      <c r="B200" s="134" t="s">
        <v>54</v>
      </c>
      <c r="C200" t="str">
        <f>_xlfn.CONCAT(A200,".",B200)</f>
        <v>PG10.4.2.12.2.A</v>
      </c>
      <c r="D200" t="s">
        <v>3827</v>
      </c>
      <c r="E200" s="18">
        <f>Z200+AA200+AB200+(65*AC200)</f>
        <v>84.91</v>
      </c>
      <c r="F200" s="19" cm="1">
        <f t="array" aca="1" ref="F200" ca="1">SUMPRODUCT(SUMIF(INDIRECT("'"&amp;Assemblies[Assy]&amp;"'!"&amp;"C5:C1000"),C200,(INDIRECT("'"&amp;Assemblies[Assy]&amp;"'!"&amp;"O5:O1000"))))</f>
        <v>1</v>
      </c>
      <c r="G200" s="19">
        <v>1</v>
      </c>
      <c r="H200" s="19" t="str">
        <f ca="1">IF(F200&lt;=G200," ","YES")</f>
        <v xml:space="preserve"> </v>
      </c>
      <c r="O200" t="s">
        <v>1999</v>
      </c>
      <c r="P200" t="s">
        <v>2386</v>
      </c>
      <c r="R200" t="s">
        <v>3781</v>
      </c>
      <c r="T200" s="40">
        <v>45545</v>
      </c>
      <c r="U200" s="40">
        <v>45554</v>
      </c>
      <c r="V200" s="40">
        <v>45576</v>
      </c>
      <c r="X200" s="157">
        <v>55745</v>
      </c>
      <c r="Y200" s="40" t="str" cm="1">
        <f t="array" aca="1" ref="Y200" ca="1">TRIM(SUBSTITUTE(_xlfn.ARRAYTOTEXT(IFERROR(CONCATENATE(SUMIF(INDIRECT("'"&amp;Assemblies[Assy]&amp;"'!"&amp;"C$5:C1000"), $C200, INDIRECT("'"&amp;Assemblies[Assy]&amp;"'!"&amp;"O$5:O1000")), "x",Assemblies[Assy],".",IF(SUMIF(INDIRECT("'"&amp;Assemblies[Assy]&amp;"'!"&amp;"C$5:C1000"), $C200, INDIRECT("'"&amp;Assemblies[Assy]&amp;"'!"&amp;"A$5:A1000"))=0,NA(),SUMIF(INDIRECT("'"&amp;Assemblies[Assy]&amp;"'!"&amp;"C$5:C1000"), $C200, INDIRECT("'"&amp;Assemblies[Assy]&amp;"'!"&amp;"A$5:A1000")))),"")), " ,", ""))</f>
        <v>,</v>
      </c>
      <c r="Z200" s="141">
        <v>84.91</v>
      </c>
      <c r="AA200" s="141">
        <v>0</v>
      </c>
      <c r="AB200" s="178">
        <v>0</v>
      </c>
      <c r="AC200" s="39">
        <v>0</v>
      </c>
      <c r="AD200" s="141" t="s">
        <v>1473</v>
      </c>
      <c r="AE200" s="296"/>
      <c r="AF200" s="156"/>
      <c r="AG200"/>
    </row>
    <row r="201" spans="1:33" x14ac:dyDescent="0.25">
      <c r="A201" s="24" t="s">
        <v>2334</v>
      </c>
      <c r="B201" s="134" t="s">
        <v>54</v>
      </c>
      <c r="C201" t="str">
        <f>_xlfn.CONCAT(A201,".",B201)</f>
        <v>PG10.4.2.2.1.A</v>
      </c>
      <c r="D201" t="s">
        <v>2335</v>
      </c>
      <c r="E201" s="18">
        <f>Z201+AA201+AB201+(65*AC201)</f>
        <v>72</v>
      </c>
      <c r="F201" s="19" cm="1">
        <f t="array" aca="1" ref="F201" ca="1">SUMPRODUCT(SUMIF(INDIRECT("'"&amp;Assemblies[Assy]&amp;"'!"&amp;"C5:C1000"),C201,(INDIRECT("'"&amp;Assemblies[Assy]&amp;"'!"&amp;"O5:O1000"))))</f>
        <v>2</v>
      </c>
      <c r="G201" s="19">
        <v>2</v>
      </c>
      <c r="H201" s="19" t="str">
        <f ca="1">IF(F201&lt;=G201," ","YES")</f>
        <v xml:space="preserve"> </v>
      </c>
      <c r="O201" t="s">
        <v>1999</v>
      </c>
      <c r="P201" t="s">
        <v>1993</v>
      </c>
      <c r="R201" t="s">
        <v>2000</v>
      </c>
      <c r="T201" s="40" t="s">
        <v>2001</v>
      </c>
      <c r="U201" s="40">
        <v>45530</v>
      </c>
      <c r="V201" s="40">
        <v>45561</v>
      </c>
      <c r="X201" s="157">
        <v>55708</v>
      </c>
      <c r="Y201" s="40" t="str" cm="1">
        <f t="array" aca="1" ref="Y201" ca="1">TRIM(SUBSTITUTE(_xlfn.ARRAYTOTEXT(IFERROR(CONCATENATE(SUMIF(INDIRECT("'"&amp;Assemblies[Assy]&amp;"'!"&amp;"C$5:C1000"), $C201, INDIRECT("'"&amp;Assemblies[Assy]&amp;"'!"&amp;"O$5:O1000")), "x",Assemblies[Assy],".",IF(SUMIF(INDIRECT("'"&amp;Assemblies[Assy]&amp;"'!"&amp;"C$5:C1000"), $C201, INDIRECT("'"&amp;Assemblies[Assy]&amp;"'!"&amp;"A$5:A1000"))=0,NA(),SUMIF(INDIRECT("'"&amp;Assemblies[Assy]&amp;"'!"&amp;"C$5:C1000"), $C201, INDIRECT("'"&amp;Assemblies[Assy]&amp;"'!"&amp;"A$5:A1000")))),"")), " ,", ""))</f>
        <v>, 2x4.2.2.1,</v>
      </c>
      <c r="Z201" s="141">
        <v>72</v>
      </c>
      <c r="AA201" s="141">
        <v>0</v>
      </c>
      <c r="AB201" s="141">
        <v>0</v>
      </c>
      <c r="AC201" s="39">
        <v>0</v>
      </c>
      <c r="AD201" s="141" t="s">
        <v>1473</v>
      </c>
      <c r="AE201" s="296"/>
      <c r="AF201" s="156"/>
      <c r="AG201"/>
    </row>
    <row r="202" spans="1:33" x14ac:dyDescent="0.25">
      <c r="A202" s="24" t="s">
        <v>2336</v>
      </c>
      <c r="B202" s="134" t="s">
        <v>54</v>
      </c>
      <c r="C202" t="str">
        <f>_xlfn.CONCAT(A202,".",B202)</f>
        <v>PG10.4.2.3.1.A</v>
      </c>
      <c r="D202" t="s">
        <v>2337</v>
      </c>
      <c r="E202" s="18">
        <f>Z202+AA202+AB202+(65*AC202)</f>
        <v>90</v>
      </c>
      <c r="F202" s="19" cm="1">
        <f t="array" aca="1" ref="F202" ca="1">SUMPRODUCT(SUMIF(INDIRECT("'"&amp;Assemblies[Assy]&amp;"'!"&amp;"C5:C1000"),C202,(INDIRECT("'"&amp;Assemblies[Assy]&amp;"'!"&amp;"O5:O1000"))))</f>
        <v>1</v>
      </c>
      <c r="G202" s="19">
        <v>1</v>
      </c>
      <c r="H202" s="19" t="str">
        <f ca="1">IF(F202&lt;=G202," ","YES")</f>
        <v xml:space="preserve"> </v>
      </c>
      <c r="O202" t="s">
        <v>1999</v>
      </c>
      <c r="P202" t="s">
        <v>1993</v>
      </c>
      <c r="R202" t="s">
        <v>2000</v>
      </c>
      <c r="T202" s="40" t="s">
        <v>2001</v>
      </c>
      <c r="U202" s="40">
        <v>45530</v>
      </c>
      <c r="V202" s="40">
        <v>45561</v>
      </c>
      <c r="X202" s="157">
        <v>55708</v>
      </c>
      <c r="Y202" s="40" t="str" cm="1">
        <f t="array" aca="1" ref="Y202" ca="1">TRIM(SUBSTITUTE(_xlfn.ARRAYTOTEXT(IFERROR(CONCATENATE(SUMIF(INDIRECT("'"&amp;Assemblies[Assy]&amp;"'!"&amp;"C$5:C1000"), $C202, INDIRECT("'"&amp;Assemblies[Assy]&amp;"'!"&amp;"O$5:O1000")), "x",Assemblies[Assy],".",IF(SUMIF(INDIRECT("'"&amp;Assemblies[Assy]&amp;"'!"&amp;"C$5:C1000"), $C202, INDIRECT("'"&amp;Assemblies[Assy]&amp;"'!"&amp;"A$5:A1000"))=0,NA(),SUMIF(INDIRECT("'"&amp;Assemblies[Assy]&amp;"'!"&amp;"C$5:C1000"), $C202, INDIRECT("'"&amp;Assemblies[Assy]&amp;"'!"&amp;"A$5:A1000")))),"")), " ,", ""))</f>
        <v>, 1x4.2.3.1,</v>
      </c>
      <c r="Z202" s="141">
        <v>90</v>
      </c>
      <c r="AA202" s="141">
        <v>0</v>
      </c>
      <c r="AB202" s="141">
        <v>0</v>
      </c>
      <c r="AC202" s="39">
        <v>0</v>
      </c>
      <c r="AD202" s="141" t="s">
        <v>1473</v>
      </c>
      <c r="AE202" s="296"/>
      <c r="AF202" s="156"/>
      <c r="AG202"/>
    </row>
    <row r="203" spans="1:33" x14ac:dyDescent="0.25">
      <c r="A203" s="24" t="s">
        <v>2338</v>
      </c>
      <c r="B203" s="134" t="s">
        <v>54</v>
      </c>
      <c r="C203" t="str">
        <f>_xlfn.CONCAT(A203,".",B203)</f>
        <v>PG10.4.2.4.1.A</v>
      </c>
      <c r="D203" t="s">
        <v>2339</v>
      </c>
      <c r="E203" s="18">
        <f>Z203+AA203+AB203+(65*AC203)</f>
        <v>65</v>
      </c>
      <c r="F203" s="19" cm="1">
        <f t="array" aca="1" ref="F203" ca="1">SUMPRODUCT(SUMIF(INDIRECT("'"&amp;Assemblies[Assy]&amp;"'!"&amp;"C5:C1000"),C203,(INDIRECT("'"&amp;Assemblies[Assy]&amp;"'!"&amp;"O5:O1000"))))</f>
        <v>1</v>
      </c>
      <c r="G203" s="19">
        <v>1</v>
      </c>
      <c r="H203" s="19" t="str">
        <f ca="1">IF(F203&lt;=G203," ","YES")</f>
        <v xml:space="preserve"> </v>
      </c>
      <c r="O203" t="s">
        <v>1999</v>
      </c>
      <c r="P203" t="s">
        <v>1993</v>
      </c>
      <c r="R203" t="s">
        <v>2000</v>
      </c>
      <c r="T203" s="40" t="s">
        <v>2001</v>
      </c>
      <c r="U203" s="40">
        <v>45530</v>
      </c>
      <c r="V203" s="40">
        <v>45561</v>
      </c>
      <c r="X203" s="157">
        <v>55708</v>
      </c>
      <c r="Y203" s="40" t="str" cm="1">
        <f t="array" aca="1" ref="Y203" ca="1">TRIM(SUBSTITUTE(_xlfn.ARRAYTOTEXT(IFERROR(CONCATENATE(SUMIF(INDIRECT("'"&amp;Assemblies[Assy]&amp;"'!"&amp;"C$5:C1000"), $C203, INDIRECT("'"&amp;Assemblies[Assy]&amp;"'!"&amp;"O$5:O1000")), "x",Assemblies[Assy],".",IF(SUMIF(INDIRECT("'"&amp;Assemblies[Assy]&amp;"'!"&amp;"C$5:C1000"), $C203, INDIRECT("'"&amp;Assemblies[Assy]&amp;"'!"&amp;"A$5:A1000"))=0,NA(),SUMIF(INDIRECT("'"&amp;Assemblies[Assy]&amp;"'!"&amp;"C$5:C1000"), $C203, INDIRECT("'"&amp;Assemblies[Assy]&amp;"'!"&amp;"A$5:A1000")))),"")), " ,", ""))</f>
        <v>, 1x4.2.4.1,</v>
      </c>
      <c r="Z203" s="141">
        <v>65</v>
      </c>
      <c r="AA203" s="141">
        <v>0</v>
      </c>
      <c r="AB203" s="141">
        <v>0</v>
      </c>
      <c r="AC203" s="39">
        <v>0</v>
      </c>
      <c r="AD203" s="141" t="s">
        <v>1473</v>
      </c>
      <c r="AE203" s="296"/>
      <c r="AF203" s="156"/>
      <c r="AG203"/>
    </row>
    <row r="204" spans="1:33" x14ac:dyDescent="0.25">
      <c r="A204" s="24" t="s">
        <v>2340</v>
      </c>
      <c r="B204" s="134" t="s">
        <v>54</v>
      </c>
      <c r="C204" t="str">
        <f>_xlfn.CONCAT(A204,".",B204)</f>
        <v>PG10.4.2.5.1.A</v>
      </c>
      <c r="D204" t="s">
        <v>2341</v>
      </c>
      <c r="E204" s="18">
        <f>Z204+AA204+AB204+(65*AC204)</f>
        <v>65</v>
      </c>
      <c r="F204" s="19" cm="1">
        <f t="array" aca="1" ref="F204" ca="1">SUMPRODUCT(SUMIF(INDIRECT("'"&amp;Assemblies[Assy]&amp;"'!"&amp;"C5:C1000"),C204,(INDIRECT("'"&amp;Assemblies[Assy]&amp;"'!"&amp;"O5:O1000"))))</f>
        <v>1</v>
      </c>
      <c r="G204" s="19">
        <v>1</v>
      </c>
      <c r="H204" s="19" t="str">
        <f ca="1">IF(F204&lt;=G204," ","YES")</f>
        <v xml:space="preserve"> </v>
      </c>
      <c r="O204" t="s">
        <v>1999</v>
      </c>
      <c r="P204" t="s">
        <v>1993</v>
      </c>
      <c r="R204" t="s">
        <v>2000</v>
      </c>
      <c r="T204" s="40" t="s">
        <v>2001</v>
      </c>
      <c r="U204" s="40">
        <v>45530</v>
      </c>
      <c r="V204" s="40">
        <v>45561</v>
      </c>
      <c r="X204" s="157">
        <v>55708</v>
      </c>
      <c r="Y204" s="40" t="str" cm="1">
        <f t="array" aca="1" ref="Y204" ca="1">TRIM(SUBSTITUTE(_xlfn.ARRAYTOTEXT(IFERROR(CONCATENATE(SUMIF(INDIRECT("'"&amp;Assemblies[Assy]&amp;"'!"&amp;"C$5:C1000"), $C204, INDIRECT("'"&amp;Assemblies[Assy]&amp;"'!"&amp;"O$5:O1000")), "x",Assemblies[Assy],".",IF(SUMIF(INDIRECT("'"&amp;Assemblies[Assy]&amp;"'!"&amp;"C$5:C1000"), $C204, INDIRECT("'"&amp;Assemblies[Assy]&amp;"'!"&amp;"A$5:A1000"))=0,NA(),SUMIF(INDIRECT("'"&amp;Assemblies[Assy]&amp;"'!"&amp;"C$5:C1000"), $C204, INDIRECT("'"&amp;Assemblies[Assy]&amp;"'!"&amp;"A$5:A1000")))),"")), " ,", ""))</f>
        <v>, 1x4.2.5.1,</v>
      </c>
      <c r="Z204" s="141">
        <v>65</v>
      </c>
      <c r="AA204" s="141">
        <v>0</v>
      </c>
      <c r="AB204" s="141">
        <v>0</v>
      </c>
      <c r="AC204" s="39">
        <v>0</v>
      </c>
      <c r="AD204" s="141" t="s">
        <v>1473</v>
      </c>
      <c r="AE204" s="296"/>
      <c r="AF204" s="156"/>
      <c r="AG204"/>
    </row>
    <row r="205" spans="1:33" x14ac:dyDescent="0.25">
      <c r="A205" s="24" t="s">
        <v>2353</v>
      </c>
      <c r="B205" s="134" t="s">
        <v>54</v>
      </c>
      <c r="C205" t="str">
        <f>_xlfn.CONCAT(A205,".",B205)</f>
        <v>PG10.4.2.6.1.A</v>
      </c>
      <c r="D205" t="s">
        <v>2354</v>
      </c>
      <c r="E205" s="18">
        <f>Z205+AA205+AB205+(65*AC205)</f>
        <v>80</v>
      </c>
      <c r="F205" s="19" cm="1">
        <f t="array" aca="1" ref="F205" ca="1">SUMPRODUCT(SUMIF(INDIRECT("'"&amp;Assemblies[Assy]&amp;"'!"&amp;"C5:C1000"),C205,(INDIRECT("'"&amp;Assemblies[Assy]&amp;"'!"&amp;"O5:O1000"))))</f>
        <v>1</v>
      </c>
      <c r="G205" s="19">
        <v>1</v>
      </c>
      <c r="H205" s="19" t="str">
        <f ca="1">IF(F205&lt;=G205," ","YES")</f>
        <v xml:space="preserve"> </v>
      </c>
      <c r="O205" t="s">
        <v>1999</v>
      </c>
      <c r="P205" t="s">
        <v>1993</v>
      </c>
      <c r="R205" t="s">
        <v>2000</v>
      </c>
      <c r="T205" s="40" t="s">
        <v>2001</v>
      </c>
      <c r="U205" s="40">
        <v>45530</v>
      </c>
      <c r="V205" s="40">
        <v>45561</v>
      </c>
      <c r="X205" s="157">
        <v>55708</v>
      </c>
      <c r="Y205" s="40" t="str" cm="1">
        <f t="array" aca="1" ref="Y205" ca="1">TRIM(SUBSTITUTE(_xlfn.ARRAYTOTEXT(IFERROR(CONCATENATE(SUMIF(INDIRECT("'"&amp;Assemblies[Assy]&amp;"'!"&amp;"C$5:C1000"), $C205, INDIRECT("'"&amp;Assemblies[Assy]&amp;"'!"&amp;"O$5:O1000")), "x",Assemblies[Assy],".",IF(SUMIF(INDIRECT("'"&amp;Assemblies[Assy]&amp;"'!"&amp;"C$5:C1000"), $C205, INDIRECT("'"&amp;Assemblies[Assy]&amp;"'!"&amp;"A$5:A1000"))=0,NA(),SUMIF(INDIRECT("'"&amp;Assemblies[Assy]&amp;"'!"&amp;"C$5:C1000"), $C205, INDIRECT("'"&amp;Assemblies[Assy]&amp;"'!"&amp;"A$5:A1000")))),"")), " ,", ""))</f>
        <v>, 1x4.2.6.1,</v>
      </c>
      <c r="Z205" s="141">
        <v>80</v>
      </c>
      <c r="AA205" s="141">
        <v>0</v>
      </c>
      <c r="AB205" s="141">
        <v>0</v>
      </c>
      <c r="AC205" s="39">
        <v>0</v>
      </c>
      <c r="AD205" s="141" t="s">
        <v>1473</v>
      </c>
      <c r="AE205" s="296"/>
      <c r="AF205" s="156"/>
      <c r="AG205"/>
    </row>
    <row r="206" spans="1:33" x14ac:dyDescent="0.25">
      <c r="A206" s="24" t="s">
        <v>2355</v>
      </c>
      <c r="B206" s="134" t="s">
        <v>54</v>
      </c>
      <c r="C206" t="str">
        <f>_xlfn.CONCAT(A206,".",B206)</f>
        <v>PG10.4.2.6.2.A</v>
      </c>
      <c r="D206" t="s">
        <v>2356</v>
      </c>
      <c r="E206" s="18">
        <f>Z206+AA206+AB206+(65*AC206)</f>
        <v>80</v>
      </c>
      <c r="F206" s="19" cm="1">
        <f t="array" aca="1" ref="F206" ca="1">SUMPRODUCT(SUMIF(INDIRECT("'"&amp;Assemblies[Assy]&amp;"'!"&amp;"C5:C1000"),C206,(INDIRECT("'"&amp;Assemblies[Assy]&amp;"'!"&amp;"O5:O1000"))))</f>
        <v>1</v>
      </c>
      <c r="G206" s="19">
        <v>1</v>
      </c>
      <c r="H206" s="19" t="str">
        <f ca="1">IF(F206&lt;=G206," ","YES")</f>
        <v xml:space="preserve"> </v>
      </c>
      <c r="O206" t="s">
        <v>1999</v>
      </c>
      <c r="P206" t="s">
        <v>1993</v>
      </c>
      <c r="R206" t="s">
        <v>2000</v>
      </c>
      <c r="T206" s="40" t="s">
        <v>2001</v>
      </c>
      <c r="U206" s="40">
        <v>45530</v>
      </c>
      <c r="V206" s="40">
        <v>45561</v>
      </c>
      <c r="X206" s="157">
        <v>55708</v>
      </c>
      <c r="Y206" s="40" t="str" cm="1">
        <f t="array" aca="1" ref="Y206" ca="1">TRIM(SUBSTITUTE(_xlfn.ARRAYTOTEXT(IFERROR(CONCATENATE(SUMIF(INDIRECT("'"&amp;Assemblies[Assy]&amp;"'!"&amp;"C$5:C1000"), $C206, INDIRECT("'"&amp;Assemblies[Assy]&amp;"'!"&amp;"O$5:O1000")), "x",Assemblies[Assy],".",IF(SUMIF(INDIRECT("'"&amp;Assemblies[Assy]&amp;"'!"&amp;"C$5:C1000"), $C206, INDIRECT("'"&amp;Assemblies[Assy]&amp;"'!"&amp;"A$5:A1000"))=0,NA(),SUMIF(INDIRECT("'"&amp;Assemblies[Assy]&amp;"'!"&amp;"C$5:C1000"), $C206, INDIRECT("'"&amp;Assemblies[Assy]&amp;"'!"&amp;"A$5:A1000")))),"")), " ,", ""))</f>
        <v>, 1x4.2.6.2,</v>
      </c>
      <c r="Z206" s="141">
        <v>80</v>
      </c>
      <c r="AA206" s="141">
        <v>0</v>
      </c>
      <c r="AB206" s="141">
        <v>0</v>
      </c>
      <c r="AC206" s="39">
        <v>0</v>
      </c>
      <c r="AD206" s="141" t="s">
        <v>1473</v>
      </c>
      <c r="AE206" s="296"/>
      <c r="AF206" s="156"/>
      <c r="AG206"/>
    </row>
    <row r="207" spans="1:33" x14ac:dyDescent="0.25">
      <c r="A207" s="24" t="s">
        <v>2359</v>
      </c>
      <c r="B207" s="134" t="s">
        <v>54</v>
      </c>
      <c r="C207" t="str">
        <f>_xlfn.CONCAT(A207,".",B207)</f>
        <v>PG10.4.2.7.1.A</v>
      </c>
      <c r="D207" t="s">
        <v>2360</v>
      </c>
      <c r="E207" s="18">
        <f>Z207+AA207+AB207+(65*AC207)</f>
        <v>80</v>
      </c>
      <c r="F207" s="19" cm="1">
        <f t="array" aca="1" ref="F207" ca="1">SUMPRODUCT(SUMIF(INDIRECT("'"&amp;Assemblies[Assy]&amp;"'!"&amp;"C5:C1000"),C207,(INDIRECT("'"&amp;Assemblies[Assy]&amp;"'!"&amp;"O5:O1000"))))</f>
        <v>1</v>
      </c>
      <c r="G207" s="19">
        <v>1</v>
      </c>
      <c r="H207" s="19" t="str">
        <f ca="1">IF(F207&lt;=G207," ","YES")</f>
        <v xml:space="preserve"> </v>
      </c>
      <c r="O207" t="s">
        <v>1999</v>
      </c>
      <c r="P207" t="s">
        <v>1993</v>
      </c>
      <c r="R207" t="s">
        <v>2000</v>
      </c>
      <c r="T207" s="40" t="s">
        <v>2001</v>
      </c>
      <c r="U207" s="40">
        <v>45530</v>
      </c>
      <c r="V207" s="40">
        <v>45561</v>
      </c>
      <c r="X207" s="157">
        <v>55708</v>
      </c>
      <c r="Y207" s="40" t="str" cm="1">
        <f t="array" aca="1" ref="Y207" ca="1">TRIM(SUBSTITUTE(_xlfn.ARRAYTOTEXT(IFERROR(CONCATENATE(SUMIF(INDIRECT("'"&amp;Assemblies[Assy]&amp;"'!"&amp;"C$5:C1000"), $C207, INDIRECT("'"&amp;Assemblies[Assy]&amp;"'!"&amp;"O$5:O1000")), "x",Assemblies[Assy],".",IF(SUMIF(INDIRECT("'"&amp;Assemblies[Assy]&amp;"'!"&amp;"C$5:C1000"), $C207, INDIRECT("'"&amp;Assemblies[Assy]&amp;"'!"&amp;"A$5:A1000"))=0,NA(),SUMIF(INDIRECT("'"&amp;Assemblies[Assy]&amp;"'!"&amp;"C$5:C1000"), $C207, INDIRECT("'"&amp;Assemblies[Assy]&amp;"'!"&amp;"A$5:A1000")))),"")), " ,", ""))</f>
        <v>, 1x4.2.7.1,</v>
      </c>
      <c r="Z207" s="141">
        <v>80</v>
      </c>
      <c r="AA207" s="141">
        <v>0</v>
      </c>
      <c r="AB207" s="141">
        <v>0</v>
      </c>
      <c r="AC207" s="39">
        <v>0</v>
      </c>
      <c r="AD207" s="141" t="s">
        <v>1473</v>
      </c>
      <c r="AE207" s="296"/>
      <c r="AF207" s="156"/>
      <c r="AG207"/>
    </row>
    <row r="208" spans="1:33" x14ac:dyDescent="0.25">
      <c r="A208" s="24" t="s">
        <v>2363</v>
      </c>
      <c r="B208" s="134" t="s">
        <v>54</v>
      </c>
      <c r="C208" t="str">
        <f>_xlfn.CONCAT(A208,".",B208)</f>
        <v>PG10.4.2.7.2.A</v>
      </c>
      <c r="D208" t="s">
        <v>2364</v>
      </c>
      <c r="E208" s="18">
        <f>Z208+AA208+AB208+(65*AC208)</f>
        <v>80</v>
      </c>
      <c r="F208" s="19" cm="1">
        <f t="array" aca="1" ref="F208" ca="1">SUMPRODUCT(SUMIF(INDIRECT("'"&amp;Assemblies[Assy]&amp;"'!"&amp;"C5:C1000"),C208,(INDIRECT("'"&amp;Assemblies[Assy]&amp;"'!"&amp;"O5:O1000"))))</f>
        <v>1</v>
      </c>
      <c r="G208" s="19">
        <v>1</v>
      </c>
      <c r="H208" s="19" t="str">
        <f ca="1">IF(F208&lt;=G208," ","YES")</f>
        <v xml:space="preserve"> </v>
      </c>
      <c r="O208" t="s">
        <v>1999</v>
      </c>
      <c r="P208" t="s">
        <v>1993</v>
      </c>
      <c r="R208" t="s">
        <v>2000</v>
      </c>
      <c r="T208" s="40" t="s">
        <v>2001</v>
      </c>
      <c r="U208" s="40">
        <v>45530</v>
      </c>
      <c r="V208" s="40">
        <v>45561</v>
      </c>
      <c r="X208" s="157">
        <v>55708</v>
      </c>
      <c r="Y208" s="40" t="str" cm="1">
        <f t="array" aca="1" ref="Y208" ca="1">TRIM(SUBSTITUTE(_xlfn.ARRAYTOTEXT(IFERROR(CONCATENATE(SUMIF(INDIRECT("'"&amp;Assemblies[Assy]&amp;"'!"&amp;"C$5:C1000"), $C208, INDIRECT("'"&amp;Assemblies[Assy]&amp;"'!"&amp;"O$5:O1000")), "x",Assemblies[Assy],".",IF(SUMIF(INDIRECT("'"&amp;Assemblies[Assy]&amp;"'!"&amp;"C$5:C1000"), $C208, INDIRECT("'"&amp;Assemblies[Assy]&amp;"'!"&amp;"A$5:A1000"))=0,NA(),SUMIF(INDIRECT("'"&amp;Assemblies[Assy]&amp;"'!"&amp;"C$5:C1000"), $C208, INDIRECT("'"&amp;Assemblies[Assy]&amp;"'!"&amp;"A$5:A1000")))),"")), " ,", ""))</f>
        <v>, 1x4.2.7.2,</v>
      </c>
      <c r="Z208" s="141">
        <v>80</v>
      </c>
      <c r="AA208" s="141">
        <v>0</v>
      </c>
      <c r="AB208" s="141">
        <v>0</v>
      </c>
      <c r="AC208" s="39">
        <v>0</v>
      </c>
      <c r="AD208" s="141" t="s">
        <v>1473</v>
      </c>
      <c r="AE208" s="296"/>
      <c r="AF208" s="156"/>
      <c r="AG208"/>
    </row>
    <row r="209" spans="1:33" x14ac:dyDescent="0.25">
      <c r="A209" s="24" t="s">
        <v>2365</v>
      </c>
      <c r="B209" s="134" t="s">
        <v>54</v>
      </c>
      <c r="C209" t="str">
        <f>_xlfn.CONCAT(A209,".",B209)</f>
        <v>PG10.4.2.8.1.A</v>
      </c>
      <c r="D209" t="s">
        <v>2366</v>
      </c>
      <c r="E209" s="18">
        <f>Z209+AA209+AB209+(65*AC209)</f>
        <v>65</v>
      </c>
      <c r="F209" s="19" cm="1">
        <f t="array" aca="1" ref="F209" ca="1">SUMPRODUCT(SUMIF(INDIRECT("'"&amp;Assemblies[Assy]&amp;"'!"&amp;"C5:C1000"),C209,(INDIRECT("'"&amp;Assemblies[Assy]&amp;"'!"&amp;"O5:O1000"))))</f>
        <v>1</v>
      </c>
      <c r="G209" s="19">
        <v>1</v>
      </c>
      <c r="H209" s="19" t="str">
        <f ca="1">IF(F209&lt;=G209," ","YES")</f>
        <v xml:space="preserve"> </v>
      </c>
      <c r="O209" t="s">
        <v>1999</v>
      </c>
      <c r="P209" t="s">
        <v>1993</v>
      </c>
      <c r="R209" t="s">
        <v>2000</v>
      </c>
      <c r="T209" s="40" t="s">
        <v>2001</v>
      </c>
      <c r="U209" s="40">
        <v>45530</v>
      </c>
      <c r="V209" s="40">
        <v>45561</v>
      </c>
      <c r="X209" s="157">
        <v>55708</v>
      </c>
      <c r="Y209" s="40" t="str" cm="1">
        <f t="array" aca="1" ref="Y209" ca="1">TRIM(SUBSTITUTE(_xlfn.ARRAYTOTEXT(IFERROR(CONCATENATE(SUMIF(INDIRECT("'"&amp;Assemblies[Assy]&amp;"'!"&amp;"C$5:C1000"), $C209, INDIRECT("'"&amp;Assemblies[Assy]&amp;"'!"&amp;"O$5:O1000")), "x",Assemblies[Assy],".",IF(SUMIF(INDIRECT("'"&amp;Assemblies[Assy]&amp;"'!"&amp;"C$5:C1000"), $C209, INDIRECT("'"&amp;Assemblies[Assy]&amp;"'!"&amp;"A$5:A1000"))=0,NA(),SUMIF(INDIRECT("'"&amp;Assemblies[Assy]&amp;"'!"&amp;"C$5:C1000"), $C209, INDIRECT("'"&amp;Assemblies[Assy]&amp;"'!"&amp;"A$5:A1000")))),"")), " ,", ""))</f>
        <v>, 1x4.2.8.1,</v>
      </c>
      <c r="Z209" s="141">
        <v>65</v>
      </c>
      <c r="AA209" s="141">
        <v>0</v>
      </c>
      <c r="AB209" s="141">
        <v>0</v>
      </c>
      <c r="AC209" s="39">
        <v>0</v>
      </c>
      <c r="AD209" s="141" t="s">
        <v>1473</v>
      </c>
      <c r="AE209" s="296"/>
      <c r="AF209" s="156"/>
      <c r="AG209"/>
    </row>
    <row r="210" spans="1:33" x14ac:dyDescent="0.25">
      <c r="A210" s="24" t="s">
        <v>2367</v>
      </c>
      <c r="B210" s="134" t="s">
        <v>54</v>
      </c>
      <c r="C210" t="str">
        <f>_xlfn.CONCAT(A210,".",B210)</f>
        <v>PG10.4.2.9.1.A</v>
      </c>
      <c r="D210" t="s">
        <v>2368</v>
      </c>
      <c r="E210" s="18">
        <f>Z210+AA210+AB210+(65*AC210)</f>
        <v>65</v>
      </c>
      <c r="F210" s="19" cm="1">
        <f t="array" aca="1" ref="F210" ca="1">SUMPRODUCT(SUMIF(INDIRECT("'"&amp;Assemblies[Assy]&amp;"'!"&amp;"C5:C1000"),C210,(INDIRECT("'"&amp;Assemblies[Assy]&amp;"'!"&amp;"O5:O1000"))))</f>
        <v>1</v>
      </c>
      <c r="G210" s="19">
        <v>1</v>
      </c>
      <c r="H210" s="19" t="str">
        <f ca="1">IF(F210&lt;=G210," ","YES")</f>
        <v xml:space="preserve"> </v>
      </c>
      <c r="O210" t="s">
        <v>1999</v>
      </c>
      <c r="P210" t="s">
        <v>1993</v>
      </c>
      <c r="R210" t="s">
        <v>2000</v>
      </c>
      <c r="T210" s="40" t="s">
        <v>2001</v>
      </c>
      <c r="U210" s="40">
        <v>45530</v>
      </c>
      <c r="V210" s="40">
        <v>45561</v>
      </c>
      <c r="X210" s="157">
        <v>55708</v>
      </c>
      <c r="Y210" s="40" t="str" cm="1">
        <f t="array" aca="1" ref="Y210" ca="1">TRIM(SUBSTITUTE(_xlfn.ARRAYTOTEXT(IFERROR(CONCATENATE(SUMIF(INDIRECT("'"&amp;Assemblies[Assy]&amp;"'!"&amp;"C$5:C1000"), $C210, INDIRECT("'"&amp;Assemblies[Assy]&amp;"'!"&amp;"O$5:O1000")), "x",Assemblies[Assy],".",IF(SUMIF(INDIRECT("'"&amp;Assemblies[Assy]&amp;"'!"&amp;"C$5:C1000"), $C210, INDIRECT("'"&amp;Assemblies[Assy]&amp;"'!"&amp;"A$5:A1000"))=0,NA(),SUMIF(INDIRECT("'"&amp;Assemblies[Assy]&amp;"'!"&amp;"C$5:C1000"), $C210, INDIRECT("'"&amp;Assemblies[Assy]&amp;"'!"&amp;"A$5:A1000")))),"")), " ,", ""))</f>
        <v>, 1x4.2.9.1,</v>
      </c>
      <c r="Z210" s="141">
        <v>65</v>
      </c>
      <c r="AA210" s="141">
        <v>0</v>
      </c>
      <c r="AB210" s="141">
        <v>0</v>
      </c>
      <c r="AC210" s="39">
        <v>0</v>
      </c>
      <c r="AD210" s="141" t="s">
        <v>1473</v>
      </c>
      <c r="AE210" s="296"/>
      <c r="AF210" s="156"/>
      <c r="AG210"/>
    </row>
    <row r="211" spans="1:33" x14ac:dyDescent="0.25">
      <c r="A211" s="24" t="s">
        <v>2388</v>
      </c>
      <c r="B211" s="134" t="s">
        <v>54</v>
      </c>
      <c r="C211" t="str">
        <f>_xlfn.CONCAT(A211,".",B211)</f>
        <v>PG10.4.3.1.A</v>
      </c>
      <c r="D211" t="s">
        <v>2389</v>
      </c>
      <c r="E211" s="18">
        <v>326</v>
      </c>
      <c r="F211" s="19" cm="1">
        <f t="array" aca="1" ref="F211" ca="1">SUMPRODUCT(SUMIF(INDIRECT("'"&amp;Assemblies[Assy]&amp;"'!"&amp;"C5:C1000"),C211,(INDIRECT("'"&amp;Assemblies[Assy]&amp;"'!"&amp;"O5:O1000"))))</f>
        <v>1</v>
      </c>
      <c r="G211" s="19">
        <v>1</v>
      </c>
      <c r="H211" s="19" t="str">
        <f ca="1">IF(F211&lt;=G211," ","YES")</f>
        <v xml:space="preserve"> </v>
      </c>
      <c r="I211">
        <v>1</v>
      </c>
      <c r="J211">
        <v>1</v>
      </c>
      <c r="K211" s="40">
        <v>45512</v>
      </c>
      <c r="L211">
        <v>1</v>
      </c>
      <c r="N211">
        <v>1</v>
      </c>
      <c r="O211" t="s">
        <v>2067</v>
      </c>
      <c r="P211" t="s">
        <v>1987</v>
      </c>
      <c r="R211" t="s">
        <v>2168</v>
      </c>
      <c r="T211" s="40">
        <v>45463</v>
      </c>
      <c r="U211" s="40">
        <v>45467</v>
      </c>
      <c r="V211" s="40">
        <v>45504</v>
      </c>
      <c r="W211" s="40">
        <v>45504</v>
      </c>
      <c r="X211" s="157">
        <v>55572</v>
      </c>
      <c r="Y211" s="40" t="str" cm="1">
        <f t="array" aca="1" ref="Y211" ca="1">TRIM(SUBSTITUTE(_xlfn.ARRAYTOTEXT(IFERROR(CONCATENATE(SUMIF(INDIRECT("'"&amp;Assemblies[Assy]&amp;"'!"&amp;"C$5:C1000"), $C211, INDIRECT("'"&amp;Assemblies[Assy]&amp;"'!"&amp;"O$5:O1000")), "x",Assemblies[Assy],".",IF(SUMIF(INDIRECT("'"&amp;Assemblies[Assy]&amp;"'!"&amp;"C$5:C1000"), $C211, INDIRECT("'"&amp;Assemblies[Assy]&amp;"'!"&amp;"A$5:A1000"))=0,NA(),SUMIF(INDIRECT("'"&amp;Assemblies[Assy]&amp;"'!"&amp;"C$5:C1000"), $C211, INDIRECT("'"&amp;Assemblies[Assy]&amp;"'!"&amp;"A$5:A1000")))),"")), " ,", ""))</f>
        <v>, 1x4.3.1,</v>
      </c>
      <c r="AD211" s="141" t="s">
        <v>1473</v>
      </c>
      <c r="AE211" s="296">
        <v>55665</v>
      </c>
      <c r="AF211" s="156"/>
      <c r="AG211"/>
    </row>
    <row r="212" spans="1:33" x14ac:dyDescent="0.25">
      <c r="A212" s="24" t="s">
        <v>2390</v>
      </c>
      <c r="B212" s="134" t="s">
        <v>54</v>
      </c>
      <c r="C212" t="str">
        <f>_xlfn.CONCAT(A212,".",B212)</f>
        <v>PG10.4.3.10.A</v>
      </c>
      <c r="D212" t="s">
        <v>2391</v>
      </c>
      <c r="E212" s="18">
        <v>150</v>
      </c>
      <c r="F212" s="19" cm="1">
        <f t="array" aca="1" ref="F212" ca="1">SUMPRODUCT(SUMIF(INDIRECT("'"&amp;Assemblies[Assy]&amp;"'!"&amp;"C5:C1000"),C212,(INDIRECT("'"&amp;Assemblies[Assy]&amp;"'!"&amp;"O5:O1000"))))</f>
        <v>1</v>
      </c>
      <c r="G212" s="19">
        <v>1</v>
      </c>
      <c r="H212" s="19" t="str">
        <f ca="1">IF(F212&lt;=G212," ","YES")</f>
        <v xml:space="preserve"> </v>
      </c>
      <c r="I212">
        <v>1</v>
      </c>
      <c r="J212">
        <v>1</v>
      </c>
      <c r="L212">
        <v>1</v>
      </c>
      <c r="N212">
        <v>1</v>
      </c>
      <c r="O212" t="s">
        <v>2189</v>
      </c>
      <c r="P212" t="s">
        <v>1993</v>
      </c>
      <c r="R212" t="s">
        <v>2178</v>
      </c>
      <c r="T212" s="40">
        <v>45468</v>
      </c>
      <c r="U212" s="40">
        <v>45470</v>
      </c>
      <c r="V212" s="40">
        <v>45495</v>
      </c>
      <c r="W212" s="40">
        <v>45495</v>
      </c>
      <c r="X212" s="157">
        <v>55576</v>
      </c>
      <c r="Y212" s="40" t="str" cm="1">
        <f t="array" aca="1" ref="Y212" ca="1">TRIM(SUBSTITUTE(_xlfn.ARRAYTOTEXT(IFERROR(CONCATENATE(SUMIF(INDIRECT("'"&amp;Assemblies[Assy]&amp;"'!"&amp;"C$5:C1000"), $C212, INDIRECT("'"&amp;Assemblies[Assy]&amp;"'!"&amp;"O$5:O1000")), "x",Assemblies[Assy],".",IF(SUMIF(INDIRECT("'"&amp;Assemblies[Assy]&amp;"'!"&amp;"C$5:C1000"), $C212, INDIRECT("'"&amp;Assemblies[Assy]&amp;"'!"&amp;"A$5:A1000"))=0,NA(),SUMIF(INDIRECT("'"&amp;Assemblies[Assy]&amp;"'!"&amp;"C$5:C1000"), $C212, INDIRECT("'"&amp;Assemblies[Assy]&amp;"'!"&amp;"A$5:A1000")))),"")), " ,", ""))</f>
        <v>, 1x4.3.10,</v>
      </c>
      <c r="AD212" s="141" t="s">
        <v>1473</v>
      </c>
      <c r="AE212" s="296"/>
      <c r="AF212" s="156"/>
      <c r="AG212"/>
    </row>
    <row r="213" spans="1:33" x14ac:dyDescent="0.25">
      <c r="A213" s="24" t="s">
        <v>2392</v>
      </c>
      <c r="B213" s="134" t="s">
        <v>54</v>
      </c>
      <c r="C213" t="str">
        <f>_xlfn.CONCAT(A213,".",B213)</f>
        <v>PG10.4.3.11.A</v>
      </c>
      <c r="D213" t="s">
        <v>2393</v>
      </c>
      <c r="E213" s="18">
        <v>137</v>
      </c>
      <c r="F213" s="355" cm="1">
        <f t="array" aca="1" ref="F213" ca="1">SUMPRODUCT(SUMIF(INDIRECT("'"&amp;Assemblies[Assy]&amp;"'!"&amp;"C5:C1000"),C213,(INDIRECT("'"&amp;Assemblies[Assy]&amp;"'!"&amp;"O5:O1000"))))</f>
        <v>3</v>
      </c>
      <c r="G213" s="19">
        <v>3</v>
      </c>
      <c r="H213" s="19" t="str">
        <f ca="1">IF(F213&lt;=G213," ","YES")</f>
        <v xml:space="preserve"> </v>
      </c>
      <c r="I213">
        <v>1</v>
      </c>
      <c r="J213">
        <v>1</v>
      </c>
      <c r="K213" s="40">
        <v>45512</v>
      </c>
      <c r="L213">
        <v>1</v>
      </c>
      <c r="M213" s="40">
        <v>45520</v>
      </c>
      <c r="N213">
        <v>1</v>
      </c>
      <c r="O213" t="s">
        <v>1986</v>
      </c>
      <c r="P213" t="s">
        <v>1987</v>
      </c>
      <c r="R213" t="s">
        <v>3885</v>
      </c>
      <c r="T213" s="40">
        <v>45463</v>
      </c>
      <c r="U213" s="40">
        <v>45467</v>
      </c>
      <c r="V213" s="40">
        <v>45504</v>
      </c>
      <c r="W213" s="40">
        <v>45504</v>
      </c>
      <c r="X213" s="157">
        <v>55572</v>
      </c>
      <c r="Y213" s="40" t="str" cm="1">
        <f t="array" aca="1" ref="Y213" ca="1">TRIM(SUBSTITUTE(_xlfn.ARRAYTOTEXT(IFERROR(CONCATENATE(SUMIF(INDIRECT("'"&amp;Assemblies[Assy]&amp;"'!"&amp;"C$5:C1000"), $C213, INDIRECT("'"&amp;Assemblies[Assy]&amp;"'!"&amp;"O$5:O1000")), "x",Assemblies[Assy],".",IF(SUMIF(INDIRECT("'"&amp;Assemblies[Assy]&amp;"'!"&amp;"C$5:C1000"), $C213, INDIRECT("'"&amp;Assemblies[Assy]&amp;"'!"&amp;"A$5:A1000"))=0,NA(),SUMIF(INDIRECT("'"&amp;Assemblies[Assy]&amp;"'!"&amp;"C$5:C1000"), $C213, INDIRECT("'"&amp;Assemblies[Assy]&amp;"'!"&amp;"A$5:A1000")))),"")), " ,", ""))</f>
        <v>, 2x3.4.3, 1x4.3.11,</v>
      </c>
      <c r="AD213" s="141" t="s">
        <v>1473</v>
      </c>
      <c r="AE213" s="296">
        <v>55668</v>
      </c>
      <c r="AF213" s="156"/>
      <c r="AG213"/>
    </row>
    <row r="214" spans="1:33" x14ac:dyDescent="0.25">
      <c r="A214" s="24" t="s">
        <v>2394</v>
      </c>
      <c r="B214" s="134" t="s">
        <v>54</v>
      </c>
      <c r="C214" s="284" t="str">
        <f>_xlfn.CONCAT(A214,".",B214)</f>
        <v>PG10.4.3.12.A</v>
      </c>
      <c r="D214" t="s">
        <v>3856</v>
      </c>
      <c r="E214" s="18">
        <f>Z214+AA214+AB214+(65*AC214)</f>
        <v>0</v>
      </c>
      <c r="F214" s="19" cm="1">
        <f t="array" aca="1" ref="F214" ca="1">SUMPRODUCT(SUMIF(INDIRECT("'"&amp;Assemblies[Assy]&amp;"'!"&amp;"C5:C1000"),C214,(INDIRECT("'"&amp;Assemblies[Assy]&amp;"'!"&amp;"O5:O1000"))))</f>
        <v>1</v>
      </c>
      <c r="H214" s="19" t="str">
        <f ca="1">IF(F214&lt;=G214," ","YES")</f>
        <v>YES</v>
      </c>
      <c r="O214" t="s">
        <v>2021</v>
      </c>
      <c r="P214" t="s">
        <v>3857</v>
      </c>
      <c r="Y214" s="40" t="str" cm="1">
        <f t="array" aca="1" ref="Y214" ca="1">TRIM(SUBSTITUTE(_xlfn.ARRAYTOTEXT(IFERROR(CONCATENATE(SUMIF(INDIRECT("'"&amp;Assemblies[Assy]&amp;"'!"&amp;"C$5:C1000"), $C214, INDIRECT("'"&amp;Assemblies[Assy]&amp;"'!"&amp;"O$5:O1000")), "x",Assemblies[Assy],".",IF(SUMIF(INDIRECT("'"&amp;Assemblies[Assy]&amp;"'!"&amp;"C$5:C1000"), $C214, INDIRECT("'"&amp;Assemblies[Assy]&amp;"'!"&amp;"A$5:A1000"))=0,NA(),SUMIF(INDIRECT("'"&amp;Assemblies[Assy]&amp;"'!"&amp;"C$5:C1000"), $C214, INDIRECT("'"&amp;Assemblies[Assy]&amp;"'!"&amp;"A$5:A1000")))),"")), " ,", ""))</f>
        <v>,</v>
      </c>
      <c r="Z214" s="141">
        <v>0</v>
      </c>
      <c r="AA214" s="141">
        <v>0</v>
      </c>
      <c r="AB214" s="141">
        <v>0</v>
      </c>
      <c r="AC214" s="39">
        <v>0</v>
      </c>
      <c r="AD214" s="141"/>
      <c r="AE214" s="296"/>
      <c r="AF214" s="156"/>
      <c r="AG214"/>
    </row>
    <row r="215" spans="1:33" x14ac:dyDescent="0.25">
      <c r="A215" s="24" t="s">
        <v>2395</v>
      </c>
      <c r="B215" s="134" t="s">
        <v>54</v>
      </c>
      <c r="C215" t="str">
        <f>_xlfn.CONCAT(A215,".",B215)</f>
        <v>PG10.4.3.2.A</v>
      </c>
      <c r="D215" t="s">
        <v>2396</v>
      </c>
      <c r="E215" s="18">
        <v>326</v>
      </c>
      <c r="F215" s="19" cm="1">
        <f t="array" aca="1" ref="F215" ca="1">SUMPRODUCT(SUMIF(INDIRECT("'"&amp;Assemblies[Assy]&amp;"'!"&amp;"C5:C1000"),C215,(INDIRECT("'"&amp;Assemblies[Assy]&amp;"'!"&amp;"O5:O1000"))))</f>
        <v>1</v>
      </c>
      <c r="G215" s="19">
        <v>1</v>
      </c>
      <c r="H215" s="19" t="str">
        <f ca="1">IF(F215&lt;=G215," ","YES")</f>
        <v xml:space="preserve"> </v>
      </c>
      <c r="I215">
        <v>1</v>
      </c>
      <c r="J215">
        <v>1</v>
      </c>
      <c r="K215" s="40">
        <v>45512</v>
      </c>
      <c r="L215">
        <v>1</v>
      </c>
      <c r="N215">
        <v>1</v>
      </c>
      <c r="O215" t="s">
        <v>2067</v>
      </c>
      <c r="P215" t="s">
        <v>1987</v>
      </c>
      <c r="R215" t="s">
        <v>2168</v>
      </c>
      <c r="T215" s="40">
        <v>45463</v>
      </c>
      <c r="U215" s="40">
        <v>45467</v>
      </c>
      <c r="V215" s="40">
        <v>45504</v>
      </c>
      <c r="W215" s="40">
        <v>45504</v>
      </c>
      <c r="X215" s="157">
        <v>55572</v>
      </c>
      <c r="Y215" s="40" t="str" cm="1">
        <f t="array" aca="1" ref="Y215" ca="1">TRIM(SUBSTITUTE(_xlfn.ARRAYTOTEXT(IFERROR(CONCATENATE(SUMIF(INDIRECT("'"&amp;Assemblies[Assy]&amp;"'!"&amp;"C$5:C1000"), $C215, INDIRECT("'"&amp;Assemblies[Assy]&amp;"'!"&amp;"O$5:O1000")), "x",Assemblies[Assy],".",IF(SUMIF(INDIRECT("'"&amp;Assemblies[Assy]&amp;"'!"&amp;"C$5:C1000"), $C215, INDIRECT("'"&amp;Assemblies[Assy]&amp;"'!"&amp;"A$5:A1000"))=0,NA(),SUMIF(INDIRECT("'"&amp;Assemblies[Assy]&amp;"'!"&amp;"C$5:C1000"), $C215, INDIRECT("'"&amp;Assemblies[Assy]&amp;"'!"&amp;"A$5:A1000")))),"")), " ,", ""))</f>
        <v>, 1x4.3.2,</v>
      </c>
      <c r="AD215" s="141" t="s">
        <v>1473</v>
      </c>
      <c r="AE215" s="296">
        <v>55665</v>
      </c>
      <c r="AF215" s="156"/>
      <c r="AG215"/>
    </row>
    <row r="216" spans="1:33" x14ac:dyDescent="0.25">
      <c r="A216" s="24" t="s">
        <v>2397</v>
      </c>
      <c r="B216" s="134" t="s">
        <v>54</v>
      </c>
      <c r="C216" t="str">
        <f>_xlfn.CONCAT(A216,".",B216)</f>
        <v>PG10.4.3.3.A</v>
      </c>
      <c r="D216" t="s">
        <v>2398</v>
      </c>
      <c r="E216" s="18">
        <v>212</v>
      </c>
      <c r="F216" s="19" cm="1">
        <f t="array" aca="1" ref="F216" ca="1">SUMPRODUCT(SUMIF(INDIRECT("'"&amp;Assemblies[Assy]&amp;"'!"&amp;"C5:C1000"),C216,(INDIRECT("'"&amp;Assemblies[Assy]&amp;"'!"&amp;"O5:O1000"))))</f>
        <v>1</v>
      </c>
      <c r="G216" s="19">
        <v>1</v>
      </c>
      <c r="H216" s="19" t="str">
        <f ca="1">IF(F216&lt;=G216," ","YES")</f>
        <v xml:space="preserve"> </v>
      </c>
      <c r="I216">
        <v>1</v>
      </c>
      <c r="J216">
        <v>1</v>
      </c>
      <c r="K216" s="40">
        <v>45512</v>
      </c>
      <c r="L216">
        <v>1</v>
      </c>
      <c r="M216" s="40">
        <v>45520</v>
      </c>
      <c r="N216">
        <v>1</v>
      </c>
      <c r="O216" t="s">
        <v>1986</v>
      </c>
      <c r="P216" t="s">
        <v>1987</v>
      </c>
      <c r="R216" t="s">
        <v>2168</v>
      </c>
      <c r="T216" s="40">
        <v>45463</v>
      </c>
      <c r="U216" s="40">
        <v>45467</v>
      </c>
      <c r="V216" s="40">
        <v>45504</v>
      </c>
      <c r="W216" s="40">
        <v>45504</v>
      </c>
      <c r="X216" s="157">
        <v>55572</v>
      </c>
      <c r="Y216" s="40" t="str" cm="1">
        <f t="array" aca="1" ref="Y216" ca="1">TRIM(SUBSTITUTE(_xlfn.ARRAYTOTEXT(IFERROR(CONCATENATE(SUMIF(INDIRECT("'"&amp;Assemblies[Assy]&amp;"'!"&amp;"C$5:C1000"), $C216, INDIRECT("'"&amp;Assemblies[Assy]&amp;"'!"&amp;"O$5:O1000")), "x",Assemblies[Assy],".",IF(SUMIF(INDIRECT("'"&amp;Assemblies[Assy]&amp;"'!"&amp;"C$5:C1000"), $C216, INDIRECT("'"&amp;Assemblies[Assy]&amp;"'!"&amp;"A$5:A1000"))=0,NA(),SUMIF(INDIRECT("'"&amp;Assemblies[Assy]&amp;"'!"&amp;"C$5:C1000"), $C216, INDIRECT("'"&amp;Assemblies[Assy]&amp;"'!"&amp;"A$5:A1000")))),"")), " ,", ""))</f>
        <v>, 1x4.3.3,</v>
      </c>
      <c r="AD216" s="141" t="s">
        <v>1473</v>
      </c>
      <c r="AE216" s="296">
        <v>55668</v>
      </c>
      <c r="AF216" s="156"/>
      <c r="AG216"/>
    </row>
    <row r="217" spans="1:33" x14ac:dyDescent="0.25">
      <c r="A217" s="24" t="s">
        <v>2399</v>
      </c>
      <c r="B217" s="134" t="s">
        <v>54</v>
      </c>
      <c r="C217" t="str">
        <f>_xlfn.CONCAT(A217,".",B217)</f>
        <v>PG10.4.3.4.A</v>
      </c>
      <c r="D217" t="s">
        <v>2400</v>
      </c>
      <c r="E217" s="18">
        <v>137</v>
      </c>
      <c r="F217" s="19" cm="1">
        <f t="array" aca="1" ref="F217" ca="1">SUMPRODUCT(SUMIF(INDIRECT("'"&amp;Assemblies[Assy]&amp;"'!"&amp;"C5:C1000"),C217,(INDIRECT("'"&amp;Assemblies[Assy]&amp;"'!"&amp;"O5:O1000"))))</f>
        <v>1</v>
      </c>
      <c r="G217" s="19">
        <v>1</v>
      </c>
      <c r="H217" s="19" t="str">
        <f ca="1">IF(F217&lt;=G217," ","YES")</f>
        <v xml:space="preserve"> </v>
      </c>
      <c r="I217">
        <v>1</v>
      </c>
      <c r="J217">
        <v>1</v>
      </c>
      <c r="K217" s="40">
        <v>45512</v>
      </c>
      <c r="L217">
        <v>1</v>
      </c>
      <c r="M217" s="40">
        <v>45520</v>
      </c>
      <c r="N217">
        <v>1</v>
      </c>
      <c r="O217" t="s">
        <v>1986</v>
      </c>
      <c r="P217" t="s">
        <v>1987</v>
      </c>
      <c r="R217" t="s">
        <v>2168</v>
      </c>
      <c r="T217" s="40">
        <v>45463</v>
      </c>
      <c r="U217" s="40">
        <v>45467</v>
      </c>
      <c r="V217" s="40">
        <v>45504</v>
      </c>
      <c r="W217" s="40">
        <v>45504</v>
      </c>
      <c r="X217" s="157">
        <v>55572</v>
      </c>
      <c r="Y217" s="40" t="str" cm="1">
        <f t="array" aca="1" ref="Y217" ca="1">TRIM(SUBSTITUTE(_xlfn.ARRAYTOTEXT(IFERROR(CONCATENATE(SUMIF(INDIRECT("'"&amp;Assemblies[Assy]&amp;"'!"&amp;"C$5:C1000"), $C217, INDIRECT("'"&amp;Assemblies[Assy]&amp;"'!"&amp;"O$5:O1000")), "x",Assemblies[Assy],".",IF(SUMIF(INDIRECT("'"&amp;Assemblies[Assy]&amp;"'!"&amp;"C$5:C1000"), $C217, INDIRECT("'"&amp;Assemblies[Assy]&amp;"'!"&amp;"A$5:A1000"))=0,NA(),SUMIF(INDIRECT("'"&amp;Assemblies[Assy]&amp;"'!"&amp;"C$5:C1000"), $C217, INDIRECT("'"&amp;Assemblies[Assy]&amp;"'!"&amp;"A$5:A1000")))),"")), " ,", ""))</f>
        <v>, 1x4.3.4,</v>
      </c>
      <c r="AD217" s="141" t="s">
        <v>1473</v>
      </c>
      <c r="AE217" s="296">
        <v>55668</v>
      </c>
      <c r="AF217" s="156"/>
      <c r="AG217"/>
    </row>
    <row r="218" spans="1:33" x14ac:dyDescent="0.25">
      <c r="A218" s="24" t="s">
        <v>2401</v>
      </c>
      <c r="B218" s="134" t="s">
        <v>54</v>
      </c>
      <c r="C218" t="str">
        <f>_xlfn.CONCAT(A218,".",B218)</f>
        <v>PG10.4.3.5.A</v>
      </c>
      <c r="D218" t="s">
        <v>2402</v>
      </c>
      <c r="E218" s="18">
        <v>212</v>
      </c>
      <c r="F218" s="19" cm="1">
        <f t="array" aca="1" ref="F218" ca="1">SUMPRODUCT(SUMIF(INDIRECT("'"&amp;Assemblies[Assy]&amp;"'!"&amp;"C5:C1000"),C218,(INDIRECT("'"&amp;Assemblies[Assy]&amp;"'!"&amp;"O5:O1000"))))</f>
        <v>1</v>
      </c>
      <c r="G218" s="19">
        <v>1</v>
      </c>
      <c r="H218" s="19" t="str">
        <f ca="1">IF(F218&lt;=G218," ","YES")</f>
        <v xml:space="preserve"> </v>
      </c>
      <c r="I218">
        <v>1</v>
      </c>
      <c r="J218">
        <v>1</v>
      </c>
      <c r="K218" s="40">
        <v>45512</v>
      </c>
      <c r="L218">
        <v>1</v>
      </c>
      <c r="M218" s="40">
        <v>45520</v>
      </c>
      <c r="N218">
        <v>1</v>
      </c>
      <c r="O218" t="s">
        <v>1986</v>
      </c>
      <c r="P218" t="s">
        <v>1987</v>
      </c>
      <c r="R218" t="s">
        <v>2168</v>
      </c>
      <c r="T218" s="40">
        <v>45463</v>
      </c>
      <c r="U218" s="40">
        <v>45467</v>
      </c>
      <c r="V218" s="40">
        <v>45504</v>
      </c>
      <c r="W218" s="40">
        <v>45504</v>
      </c>
      <c r="X218" s="157">
        <v>55572</v>
      </c>
      <c r="Y218" s="40" t="str" cm="1">
        <f t="array" aca="1" ref="Y218" ca="1">TRIM(SUBSTITUTE(_xlfn.ARRAYTOTEXT(IFERROR(CONCATENATE(SUMIF(INDIRECT("'"&amp;Assemblies[Assy]&amp;"'!"&amp;"C$5:C1000"), $C218, INDIRECT("'"&amp;Assemblies[Assy]&amp;"'!"&amp;"O$5:O1000")), "x",Assemblies[Assy],".",IF(SUMIF(INDIRECT("'"&amp;Assemblies[Assy]&amp;"'!"&amp;"C$5:C1000"), $C218, INDIRECT("'"&amp;Assemblies[Assy]&amp;"'!"&amp;"A$5:A1000"))=0,NA(),SUMIF(INDIRECT("'"&amp;Assemblies[Assy]&amp;"'!"&amp;"C$5:C1000"), $C218, INDIRECT("'"&amp;Assemblies[Assy]&amp;"'!"&amp;"A$5:A1000")))),"")), " ,", ""))</f>
        <v>, 1x4.3.5,</v>
      </c>
      <c r="AD218" s="141" t="s">
        <v>1473</v>
      </c>
      <c r="AE218" s="296">
        <v>55668</v>
      </c>
      <c r="AF218" s="156"/>
      <c r="AG218"/>
    </row>
    <row r="219" spans="1:33" x14ac:dyDescent="0.25">
      <c r="A219" s="24" t="s">
        <v>2403</v>
      </c>
      <c r="B219" s="134" t="s">
        <v>54</v>
      </c>
      <c r="C219" t="str">
        <f>_xlfn.CONCAT(A219,".",B219)</f>
        <v>PG10.4.3.6.A</v>
      </c>
      <c r="D219" t="s">
        <v>2404</v>
      </c>
      <c r="E219" s="18">
        <v>137</v>
      </c>
      <c r="F219" s="19" cm="1">
        <f t="array" aca="1" ref="F219" ca="1">SUMPRODUCT(SUMIF(INDIRECT("'"&amp;Assemblies[Assy]&amp;"'!"&amp;"C5:C1000"),C219,(INDIRECT("'"&amp;Assemblies[Assy]&amp;"'!"&amp;"O5:O1000"))))</f>
        <v>1</v>
      </c>
      <c r="G219" s="19">
        <v>1</v>
      </c>
      <c r="H219" s="19" t="str">
        <f ca="1">IF(F219&lt;=G219," ","YES")</f>
        <v xml:space="preserve"> </v>
      </c>
      <c r="I219">
        <v>1</v>
      </c>
      <c r="J219">
        <v>1</v>
      </c>
      <c r="K219" s="40">
        <v>45512</v>
      </c>
      <c r="L219">
        <v>1</v>
      </c>
      <c r="M219" s="40">
        <v>45520</v>
      </c>
      <c r="N219">
        <v>1</v>
      </c>
      <c r="O219" t="s">
        <v>1986</v>
      </c>
      <c r="P219" t="s">
        <v>1987</v>
      </c>
      <c r="R219" t="s">
        <v>2168</v>
      </c>
      <c r="T219" s="40">
        <v>45463</v>
      </c>
      <c r="U219" s="40">
        <v>45467</v>
      </c>
      <c r="V219" s="40">
        <v>45504</v>
      </c>
      <c r="W219" s="40">
        <v>45504</v>
      </c>
      <c r="X219" s="157">
        <v>55572</v>
      </c>
      <c r="Y219" s="40" t="str" cm="1">
        <f t="array" aca="1" ref="Y219" ca="1">TRIM(SUBSTITUTE(_xlfn.ARRAYTOTEXT(IFERROR(CONCATENATE(SUMIF(INDIRECT("'"&amp;Assemblies[Assy]&amp;"'!"&amp;"C$5:C1000"), $C219, INDIRECT("'"&amp;Assemblies[Assy]&amp;"'!"&amp;"O$5:O1000")), "x",Assemblies[Assy],".",IF(SUMIF(INDIRECT("'"&amp;Assemblies[Assy]&amp;"'!"&amp;"C$5:C1000"), $C219, INDIRECT("'"&amp;Assemblies[Assy]&amp;"'!"&amp;"A$5:A1000"))=0,NA(),SUMIF(INDIRECT("'"&amp;Assemblies[Assy]&amp;"'!"&amp;"C$5:C1000"), $C219, INDIRECT("'"&amp;Assemblies[Assy]&amp;"'!"&amp;"A$5:A1000")))),"")), " ,", ""))</f>
        <v>, 1x4.3.6,</v>
      </c>
      <c r="AD219" s="141" t="s">
        <v>1473</v>
      </c>
      <c r="AE219" s="296">
        <v>55668</v>
      </c>
      <c r="AF219" s="156"/>
      <c r="AG219"/>
    </row>
    <row r="220" spans="1:33" x14ac:dyDescent="0.25">
      <c r="A220" s="24" t="s">
        <v>2405</v>
      </c>
      <c r="B220" s="134" t="s">
        <v>54</v>
      </c>
      <c r="C220" t="str">
        <f>_xlfn.CONCAT(A220,".",B220)</f>
        <v>PG10.4.3.7.A</v>
      </c>
      <c r="D220" t="s">
        <v>2406</v>
      </c>
      <c r="E220" s="18">
        <v>287</v>
      </c>
      <c r="F220" s="19" cm="1">
        <f t="array" aca="1" ref="F220" ca="1">SUMPRODUCT(SUMIF(INDIRECT("'"&amp;Assemblies[Assy]&amp;"'!"&amp;"C5:C1000"),C220,(INDIRECT("'"&amp;Assemblies[Assy]&amp;"'!"&amp;"O5:O1000"))))</f>
        <v>1</v>
      </c>
      <c r="G220" s="19">
        <v>1</v>
      </c>
      <c r="H220" s="19" t="str">
        <f ca="1">IF(F220&lt;=G220," ","YES")</f>
        <v xml:space="preserve"> </v>
      </c>
      <c r="I220">
        <v>1</v>
      </c>
      <c r="J220">
        <v>1</v>
      </c>
      <c r="K220" s="40">
        <v>45512</v>
      </c>
      <c r="L220">
        <v>1</v>
      </c>
      <c r="N220">
        <v>1</v>
      </c>
      <c r="O220" t="s">
        <v>1986</v>
      </c>
      <c r="P220" t="s">
        <v>1987</v>
      </c>
      <c r="R220" t="s">
        <v>2168</v>
      </c>
      <c r="T220" s="40">
        <v>45463</v>
      </c>
      <c r="U220" s="40">
        <v>45467</v>
      </c>
      <c r="V220" s="40">
        <v>45504</v>
      </c>
      <c r="W220" s="40">
        <v>45504</v>
      </c>
      <c r="X220" s="157">
        <v>55572</v>
      </c>
      <c r="Y220" s="40" t="str" cm="1">
        <f t="array" aca="1" ref="Y220" ca="1">TRIM(SUBSTITUTE(_xlfn.ARRAYTOTEXT(IFERROR(CONCATENATE(SUMIF(INDIRECT("'"&amp;Assemblies[Assy]&amp;"'!"&amp;"C$5:C1000"), $C220, INDIRECT("'"&amp;Assemblies[Assy]&amp;"'!"&amp;"O$5:O1000")), "x",Assemblies[Assy],".",IF(SUMIF(INDIRECT("'"&amp;Assemblies[Assy]&amp;"'!"&amp;"C$5:C1000"), $C220, INDIRECT("'"&amp;Assemblies[Assy]&amp;"'!"&amp;"A$5:A1000"))=0,NA(),SUMIF(INDIRECT("'"&amp;Assemblies[Assy]&amp;"'!"&amp;"C$5:C1000"), $C220, INDIRECT("'"&amp;Assemblies[Assy]&amp;"'!"&amp;"A$5:A1000")))),"")), " ,", ""))</f>
        <v>, 1x4.3.7,</v>
      </c>
      <c r="AD220" s="141" t="s">
        <v>1473</v>
      </c>
      <c r="AE220" s="296">
        <v>55668</v>
      </c>
      <c r="AF220" s="156"/>
      <c r="AG220"/>
    </row>
    <row r="221" spans="1:33" x14ac:dyDescent="0.25">
      <c r="A221" s="24" t="s">
        <v>2407</v>
      </c>
      <c r="B221" s="134" t="s">
        <v>54</v>
      </c>
      <c r="C221" t="str">
        <f>_xlfn.CONCAT(A221,".",B221)</f>
        <v>PG10.4.3.8.A</v>
      </c>
      <c r="D221" t="s">
        <v>2408</v>
      </c>
      <c r="E221" s="18">
        <f>Z221+AA221+AB221+(65*AC221)</f>
        <v>0</v>
      </c>
      <c r="F221" s="19" cm="1">
        <f t="array" aca="1" ref="F221" ca="1">SUMPRODUCT(SUMIF(INDIRECT("'"&amp;Assemblies[Assy]&amp;"'!"&amp;"C5:C1000"),C221,(INDIRECT("'"&amp;Assemblies[Assy]&amp;"'!"&amp;"O5:O1000"))))</f>
        <v>2</v>
      </c>
      <c r="G221" s="19">
        <v>2</v>
      </c>
      <c r="H221" s="19" t="str">
        <f ca="1">IF(F221&lt;=G221," ","YES")</f>
        <v xml:space="preserve"> </v>
      </c>
      <c r="O221" t="s">
        <v>2189</v>
      </c>
      <c r="P221" t="s">
        <v>1993</v>
      </c>
      <c r="R221" t="s">
        <v>2052</v>
      </c>
      <c r="T221" s="40">
        <v>45463</v>
      </c>
      <c r="V221" s="40">
        <v>45520</v>
      </c>
      <c r="W221" s="40">
        <v>45520</v>
      </c>
      <c r="X221" s="157">
        <v>55555</v>
      </c>
      <c r="Y221" s="40" t="str" cm="1">
        <f t="array" aca="1" ref="Y221" ca="1">TRIM(SUBSTITUTE(_xlfn.ARRAYTOTEXT(IFERROR(CONCATENATE(SUMIF(INDIRECT("'"&amp;Assemblies[Assy]&amp;"'!"&amp;"C$5:C1000"), $C221, INDIRECT("'"&amp;Assemblies[Assy]&amp;"'!"&amp;"O$5:O1000")), "x",Assemblies[Assy],".",IF(SUMIF(INDIRECT("'"&amp;Assemblies[Assy]&amp;"'!"&amp;"C$5:C1000"), $C221, INDIRECT("'"&amp;Assemblies[Assy]&amp;"'!"&amp;"A$5:A1000"))=0,NA(),SUMIF(INDIRECT("'"&amp;Assemblies[Assy]&amp;"'!"&amp;"C$5:C1000"), $C221, INDIRECT("'"&amp;Assemblies[Assy]&amp;"'!"&amp;"A$5:A1000")))),"")), " ,", ""))</f>
        <v>, 2x4.3.8,</v>
      </c>
      <c r="AD221" s="141" t="s">
        <v>1473</v>
      </c>
      <c r="AE221" s="296"/>
      <c r="AF221" s="156"/>
      <c r="AG221"/>
    </row>
    <row r="222" spans="1:33" x14ac:dyDescent="0.25">
      <c r="A222" s="24" t="s">
        <v>2409</v>
      </c>
      <c r="B222" s="134" t="s">
        <v>54</v>
      </c>
      <c r="C222" t="str">
        <f>_xlfn.CONCAT(A222,".",B222)</f>
        <v>PG10.4.3.9.A</v>
      </c>
      <c r="D222" t="s">
        <v>2410</v>
      </c>
      <c r="E222" s="18">
        <v>137</v>
      </c>
      <c r="F222" s="19" cm="1">
        <f t="array" aca="1" ref="F222" ca="1">SUMPRODUCT(SUMIF(INDIRECT("'"&amp;Assemblies[Assy]&amp;"'!"&amp;"C5:C1000"),C222,(INDIRECT("'"&amp;Assemblies[Assy]&amp;"'!"&amp;"O5:O1000"))))</f>
        <v>1</v>
      </c>
      <c r="G222" s="19">
        <v>1</v>
      </c>
      <c r="H222" s="19" t="str">
        <f ca="1">IF(F222&lt;=G222," ","YES")</f>
        <v xml:space="preserve"> </v>
      </c>
      <c r="I222">
        <v>1</v>
      </c>
      <c r="J222">
        <v>1</v>
      </c>
      <c r="K222" s="40">
        <v>45512</v>
      </c>
      <c r="L222">
        <v>1</v>
      </c>
      <c r="M222" s="40">
        <v>45520</v>
      </c>
      <c r="N222">
        <v>1</v>
      </c>
      <c r="O222" t="s">
        <v>1986</v>
      </c>
      <c r="P222" t="s">
        <v>1987</v>
      </c>
      <c r="R222" t="s">
        <v>2168</v>
      </c>
      <c r="T222" s="40">
        <v>45463</v>
      </c>
      <c r="U222" s="40">
        <v>45467</v>
      </c>
      <c r="V222" s="40">
        <v>45504</v>
      </c>
      <c r="W222" s="40">
        <v>45504</v>
      </c>
      <c r="X222" s="157">
        <v>55572</v>
      </c>
      <c r="Y222" s="40" t="str" cm="1">
        <f t="array" aca="1" ref="Y222" ca="1">TRIM(SUBSTITUTE(_xlfn.ARRAYTOTEXT(IFERROR(CONCATENATE(SUMIF(INDIRECT("'"&amp;Assemblies[Assy]&amp;"'!"&amp;"C$5:C1000"), $C222, INDIRECT("'"&amp;Assemblies[Assy]&amp;"'!"&amp;"O$5:O1000")), "x",Assemblies[Assy],".",IF(SUMIF(INDIRECT("'"&amp;Assemblies[Assy]&amp;"'!"&amp;"C$5:C1000"), $C222, INDIRECT("'"&amp;Assemblies[Assy]&amp;"'!"&amp;"A$5:A1000"))=0,NA(),SUMIF(INDIRECT("'"&amp;Assemblies[Assy]&amp;"'!"&amp;"C$5:C1000"), $C222, INDIRECT("'"&amp;Assemblies[Assy]&amp;"'!"&amp;"A$5:A1000")))),"")), " ,", ""))</f>
        <v>, 1x4.3.9,</v>
      </c>
      <c r="AD222" s="141" t="s">
        <v>1473</v>
      </c>
      <c r="AE222" s="296">
        <v>55668</v>
      </c>
      <c r="AF222" s="156"/>
      <c r="AG222"/>
    </row>
    <row r="223" spans="1:33" x14ac:dyDescent="0.25">
      <c r="A223" s="24" t="s">
        <v>2411</v>
      </c>
      <c r="B223" s="134" t="s">
        <v>54</v>
      </c>
      <c r="C223" t="str">
        <f>_xlfn.CONCAT(A223,".",B223)</f>
        <v>PG10.4.4.1.1.A</v>
      </c>
      <c r="D223" t="s">
        <v>2412</v>
      </c>
      <c r="E223" s="18">
        <v>75</v>
      </c>
      <c r="F223" s="19" cm="1">
        <f t="array" aca="1" ref="F223" ca="1">SUMPRODUCT(SUMIF(INDIRECT("'"&amp;Assemblies[Assy]&amp;"'!"&amp;"C5:C1000"),C223,(INDIRECT("'"&amp;Assemblies[Assy]&amp;"'!"&amp;"O5:O1000"))))</f>
        <v>2</v>
      </c>
      <c r="G223" s="19">
        <v>2</v>
      </c>
      <c r="H223" s="19" t="str">
        <f ca="1">IF(F223&lt;=G223," ","YES")</f>
        <v xml:space="preserve"> </v>
      </c>
      <c r="I223">
        <v>2</v>
      </c>
      <c r="J223">
        <v>2</v>
      </c>
      <c r="K223" s="40">
        <v>45553</v>
      </c>
      <c r="L223">
        <v>2</v>
      </c>
      <c r="M223" s="40">
        <v>45560</v>
      </c>
      <c r="N223">
        <v>2</v>
      </c>
      <c r="O223" t="s">
        <v>1986</v>
      </c>
      <c r="P223" t="s">
        <v>2165</v>
      </c>
      <c r="R223" t="s">
        <v>2178</v>
      </c>
      <c r="T223" s="40">
        <v>45503</v>
      </c>
      <c r="U223" s="40">
        <v>45509</v>
      </c>
      <c r="V223" s="40">
        <v>45540</v>
      </c>
      <c r="W223" s="40">
        <v>45540</v>
      </c>
      <c r="X223" s="157">
        <v>55656</v>
      </c>
      <c r="Y223" s="40" t="str" cm="1">
        <f t="array" aca="1" ref="Y223" ca="1">TRIM(SUBSTITUTE(_xlfn.ARRAYTOTEXT(IFERROR(CONCATENATE(SUMIF(INDIRECT("'"&amp;Assemblies[Assy]&amp;"'!"&amp;"C$5:C1000"), $C223, INDIRECT("'"&amp;Assemblies[Assy]&amp;"'!"&amp;"O$5:O1000")), "x",Assemblies[Assy],".",IF(SUMIF(INDIRECT("'"&amp;Assemblies[Assy]&amp;"'!"&amp;"C$5:C1000"), $C223, INDIRECT("'"&amp;Assemblies[Assy]&amp;"'!"&amp;"A$5:A1000"))=0,NA(),SUMIF(INDIRECT("'"&amp;Assemblies[Assy]&amp;"'!"&amp;"C$5:C1000"), $C223, INDIRECT("'"&amp;Assemblies[Assy]&amp;"'!"&amp;"A$5:A1000")))),"")), " ,", ""))</f>
        <v>, 2x4.4.1.1,</v>
      </c>
      <c r="AD223" s="141"/>
      <c r="AE223" s="297">
        <v>55743</v>
      </c>
      <c r="AF223" s="156"/>
      <c r="AG223"/>
    </row>
    <row r="224" spans="1:33" x14ac:dyDescent="0.25">
      <c r="A224" s="24" t="s">
        <v>2413</v>
      </c>
      <c r="B224" s="134" t="s">
        <v>54</v>
      </c>
      <c r="C224" t="str">
        <f>_xlfn.CONCAT(A224,".",B224)</f>
        <v>PG10.4.4.1.2.A</v>
      </c>
      <c r="D224" s="356" t="s">
        <v>2414</v>
      </c>
      <c r="E224" s="18">
        <f>Z224+AA224+AB224+(65*AC224)</f>
        <v>0</v>
      </c>
      <c r="F224" s="19" cm="1">
        <f t="array" aca="1" ref="F224" ca="1">SUMPRODUCT(SUMIF(INDIRECT("'"&amp;Assemblies[Assy]&amp;"'!"&amp;"C5:C1000"),C224,(INDIRECT("'"&amp;Assemblies[Assy]&amp;"'!"&amp;"O5:O1000"))))</f>
        <v>2</v>
      </c>
      <c r="G224" s="19">
        <v>2</v>
      </c>
      <c r="H224" s="19" t="str">
        <f ca="1">IF(F224&lt;=G224," ","YES")</f>
        <v xml:space="preserve"> </v>
      </c>
      <c r="O224" t="s">
        <v>1986</v>
      </c>
      <c r="P224" t="s">
        <v>2165</v>
      </c>
      <c r="R224" t="s">
        <v>3662</v>
      </c>
      <c r="T224" s="40" t="s">
        <v>2747</v>
      </c>
      <c r="U224" s="40">
        <v>45561</v>
      </c>
      <c r="V224" s="40">
        <v>45575</v>
      </c>
      <c r="W224" s="40">
        <v>45575</v>
      </c>
      <c r="X224" s="157">
        <v>55706</v>
      </c>
      <c r="Y224" s="40" t="str" cm="1">
        <f t="array" aca="1" ref="Y224" ca="1">TRIM(SUBSTITUTE(_xlfn.ARRAYTOTEXT(IFERROR(CONCATENATE(SUMIF(INDIRECT("'"&amp;Assemblies[Assy]&amp;"'!"&amp;"C$5:C1000"), $C224, INDIRECT("'"&amp;Assemblies[Assy]&amp;"'!"&amp;"O$5:O1000")), "x",Assemblies[Assy],".",IF(SUMIF(INDIRECT("'"&amp;Assemblies[Assy]&amp;"'!"&amp;"C$5:C1000"), $C224, INDIRECT("'"&amp;Assemblies[Assy]&amp;"'!"&amp;"A$5:A1000"))=0,NA(),SUMIF(INDIRECT("'"&amp;Assemblies[Assy]&amp;"'!"&amp;"C$5:C1000"), $C224, INDIRECT("'"&amp;Assemblies[Assy]&amp;"'!"&amp;"A$5:A1000")))),"")), " ,", ""))</f>
        <v>, 2x4.4.1.2,</v>
      </c>
      <c r="Z224" s="141">
        <v>0</v>
      </c>
      <c r="AA224" s="141">
        <v>0</v>
      </c>
      <c r="AB224" s="141">
        <v>0</v>
      </c>
      <c r="AC224" s="39">
        <v>0</v>
      </c>
      <c r="AD224" s="141"/>
      <c r="AE224" s="296"/>
      <c r="AF224" s="156"/>
      <c r="AG224"/>
    </row>
    <row r="225" spans="1:33" x14ac:dyDescent="0.25">
      <c r="A225" s="24" t="s">
        <v>2415</v>
      </c>
      <c r="B225" s="134" t="s">
        <v>54</v>
      </c>
      <c r="C225" t="str">
        <f>_xlfn.CONCAT(A225,".",B225)</f>
        <v>PG10.4.4.1.3.A</v>
      </c>
      <c r="D225" t="s">
        <v>2416</v>
      </c>
      <c r="E225" s="18">
        <v>37.5</v>
      </c>
      <c r="F225" s="19" cm="1">
        <f t="array" aca="1" ref="F225" ca="1">SUMPRODUCT(SUMIF(INDIRECT("'"&amp;Assemblies[Assy]&amp;"'!"&amp;"C5:C1000"),C225,(INDIRECT("'"&amp;Assemblies[Assy]&amp;"'!"&amp;"O5:O1000"))))</f>
        <v>4</v>
      </c>
      <c r="G225" s="19">
        <v>4</v>
      </c>
      <c r="H225" s="19" t="str">
        <f ca="1">IF(F225&lt;=G225," ","YES")</f>
        <v xml:space="preserve"> </v>
      </c>
      <c r="I225">
        <v>4</v>
      </c>
      <c r="J225">
        <v>4</v>
      </c>
      <c r="L225">
        <v>4</v>
      </c>
      <c r="N225">
        <v>4</v>
      </c>
      <c r="O225" t="s">
        <v>2189</v>
      </c>
      <c r="P225" t="s">
        <v>1993</v>
      </c>
      <c r="R225" t="s">
        <v>2178</v>
      </c>
      <c r="T225" s="40">
        <v>45503</v>
      </c>
      <c r="U225" s="40">
        <v>45509</v>
      </c>
      <c r="V225" s="40">
        <v>45540</v>
      </c>
      <c r="W225" s="40">
        <v>45540</v>
      </c>
      <c r="X225" s="157">
        <v>55656</v>
      </c>
      <c r="Y225" s="40" t="str" cm="1">
        <f t="array" aca="1" ref="Y225" ca="1">TRIM(SUBSTITUTE(_xlfn.ARRAYTOTEXT(IFERROR(CONCATENATE(SUMIF(INDIRECT("'"&amp;Assemblies[Assy]&amp;"'!"&amp;"C$5:C1000"), $C225, INDIRECT("'"&amp;Assemblies[Assy]&amp;"'!"&amp;"O$5:O1000")), "x",Assemblies[Assy],".",IF(SUMIF(INDIRECT("'"&amp;Assemblies[Assy]&amp;"'!"&amp;"C$5:C1000"), $C225, INDIRECT("'"&amp;Assemblies[Assy]&amp;"'!"&amp;"A$5:A1000"))=0,NA(),SUMIF(INDIRECT("'"&amp;Assemblies[Assy]&amp;"'!"&amp;"C$5:C1000"), $C225, INDIRECT("'"&amp;Assemblies[Assy]&amp;"'!"&amp;"A$5:A1000")))),"")), " ,", ""))</f>
        <v>, 4x4.4.1.3,</v>
      </c>
      <c r="AD225" s="141"/>
      <c r="AE225" s="296"/>
      <c r="AF225" s="156"/>
      <c r="AG225"/>
    </row>
    <row r="226" spans="1:33" x14ac:dyDescent="0.25">
      <c r="A226" s="24" t="s">
        <v>2417</v>
      </c>
      <c r="B226" s="134" t="s">
        <v>54</v>
      </c>
      <c r="C226" t="str">
        <f>_xlfn.CONCAT(A226,".",B226)</f>
        <v>PG10.4.4.1.A</v>
      </c>
      <c r="D226" t="s">
        <v>2418</v>
      </c>
      <c r="E226" s="18">
        <v>147</v>
      </c>
      <c r="F226" s="19" cm="1">
        <f t="array" aca="1" ref="F226" ca="1">SUMPRODUCT(SUMIF(INDIRECT("'"&amp;Assemblies[Assy]&amp;"'!"&amp;"C5:C1000"),C226,(INDIRECT("'"&amp;Assemblies[Assy]&amp;"'!"&amp;"O5:O1000"))))</f>
        <v>2</v>
      </c>
      <c r="G226" s="19">
        <v>2</v>
      </c>
      <c r="H226" s="19" t="str">
        <f ca="1">IF(F226&lt;=G226," ","YES")</f>
        <v xml:space="preserve"> </v>
      </c>
      <c r="I226">
        <v>2</v>
      </c>
      <c r="J226">
        <v>2</v>
      </c>
      <c r="K226" s="40">
        <v>45553</v>
      </c>
      <c r="L226">
        <v>2</v>
      </c>
      <c r="M226" s="40">
        <v>45560</v>
      </c>
      <c r="N226">
        <v>2</v>
      </c>
      <c r="O226" t="s">
        <v>2067</v>
      </c>
      <c r="P226" t="s">
        <v>2165</v>
      </c>
      <c r="R226" t="s">
        <v>2178</v>
      </c>
      <c r="T226" s="40">
        <v>45503</v>
      </c>
      <c r="U226" s="40">
        <v>45509</v>
      </c>
      <c r="V226" s="40">
        <v>45540</v>
      </c>
      <c r="W226" s="40">
        <v>45540</v>
      </c>
      <c r="X226" s="157">
        <v>55656</v>
      </c>
      <c r="Y226" s="40" t="str" cm="1">
        <f t="array" aca="1" ref="Y226" ca="1">TRIM(SUBSTITUTE(_xlfn.ARRAYTOTEXT(IFERROR(CONCATENATE(SUMIF(INDIRECT("'"&amp;Assemblies[Assy]&amp;"'!"&amp;"C$5:C1000"), $C226, INDIRECT("'"&amp;Assemblies[Assy]&amp;"'!"&amp;"O$5:O1000")), "x",Assemblies[Assy],".",IF(SUMIF(INDIRECT("'"&amp;Assemblies[Assy]&amp;"'!"&amp;"C$5:C1000"), $C226, INDIRECT("'"&amp;Assemblies[Assy]&amp;"'!"&amp;"A$5:A1000"))=0,NA(),SUMIF(INDIRECT("'"&amp;Assemblies[Assy]&amp;"'!"&amp;"C$5:C1000"), $C226, INDIRECT("'"&amp;Assemblies[Assy]&amp;"'!"&amp;"A$5:A1000")))),"")), " ,", ""))</f>
        <v>, 2x4.4.1,</v>
      </c>
      <c r="AD226" s="141"/>
      <c r="AE226" s="297">
        <v>55743</v>
      </c>
      <c r="AF226" s="156"/>
      <c r="AG226"/>
    </row>
    <row r="227" spans="1:33" x14ac:dyDescent="0.25">
      <c r="A227" s="24" t="s">
        <v>2423</v>
      </c>
      <c r="B227" s="134" t="s">
        <v>54</v>
      </c>
      <c r="C227" t="str">
        <f>_xlfn.CONCAT(A227,".",B227)</f>
        <v>PG10.4.4.2.1.A</v>
      </c>
      <c r="D227" t="s">
        <v>2424</v>
      </c>
      <c r="E227" s="18">
        <v>70</v>
      </c>
      <c r="F227" s="19" cm="1">
        <f t="array" aca="1" ref="F227" ca="1">SUMPRODUCT(SUMIF(INDIRECT("'"&amp;Assemblies[Assy]&amp;"'!"&amp;"C5:C1000"),C227,(INDIRECT("'"&amp;Assemblies[Assy]&amp;"'!"&amp;"O5:O1000"))))</f>
        <v>2</v>
      </c>
      <c r="G227" s="19">
        <v>2</v>
      </c>
      <c r="H227" s="19" t="str">
        <f ca="1">IF(F227&lt;=G227," ","YES")</f>
        <v xml:space="preserve"> </v>
      </c>
      <c r="I227">
        <v>2</v>
      </c>
      <c r="J227">
        <v>2</v>
      </c>
      <c r="K227" s="40">
        <v>45553</v>
      </c>
      <c r="L227">
        <v>2</v>
      </c>
      <c r="M227" s="40">
        <v>45560</v>
      </c>
      <c r="N227">
        <v>2</v>
      </c>
      <c r="O227" t="s">
        <v>1986</v>
      </c>
      <c r="P227" t="s">
        <v>2165</v>
      </c>
      <c r="R227" t="s">
        <v>2178</v>
      </c>
      <c r="T227" s="40">
        <v>45503</v>
      </c>
      <c r="U227" s="40">
        <v>45509</v>
      </c>
      <c r="V227" s="40">
        <v>45540</v>
      </c>
      <c r="W227" s="40">
        <v>45540</v>
      </c>
      <c r="X227" s="157">
        <v>55656</v>
      </c>
      <c r="Y227" s="40" t="str" cm="1">
        <f t="array" aca="1" ref="Y227" ca="1">TRIM(SUBSTITUTE(_xlfn.ARRAYTOTEXT(IFERROR(CONCATENATE(SUMIF(INDIRECT("'"&amp;Assemblies[Assy]&amp;"'!"&amp;"C$5:C1000"), $C227, INDIRECT("'"&amp;Assemblies[Assy]&amp;"'!"&amp;"O$5:O1000")), "x",Assemblies[Assy],".",IF(SUMIF(INDIRECT("'"&amp;Assemblies[Assy]&amp;"'!"&amp;"C$5:C1000"), $C227, INDIRECT("'"&amp;Assemblies[Assy]&amp;"'!"&amp;"A$5:A1000"))=0,NA(),SUMIF(INDIRECT("'"&amp;Assemblies[Assy]&amp;"'!"&amp;"C$5:C1000"), $C227, INDIRECT("'"&amp;Assemblies[Assy]&amp;"'!"&amp;"A$5:A1000")))),"")), " ,", ""))</f>
        <v>, 2x4.4.2.1,</v>
      </c>
      <c r="AD227" s="141"/>
      <c r="AE227" s="297">
        <v>55743</v>
      </c>
      <c r="AF227" s="156"/>
      <c r="AG227"/>
    </row>
    <row r="228" spans="1:33" x14ac:dyDescent="0.25">
      <c r="A228" s="24" t="s">
        <v>2425</v>
      </c>
      <c r="B228" s="134" t="s">
        <v>54</v>
      </c>
      <c r="C228" t="str">
        <f>_xlfn.CONCAT(A228,".",B228)</f>
        <v>PG10.4.4.2.2.A</v>
      </c>
      <c r="D228" t="s">
        <v>2426</v>
      </c>
      <c r="E228" s="18">
        <v>37.5</v>
      </c>
      <c r="F228" s="19" cm="1">
        <f t="array" aca="1" ref="F228" ca="1">SUMPRODUCT(SUMIF(INDIRECT("'"&amp;Assemblies[Assy]&amp;"'!"&amp;"C5:C1000"),C228,(INDIRECT("'"&amp;Assemblies[Assy]&amp;"'!"&amp;"O5:O1000"))))</f>
        <v>2</v>
      </c>
      <c r="G228" s="19">
        <v>2</v>
      </c>
      <c r="H228" s="19" t="str">
        <f ca="1">IF(F228&lt;=G228," ","YES")</f>
        <v xml:space="preserve"> </v>
      </c>
      <c r="I228">
        <v>2</v>
      </c>
      <c r="J228">
        <v>2</v>
      </c>
      <c r="L228">
        <v>2</v>
      </c>
      <c r="N228">
        <v>2</v>
      </c>
      <c r="O228" t="s">
        <v>2189</v>
      </c>
      <c r="P228" t="s">
        <v>1993</v>
      </c>
      <c r="R228" t="s">
        <v>2178</v>
      </c>
      <c r="T228" s="40">
        <v>45503</v>
      </c>
      <c r="U228" s="40">
        <v>45509</v>
      </c>
      <c r="V228" s="40">
        <v>45540</v>
      </c>
      <c r="W228" s="40">
        <v>45540</v>
      </c>
      <c r="X228" s="157">
        <v>55656</v>
      </c>
      <c r="Y228" s="40" t="str" cm="1">
        <f t="array" aca="1" ref="Y228" ca="1">TRIM(SUBSTITUTE(_xlfn.ARRAYTOTEXT(IFERROR(CONCATENATE(SUMIF(INDIRECT("'"&amp;Assemblies[Assy]&amp;"'!"&amp;"C$5:C1000"), $C228, INDIRECT("'"&amp;Assemblies[Assy]&amp;"'!"&amp;"O$5:O1000")), "x",Assemblies[Assy],".",IF(SUMIF(INDIRECT("'"&amp;Assemblies[Assy]&amp;"'!"&amp;"C$5:C1000"), $C228, INDIRECT("'"&amp;Assemblies[Assy]&amp;"'!"&amp;"A$5:A1000"))=0,NA(),SUMIF(INDIRECT("'"&amp;Assemblies[Assy]&amp;"'!"&amp;"C$5:C1000"), $C228, INDIRECT("'"&amp;Assemblies[Assy]&amp;"'!"&amp;"A$5:A1000")))),"")), " ,", ""))</f>
        <v>, 1x4.4.2.2, 1x4.5.1.3,</v>
      </c>
      <c r="Z228" s="141">
        <v>0</v>
      </c>
      <c r="AA228" s="141">
        <v>0</v>
      </c>
      <c r="AB228" s="141">
        <v>0</v>
      </c>
      <c r="AC228" s="39">
        <v>0</v>
      </c>
      <c r="AD228" s="141"/>
      <c r="AE228" s="296"/>
      <c r="AF228" s="156"/>
      <c r="AG228"/>
    </row>
    <row r="229" spans="1:33" x14ac:dyDescent="0.25">
      <c r="A229" t="s">
        <v>2427</v>
      </c>
      <c r="B229" t="s">
        <v>54</v>
      </c>
      <c r="C229" t="str">
        <f>_xlfn.CONCAT(A229,".",B229)</f>
        <v>PG10.4.4.2.3.A</v>
      </c>
      <c r="D229" t="s">
        <v>2428</v>
      </c>
      <c r="E229" s="18">
        <f>Z229+AA229+AB229+(65*AC229)</f>
        <v>0</v>
      </c>
      <c r="F229" s="19" cm="1">
        <f t="array" aca="1" ref="F229" ca="1">SUMPRODUCT(SUMIF(INDIRECT("'"&amp;Assemblies[Assy]&amp;"'!"&amp;"C5:C1000"),C229,(INDIRECT("'"&amp;Assemblies[Assy]&amp;"'!"&amp;"O5:O1000"))))</f>
        <v>1</v>
      </c>
      <c r="G229" s="19">
        <v>1</v>
      </c>
      <c r="H229" s="19" t="str">
        <f ca="1">IF(F229&lt;=G229," ","YES")</f>
        <v xml:space="preserve"> </v>
      </c>
      <c r="O229" t="s">
        <v>2189</v>
      </c>
      <c r="P229" t="s">
        <v>1993</v>
      </c>
      <c r="R229" t="s">
        <v>1988</v>
      </c>
      <c r="T229" s="40" t="s">
        <v>2018</v>
      </c>
      <c r="Y229" s="40" t="str" cm="1">
        <f t="array" aca="1" ref="Y229" ca="1">TRIM(SUBSTITUTE(_xlfn.ARRAYTOTEXT(IFERROR(CONCATENATE(SUMIF(INDIRECT("'"&amp;Assemblies[Assy]&amp;"'!"&amp;"C$5:C1000"), $C229, INDIRECT("'"&amp;Assemblies[Assy]&amp;"'!"&amp;"O$5:O1000")), "x",Assemblies[Assy],".",IF(SUMIF(INDIRECT("'"&amp;Assemblies[Assy]&amp;"'!"&amp;"C$5:C1000"), $C229, INDIRECT("'"&amp;Assemblies[Assy]&amp;"'!"&amp;"A$5:A1000"))=0,NA(),SUMIF(INDIRECT("'"&amp;Assemblies[Assy]&amp;"'!"&amp;"C$5:C1000"), $C229, INDIRECT("'"&amp;Assemblies[Assy]&amp;"'!"&amp;"A$5:A1000")))),"")), " ,", ""))</f>
        <v>, 1x4.4.2.3,</v>
      </c>
      <c r="Z229" s="141">
        <v>0</v>
      </c>
      <c r="AA229" s="141">
        <v>0</v>
      </c>
      <c r="AB229" s="141">
        <v>0</v>
      </c>
      <c r="AC229" s="39">
        <v>0</v>
      </c>
      <c r="AD229" s="141"/>
      <c r="AE229" s="296"/>
      <c r="AF229" s="156"/>
      <c r="AG229"/>
    </row>
    <row r="230" spans="1:33" x14ac:dyDescent="0.25">
      <c r="A230" s="24" t="s">
        <v>2429</v>
      </c>
      <c r="B230" s="134" t="s">
        <v>54</v>
      </c>
      <c r="C230" t="str">
        <f>_xlfn.CONCAT(A230,".",B230)</f>
        <v>PG10.4.4.2.4.A</v>
      </c>
      <c r="D230" t="s">
        <v>2430</v>
      </c>
      <c r="E230" s="18">
        <v>62.5</v>
      </c>
      <c r="F230" s="19" cm="1">
        <f t="array" aca="1" ref="F230" ca="1">SUMPRODUCT(SUMIF(INDIRECT("'"&amp;Assemblies[Assy]&amp;"'!"&amp;"C5:C1000"),C230,(INDIRECT("'"&amp;Assemblies[Assy]&amp;"'!"&amp;"O5:O1000"))))</f>
        <v>1</v>
      </c>
      <c r="G230" s="19">
        <v>1</v>
      </c>
      <c r="H230" s="19" t="str">
        <f ca="1">IF(F230&lt;=G230," ","YES")</f>
        <v xml:space="preserve"> </v>
      </c>
      <c r="I230">
        <v>1</v>
      </c>
      <c r="J230">
        <v>1</v>
      </c>
      <c r="K230" s="40">
        <v>45553</v>
      </c>
      <c r="L230">
        <v>1</v>
      </c>
      <c r="M230" s="40">
        <v>45560</v>
      </c>
      <c r="N230">
        <v>1</v>
      </c>
      <c r="O230" t="s">
        <v>1986</v>
      </c>
      <c r="P230" t="s">
        <v>2165</v>
      </c>
      <c r="R230" t="s">
        <v>2178</v>
      </c>
      <c r="T230" s="40">
        <v>45503</v>
      </c>
      <c r="U230" s="40">
        <v>45509</v>
      </c>
      <c r="V230" s="40">
        <v>45540</v>
      </c>
      <c r="W230" s="40">
        <v>45540</v>
      </c>
      <c r="X230" s="157">
        <v>55656</v>
      </c>
      <c r="Y230" s="40" t="str" cm="1">
        <f t="array" aca="1" ref="Y230" ca="1">TRIM(SUBSTITUTE(_xlfn.ARRAYTOTEXT(IFERROR(CONCATENATE(SUMIF(INDIRECT("'"&amp;Assemblies[Assy]&amp;"'!"&amp;"C$5:C1000"), $C230, INDIRECT("'"&amp;Assemblies[Assy]&amp;"'!"&amp;"O$5:O1000")), "x",Assemblies[Assy],".",IF(SUMIF(INDIRECT("'"&amp;Assemblies[Assy]&amp;"'!"&amp;"C$5:C1000"), $C230, INDIRECT("'"&amp;Assemblies[Assy]&amp;"'!"&amp;"A$5:A1000"))=0,NA(),SUMIF(INDIRECT("'"&amp;Assemblies[Assy]&amp;"'!"&amp;"C$5:C1000"), $C230, INDIRECT("'"&amp;Assemblies[Assy]&amp;"'!"&amp;"A$5:A1000")))),"")), " ,", ""))</f>
        <v>, 1x4.4.2.4,</v>
      </c>
      <c r="AD230" s="141"/>
      <c r="AE230" s="297">
        <v>55743</v>
      </c>
      <c r="AF230" s="156"/>
      <c r="AG230"/>
    </row>
    <row r="231" spans="1:33" x14ac:dyDescent="0.25">
      <c r="A231" s="24" t="s">
        <v>2431</v>
      </c>
      <c r="B231" s="134" t="s">
        <v>54</v>
      </c>
      <c r="C231" t="str">
        <f>_xlfn.CONCAT(A231,".",B231)</f>
        <v>PG10.4.4.2.5.A</v>
      </c>
      <c r="D231" t="s">
        <v>2432</v>
      </c>
      <c r="E231" s="18">
        <v>140</v>
      </c>
      <c r="F231" s="19" cm="1">
        <f t="array" aca="1" ref="F231" ca="1">SUMPRODUCT(SUMIF(INDIRECT("'"&amp;Assemblies[Assy]&amp;"'!"&amp;"C5:C1000"),C231,(INDIRECT("'"&amp;Assemblies[Assy]&amp;"'!"&amp;"O5:O1000"))))</f>
        <v>1</v>
      </c>
      <c r="G231" s="19">
        <v>1</v>
      </c>
      <c r="H231" s="19" t="str">
        <f ca="1">IF(F231&lt;=G231," ","YES")</f>
        <v xml:space="preserve"> </v>
      </c>
      <c r="I231">
        <v>1</v>
      </c>
      <c r="J231">
        <v>1</v>
      </c>
      <c r="K231" s="40">
        <v>45553</v>
      </c>
      <c r="L231">
        <v>1</v>
      </c>
      <c r="M231" s="40">
        <v>45560</v>
      </c>
      <c r="N231">
        <v>1</v>
      </c>
      <c r="O231" t="s">
        <v>1986</v>
      </c>
      <c r="P231" t="s">
        <v>2165</v>
      </c>
      <c r="R231" t="s">
        <v>2178</v>
      </c>
      <c r="T231" s="40">
        <v>45503</v>
      </c>
      <c r="U231" s="40">
        <v>45509</v>
      </c>
      <c r="V231" s="40">
        <v>45540</v>
      </c>
      <c r="W231" s="40">
        <v>45540</v>
      </c>
      <c r="X231" s="157">
        <v>55656</v>
      </c>
      <c r="Y231" s="40" t="str" cm="1">
        <f t="array" aca="1" ref="Y231" ca="1">TRIM(SUBSTITUTE(_xlfn.ARRAYTOTEXT(IFERROR(CONCATENATE(SUMIF(INDIRECT("'"&amp;Assemblies[Assy]&amp;"'!"&amp;"C$5:C1000"), $C231, INDIRECT("'"&amp;Assemblies[Assy]&amp;"'!"&amp;"O$5:O1000")), "x",Assemblies[Assy],".",IF(SUMIF(INDIRECT("'"&amp;Assemblies[Assy]&amp;"'!"&amp;"C$5:C1000"), $C231, INDIRECT("'"&amp;Assemblies[Assy]&amp;"'!"&amp;"A$5:A1000"))=0,NA(),SUMIF(INDIRECT("'"&amp;Assemblies[Assy]&amp;"'!"&amp;"C$5:C1000"), $C231, INDIRECT("'"&amp;Assemblies[Assy]&amp;"'!"&amp;"A$5:A1000")))),"")), " ,", ""))</f>
        <v>, 1x4.4.2.5,</v>
      </c>
      <c r="AD231" s="141"/>
      <c r="AE231" s="297">
        <v>55743</v>
      </c>
      <c r="AF231" s="156"/>
      <c r="AG231"/>
    </row>
    <row r="232" spans="1:33" x14ac:dyDescent="0.25">
      <c r="A232" s="24" t="s">
        <v>2419</v>
      </c>
      <c r="B232" s="134" t="s">
        <v>54</v>
      </c>
      <c r="C232" t="str">
        <f>_xlfn.CONCAT(A232,".",B232)</f>
        <v>PG10.4.4.2.A</v>
      </c>
      <c r="D232" t="s">
        <v>2420</v>
      </c>
      <c r="E232" s="18">
        <f>Z232+AA232+AB232+(65*AC232)</f>
        <v>0</v>
      </c>
      <c r="F232" s="19" cm="1">
        <f t="array" aca="1" ref="F232" ca="1">SUMPRODUCT(SUMIF(INDIRECT("'"&amp;Assemblies[Assy]&amp;"'!"&amp;"C5:C1000"),C232,(INDIRECT("'"&amp;Assemblies[Assy]&amp;"'!"&amp;"O5:O1000"))))</f>
        <v>1</v>
      </c>
      <c r="G232" s="19">
        <v>1</v>
      </c>
      <c r="H232" s="19" t="str">
        <f ca="1">IF(F232&lt;=G232," ","YES")</f>
        <v xml:space="preserve"> </v>
      </c>
      <c r="I232">
        <v>1</v>
      </c>
      <c r="J232">
        <v>1</v>
      </c>
      <c r="L232">
        <v>1</v>
      </c>
      <c r="N232">
        <v>1</v>
      </c>
      <c r="O232" t="s">
        <v>2021</v>
      </c>
      <c r="P232" t="s">
        <v>2030</v>
      </c>
      <c r="R232" t="s">
        <v>2488</v>
      </c>
      <c r="T232" s="40">
        <v>45526</v>
      </c>
      <c r="U232" s="40">
        <v>45527</v>
      </c>
      <c r="V232" s="40">
        <v>45548</v>
      </c>
      <c r="W232" s="40">
        <v>45548</v>
      </c>
      <c r="X232" s="157">
        <v>55702</v>
      </c>
      <c r="Y232" s="40" t="str" cm="1">
        <f t="array" aca="1" ref="Y232" ca="1">TRIM(SUBSTITUTE(_xlfn.ARRAYTOTEXT(IFERROR(CONCATENATE(SUMIF(INDIRECT("'"&amp;Assemblies[Assy]&amp;"'!"&amp;"C$5:C1000"), $C232, INDIRECT("'"&amp;Assemblies[Assy]&amp;"'!"&amp;"O$5:O1000")), "x",Assemblies[Assy],".",IF(SUMIF(INDIRECT("'"&amp;Assemblies[Assy]&amp;"'!"&amp;"C$5:C1000"), $C232, INDIRECT("'"&amp;Assemblies[Assy]&amp;"'!"&amp;"A$5:A1000"))=0,NA(),SUMIF(INDIRECT("'"&amp;Assemblies[Assy]&amp;"'!"&amp;"C$5:C1000"), $C232, INDIRECT("'"&amp;Assemblies[Assy]&amp;"'!"&amp;"A$5:A1000")))),"")), " ,", ""))</f>
        <v>,</v>
      </c>
      <c r="Z232" s="141">
        <v>0</v>
      </c>
      <c r="AA232" s="141">
        <v>0</v>
      </c>
      <c r="AB232" s="141">
        <v>0</v>
      </c>
      <c r="AC232" s="39">
        <v>0</v>
      </c>
      <c r="AD232" s="141"/>
      <c r="AE232" s="296"/>
      <c r="AF232" s="156"/>
      <c r="AG232"/>
    </row>
    <row r="233" spans="1:33" x14ac:dyDescent="0.25">
      <c r="A233" s="24" t="s">
        <v>2421</v>
      </c>
      <c r="B233" s="134" t="s">
        <v>54</v>
      </c>
      <c r="C233" t="str">
        <f>_xlfn.CONCAT(A233,".",B233)</f>
        <v>PG10.4.4.3.A</v>
      </c>
      <c r="D233" t="s">
        <v>2422</v>
      </c>
      <c r="E233" s="18">
        <f>Z233+AA233+AB233+(65*AC233)</f>
        <v>0</v>
      </c>
      <c r="F233" s="19" cm="1">
        <f t="array" aca="1" ref="F233" ca="1">SUMPRODUCT(SUMIF(INDIRECT("'"&amp;Assemblies[Assy]&amp;"'!"&amp;"C5:C1000"),C233,(INDIRECT("'"&amp;Assemblies[Assy]&amp;"'!"&amp;"O5:O1000"))))</f>
        <v>1</v>
      </c>
      <c r="G233" s="19">
        <v>1</v>
      </c>
      <c r="H233" s="19" t="str">
        <f ca="1">IF(F233&lt;=G233," ","YES")</f>
        <v xml:space="preserve"> </v>
      </c>
      <c r="I233">
        <v>1</v>
      </c>
      <c r="J233">
        <v>1</v>
      </c>
      <c r="L233">
        <v>1</v>
      </c>
      <c r="N233">
        <v>1</v>
      </c>
      <c r="O233" t="s">
        <v>2021</v>
      </c>
      <c r="P233" t="s">
        <v>2030</v>
      </c>
      <c r="R233" t="s">
        <v>2488</v>
      </c>
      <c r="T233" s="40">
        <v>45526</v>
      </c>
      <c r="U233" s="40">
        <v>45527</v>
      </c>
      <c r="V233" s="40">
        <v>45548</v>
      </c>
      <c r="W233" s="40">
        <v>45548</v>
      </c>
      <c r="X233" s="157">
        <v>55702</v>
      </c>
      <c r="Y233" s="40" t="str" cm="1">
        <f t="array" aca="1" ref="Y233" ca="1">TRIM(SUBSTITUTE(_xlfn.ARRAYTOTEXT(IFERROR(CONCATENATE(SUMIF(INDIRECT("'"&amp;Assemblies[Assy]&amp;"'!"&amp;"C$5:C1000"), $C233, INDIRECT("'"&amp;Assemblies[Assy]&amp;"'!"&amp;"O$5:O1000")), "x",Assemblies[Assy],".",IF(SUMIF(INDIRECT("'"&amp;Assemblies[Assy]&amp;"'!"&amp;"C$5:C1000"), $C233, INDIRECT("'"&amp;Assemblies[Assy]&amp;"'!"&amp;"A$5:A1000"))=0,NA(),SUMIF(INDIRECT("'"&amp;Assemblies[Assy]&amp;"'!"&amp;"C$5:C1000"), $C233, INDIRECT("'"&amp;Assemblies[Assy]&amp;"'!"&amp;"A$5:A1000")))),"")), " ,", ""))</f>
        <v>,</v>
      </c>
      <c r="Z233" s="141">
        <v>0</v>
      </c>
      <c r="AA233" s="141">
        <v>0</v>
      </c>
      <c r="AB233" s="141">
        <v>0</v>
      </c>
      <c r="AC233" s="39">
        <v>0</v>
      </c>
      <c r="AD233" s="141"/>
      <c r="AE233" s="296"/>
      <c r="AF233" s="156"/>
      <c r="AG233"/>
    </row>
    <row r="234" spans="1:33" x14ac:dyDescent="0.25">
      <c r="A234" s="24" t="s">
        <v>2433</v>
      </c>
      <c r="B234" s="134" t="s">
        <v>54</v>
      </c>
      <c r="C234" t="str">
        <f>_xlfn.CONCAT(A234,".",B234)</f>
        <v>PG10.4.5.1.1.A</v>
      </c>
      <c r="D234" t="s">
        <v>2434</v>
      </c>
      <c r="E234" s="18">
        <v>84</v>
      </c>
      <c r="F234" s="19" cm="1">
        <f t="array" aca="1" ref="F234" ca="1">SUMPRODUCT(SUMIF(INDIRECT("'"&amp;Assemblies[Assy]&amp;"'!"&amp;"C5:C1000"),C234,(INDIRECT("'"&amp;Assemblies[Assy]&amp;"'!"&amp;"O5:O1000"))))</f>
        <v>2</v>
      </c>
      <c r="G234" s="19">
        <v>2</v>
      </c>
      <c r="H234" s="19" t="str">
        <f ca="1">IF(F234&lt;=G234," ","YES")</f>
        <v xml:space="preserve"> </v>
      </c>
      <c r="I234">
        <v>2</v>
      </c>
      <c r="J234">
        <v>2</v>
      </c>
      <c r="K234" s="40">
        <v>45553</v>
      </c>
      <c r="L234">
        <v>2</v>
      </c>
      <c r="M234" s="40">
        <v>45560</v>
      </c>
      <c r="N234">
        <v>2</v>
      </c>
      <c r="O234" t="s">
        <v>1986</v>
      </c>
      <c r="P234" t="s">
        <v>2165</v>
      </c>
      <c r="R234" t="s">
        <v>2178</v>
      </c>
      <c r="T234" s="40">
        <v>45503</v>
      </c>
      <c r="U234" s="40">
        <v>45509</v>
      </c>
      <c r="V234" s="40">
        <v>45540</v>
      </c>
      <c r="W234" s="40">
        <v>45540</v>
      </c>
      <c r="X234" s="157">
        <v>55656</v>
      </c>
      <c r="Y234" s="40" t="str" cm="1">
        <f t="array" aca="1" ref="Y234" ca="1">TRIM(SUBSTITUTE(_xlfn.ARRAYTOTEXT(IFERROR(CONCATENATE(SUMIF(INDIRECT("'"&amp;Assemblies[Assy]&amp;"'!"&amp;"C$5:C1000"), $C234, INDIRECT("'"&amp;Assemblies[Assy]&amp;"'!"&amp;"O$5:O1000")), "x",Assemblies[Assy],".",IF(SUMIF(INDIRECT("'"&amp;Assemblies[Assy]&amp;"'!"&amp;"C$5:C1000"), $C234, INDIRECT("'"&amp;Assemblies[Assy]&amp;"'!"&amp;"A$5:A1000"))=0,NA(),SUMIF(INDIRECT("'"&amp;Assemblies[Assy]&amp;"'!"&amp;"C$5:C1000"), $C234, INDIRECT("'"&amp;Assemblies[Assy]&amp;"'!"&amp;"A$5:A1000")))),"")), " ,", ""))</f>
        <v>, 2x4.5.1.1,</v>
      </c>
      <c r="Z234" s="141">
        <v>0</v>
      </c>
      <c r="AA234" s="141">
        <v>0</v>
      </c>
      <c r="AB234" s="141">
        <v>0</v>
      </c>
      <c r="AC234" s="39">
        <v>0</v>
      </c>
      <c r="AD234" s="141"/>
      <c r="AE234" s="297">
        <v>55743</v>
      </c>
      <c r="AF234" s="156"/>
      <c r="AG234"/>
    </row>
    <row r="235" spans="1:33" x14ac:dyDescent="0.25">
      <c r="A235" s="24" t="s">
        <v>2435</v>
      </c>
      <c r="B235" s="134" t="s">
        <v>54</v>
      </c>
      <c r="C235" t="str">
        <f>_xlfn.CONCAT(A235,".",B235)</f>
        <v>PG10.4.5.1.2.A</v>
      </c>
      <c r="D235" s="191" t="s">
        <v>2436</v>
      </c>
      <c r="E235" s="18">
        <f>Z235+AA235+AB235+(65*AC235)</f>
        <v>0</v>
      </c>
      <c r="F235" s="19" cm="1">
        <f t="array" aca="1" ref="F235" ca="1">SUMPRODUCT(SUMIF(INDIRECT("'"&amp;Assemblies[Assy]&amp;"'!"&amp;"C5:C1000"),C235,(INDIRECT("'"&amp;Assemblies[Assy]&amp;"'!"&amp;"O5:O1000"))))</f>
        <v>1</v>
      </c>
      <c r="G235" s="19">
        <v>1</v>
      </c>
      <c r="H235" s="19" t="str">
        <f ca="1">IF(F235&lt;=G235," ","YES")</f>
        <v xml:space="preserve"> </v>
      </c>
      <c r="O235" t="s">
        <v>2189</v>
      </c>
      <c r="P235" t="s">
        <v>1993</v>
      </c>
      <c r="R235" t="s">
        <v>2052</v>
      </c>
      <c r="S235" t="s">
        <v>2018</v>
      </c>
      <c r="T235" s="40">
        <v>45504</v>
      </c>
      <c r="Y235" s="40" t="str" cm="1">
        <f t="array" aca="1" ref="Y235" ca="1">TRIM(SUBSTITUTE(_xlfn.ARRAYTOTEXT(IFERROR(CONCATENATE(SUMIF(INDIRECT("'"&amp;Assemblies[Assy]&amp;"'!"&amp;"C$5:C1000"), $C235, INDIRECT("'"&amp;Assemblies[Assy]&amp;"'!"&amp;"O$5:O1000")), "x",Assemblies[Assy],".",IF(SUMIF(INDIRECT("'"&amp;Assemblies[Assy]&amp;"'!"&amp;"C$5:C1000"), $C235, INDIRECT("'"&amp;Assemblies[Assy]&amp;"'!"&amp;"A$5:A1000"))=0,NA(),SUMIF(INDIRECT("'"&amp;Assemblies[Assy]&amp;"'!"&amp;"C$5:C1000"), $C235, INDIRECT("'"&amp;Assemblies[Assy]&amp;"'!"&amp;"A$5:A1000")))),"")), " ,", ""))</f>
        <v>, 1x4.5.1.2,</v>
      </c>
      <c r="Z235" s="141">
        <v>0</v>
      </c>
      <c r="AA235" s="141">
        <v>0</v>
      </c>
      <c r="AB235" s="141">
        <v>0</v>
      </c>
      <c r="AC235" s="39">
        <v>0</v>
      </c>
      <c r="AD235" s="141"/>
      <c r="AE235" s="296"/>
      <c r="AF235" s="156"/>
      <c r="AG235"/>
    </row>
    <row r="236" spans="1:33" x14ac:dyDescent="0.25">
      <c r="A236" s="24" t="s">
        <v>2437</v>
      </c>
      <c r="B236" s="134" t="s">
        <v>54</v>
      </c>
      <c r="C236" t="str">
        <f>_xlfn.CONCAT(A236,".",B236)</f>
        <v>PG10.4.5.1.A</v>
      </c>
      <c r="D236" t="s">
        <v>2438</v>
      </c>
      <c r="E236" s="18">
        <v>221.39</v>
      </c>
      <c r="F236" s="19" cm="1">
        <f t="array" aca="1" ref="F236" ca="1">SUMPRODUCT(SUMIF(INDIRECT("'"&amp;Assemblies[Assy]&amp;"'!"&amp;"C5:C1000"),C236,(INDIRECT("'"&amp;Assemblies[Assy]&amp;"'!"&amp;"O5:O1000"))))</f>
        <v>2</v>
      </c>
      <c r="G236" s="19">
        <v>2</v>
      </c>
      <c r="H236" s="19" t="str">
        <f ca="1">IF(F236&lt;=G236," ","YES")</f>
        <v xml:space="preserve"> </v>
      </c>
      <c r="I236">
        <v>2</v>
      </c>
      <c r="J236">
        <v>2</v>
      </c>
      <c r="L236">
        <v>2</v>
      </c>
      <c r="N236">
        <v>2</v>
      </c>
      <c r="O236" t="s">
        <v>1986</v>
      </c>
      <c r="P236" t="s">
        <v>2165</v>
      </c>
      <c r="R236" t="s">
        <v>3662</v>
      </c>
      <c r="T236" s="40">
        <v>45527</v>
      </c>
      <c r="U236" s="40">
        <v>45530</v>
      </c>
      <c r="V236" s="40">
        <v>45560</v>
      </c>
      <c r="W236" s="40">
        <v>45560</v>
      </c>
      <c r="X236" s="157">
        <v>55706</v>
      </c>
      <c r="Y236" s="40" t="str" cm="1">
        <f t="array" aca="1" ref="Y236" ca="1">TRIM(SUBSTITUTE(_xlfn.ARRAYTOTEXT(IFERROR(CONCATENATE(SUMIF(INDIRECT("'"&amp;Assemblies[Assy]&amp;"'!"&amp;"C$5:C1000"), $C236, INDIRECT("'"&amp;Assemblies[Assy]&amp;"'!"&amp;"O$5:O1000")), "x",Assemblies[Assy],".",IF(SUMIF(INDIRECT("'"&amp;Assemblies[Assy]&amp;"'!"&amp;"C$5:C1000"), $C236, INDIRECT("'"&amp;Assemblies[Assy]&amp;"'!"&amp;"A$5:A1000"))=0,NA(),SUMIF(INDIRECT("'"&amp;Assemblies[Assy]&amp;"'!"&amp;"C$5:C1000"), $C236, INDIRECT("'"&amp;Assemblies[Assy]&amp;"'!"&amp;"A$5:A1000")))),"")), " ,", ""))</f>
        <v>, 2x4.5.1,</v>
      </c>
      <c r="Z236" s="141">
        <v>0</v>
      </c>
      <c r="AA236" s="141">
        <v>0</v>
      </c>
      <c r="AB236" s="141">
        <v>0</v>
      </c>
      <c r="AC236" s="39">
        <v>0</v>
      </c>
      <c r="AD236" s="141"/>
      <c r="AE236" s="296"/>
      <c r="AF236" s="156"/>
      <c r="AG236"/>
    </row>
    <row r="237" spans="1:33" x14ac:dyDescent="0.25">
      <c r="A237" s="24" t="s">
        <v>2439</v>
      </c>
      <c r="B237" s="134" t="s">
        <v>54</v>
      </c>
      <c r="C237" t="str">
        <f>_xlfn.CONCAT(A237,".",B237)</f>
        <v>PG10.4.5.2.A</v>
      </c>
      <c r="D237" t="s">
        <v>2440</v>
      </c>
      <c r="E237" s="18">
        <f>Z237+AA237+AB237+(65*AC237)</f>
        <v>0</v>
      </c>
      <c r="F237" s="19" cm="1">
        <f t="array" aca="1" ref="F237" ca="1">SUMPRODUCT(SUMIF(INDIRECT("'"&amp;Assemblies[Assy]&amp;"'!"&amp;"C5:C1000"),C237,(INDIRECT("'"&amp;Assemblies[Assy]&amp;"'!"&amp;"O5:O1000"))))</f>
        <v>1</v>
      </c>
      <c r="G237" s="19">
        <v>1</v>
      </c>
      <c r="H237" s="19" t="str">
        <f ca="1">IF(F237&lt;=G237," ","YES")</f>
        <v xml:space="preserve"> </v>
      </c>
      <c r="I237">
        <v>1</v>
      </c>
      <c r="J237">
        <v>1</v>
      </c>
      <c r="L237">
        <v>1</v>
      </c>
      <c r="N237">
        <v>1</v>
      </c>
      <c r="O237" t="s">
        <v>2021</v>
      </c>
      <c r="P237" t="s">
        <v>2030</v>
      </c>
      <c r="R237" t="s">
        <v>2488</v>
      </c>
      <c r="T237" s="40">
        <v>45526</v>
      </c>
      <c r="U237" s="40">
        <v>45527</v>
      </c>
      <c r="V237" s="40">
        <v>45548</v>
      </c>
      <c r="W237" s="40">
        <v>45548</v>
      </c>
      <c r="X237" s="157">
        <v>55702</v>
      </c>
      <c r="Y237" s="40" t="str" cm="1">
        <f t="array" aca="1" ref="Y237" ca="1">TRIM(SUBSTITUTE(_xlfn.ARRAYTOTEXT(IFERROR(CONCATENATE(SUMIF(INDIRECT("'"&amp;Assemblies[Assy]&amp;"'!"&amp;"C$5:C1000"), $C237, INDIRECT("'"&amp;Assemblies[Assy]&amp;"'!"&amp;"O$5:O1000")), "x",Assemblies[Assy],".",IF(SUMIF(INDIRECT("'"&amp;Assemblies[Assy]&amp;"'!"&amp;"C$5:C1000"), $C237, INDIRECT("'"&amp;Assemblies[Assy]&amp;"'!"&amp;"A$5:A1000"))=0,NA(),SUMIF(INDIRECT("'"&amp;Assemblies[Assy]&amp;"'!"&amp;"C$5:C1000"), $C237, INDIRECT("'"&amp;Assemblies[Assy]&amp;"'!"&amp;"A$5:A1000")))),"")), " ,", ""))</f>
        <v>,</v>
      </c>
      <c r="Z237" s="141">
        <v>0</v>
      </c>
      <c r="AA237" s="141">
        <v>0</v>
      </c>
      <c r="AB237" s="141">
        <v>0</v>
      </c>
      <c r="AC237" s="39">
        <v>0</v>
      </c>
      <c r="AD237" s="141"/>
      <c r="AE237" s="296"/>
      <c r="AF237" s="156"/>
      <c r="AG237"/>
    </row>
    <row r="238" spans="1:33" x14ac:dyDescent="0.25">
      <c r="A238" s="24" t="s">
        <v>2441</v>
      </c>
      <c r="B238" s="134" t="s">
        <v>54</v>
      </c>
      <c r="C238" t="str">
        <f>_xlfn.CONCAT(A238,".",B238)</f>
        <v>PG10.4.5.3.A</v>
      </c>
      <c r="D238" t="s">
        <v>2442</v>
      </c>
      <c r="E238" s="18">
        <f>Z238+AA238+AB238+(65*AC238)</f>
        <v>0</v>
      </c>
      <c r="F238" s="19" cm="1">
        <f t="array" aca="1" ref="F238" ca="1">SUMPRODUCT(SUMIF(INDIRECT("'"&amp;Assemblies[Assy]&amp;"'!"&amp;"C5:C1000"),C238,(INDIRECT("'"&amp;Assemblies[Assy]&amp;"'!"&amp;"O5:O1000"))))</f>
        <v>1</v>
      </c>
      <c r="G238" s="19">
        <v>1</v>
      </c>
      <c r="H238" s="19" t="str">
        <f ca="1">IF(F238&lt;=G238," ","YES")</f>
        <v xml:space="preserve"> </v>
      </c>
      <c r="I238">
        <v>1</v>
      </c>
      <c r="J238">
        <v>1</v>
      </c>
      <c r="L238">
        <v>1</v>
      </c>
      <c r="N238">
        <v>1</v>
      </c>
      <c r="O238" t="s">
        <v>2021</v>
      </c>
      <c r="P238" t="s">
        <v>2030</v>
      </c>
      <c r="R238" t="s">
        <v>2488</v>
      </c>
      <c r="T238" s="40">
        <v>45526</v>
      </c>
      <c r="U238" s="40">
        <v>45527</v>
      </c>
      <c r="V238" s="40">
        <v>45548</v>
      </c>
      <c r="W238" s="40">
        <v>45548</v>
      </c>
      <c r="X238" s="157">
        <v>55702</v>
      </c>
      <c r="Y238" s="40" t="str" cm="1">
        <f t="array" aca="1" ref="Y238" ca="1">TRIM(SUBSTITUTE(_xlfn.ARRAYTOTEXT(IFERROR(CONCATENATE(SUMIF(INDIRECT("'"&amp;Assemblies[Assy]&amp;"'!"&amp;"C$5:C1000"), $C238, INDIRECT("'"&amp;Assemblies[Assy]&amp;"'!"&amp;"O$5:O1000")), "x",Assemblies[Assy],".",IF(SUMIF(INDIRECT("'"&amp;Assemblies[Assy]&amp;"'!"&amp;"C$5:C1000"), $C238, INDIRECT("'"&amp;Assemblies[Assy]&amp;"'!"&amp;"A$5:A1000"))=0,NA(),SUMIF(INDIRECT("'"&amp;Assemblies[Assy]&amp;"'!"&amp;"C$5:C1000"), $C238, INDIRECT("'"&amp;Assemblies[Assy]&amp;"'!"&amp;"A$5:A1000")))),"")), " ,", ""))</f>
        <v>,</v>
      </c>
      <c r="Z238" s="141">
        <v>0</v>
      </c>
      <c r="AA238" s="141">
        <v>0</v>
      </c>
      <c r="AB238" s="141">
        <v>0</v>
      </c>
      <c r="AC238" s="39">
        <v>0</v>
      </c>
      <c r="AD238" s="141"/>
      <c r="AE238" s="296"/>
      <c r="AF238" s="156"/>
      <c r="AG238"/>
    </row>
    <row r="239" spans="1:33" x14ac:dyDescent="0.25">
      <c r="A239" s="24" t="s">
        <v>3677</v>
      </c>
      <c r="B239" s="134" t="s">
        <v>54</v>
      </c>
      <c r="C239" t="str">
        <f>_xlfn.CONCAT(A239,".",B239)</f>
        <v>PG10.4.7.1.1.A</v>
      </c>
      <c r="D239" t="s">
        <v>3884</v>
      </c>
      <c r="E239" s="18">
        <f>Z239+AA239+AB239+(65*AC239)</f>
        <v>0</v>
      </c>
      <c r="F239" s="19" cm="1">
        <f t="array" aca="1" ref="F239" ca="1">SUMPRODUCT(SUMIF(INDIRECT("'"&amp;Assemblies[Assy]&amp;"'!"&amp;"C5:C1000"),C239,(INDIRECT("'"&amp;Assemblies[Assy]&amp;"'!"&amp;"O5:O1000"))))</f>
        <v>2</v>
      </c>
      <c r="G239" s="19">
        <v>2</v>
      </c>
      <c r="H239" s="19" t="str">
        <f ca="1">IF(F239&lt;=G239," ","YES")</f>
        <v xml:space="preserve"> </v>
      </c>
      <c r="O239" t="s">
        <v>1986</v>
      </c>
      <c r="P239" t="s">
        <v>1993</v>
      </c>
      <c r="R239" t="s">
        <v>3662</v>
      </c>
      <c r="T239" s="40" t="s">
        <v>2747</v>
      </c>
      <c r="U239" s="40">
        <v>45560</v>
      </c>
      <c r="V239" s="40">
        <v>45576</v>
      </c>
      <c r="W239" s="40">
        <v>45576</v>
      </c>
      <c r="X239" s="157">
        <v>55761</v>
      </c>
      <c r="Y239" s="40" t="str" cm="1">
        <f t="array" aca="1" ref="Y239" ca="1">TRIM(SUBSTITUTE(_xlfn.ARRAYTOTEXT(IFERROR(CONCATENATE(SUMIF(INDIRECT("'"&amp;Assemblies[Assy]&amp;"'!"&amp;"C$5:C1000"), $C239, INDIRECT("'"&amp;Assemblies[Assy]&amp;"'!"&amp;"O$5:O1000")), "x",Assemblies[Assy],".",IF(SUMIF(INDIRECT("'"&amp;Assemblies[Assy]&amp;"'!"&amp;"C$5:C1000"), $C239, INDIRECT("'"&amp;Assemblies[Assy]&amp;"'!"&amp;"A$5:A1000"))=0,NA(),SUMIF(INDIRECT("'"&amp;Assemblies[Assy]&amp;"'!"&amp;"C$5:C1000"), $C239, INDIRECT("'"&amp;Assemblies[Assy]&amp;"'!"&amp;"A$5:A1000")))),"")), " ,", ""))</f>
        <v>, 2x4.7.1.1,</v>
      </c>
      <c r="Z239" s="141">
        <v>0</v>
      </c>
      <c r="AA239" s="141">
        <v>0</v>
      </c>
      <c r="AB239" s="141">
        <v>0</v>
      </c>
      <c r="AC239" s="39">
        <v>0</v>
      </c>
      <c r="AD239" s="141"/>
      <c r="AE239" s="296"/>
      <c r="AF239" s="156"/>
      <c r="AG239"/>
    </row>
    <row r="240" spans="1:33" x14ac:dyDescent="0.25">
      <c r="A240" s="24" t="s">
        <v>3670</v>
      </c>
      <c r="B240" s="134" t="s">
        <v>54</v>
      </c>
      <c r="C240" t="str">
        <f>_xlfn.CONCAT(A240,".",B240)</f>
        <v>PG10.4.7.1.A</v>
      </c>
      <c r="D240" t="s">
        <v>3671</v>
      </c>
      <c r="E240" s="18">
        <f>Z240+AA240+AB240+(65*AC240)</f>
        <v>0</v>
      </c>
      <c r="F240" s="19" cm="1">
        <f t="array" aca="1" ref="F240" ca="1">SUMPRODUCT(SUMIF(INDIRECT("'"&amp;Assemblies[Assy]&amp;"'!"&amp;"C5:C1000"),C240,(INDIRECT("'"&amp;Assemblies[Assy]&amp;"'!"&amp;"O5:O1000"))))</f>
        <v>4</v>
      </c>
      <c r="G240" s="19">
        <v>4</v>
      </c>
      <c r="H240" s="19" t="str">
        <f ca="1">IF(F240&lt;=G240," ","YES")</f>
        <v xml:space="preserve"> </v>
      </c>
      <c r="O240" t="s">
        <v>1986</v>
      </c>
      <c r="P240" t="s">
        <v>1993</v>
      </c>
      <c r="R240" t="s">
        <v>3662</v>
      </c>
      <c r="T240" s="40" t="s">
        <v>2747</v>
      </c>
      <c r="U240" s="40">
        <v>45560</v>
      </c>
      <c r="V240" s="40">
        <v>45576</v>
      </c>
      <c r="W240" s="40">
        <v>45576</v>
      </c>
      <c r="X240" s="157">
        <v>55761</v>
      </c>
      <c r="Y240" s="40" t="str" cm="1">
        <f t="array" aca="1" ref="Y240" ca="1">TRIM(SUBSTITUTE(_xlfn.ARRAYTOTEXT(IFERROR(CONCATENATE(SUMIF(INDIRECT("'"&amp;Assemblies[Assy]&amp;"'!"&amp;"C$5:C1000"), $C240, INDIRECT("'"&amp;Assemblies[Assy]&amp;"'!"&amp;"O$5:O1000")), "x",Assemblies[Assy],".",IF(SUMIF(INDIRECT("'"&amp;Assemblies[Assy]&amp;"'!"&amp;"C$5:C1000"), $C240, INDIRECT("'"&amp;Assemblies[Assy]&amp;"'!"&amp;"A$5:A1000"))=0,NA(),SUMIF(INDIRECT("'"&amp;Assemblies[Assy]&amp;"'!"&amp;"C$5:C1000"), $C240, INDIRECT("'"&amp;Assemblies[Assy]&amp;"'!"&amp;"A$5:A1000")))),"")), " ,", ""))</f>
        <v>, 4x4.7.1,</v>
      </c>
      <c r="Z240" s="141">
        <v>0</v>
      </c>
      <c r="AA240" s="141">
        <v>0</v>
      </c>
      <c r="AB240" s="141">
        <v>0</v>
      </c>
      <c r="AC240" s="39">
        <v>0</v>
      </c>
      <c r="AD240" s="141"/>
      <c r="AE240" s="296"/>
      <c r="AF240" s="156"/>
      <c r="AG240"/>
    </row>
    <row r="241" spans="1:33" x14ac:dyDescent="0.25">
      <c r="A241" s="24" t="s">
        <v>3672</v>
      </c>
      <c r="B241" s="134" t="s">
        <v>54</v>
      </c>
      <c r="C241" t="str">
        <f>_xlfn.CONCAT(A241,".",B241)</f>
        <v>PG10.4.7.2.A</v>
      </c>
      <c r="D241" t="s">
        <v>3673</v>
      </c>
      <c r="E241" s="18">
        <f>Z241+AA241+AB241+(65*AC241)</f>
        <v>0</v>
      </c>
      <c r="F241" s="19" cm="1">
        <f t="array" aca="1" ref="F241" ca="1">SUMPRODUCT(SUMIF(INDIRECT("'"&amp;Assemblies[Assy]&amp;"'!"&amp;"C5:C1000"),C241,(INDIRECT("'"&amp;Assemblies[Assy]&amp;"'!"&amp;"O5:O1000"))))</f>
        <v>2</v>
      </c>
      <c r="G241" s="19">
        <v>2</v>
      </c>
      <c r="H241" s="19" t="str">
        <f ca="1">IF(F241&lt;=G241," ","YES")</f>
        <v xml:space="preserve"> </v>
      </c>
      <c r="O241" t="s">
        <v>1986</v>
      </c>
      <c r="P241" t="s">
        <v>1993</v>
      </c>
      <c r="R241" t="s">
        <v>3662</v>
      </c>
      <c r="T241" s="40" t="s">
        <v>2747</v>
      </c>
      <c r="U241" s="40">
        <v>45560</v>
      </c>
      <c r="V241" s="40">
        <v>45576</v>
      </c>
      <c r="W241" s="40">
        <v>45576</v>
      </c>
      <c r="X241" s="157">
        <v>55763</v>
      </c>
      <c r="Y241" s="40" t="str" cm="1">
        <f t="array" aca="1" ref="Y241" ca="1">TRIM(SUBSTITUTE(_xlfn.ARRAYTOTEXT(IFERROR(CONCATENATE(SUMIF(INDIRECT("'"&amp;Assemblies[Assy]&amp;"'!"&amp;"C$5:C1000"), $C241, INDIRECT("'"&amp;Assemblies[Assy]&amp;"'!"&amp;"O$5:O1000")), "x",Assemblies[Assy],".",IF(SUMIF(INDIRECT("'"&amp;Assemblies[Assy]&amp;"'!"&amp;"C$5:C1000"), $C241, INDIRECT("'"&amp;Assemblies[Assy]&amp;"'!"&amp;"A$5:A1000"))=0,NA(),SUMIF(INDIRECT("'"&amp;Assemblies[Assy]&amp;"'!"&amp;"C$5:C1000"), $C241, INDIRECT("'"&amp;Assemblies[Assy]&amp;"'!"&amp;"A$5:A1000")))),"")), " ,", ""))</f>
        <v>, 2x4.7.2,</v>
      </c>
      <c r="Z241" s="141">
        <v>0</v>
      </c>
      <c r="AA241" s="141">
        <v>0</v>
      </c>
      <c r="AB241" s="141">
        <v>0</v>
      </c>
      <c r="AC241" s="39">
        <v>0</v>
      </c>
      <c r="AD241" s="141"/>
      <c r="AE241" s="296"/>
      <c r="AF241" s="156"/>
      <c r="AG241"/>
    </row>
    <row r="242" spans="1:33" x14ac:dyDescent="0.25">
      <c r="A242" s="24" t="s">
        <v>2445</v>
      </c>
      <c r="B242" s="134" t="s">
        <v>54</v>
      </c>
      <c r="C242" t="str">
        <f>_xlfn.CONCAT(A242,".",B242)</f>
        <v>PG10.5.1.1.1.A</v>
      </c>
      <c r="D242" t="s">
        <v>2446</v>
      </c>
      <c r="E242" s="18">
        <v>36.65</v>
      </c>
      <c r="F242" s="19" cm="1">
        <f t="array" aca="1" ref="F242" ca="1">SUMPRODUCT(SUMIF(INDIRECT("'"&amp;Assemblies[Assy]&amp;"'!"&amp;"C5:C1000"),C242,(INDIRECT("'"&amp;Assemblies[Assy]&amp;"'!"&amp;"O5:O1000"))))</f>
        <v>25</v>
      </c>
      <c r="G242" s="19">
        <v>32</v>
      </c>
      <c r="H242" s="19" t="str">
        <f ca="1">IF(F242&lt;=G242," ","YES")</f>
        <v xml:space="preserve"> </v>
      </c>
      <c r="I242">
        <v>32</v>
      </c>
      <c r="J242">
        <v>32</v>
      </c>
      <c r="L242">
        <v>32</v>
      </c>
      <c r="N242">
        <v>32</v>
      </c>
      <c r="O242" t="s">
        <v>1986</v>
      </c>
      <c r="P242" t="s">
        <v>1987</v>
      </c>
      <c r="Q242" t="s">
        <v>1988</v>
      </c>
      <c r="R242" t="s">
        <v>1989</v>
      </c>
      <c r="T242" s="40">
        <v>45435</v>
      </c>
      <c r="U242" s="40">
        <v>45453</v>
      </c>
      <c r="V242" s="40">
        <v>45490</v>
      </c>
      <c r="W242" s="40">
        <v>45490</v>
      </c>
      <c r="X242" s="157">
        <v>55545</v>
      </c>
      <c r="Y242" s="40" t="str" cm="1">
        <f t="array" aca="1" ref="Y242" ca="1">TRIM(SUBSTITUTE(_xlfn.ARRAYTOTEXT(IFERROR(CONCATENATE(SUMIF(INDIRECT("'"&amp;Assemblies[Assy]&amp;"'!"&amp;"C$5:C1000"), $C242, INDIRECT("'"&amp;Assemblies[Assy]&amp;"'!"&amp;"O$5:O1000")), "x",Assemblies[Assy],".",IF(SUMIF(INDIRECT("'"&amp;Assemblies[Assy]&amp;"'!"&amp;"C$5:C1000"), $C242, INDIRECT("'"&amp;Assemblies[Assy]&amp;"'!"&amp;"A$5:A1000"))=0,NA(),SUMIF(INDIRECT("'"&amp;Assemblies[Assy]&amp;"'!"&amp;"C$5:C1000"), $C242, INDIRECT("'"&amp;Assemblies[Assy]&amp;"'!"&amp;"A$5:A1000")))),"")), " ,", ""))</f>
        <v>, 24x5.1.1.1, 1x10.1.12.1,</v>
      </c>
      <c r="Z242" s="141">
        <v>0</v>
      </c>
      <c r="AA242" s="141">
        <v>0</v>
      </c>
      <c r="AB242" s="141">
        <v>0</v>
      </c>
      <c r="AC242" s="39">
        <v>0</v>
      </c>
      <c r="AD242" s="141"/>
      <c r="AE242" s="296">
        <v>55597</v>
      </c>
      <c r="AF242" s="156"/>
      <c r="AG242"/>
    </row>
    <row r="243" spans="1:33" x14ac:dyDescent="0.25">
      <c r="A243" s="24" t="s">
        <v>2447</v>
      </c>
      <c r="B243" s="134" t="s">
        <v>54</v>
      </c>
      <c r="C243" t="str">
        <f>_xlfn.CONCAT(A243,".",B243)</f>
        <v>PG10.5.1.1.A</v>
      </c>
      <c r="D243" t="s">
        <v>2448</v>
      </c>
      <c r="E243" s="18">
        <v>371.7</v>
      </c>
      <c r="F243" s="19" cm="1">
        <f t="array" aca="1" ref="F243" ca="1">SUMPRODUCT(SUMIF(INDIRECT("'"&amp;Assemblies[Assy]&amp;"'!"&amp;"C5:C1000"),C243,(INDIRECT("'"&amp;Assemblies[Assy]&amp;"'!"&amp;"O5:O1000"))))</f>
        <v>2</v>
      </c>
      <c r="G243" s="19">
        <v>2</v>
      </c>
      <c r="H243" s="19" t="str">
        <f ca="1">IF(F243&lt;=G243," ","YES")</f>
        <v xml:space="preserve"> </v>
      </c>
      <c r="O243" t="s">
        <v>2067</v>
      </c>
      <c r="P243" t="s">
        <v>2165</v>
      </c>
      <c r="Q243" t="s">
        <v>1988</v>
      </c>
      <c r="R243" t="s">
        <v>2168</v>
      </c>
      <c r="T243" s="40">
        <v>45489</v>
      </c>
      <c r="U243" s="40">
        <v>45513</v>
      </c>
      <c r="V243" s="40">
        <v>45551</v>
      </c>
      <c r="W243" s="40">
        <v>45566</v>
      </c>
      <c r="X243" s="157">
        <v>55676</v>
      </c>
      <c r="Y243" s="40" t="str" cm="1">
        <f t="array" aca="1" ref="Y243" ca="1">TRIM(SUBSTITUTE(_xlfn.ARRAYTOTEXT(IFERROR(CONCATENATE(SUMIF(INDIRECT("'"&amp;Assemblies[Assy]&amp;"'!"&amp;"C$5:C1000"), $C243, INDIRECT("'"&amp;Assemblies[Assy]&amp;"'!"&amp;"O$5:O1000")), "x",Assemblies[Assy],".",IF(SUMIF(INDIRECT("'"&amp;Assemblies[Assy]&amp;"'!"&amp;"C$5:C1000"), $C243, INDIRECT("'"&amp;Assemblies[Assy]&amp;"'!"&amp;"A$5:A1000"))=0,NA(),SUMIF(INDIRECT("'"&amp;Assemblies[Assy]&amp;"'!"&amp;"C$5:C1000"), $C243, INDIRECT("'"&amp;Assemblies[Assy]&amp;"'!"&amp;"A$5:A1000")))),"")), " ,", ""))</f>
        <v>, 2x5.1.1,</v>
      </c>
      <c r="Z243" s="141">
        <v>0</v>
      </c>
      <c r="AA243" s="141">
        <v>0</v>
      </c>
      <c r="AB243" s="141">
        <v>0</v>
      </c>
      <c r="AC243" s="39">
        <v>0</v>
      </c>
      <c r="AD243" s="141"/>
      <c r="AE243" s="296"/>
      <c r="AF243" s="156"/>
      <c r="AG243"/>
    </row>
    <row r="244" spans="1:33" x14ac:dyDescent="0.25">
      <c r="A244" s="24" t="s">
        <v>2449</v>
      </c>
      <c r="B244" s="134" t="s">
        <v>58</v>
      </c>
      <c r="C244" t="str">
        <f>_xlfn.CONCAT(A244,".",B244)</f>
        <v>PG10.5.3.1.C</v>
      </c>
      <c r="D244" t="s">
        <v>2450</v>
      </c>
      <c r="E244" s="18">
        <v>867.95</v>
      </c>
      <c r="F244" s="19" cm="1">
        <f t="array" aca="1" ref="F244" ca="1">SUMPRODUCT(SUMIF(INDIRECT("'"&amp;Assemblies[Assy]&amp;"'!"&amp;"C5:C1000"),C244,(INDIRECT("'"&amp;Assemblies[Assy]&amp;"'!"&amp;"O5:O1000"))))</f>
        <v>2</v>
      </c>
      <c r="G244" s="19">
        <v>2</v>
      </c>
      <c r="H244" s="19" t="str">
        <f ca="1">IF(F244&lt;=G244," ","YES")</f>
        <v xml:space="preserve"> </v>
      </c>
      <c r="O244" t="s">
        <v>2067</v>
      </c>
      <c r="P244" t="s">
        <v>2165</v>
      </c>
      <c r="Q244" t="s">
        <v>1988</v>
      </c>
      <c r="R244" t="s">
        <v>2168</v>
      </c>
      <c r="T244" s="40">
        <v>45489</v>
      </c>
      <c r="U244" s="40">
        <v>45513</v>
      </c>
      <c r="V244" s="40">
        <v>45551</v>
      </c>
      <c r="W244" s="40">
        <v>45566</v>
      </c>
      <c r="X244" s="157">
        <v>55676</v>
      </c>
      <c r="Y244" s="40" t="str" cm="1">
        <f t="array" aca="1" ref="Y244" ca="1">TRIM(SUBSTITUTE(_xlfn.ARRAYTOTEXT(IFERROR(CONCATENATE(SUMIF(INDIRECT("'"&amp;Assemblies[Assy]&amp;"'!"&amp;"C$5:C1000"), $C244, INDIRECT("'"&amp;Assemblies[Assy]&amp;"'!"&amp;"O$5:O1000")), "x",Assemblies[Assy],".",IF(SUMIF(INDIRECT("'"&amp;Assemblies[Assy]&amp;"'!"&amp;"C$5:C1000"), $C244, INDIRECT("'"&amp;Assemblies[Assy]&amp;"'!"&amp;"A$5:A1000"))=0,NA(),SUMIF(INDIRECT("'"&amp;Assemblies[Assy]&amp;"'!"&amp;"C$5:C1000"), $C244, INDIRECT("'"&amp;Assemblies[Assy]&amp;"'!"&amp;"A$5:A1000")))),"")), " ,", ""))</f>
        <v>, 2x5.3.1,</v>
      </c>
      <c r="AD244" s="141"/>
      <c r="AE244" s="296"/>
      <c r="AF244" s="141"/>
      <c r="AG244"/>
    </row>
    <row r="245" spans="1:33" x14ac:dyDescent="0.25">
      <c r="A245" s="24" t="s">
        <v>2451</v>
      </c>
      <c r="B245" s="134" t="s">
        <v>54</v>
      </c>
      <c r="C245" t="str">
        <f>_xlfn.CONCAT(A245,".",B245)</f>
        <v>PG10.5.3.2.A</v>
      </c>
      <c r="D245" t="s">
        <v>2452</v>
      </c>
      <c r="E245" s="18">
        <v>103.55</v>
      </c>
      <c r="F245" s="19" cm="1">
        <f t="array" aca="1" ref="F245" ca="1">SUMPRODUCT(SUMIF(INDIRECT("'"&amp;Assemblies[Assy]&amp;"'!"&amp;"C5:C1000"),C245,(INDIRECT("'"&amp;Assemblies[Assy]&amp;"'!"&amp;"O5:O1000"))))</f>
        <v>2</v>
      </c>
      <c r="G245" s="19">
        <v>2</v>
      </c>
      <c r="H245" s="19" t="str">
        <f ca="1">IF(F245&lt;=G245," ","YES")</f>
        <v xml:space="preserve"> </v>
      </c>
      <c r="I245">
        <v>2</v>
      </c>
      <c r="J245">
        <v>2</v>
      </c>
      <c r="K245" s="40">
        <v>45541</v>
      </c>
      <c r="L245">
        <v>2</v>
      </c>
      <c r="M245" s="40">
        <v>45558</v>
      </c>
      <c r="N245">
        <v>2</v>
      </c>
      <c r="O245" t="s">
        <v>1986</v>
      </c>
      <c r="P245" t="s">
        <v>1987</v>
      </c>
      <c r="Q245" t="s">
        <v>1988</v>
      </c>
      <c r="R245" t="s">
        <v>1989</v>
      </c>
      <c r="T245" s="40">
        <v>45489</v>
      </c>
      <c r="U245" s="40">
        <v>45490</v>
      </c>
      <c r="V245" s="40">
        <v>45512</v>
      </c>
      <c r="W245" s="40">
        <v>45512</v>
      </c>
      <c r="X245" s="157">
        <v>55607</v>
      </c>
      <c r="Y245" s="40" t="str" cm="1">
        <f t="array" aca="1" ref="Y245" ca="1">TRIM(SUBSTITUTE(_xlfn.ARRAYTOTEXT(IFERROR(CONCATENATE(SUMIF(INDIRECT("'"&amp;Assemblies[Assy]&amp;"'!"&amp;"C$5:C1000"), $C245, INDIRECT("'"&amp;Assemblies[Assy]&amp;"'!"&amp;"O$5:O1000")), "x",Assemblies[Assy],".",IF(SUMIF(INDIRECT("'"&amp;Assemblies[Assy]&amp;"'!"&amp;"C$5:C1000"), $C245, INDIRECT("'"&amp;Assemblies[Assy]&amp;"'!"&amp;"A$5:A1000"))=0,NA(),SUMIF(INDIRECT("'"&amp;Assemblies[Assy]&amp;"'!"&amp;"C$5:C1000"), $C245, INDIRECT("'"&amp;Assemblies[Assy]&amp;"'!"&amp;"A$5:A1000")))),"")), " ,", ""))</f>
        <v>, 2x5.3.2,</v>
      </c>
      <c r="Z245" s="141">
        <v>0</v>
      </c>
      <c r="AA245" s="141">
        <v>0</v>
      </c>
      <c r="AB245" s="141">
        <v>0</v>
      </c>
      <c r="AC245" s="39">
        <v>0</v>
      </c>
      <c r="AD245" s="141"/>
      <c r="AE245" s="296">
        <v>55723</v>
      </c>
      <c r="AF245" s="156"/>
      <c r="AG245"/>
    </row>
    <row r="246" spans="1:33" x14ac:dyDescent="0.25">
      <c r="A246" s="24" t="s">
        <v>2453</v>
      </c>
      <c r="B246" s="134" t="s">
        <v>54</v>
      </c>
      <c r="C246" t="str">
        <f>_xlfn.CONCAT(A246,".",B246)</f>
        <v>PG10.5.3.3.A</v>
      </c>
      <c r="D246" t="s">
        <v>2454</v>
      </c>
      <c r="E246" s="18">
        <v>116.35</v>
      </c>
      <c r="F246" s="19" cm="1">
        <f t="array" aca="1" ref="F246" ca="1">SUMPRODUCT(SUMIF(INDIRECT("'"&amp;Assemblies[Assy]&amp;"'!"&amp;"C5:C1000"),C246,(INDIRECT("'"&amp;Assemblies[Assy]&amp;"'!"&amp;"O5:O1000"))))</f>
        <v>1</v>
      </c>
      <c r="G246" s="19">
        <v>1</v>
      </c>
      <c r="H246" s="19" t="str">
        <f ca="1">IF(F246&lt;=G246," ","YES")</f>
        <v xml:space="preserve"> </v>
      </c>
      <c r="I246">
        <v>1</v>
      </c>
      <c r="J246">
        <v>1</v>
      </c>
      <c r="K246" s="40">
        <v>45541</v>
      </c>
      <c r="L246">
        <v>1</v>
      </c>
      <c r="M246" s="40">
        <v>45558</v>
      </c>
      <c r="N246">
        <v>1</v>
      </c>
      <c r="O246" t="s">
        <v>1986</v>
      </c>
      <c r="P246" t="s">
        <v>1987</v>
      </c>
      <c r="Q246" t="s">
        <v>1988</v>
      </c>
      <c r="R246" s="40" t="s">
        <v>2178</v>
      </c>
      <c r="S246" s="40"/>
      <c r="T246" s="40">
        <v>45489</v>
      </c>
      <c r="U246" s="40">
        <v>45490</v>
      </c>
      <c r="V246" s="40">
        <v>45522</v>
      </c>
      <c r="W246" s="40">
        <v>45522</v>
      </c>
      <c r="X246" s="157">
        <v>55609</v>
      </c>
      <c r="Y246" s="40" t="str" cm="1">
        <f t="array" aca="1" ref="Y246" ca="1">TRIM(SUBSTITUTE(_xlfn.ARRAYTOTEXT(IFERROR(CONCATENATE(SUMIF(INDIRECT("'"&amp;Assemblies[Assy]&amp;"'!"&amp;"C$5:C1000"), $C246, INDIRECT("'"&amp;Assemblies[Assy]&amp;"'!"&amp;"O$5:O1000")), "x",Assemblies[Assy],".",IF(SUMIF(INDIRECT("'"&amp;Assemblies[Assy]&amp;"'!"&amp;"C$5:C1000"), $C246, INDIRECT("'"&amp;Assemblies[Assy]&amp;"'!"&amp;"A$5:A1000"))=0,NA(),SUMIF(INDIRECT("'"&amp;Assemblies[Assy]&amp;"'!"&amp;"C$5:C1000"), $C246, INDIRECT("'"&amp;Assemblies[Assy]&amp;"'!"&amp;"A$5:A1000")))),"")), " ,", ""))</f>
        <v>, 1x5.3.3,</v>
      </c>
      <c r="Z246" s="141">
        <v>0</v>
      </c>
      <c r="AA246" s="141">
        <v>0</v>
      </c>
      <c r="AB246" s="141">
        <v>0</v>
      </c>
      <c r="AC246" s="39">
        <v>0</v>
      </c>
      <c r="AD246" s="141"/>
      <c r="AE246" s="296">
        <v>55725</v>
      </c>
      <c r="AF246" s="156"/>
      <c r="AG246"/>
    </row>
    <row r="247" spans="1:33" x14ac:dyDescent="0.25">
      <c r="A247" s="24" t="s">
        <v>2455</v>
      </c>
      <c r="B247" s="134" t="s">
        <v>54</v>
      </c>
      <c r="C247" t="str">
        <f>_xlfn.CONCAT(A247,".",B247)</f>
        <v>PG10.5.3.4.A</v>
      </c>
      <c r="D247" t="s">
        <v>2456</v>
      </c>
      <c r="E247" s="18">
        <v>222.65</v>
      </c>
      <c r="F247" s="19" cm="1">
        <f t="array" aca="1" ref="F247" ca="1">SUMPRODUCT(SUMIF(INDIRECT("'"&amp;Assemblies[Assy]&amp;"'!"&amp;"C5:C1000"),C247,(INDIRECT("'"&amp;Assemblies[Assy]&amp;"'!"&amp;"O5:O1000"))))</f>
        <v>1</v>
      </c>
      <c r="G247" s="19">
        <v>1</v>
      </c>
      <c r="H247" s="19" t="str">
        <f ca="1">IF(F247&lt;=G247," ","YES")</f>
        <v xml:space="preserve"> </v>
      </c>
      <c r="I247">
        <v>1</v>
      </c>
      <c r="J247">
        <v>1</v>
      </c>
      <c r="K247" s="40">
        <v>45541</v>
      </c>
      <c r="L247">
        <v>1</v>
      </c>
      <c r="M247" s="40">
        <v>45558</v>
      </c>
      <c r="N247">
        <v>1</v>
      </c>
      <c r="O247" t="s">
        <v>1986</v>
      </c>
      <c r="P247" t="s">
        <v>1987</v>
      </c>
      <c r="Q247" t="s">
        <v>1988</v>
      </c>
      <c r="R247" t="s">
        <v>1989</v>
      </c>
      <c r="T247" s="40">
        <v>45489</v>
      </c>
      <c r="U247" s="40">
        <v>45490</v>
      </c>
      <c r="V247" s="40">
        <v>45512</v>
      </c>
      <c r="W247" s="40">
        <v>45512</v>
      </c>
      <c r="X247" s="157">
        <v>55607</v>
      </c>
      <c r="Y247" s="40" t="str" cm="1">
        <f t="array" aca="1" ref="Y247" ca="1">TRIM(SUBSTITUTE(_xlfn.ARRAYTOTEXT(IFERROR(CONCATENATE(SUMIF(INDIRECT("'"&amp;Assemblies[Assy]&amp;"'!"&amp;"C$5:C1000"), $C247, INDIRECT("'"&amp;Assemblies[Assy]&amp;"'!"&amp;"O$5:O1000")), "x",Assemblies[Assy],".",IF(SUMIF(INDIRECT("'"&amp;Assemblies[Assy]&amp;"'!"&amp;"C$5:C1000"), $C247, INDIRECT("'"&amp;Assemblies[Assy]&amp;"'!"&amp;"A$5:A1000"))=0,NA(),SUMIF(INDIRECT("'"&amp;Assemblies[Assy]&amp;"'!"&amp;"C$5:C1000"), $C247, INDIRECT("'"&amp;Assemblies[Assy]&amp;"'!"&amp;"A$5:A1000")))),"")), " ,", ""))</f>
        <v>, 1x5.3.4,</v>
      </c>
      <c r="Z247" s="141">
        <v>0</v>
      </c>
      <c r="AA247" s="141">
        <v>0</v>
      </c>
      <c r="AB247" s="141">
        <v>0</v>
      </c>
      <c r="AC247" s="39">
        <v>0</v>
      </c>
      <c r="AD247" s="141"/>
      <c r="AE247" s="296">
        <v>55723</v>
      </c>
      <c r="AF247" s="156"/>
      <c r="AG247"/>
    </row>
    <row r="248" spans="1:33" x14ac:dyDescent="0.25">
      <c r="A248" s="24" t="s">
        <v>2457</v>
      </c>
      <c r="B248" s="134" t="s">
        <v>54</v>
      </c>
      <c r="C248" t="str">
        <f>_xlfn.CONCAT(A248,".",B248)</f>
        <v>PG10.5.3.5.A</v>
      </c>
      <c r="D248" t="s">
        <v>2458</v>
      </c>
      <c r="E248" s="18">
        <f>Z248+AA248+AB248+(65*AC248)</f>
        <v>0</v>
      </c>
      <c r="F248" s="19" cm="1">
        <f t="array" aca="1" ref="F248" ca="1">SUMPRODUCT(SUMIF(INDIRECT("'"&amp;Assemblies[Assy]&amp;"'!"&amp;"C5:C1000"),C248,(INDIRECT("'"&amp;Assemblies[Assy]&amp;"'!"&amp;"O5:O1000"))))</f>
        <v>1</v>
      </c>
      <c r="G248" s="19">
        <v>1</v>
      </c>
      <c r="H248" s="19" t="str">
        <f ca="1">IF(F248&lt;=G248," ","YES")</f>
        <v xml:space="preserve"> </v>
      </c>
      <c r="I248">
        <v>1</v>
      </c>
      <c r="J248">
        <v>1</v>
      </c>
      <c r="L248">
        <v>1</v>
      </c>
      <c r="N248">
        <v>1</v>
      </c>
      <c r="O248" t="s">
        <v>2240</v>
      </c>
      <c r="P248" t="s">
        <v>1993</v>
      </c>
      <c r="R248" t="s">
        <v>2333</v>
      </c>
      <c r="T248" s="40" t="s">
        <v>2747</v>
      </c>
      <c r="U248" s="40" t="s">
        <v>2747</v>
      </c>
      <c r="V248" s="40" t="s">
        <v>2747</v>
      </c>
      <c r="W248" s="40" t="s">
        <v>2747</v>
      </c>
      <c r="X248" s="40" t="s">
        <v>2747</v>
      </c>
      <c r="Y248" s="40" t="str" cm="1">
        <f t="array" aca="1" ref="Y248" ca="1">TRIM(SUBSTITUTE(_xlfn.ARRAYTOTEXT(IFERROR(CONCATENATE(SUMIF(INDIRECT("'"&amp;Assemblies[Assy]&amp;"'!"&amp;"C$5:C1000"), $C248, INDIRECT("'"&amp;Assemblies[Assy]&amp;"'!"&amp;"O$5:O1000")), "x",Assemblies[Assy],".",IF(SUMIF(INDIRECT("'"&amp;Assemblies[Assy]&amp;"'!"&amp;"C$5:C1000"), $C248, INDIRECT("'"&amp;Assemblies[Assy]&amp;"'!"&amp;"A$5:A1000"))=0,NA(),SUMIF(INDIRECT("'"&amp;Assemblies[Assy]&amp;"'!"&amp;"C$5:C1000"), $C248, INDIRECT("'"&amp;Assemblies[Assy]&amp;"'!"&amp;"A$5:A1000")))),"")), " ,", ""))</f>
        <v>, 1x5.3.5,</v>
      </c>
      <c r="Z248" s="141">
        <v>0</v>
      </c>
      <c r="AA248" s="141">
        <v>0</v>
      </c>
      <c r="AB248" s="141">
        <v>0</v>
      </c>
      <c r="AC248" s="39">
        <v>0</v>
      </c>
      <c r="AD248" s="141"/>
      <c r="AE248" s="296"/>
      <c r="AF248" s="156"/>
      <c r="AG248"/>
    </row>
    <row r="249" spans="1:33" x14ac:dyDescent="0.25">
      <c r="A249" s="24" t="s">
        <v>2369</v>
      </c>
      <c r="B249" s="134" t="s">
        <v>54</v>
      </c>
      <c r="C249" t="str">
        <f>_xlfn.CONCAT(A249,".",B249)</f>
        <v>PG10.5.3.6.A</v>
      </c>
      <c r="D249" t="s">
        <v>2370</v>
      </c>
      <c r="E249" s="18">
        <f>Z249+AA249+AB249+(65*AC249)</f>
        <v>70</v>
      </c>
      <c r="F249" s="19" cm="1">
        <f t="array" aca="1" ref="F249" ca="1">SUMPRODUCT(SUMIF(INDIRECT("'"&amp;Assemblies[Assy]&amp;"'!"&amp;"C5:C1000"),C249,(INDIRECT("'"&amp;Assemblies[Assy]&amp;"'!"&amp;"O5:O1000"))))</f>
        <v>1</v>
      </c>
      <c r="G249" s="19">
        <v>1</v>
      </c>
      <c r="H249" s="19" t="str">
        <f ca="1">IF(F249&lt;=G249," ","YES")</f>
        <v xml:space="preserve"> </v>
      </c>
      <c r="O249" t="s">
        <v>1999</v>
      </c>
      <c r="P249" t="s">
        <v>1993</v>
      </c>
      <c r="R249" t="s">
        <v>2000</v>
      </c>
      <c r="T249" s="40" t="s">
        <v>2001</v>
      </c>
      <c r="U249" s="40">
        <v>45530</v>
      </c>
      <c r="V249" s="40">
        <v>45561</v>
      </c>
      <c r="X249" s="157">
        <v>55708</v>
      </c>
      <c r="Y249" s="40" t="str" cm="1">
        <f t="array" aca="1" ref="Y249" ca="1">TRIM(SUBSTITUTE(_xlfn.ARRAYTOTEXT(IFERROR(CONCATENATE(SUMIF(INDIRECT("'"&amp;Assemblies[Assy]&amp;"'!"&amp;"C$5:C1000"), $C249, INDIRECT("'"&amp;Assemblies[Assy]&amp;"'!"&amp;"O$5:O1000")), "x",Assemblies[Assy],".",IF(SUMIF(INDIRECT("'"&amp;Assemblies[Assy]&amp;"'!"&amp;"C$5:C1000"), $C249, INDIRECT("'"&amp;Assemblies[Assy]&amp;"'!"&amp;"A$5:A1000"))=0,NA(),SUMIF(INDIRECT("'"&amp;Assemblies[Assy]&amp;"'!"&amp;"C$5:C1000"), $C249, INDIRECT("'"&amp;Assemblies[Assy]&amp;"'!"&amp;"A$5:A1000")))),"")), " ,", ""))</f>
        <v>, 1x5.3.16,</v>
      </c>
      <c r="Z249" s="141">
        <v>70</v>
      </c>
      <c r="AA249" s="141">
        <v>0</v>
      </c>
      <c r="AB249" s="141">
        <v>0</v>
      </c>
      <c r="AC249" s="39">
        <v>0</v>
      </c>
      <c r="AD249" s="141" t="s">
        <v>1473</v>
      </c>
      <c r="AE249" s="296"/>
      <c r="AF249" s="156"/>
      <c r="AG249"/>
    </row>
    <row r="250" spans="1:33" x14ac:dyDescent="0.25">
      <c r="A250" s="24" t="s">
        <v>2371</v>
      </c>
      <c r="B250" s="134" t="s">
        <v>54</v>
      </c>
      <c r="C250" t="str">
        <f>_xlfn.CONCAT(A250,".",B250)</f>
        <v>PG10.5.3.7.A</v>
      </c>
      <c r="D250" t="s">
        <v>2372</v>
      </c>
      <c r="E250" s="18">
        <f>Z250+AA250+AB250+(65*AC250)</f>
        <v>72</v>
      </c>
      <c r="F250" s="19" cm="1">
        <f t="array" aca="1" ref="F250" ca="1">SUMPRODUCT(SUMIF(INDIRECT("'"&amp;Assemblies[Assy]&amp;"'!"&amp;"C5:C1000"),C250,(INDIRECT("'"&amp;Assemblies[Assy]&amp;"'!"&amp;"O5:O1000"))))</f>
        <v>1</v>
      </c>
      <c r="G250" s="19">
        <v>1</v>
      </c>
      <c r="H250" s="19" t="str">
        <f ca="1">IF(F250&lt;=G250," ","YES")</f>
        <v xml:space="preserve"> </v>
      </c>
      <c r="O250" t="s">
        <v>1999</v>
      </c>
      <c r="P250" t="s">
        <v>1993</v>
      </c>
      <c r="R250" t="s">
        <v>2000</v>
      </c>
      <c r="T250" s="40" t="s">
        <v>2001</v>
      </c>
      <c r="U250" s="40">
        <v>45530</v>
      </c>
      <c r="V250" s="40">
        <v>45561</v>
      </c>
      <c r="X250" s="157">
        <v>55708</v>
      </c>
      <c r="Y250" s="40" t="str" cm="1">
        <f t="array" aca="1" ref="Y250" ca="1">TRIM(SUBSTITUTE(_xlfn.ARRAYTOTEXT(IFERROR(CONCATENATE(SUMIF(INDIRECT("'"&amp;Assemblies[Assy]&amp;"'!"&amp;"C$5:C1000"), $C250, INDIRECT("'"&amp;Assemblies[Assy]&amp;"'!"&amp;"O$5:O1000")), "x",Assemblies[Assy],".",IF(SUMIF(INDIRECT("'"&amp;Assemblies[Assy]&amp;"'!"&amp;"C$5:C1000"), $C250, INDIRECT("'"&amp;Assemblies[Assy]&amp;"'!"&amp;"A$5:A1000"))=0,NA(),SUMIF(INDIRECT("'"&amp;Assemblies[Assy]&amp;"'!"&amp;"C$5:C1000"), $C250, INDIRECT("'"&amp;Assemblies[Assy]&amp;"'!"&amp;"A$5:A1000")))),"")), " ,", ""))</f>
        <v>, 1x5.3.17,</v>
      </c>
      <c r="Z250" s="141">
        <v>72</v>
      </c>
      <c r="AA250" s="141">
        <v>0</v>
      </c>
      <c r="AB250" s="141">
        <v>0</v>
      </c>
      <c r="AC250" s="39">
        <v>0</v>
      </c>
      <c r="AD250" s="141" t="s">
        <v>1473</v>
      </c>
      <c r="AE250" s="296"/>
      <c r="AF250" s="156"/>
      <c r="AG250"/>
    </row>
    <row r="251" spans="1:33" x14ac:dyDescent="0.25">
      <c r="A251" s="24" t="s">
        <v>2461</v>
      </c>
      <c r="B251" s="134" t="s">
        <v>54</v>
      </c>
      <c r="C251" t="str">
        <f>_xlfn.CONCAT(A251,".",B251)</f>
        <v>PG10.5.4.1.1.A</v>
      </c>
      <c r="D251" t="s">
        <v>2462</v>
      </c>
      <c r="E251" s="18">
        <v>369</v>
      </c>
      <c r="F251" s="19" cm="1">
        <f t="array" aca="1" ref="F251" ca="1">SUMPRODUCT(SUMIF(INDIRECT("'"&amp;Assemblies[Assy]&amp;"'!"&amp;"C5:C1000"),C251,(INDIRECT("'"&amp;Assemblies[Assy]&amp;"'!"&amp;"O5:O1000"))))</f>
        <v>1</v>
      </c>
      <c r="G251" s="19">
        <v>1</v>
      </c>
      <c r="H251" s="19" t="str">
        <f ca="1">IF(F251&lt;=G251," ","YES")</f>
        <v xml:space="preserve"> </v>
      </c>
      <c r="I251">
        <v>1</v>
      </c>
      <c r="J251">
        <v>1</v>
      </c>
      <c r="K251" s="40">
        <v>45541</v>
      </c>
      <c r="L251">
        <v>1</v>
      </c>
      <c r="M251" s="40">
        <v>45559</v>
      </c>
      <c r="N251">
        <v>1</v>
      </c>
      <c r="O251" t="s">
        <v>1986</v>
      </c>
      <c r="P251" t="s">
        <v>2463</v>
      </c>
      <c r="Q251" t="s">
        <v>1988</v>
      </c>
      <c r="R251" t="s">
        <v>2047</v>
      </c>
      <c r="T251" s="40">
        <v>45495</v>
      </c>
      <c r="U251" s="40">
        <v>45505</v>
      </c>
      <c r="V251" s="40">
        <v>45540</v>
      </c>
      <c r="W251" s="40">
        <v>45540</v>
      </c>
      <c r="X251" s="157">
        <v>55644</v>
      </c>
      <c r="Y251" s="40" t="str" cm="1">
        <f t="array" aca="1" ref="Y251" ca="1">TRIM(SUBSTITUTE(_xlfn.ARRAYTOTEXT(IFERROR(CONCATENATE(SUMIF(INDIRECT("'"&amp;Assemblies[Assy]&amp;"'!"&amp;"C$5:C1000"), $C251, INDIRECT("'"&amp;Assemblies[Assy]&amp;"'!"&amp;"O$5:O1000")), "x",Assemblies[Assy],".",IF(SUMIF(INDIRECT("'"&amp;Assemblies[Assy]&amp;"'!"&amp;"C$5:C1000"), $C251, INDIRECT("'"&amp;Assemblies[Assy]&amp;"'!"&amp;"A$5:A1000"))=0,NA(),SUMIF(INDIRECT("'"&amp;Assemblies[Assy]&amp;"'!"&amp;"C$5:C1000"), $C251, INDIRECT("'"&amp;Assemblies[Assy]&amp;"'!"&amp;"A$5:A1000")))),"")), " ,", ""))</f>
        <v>, 1x5.4.1.1,</v>
      </c>
      <c r="Z251" s="141">
        <v>0</v>
      </c>
      <c r="AA251" s="141">
        <v>0</v>
      </c>
      <c r="AB251" s="141">
        <v>0</v>
      </c>
      <c r="AC251" s="39">
        <v>0</v>
      </c>
      <c r="AD251" s="141"/>
      <c r="AE251" s="296">
        <v>55724</v>
      </c>
      <c r="AF251" s="156"/>
      <c r="AG251"/>
    </row>
    <row r="252" spans="1:33" x14ac:dyDescent="0.25">
      <c r="A252" s="24" t="s">
        <v>2464</v>
      </c>
      <c r="B252" s="134" t="s">
        <v>54</v>
      </c>
      <c r="C252" t="str">
        <f>_xlfn.CONCAT(A252,".",B252)</f>
        <v>PG10.5.4.1.2.A</v>
      </c>
      <c r="D252" t="s">
        <v>2465</v>
      </c>
      <c r="E252" s="18">
        <v>369</v>
      </c>
      <c r="F252" s="19" cm="1">
        <f t="array" aca="1" ref="F252" ca="1">SUMPRODUCT(SUMIF(INDIRECT("'"&amp;Assemblies[Assy]&amp;"'!"&amp;"C5:C1000"),C252,(INDIRECT("'"&amp;Assemblies[Assy]&amp;"'!"&amp;"O5:O1000"))))</f>
        <v>0</v>
      </c>
      <c r="G252" s="19">
        <v>1</v>
      </c>
      <c r="H252" s="19" t="str">
        <f ca="1">IF(F252&lt;=G252," ","YES")</f>
        <v xml:space="preserve"> </v>
      </c>
      <c r="I252">
        <v>1</v>
      </c>
      <c r="J252">
        <v>1</v>
      </c>
      <c r="K252" s="40">
        <v>45541</v>
      </c>
      <c r="L252">
        <v>1</v>
      </c>
      <c r="M252" s="40">
        <v>45559</v>
      </c>
      <c r="N252">
        <v>1</v>
      </c>
      <c r="O252" t="s">
        <v>1986</v>
      </c>
      <c r="P252" t="s">
        <v>2463</v>
      </c>
      <c r="Q252" t="s">
        <v>1988</v>
      </c>
      <c r="R252" t="s">
        <v>2047</v>
      </c>
      <c r="T252" s="40">
        <v>45495</v>
      </c>
      <c r="U252" s="40">
        <v>45505</v>
      </c>
      <c r="V252" s="40">
        <v>45540</v>
      </c>
      <c r="W252" s="40">
        <v>45540</v>
      </c>
      <c r="X252" s="157">
        <v>55644</v>
      </c>
      <c r="Y252" s="40" t="str" cm="1">
        <f t="array" aca="1" ref="Y252" ca="1">TRIM(SUBSTITUTE(_xlfn.ARRAYTOTEXT(IFERROR(CONCATENATE(SUMIF(INDIRECT("'"&amp;Assemblies[Assy]&amp;"'!"&amp;"C$5:C1000"), $C252, INDIRECT("'"&amp;Assemblies[Assy]&amp;"'!"&amp;"O$5:O1000")), "x",Assemblies[Assy],".",IF(SUMIF(INDIRECT("'"&amp;Assemblies[Assy]&amp;"'!"&amp;"C$5:C1000"), $C252, INDIRECT("'"&amp;Assemblies[Assy]&amp;"'!"&amp;"A$5:A1000"))=0,NA(),SUMIF(INDIRECT("'"&amp;Assemblies[Assy]&amp;"'!"&amp;"C$5:C1000"), $C252, INDIRECT("'"&amp;Assemblies[Assy]&amp;"'!"&amp;"A$5:A1000")))),"")), " ,", ""))</f>
        <v>,</v>
      </c>
      <c r="Z252" s="141">
        <v>0</v>
      </c>
      <c r="AA252" s="141">
        <v>0</v>
      </c>
      <c r="AB252" s="141">
        <v>0</v>
      </c>
      <c r="AC252" s="39">
        <v>0</v>
      </c>
      <c r="AD252" s="141"/>
      <c r="AE252" s="296">
        <v>55724</v>
      </c>
      <c r="AF252" s="156"/>
      <c r="AG252"/>
    </row>
    <row r="253" spans="1:33" x14ac:dyDescent="0.25">
      <c r="A253" s="24" t="s">
        <v>2464</v>
      </c>
      <c r="B253" s="134" t="s">
        <v>56</v>
      </c>
      <c r="C253" t="str">
        <f>_xlfn.CONCAT(A253,".",B253)</f>
        <v>PG10.5.4.1.2.B</v>
      </c>
      <c r="D253" t="s">
        <v>2465</v>
      </c>
      <c r="E253" s="18">
        <f>Z253+AA253+AB253+(65*AC253)</f>
        <v>0</v>
      </c>
      <c r="F253" s="19" cm="1">
        <f t="array" aca="1" ref="F253" ca="1">SUMPRODUCT(SUMIF(INDIRECT("'"&amp;Assemblies[Assy]&amp;"'!"&amp;"C5:C1000"),C253,(INDIRECT("'"&amp;Assemblies[Assy]&amp;"'!"&amp;"O5:O1000"))))</f>
        <v>1</v>
      </c>
      <c r="G253" s="19">
        <v>1</v>
      </c>
      <c r="H253" s="19" t="str">
        <f ca="1">IF(F253&lt;=G253," ","YES")</f>
        <v xml:space="preserve"> </v>
      </c>
      <c r="I253">
        <v>1</v>
      </c>
      <c r="J253">
        <v>1</v>
      </c>
      <c r="L253">
        <v>1</v>
      </c>
      <c r="N253">
        <v>1</v>
      </c>
      <c r="O253" t="s">
        <v>1986</v>
      </c>
      <c r="P253" t="s">
        <v>2463</v>
      </c>
      <c r="R253" t="s">
        <v>2333</v>
      </c>
      <c r="S253" t="s">
        <v>2084</v>
      </c>
      <c r="T253" s="40" t="s">
        <v>2747</v>
      </c>
      <c r="U253" s="40" t="s">
        <v>2747</v>
      </c>
      <c r="V253" s="40" t="s">
        <v>2747</v>
      </c>
      <c r="W253" s="40" t="s">
        <v>2747</v>
      </c>
      <c r="X253" s="40" t="s">
        <v>2747</v>
      </c>
      <c r="Y253" s="40" t="str" cm="1">
        <f t="array" aca="1" ref="Y253" ca="1">TRIM(SUBSTITUTE(_xlfn.ARRAYTOTEXT(IFERROR(CONCATENATE(SUMIF(INDIRECT("'"&amp;Assemblies[Assy]&amp;"'!"&amp;"C$5:C1000"), $C253, INDIRECT("'"&amp;Assemblies[Assy]&amp;"'!"&amp;"O$5:O1000")), "x",Assemblies[Assy],".",IF(SUMIF(INDIRECT("'"&amp;Assemblies[Assy]&amp;"'!"&amp;"C$5:C1000"), $C253, INDIRECT("'"&amp;Assemblies[Assy]&amp;"'!"&amp;"A$5:A1000"))=0,NA(),SUMIF(INDIRECT("'"&amp;Assemblies[Assy]&amp;"'!"&amp;"C$5:C1000"), $C253, INDIRECT("'"&amp;Assemblies[Assy]&amp;"'!"&amp;"A$5:A1000")))),"")), " ,", ""))</f>
        <v>, 1x5.4.1.2,</v>
      </c>
      <c r="AD253" s="141"/>
      <c r="AE253" s="296"/>
      <c r="AF253" s="156"/>
      <c r="AG253"/>
    </row>
    <row r="254" spans="1:33" x14ac:dyDescent="0.25">
      <c r="A254" s="24" t="s">
        <v>2466</v>
      </c>
      <c r="B254" s="134" t="s">
        <v>54</v>
      </c>
      <c r="C254" t="str">
        <f>_xlfn.CONCAT(A254,".",B254)</f>
        <v>PG10.5.4.1.3.A</v>
      </c>
      <c r="D254" t="s">
        <v>2467</v>
      </c>
      <c r="E254" s="18">
        <v>245</v>
      </c>
      <c r="F254" s="19" cm="1">
        <f t="array" aca="1" ref="F254" ca="1">SUMPRODUCT(SUMIF(INDIRECT("'"&amp;Assemblies[Assy]&amp;"'!"&amp;"C5:C1000"),C254,(INDIRECT("'"&amp;Assemblies[Assy]&amp;"'!"&amp;"O5:O1000"))))</f>
        <v>1</v>
      </c>
      <c r="G254" s="19">
        <v>1</v>
      </c>
      <c r="H254" s="19" t="str">
        <f ca="1">IF(F254&lt;=G254," ","YES")</f>
        <v xml:space="preserve"> </v>
      </c>
      <c r="I254">
        <v>1</v>
      </c>
      <c r="J254">
        <v>1</v>
      </c>
      <c r="K254" s="40">
        <v>45541</v>
      </c>
      <c r="L254">
        <v>1</v>
      </c>
      <c r="M254" s="40">
        <v>45559</v>
      </c>
      <c r="N254">
        <v>1</v>
      </c>
      <c r="O254" t="s">
        <v>1986</v>
      </c>
      <c r="P254" t="s">
        <v>2463</v>
      </c>
      <c r="Q254" t="s">
        <v>1988</v>
      </c>
      <c r="R254" t="s">
        <v>2047</v>
      </c>
      <c r="T254" s="40">
        <v>45495</v>
      </c>
      <c r="U254" s="40">
        <v>45505</v>
      </c>
      <c r="V254" s="40">
        <v>45540</v>
      </c>
      <c r="W254" s="40">
        <v>45540</v>
      </c>
      <c r="X254" s="157">
        <v>55644</v>
      </c>
      <c r="Y254" s="40" t="str" cm="1">
        <f t="array" aca="1" ref="Y254" ca="1">TRIM(SUBSTITUTE(_xlfn.ARRAYTOTEXT(IFERROR(CONCATENATE(SUMIF(INDIRECT("'"&amp;Assemblies[Assy]&amp;"'!"&amp;"C$5:C1000"), $C254, INDIRECT("'"&amp;Assemblies[Assy]&amp;"'!"&amp;"O$5:O1000")), "x",Assemblies[Assy],".",IF(SUMIF(INDIRECT("'"&amp;Assemblies[Assy]&amp;"'!"&amp;"C$5:C1000"), $C254, INDIRECT("'"&amp;Assemblies[Assy]&amp;"'!"&amp;"A$5:A1000"))=0,NA(),SUMIF(INDIRECT("'"&amp;Assemblies[Assy]&amp;"'!"&amp;"C$5:C1000"), $C254, INDIRECT("'"&amp;Assemblies[Assy]&amp;"'!"&amp;"A$5:A1000")))),"")), " ,", ""))</f>
        <v>, 1x5.4.1.3,</v>
      </c>
      <c r="Z254" s="141">
        <v>0</v>
      </c>
      <c r="AA254" s="141">
        <v>0</v>
      </c>
      <c r="AB254" s="141">
        <v>0</v>
      </c>
      <c r="AC254" s="39">
        <v>0</v>
      </c>
      <c r="AD254" s="141"/>
      <c r="AE254" s="296">
        <v>55724</v>
      </c>
      <c r="AF254" s="156"/>
      <c r="AG254"/>
    </row>
    <row r="255" spans="1:33" x14ac:dyDescent="0.25">
      <c r="A255" s="24" t="s">
        <v>2468</v>
      </c>
      <c r="B255" s="134" t="s">
        <v>54</v>
      </c>
      <c r="C255" t="str">
        <f>_xlfn.CONCAT(A255,".",B255)</f>
        <v>PG10.5.4.1.4.A</v>
      </c>
      <c r="D255" t="s">
        <v>2469</v>
      </c>
      <c r="E255" s="18">
        <v>245</v>
      </c>
      <c r="F255" s="19" cm="1">
        <f t="array" aca="1" ref="F255" ca="1">SUMPRODUCT(SUMIF(INDIRECT("'"&amp;Assemblies[Assy]&amp;"'!"&amp;"C5:C1000"),C255,(INDIRECT("'"&amp;Assemblies[Assy]&amp;"'!"&amp;"O5:O1000"))))</f>
        <v>1</v>
      </c>
      <c r="G255" s="19">
        <v>1</v>
      </c>
      <c r="H255" s="19" t="str">
        <f ca="1">IF(F255&lt;=G255," ","YES")</f>
        <v xml:space="preserve"> </v>
      </c>
      <c r="I255">
        <v>1</v>
      </c>
      <c r="J255">
        <v>1</v>
      </c>
      <c r="K255" s="40">
        <v>45541</v>
      </c>
      <c r="L255">
        <v>1</v>
      </c>
      <c r="M255" s="40">
        <v>45559</v>
      </c>
      <c r="N255">
        <v>1</v>
      </c>
      <c r="O255" t="s">
        <v>1986</v>
      </c>
      <c r="P255" t="s">
        <v>2463</v>
      </c>
      <c r="Q255" t="s">
        <v>1988</v>
      </c>
      <c r="R255" t="s">
        <v>2047</v>
      </c>
      <c r="T255" s="40">
        <v>45495</v>
      </c>
      <c r="U255" s="40">
        <v>45505</v>
      </c>
      <c r="V255" s="40">
        <v>45540</v>
      </c>
      <c r="W255" s="40">
        <v>45540</v>
      </c>
      <c r="X255" s="157">
        <v>55644</v>
      </c>
      <c r="Y255" s="40" t="str" cm="1">
        <f t="array" aca="1" ref="Y255" ca="1">TRIM(SUBSTITUTE(_xlfn.ARRAYTOTEXT(IFERROR(CONCATENATE(SUMIF(INDIRECT("'"&amp;Assemblies[Assy]&amp;"'!"&amp;"C$5:C1000"), $C255, INDIRECT("'"&amp;Assemblies[Assy]&amp;"'!"&amp;"O$5:O1000")), "x",Assemblies[Assy],".",IF(SUMIF(INDIRECT("'"&amp;Assemblies[Assy]&amp;"'!"&amp;"C$5:C1000"), $C255, INDIRECT("'"&amp;Assemblies[Assy]&amp;"'!"&amp;"A$5:A1000"))=0,NA(),SUMIF(INDIRECT("'"&amp;Assemblies[Assy]&amp;"'!"&amp;"C$5:C1000"), $C255, INDIRECT("'"&amp;Assemblies[Assy]&amp;"'!"&amp;"A$5:A1000")))),"")), " ,", ""))</f>
        <v>, 1x5.4.1.4,</v>
      </c>
      <c r="Z255" s="141">
        <v>0</v>
      </c>
      <c r="AA255" s="141">
        <v>0</v>
      </c>
      <c r="AB255" s="141">
        <v>0</v>
      </c>
      <c r="AC255" s="39">
        <v>0</v>
      </c>
      <c r="AD255" s="141"/>
      <c r="AE255" s="296">
        <v>55724</v>
      </c>
      <c r="AF255" s="156"/>
      <c r="AG255"/>
    </row>
    <row r="256" spans="1:33" x14ac:dyDescent="0.25">
      <c r="A256" s="24" t="s">
        <v>2470</v>
      </c>
      <c r="B256" s="134" t="s">
        <v>54</v>
      </c>
      <c r="C256" t="str">
        <f>_xlfn.CONCAT(A256,".",B256)</f>
        <v>PG10.5.4.1.5.A</v>
      </c>
      <c r="D256" t="s">
        <v>2471</v>
      </c>
      <c r="E256" s="18">
        <v>40.700000000000003</v>
      </c>
      <c r="F256" s="19" cm="1">
        <f t="array" aca="1" ref="F256" ca="1">SUMPRODUCT(SUMIF(INDIRECT("'"&amp;Assemblies[Assy]&amp;"'!"&amp;"C5:C1000"),C256,(INDIRECT("'"&amp;Assemblies[Assy]&amp;"'!"&amp;"O5:O1000"))))</f>
        <v>7</v>
      </c>
      <c r="G256" s="19">
        <v>7</v>
      </c>
      <c r="H256" s="19" t="str">
        <f ca="1">IF(F256&lt;=G256," ","YES")</f>
        <v xml:space="preserve"> </v>
      </c>
      <c r="I256">
        <v>7</v>
      </c>
      <c r="J256">
        <v>7</v>
      </c>
      <c r="K256" s="40">
        <v>45541</v>
      </c>
      <c r="L256">
        <v>7</v>
      </c>
      <c r="M256" s="40">
        <v>45559</v>
      </c>
      <c r="N256">
        <v>7</v>
      </c>
      <c r="O256" t="s">
        <v>1986</v>
      </c>
      <c r="P256" t="s">
        <v>2463</v>
      </c>
      <c r="Q256" t="s">
        <v>1988</v>
      </c>
      <c r="R256" t="s">
        <v>1989</v>
      </c>
      <c r="T256" s="40">
        <v>45495</v>
      </c>
      <c r="U256" s="40">
        <v>45504</v>
      </c>
      <c r="V256" s="40">
        <v>45534</v>
      </c>
      <c r="W256" s="40">
        <v>45534</v>
      </c>
      <c r="X256" s="157">
        <v>55641</v>
      </c>
      <c r="Y256" s="40" t="str" cm="1">
        <f t="array" aca="1" ref="Y256" ca="1">TRIM(SUBSTITUTE(_xlfn.ARRAYTOTEXT(IFERROR(CONCATENATE(SUMIF(INDIRECT("'"&amp;Assemblies[Assy]&amp;"'!"&amp;"C$5:C1000"), $C256, INDIRECT("'"&amp;Assemblies[Assy]&amp;"'!"&amp;"O$5:O1000")), "x",Assemblies[Assy],".",IF(SUMIF(INDIRECT("'"&amp;Assemblies[Assy]&amp;"'!"&amp;"C$5:C1000"), $C256, INDIRECT("'"&amp;Assemblies[Assy]&amp;"'!"&amp;"A$5:A1000"))=0,NA(),SUMIF(INDIRECT("'"&amp;Assemblies[Assy]&amp;"'!"&amp;"C$5:C1000"), $C256, INDIRECT("'"&amp;Assemblies[Assy]&amp;"'!"&amp;"A$5:A1000")))),"")), " ,", ""))</f>
        <v>, 3x5.4.1.5, 4x5.4.2.5,</v>
      </c>
      <c r="Z256" s="141">
        <v>0</v>
      </c>
      <c r="AA256" s="141">
        <v>0</v>
      </c>
      <c r="AB256" s="141">
        <v>0</v>
      </c>
      <c r="AC256" s="39">
        <v>0</v>
      </c>
      <c r="AD256" s="141"/>
      <c r="AE256" s="296">
        <v>55724</v>
      </c>
      <c r="AF256" s="156"/>
      <c r="AG256"/>
    </row>
    <row r="257" spans="1:33" x14ac:dyDescent="0.25">
      <c r="A257" s="24" t="s">
        <v>2472</v>
      </c>
      <c r="B257" s="134" t="s">
        <v>54</v>
      </c>
      <c r="C257" t="str">
        <f>_xlfn.CONCAT(A257,".",B257)</f>
        <v>PG10.5.4.1.6.A</v>
      </c>
      <c r="D257" t="s">
        <v>2473</v>
      </c>
      <c r="E257" s="18">
        <v>72.05</v>
      </c>
      <c r="F257" s="19" cm="1">
        <f t="array" aca="1" ref="F257" ca="1">SUMPRODUCT(SUMIF(INDIRECT("'"&amp;Assemblies[Assy]&amp;"'!"&amp;"C5:C1000"),C257,(INDIRECT("'"&amp;Assemblies[Assy]&amp;"'!"&amp;"O5:O1000"))))</f>
        <v>2</v>
      </c>
      <c r="G257" s="19">
        <v>2</v>
      </c>
      <c r="H257" s="19" t="str">
        <f ca="1">IF(F257&lt;=G257," ","YES")</f>
        <v xml:space="preserve"> </v>
      </c>
      <c r="I257">
        <v>2</v>
      </c>
      <c r="J257">
        <v>2</v>
      </c>
      <c r="K257" s="40">
        <v>45541</v>
      </c>
      <c r="L257">
        <v>2</v>
      </c>
      <c r="M257" s="40">
        <v>45559</v>
      </c>
      <c r="N257">
        <v>2</v>
      </c>
      <c r="O257" t="s">
        <v>1986</v>
      </c>
      <c r="P257" t="s">
        <v>2463</v>
      </c>
      <c r="Q257" t="s">
        <v>1988</v>
      </c>
      <c r="R257" t="s">
        <v>1989</v>
      </c>
      <c r="T257" s="40">
        <v>45495</v>
      </c>
      <c r="U257" s="40">
        <v>45504</v>
      </c>
      <c r="V257" s="40">
        <v>45534</v>
      </c>
      <c r="W257" s="40">
        <v>45534</v>
      </c>
      <c r="X257" s="157">
        <v>55641</v>
      </c>
      <c r="Y257" s="40" t="str" cm="1">
        <f t="array" aca="1" ref="Y257" ca="1">TRIM(SUBSTITUTE(_xlfn.ARRAYTOTEXT(IFERROR(CONCATENATE(SUMIF(INDIRECT("'"&amp;Assemblies[Assy]&amp;"'!"&amp;"C$5:C1000"), $C257, INDIRECT("'"&amp;Assemblies[Assy]&amp;"'!"&amp;"O$5:O1000")), "x",Assemblies[Assy],".",IF(SUMIF(INDIRECT("'"&amp;Assemblies[Assy]&amp;"'!"&amp;"C$5:C1000"), $C257, INDIRECT("'"&amp;Assemblies[Assy]&amp;"'!"&amp;"A$5:A1000"))=0,NA(),SUMIF(INDIRECT("'"&amp;Assemblies[Assy]&amp;"'!"&amp;"C$5:C1000"), $C257, INDIRECT("'"&amp;Assemblies[Assy]&amp;"'!"&amp;"A$5:A1000")))),"")), " ,", ""))</f>
        <v>, 1x5.4.1.6, 1x5.4.2.6,</v>
      </c>
      <c r="Z257" s="141">
        <v>0</v>
      </c>
      <c r="AA257" s="141">
        <v>0</v>
      </c>
      <c r="AB257" s="141">
        <v>0</v>
      </c>
      <c r="AC257" s="39">
        <v>0</v>
      </c>
      <c r="AD257" s="141"/>
      <c r="AE257" s="296">
        <v>55724</v>
      </c>
      <c r="AF257" s="156"/>
      <c r="AG257"/>
    </row>
    <row r="258" spans="1:33" x14ac:dyDescent="0.25">
      <c r="A258" s="24" t="s">
        <v>2474</v>
      </c>
      <c r="B258" s="134" t="s">
        <v>54</v>
      </c>
      <c r="C258" t="str">
        <f>_xlfn.CONCAT(A258,".",B258)</f>
        <v>PG10.5.4.1.7.A</v>
      </c>
      <c r="D258" t="s">
        <v>2475</v>
      </c>
      <c r="E258" s="18">
        <v>37.15</v>
      </c>
      <c r="F258" s="19" cm="1">
        <f t="array" aca="1" ref="F258" ca="1">SUMPRODUCT(SUMIF(INDIRECT("'"&amp;Assemblies[Assy]&amp;"'!"&amp;"C5:C1000"),C258,(INDIRECT("'"&amp;Assemblies[Assy]&amp;"'!"&amp;"O5:O1000"))))</f>
        <v>7</v>
      </c>
      <c r="G258" s="19">
        <v>7</v>
      </c>
      <c r="H258" s="19" t="str">
        <f ca="1">IF(F258&lt;=G258," ","YES")</f>
        <v xml:space="preserve"> </v>
      </c>
      <c r="I258">
        <v>7</v>
      </c>
      <c r="J258">
        <v>7</v>
      </c>
      <c r="K258" s="40">
        <v>45541</v>
      </c>
      <c r="L258">
        <v>7</v>
      </c>
      <c r="M258" s="40">
        <v>45559</v>
      </c>
      <c r="N258">
        <v>7</v>
      </c>
      <c r="O258" t="s">
        <v>1986</v>
      </c>
      <c r="P258" t="s">
        <v>2463</v>
      </c>
      <c r="Q258" t="s">
        <v>1988</v>
      </c>
      <c r="R258" t="s">
        <v>1989</v>
      </c>
      <c r="T258" s="40">
        <v>45495</v>
      </c>
      <c r="U258" s="40">
        <v>45504</v>
      </c>
      <c r="V258" s="40">
        <v>45534</v>
      </c>
      <c r="W258" s="40">
        <v>45534</v>
      </c>
      <c r="X258" s="157">
        <v>55641</v>
      </c>
      <c r="Y258" s="40" t="str" cm="1">
        <f t="array" aca="1" ref="Y258" ca="1">TRIM(SUBSTITUTE(_xlfn.ARRAYTOTEXT(IFERROR(CONCATENATE(SUMIF(INDIRECT("'"&amp;Assemblies[Assy]&amp;"'!"&amp;"C$5:C1000"), $C258, INDIRECT("'"&amp;Assemblies[Assy]&amp;"'!"&amp;"O$5:O1000")), "x",Assemblies[Assy],".",IF(SUMIF(INDIRECT("'"&amp;Assemblies[Assy]&amp;"'!"&amp;"C$5:C1000"), $C258, INDIRECT("'"&amp;Assemblies[Assy]&amp;"'!"&amp;"A$5:A1000"))=0,NA(),SUMIF(INDIRECT("'"&amp;Assemblies[Assy]&amp;"'!"&amp;"C$5:C1000"), $C258, INDIRECT("'"&amp;Assemblies[Assy]&amp;"'!"&amp;"A$5:A1000")))),"")), " ,", ""))</f>
        <v>, 3x5.4.1.7, 4x5.4.2.7,</v>
      </c>
      <c r="AD258" s="141"/>
      <c r="AE258" s="296">
        <v>55724</v>
      </c>
      <c r="AF258" s="156"/>
      <c r="AG258"/>
    </row>
    <row r="259" spans="1:33" x14ac:dyDescent="0.25">
      <c r="A259" s="24" t="s">
        <v>2476</v>
      </c>
      <c r="B259" s="134" t="s">
        <v>54</v>
      </c>
      <c r="C259" t="str">
        <f>_xlfn.CONCAT(A259,".",B259)</f>
        <v>PG10.5.4.1.A</v>
      </c>
      <c r="D259" t="s">
        <v>2477</v>
      </c>
      <c r="E259" s="18">
        <v>245</v>
      </c>
      <c r="F259" s="19" cm="1">
        <f t="array" aca="1" ref="F259" ca="1">SUMPRODUCT(SUMIF(INDIRECT("'"&amp;Assemblies[Assy]&amp;"'!"&amp;"C5:C1000"),C259,(INDIRECT("'"&amp;Assemblies[Assy]&amp;"'!"&amp;"O5:O1000"))))</f>
        <v>1</v>
      </c>
      <c r="G259" s="19">
        <v>1</v>
      </c>
      <c r="H259" s="19" t="str">
        <f ca="1">IF(F259&lt;=G259," ","YES")</f>
        <v xml:space="preserve"> </v>
      </c>
      <c r="I259">
        <v>1</v>
      </c>
      <c r="J259">
        <v>1</v>
      </c>
      <c r="K259" s="40">
        <v>45541</v>
      </c>
      <c r="L259">
        <v>1</v>
      </c>
      <c r="M259" s="40">
        <v>45558</v>
      </c>
      <c r="N259">
        <v>1</v>
      </c>
      <c r="O259" t="s">
        <v>1986</v>
      </c>
      <c r="P259" t="s">
        <v>2165</v>
      </c>
      <c r="Q259" t="s">
        <v>1988</v>
      </c>
      <c r="R259" t="s">
        <v>2047</v>
      </c>
      <c r="T259" s="40">
        <v>45495</v>
      </c>
      <c r="U259" s="40">
        <v>45505</v>
      </c>
      <c r="V259" s="40">
        <v>45540</v>
      </c>
      <c r="W259" s="40">
        <v>45540</v>
      </c>
      <c r="X259" s="157">
        <v>55644</v>
      </c>
      <c r="Y259" s="40" t="str" cm="1">
        <f t="array" aca="1" ref="Y259" ca="1">TRIM(SUBSTITUTE(_xlfn.ARRAYTOTEXT(IFERROR(CONCATENATE(SUMIF(INDIRECT("'"&amp;Assemblies[Assy]&amp;"'!"&amp;"C$5:C1000"), $C259, INDIRECT("'"&amp;Assemblies[Assy]&amp;"'!"&amp;"O$5:O1000")), "x",Assemblies[Assy],".",IF(SUMIF(INDIRECT("'"&amp;Assemblies[Assy]&amp;"'!"&amp;"C$5:C1000"), $C259, INDIRECT("'"&amp;Assemblies[Assy]&amp;"'!"&amp;"A$5:A1000"))=0,NA(),SUMIF(INDIRECT("'"&amp;Assemblies[Assy]&amp;"'!"&amp;"C$5:C1000"), $C259, INDIRECT("'"&amp;Assemblies[Assy]&amp;"'!"&amp;"A$5:A1000")))),"")), " ,", ""))</f>
        <v>, 1x5.4.1,</v>
      </c>
      <c r="Z259" s="141">
        <v>0</v>
      </c>
      <c r="AA259" s="141">
        <v>0</v>
      </c>
      <c r="AB259" s="141">
        <v>0</v>
      </c>
      <c r="AC259" s="39">
        <v>0</v>
      </c>
      <c r="AD259" s="141"/>
      <c r="AE259" s="296">
        <v>55723</v>
      </c>
      <c r="AF259" s="156"/>
      <c r="AG259"/>
    </row>
    <row r="260" spans="1:33" x14ac:dyDescent="0.25">
      <c r="A260" s="24" t="s">
        <v>2478</v>
      </c>
      <c r="B260" s="134" t="s">
        <v>54</v>
      </c>
      <c r="C260" t="str">
        <f>_xlfn.CONCAT(A260,".",B260)</f>
        <v>PG10.5.4.2.1.A</v>
      </c>
      <c r="D260" t="s">
        <v>2479</v>
      </c>
      <c r="E260" s="18">
        <v>429</v>
      </c>
      <c r="F260" s="19" cm="1">
        <f t="array" aca="1" ref="F260" ca="1">SUMPRODUCT(SUMIF(INDIRECT("'"&amp;Assemblies[Assy]&amp;"'!"&amp;"C5:C1000"),C260,(INDIRECT("'"&amp;Assemblies[Assy]&amp;"'!"&amp;"O5:O1000"))))</f>
        <v>1</v>
      </c>
      <c r="G260" s="19">
        <v>1</v>
      </c>
      <c r="H260" s="19" t="str">
        <f ca="1">IF(F260&lt;=G260," ","YES")</f>
        <v xml:space="preserve"> </v>
      </c>
      <c r="I260">
        <v>1</v>
      </c>
      <c r="J260">
        <v>1</v>
      </c>
      <c r="K260" s="40">
        <v>45541</v>
      </c>
      <c r="L260">
        <v>1</v>
      </c>
      <c r="M260" s="40">
        <v>45559</v>
      </c>
      <c r="N260">
        <v>1</v>
      </c>
      <c r="O260" t="s">
        <v>1986</v>
      </c>
      <c r="P260" t="s">
        <v>2463</v>
      </c>
      <c r="Q260" t="s">
        <v>1988</v>
      </c>
      <c r="R260" t="s">
        <v>2047</v>
      </c>
      <c r="T260" s="40">
        <v>45495</v>
      </c>
      <c r="U260" s="40">
        <v>45505</v>
      </c>
      <c r="V260" s="40">
        <v>45540</v>
      </c>
      <c r="W260" s="40">
        <v>45540</v>
      </c>
      <c r="X260" s="157">
        <v>55644</v>
      </c>
      <c r="Y260" s="40" t="str" cm="1">
        <f t="array" aca="1" ref="Y260" ca="1">TRIM(SUBSTITUTE(_xlfn.ARRAYTOTEXT(IFERROR(CONCATENATE(SUMIF(INDIRECT("'"&amp;Assemblies[Assy]&amp;"'!"&amp;"C$5:C1000"), $C260, INDIRECT("'"&amp;Assemblies[Assy]&amp;"'!"&amp;"O$5:O1000")), "x",Assemblies[Assy],".",IF(SUMIF(INDIRECT("'"&amp;Assemblies[Assy]&amp;"'!"&amp;"C$5:C1000"), $C260, INDIRECT("'"&amp;Assemblies[Assy]&amp;"'!"&amp;"A$5:A1000"))=0,NA(),SUMIF(INDIRECT("'"&amp;Assemblies[Assy]&amp;"'!"&amp;"C$5:C1000"), $C260, INDIRECT("'"&amp;Assemblies[Assy]&amp;"'!"&amp;"A$5:A1000")))),"")), " ,", ""))</f>
        <v>, 1x5.4.2.1,</v>
      </c>
      <c r="Z260" s="141">
        <v>0</v>
      </c>
      <c r="AA260" s="141">
        <v>0</v>
      </c>
      <c r="AB260" s="141">
        <v>0</v>
      </c>
      <c r="AC260" s="39">
        <v>0</v>
      </c>
      <c r="AD260" s="141"/>
      <c r="AE260" s="296">
        <v>55724</v>
      </c>
      <c r="AF260" s="156"/>
      <c r="AG260"/>
    </row>
    <row r="261" spans="1:33" x14ac:dyDescent="0.25">
      <c r="A261" s="24" t="s">
        <v>2480</v>
      </c>
      <c r="B261" s="134" t="s">
        <v>54</v>
      </c>
      <c r="C261" t="str">
        <f>_xlfn.CONCAT(A261,".",B261)</f>
        <v>PG10.5.4.2.2.A</v>
      </c>
      <c r="D261" t="s">
        <v>2481</v>
      </c>
      <c r="E261" s="18">
        <v>429</v>
      </c>
      <c r="F261" s="19" cm="1">
        <f t="array" aca="1" ref="F261" ca="1">SUMPRODUCT(SUMIF(INDIRECT("'"&amp;Assemblies[Assy]&amp;"'!"&amp;"C5:C1000"),C261,(INDIRECT("'"&amp;Assemblies[Assy]&amp;"'!"&amp;"O5:O1000"))))</f>
        <v>0</v>
      </c>
      <c r="G261" s="19">
        <v>1</v>
      </c>
      <c r="H261" s="19" t="str">
        <f ca="1">IF(F261&lt;=G261," ","YES")</f>
        <v xml:space="preserve"> </v>
      </c>
      <c r="I261">
        <v>1</v>
      </c>
      <c r="J261">
        <v>1</v>
      </c>
      <c r="K261" s="40">
        <v>45541</v>
      </c>
      <c r="L261">
        <v>1</v>
      </c>
      <c r="M261" s="40">
        <v>45559</v>
      </c>
      <c r="N261">
        <v>1</v>
      </c>
      <c r="O261" t="s">
        <v>1986</v>
      </c>
      <c r="P261" t="s">
        <v>2463</v>
      </c>
      <c r="Q261" t="s">
        <v>1988</v>
      </c>
      <c r="R261" t="s">
        <v>2047</v>
      </c>
      <c r="T261" s="40">
        <v>45495</v>
      </c>
      <c r="U261" s="40">
        <v>45505</v>
      </c>
      <c r="V261" s="40">
        <v>45540</v>
      </c>
      <c r="W261" s="40">
        <v>45540</v>
      </c>
      <c r="X261" s="157">
        <v>55644</v>
      </c>
      <c r="Y261" s="40" t="str" cm="1">
        <f t="array" aca="1" ref="Y261" ca="1">TRIM(SUBSTITUTE(_xlfn.ARRAYTOTEXT(IFERROR(CONCATENATE(SUMIF(INDIRECT("'"&amp;Assemblies[Assy]&amp;"'!"&amp;"C$5:C1000"), $C261, INDIRECT("'"&amp;Assemblies[Assy]&amp;"'!"&amp;"O$5:O1000")), "x",Assemblies[Assy],".",IF(SUMIF(INDIRECT("'"&amp;Assemblies[Assy]&amp;"'!"&amp;"C$5:C1000"), $C261, INDIRECT("'"&amp;Assemblies[Assy]&amp;"'!"&amp;"A$5:A1000"))=0,NA(),SUMIF(INDIRECT("'"&amp;Assemblies[Assy]&amp;"'!"&amp;"C$5:C1000"), $C261, INDIRECT("'"&amp;Assemblies[Assy]&amp;"'!"&amp;"A$5:A1000")))),"")), " ,", ""))</f>
        <v>,</v>
      </c>
      <c r="Z261" s="141">
        <v>0</v>
      </c>
      <c r="AA261" s="141">
        <v>0</v>
      </c>
      <c r="AB261" s="141">
        <v>0</v>
      </c>
      <c r="AC261" s="39">
        <v>0</v>
      </c>
      <c r="AD261" s="141"/>
      <c r="AE261" s="296">
        <v>55724</v>
      </c>
      <c r="AF261" s="156"/>
      <c r="AG261"/>
    </row>
    <row r="262" spans="1:33" x14ac:dyDescent="0.25">
      <c r="A262" s="24" t="s">
        <v>2480</v>
      </c>
      <c r="B262" s="134" t="s">
        <v>56</v>
      </c>
      <c r="C262" t="str">
        <f>_xlfn.CONCAT(A262,".",B262)</f>
        <v>PG10.5.4.2.2.B</v>
      </c>
      <c r="D262" t="s">
        <v>2481</v>
      </c>
      <c r="E262" s="18">
        <f>Z262+AA262+AB262+(65*AC262)</f>
        <v>0</v>
      </c>
      <c r="F262" s="19" cm="1">
        <f t="array" aca="1" ref="F262" ca="1">SUMPRODUCT(SUMIF(INDIRECT("'"&amp;Assemblies[Assy]&amp;"'!"&amp;"C5:C1000"),C262,(INDIRECT("'"&amp;Assemblies[Assy]&amp;"'!"&amp;"O5:O1000"))))</f>
        <v>1</v>
      </c>
      <c r="G262" s="19">
        <v>1</v>
      </c>
      <c r="H262" s="19" t="str">
        <f ca="1">IF(F262&lt;=G262," ","YES")</f>
        <v xml:space="preserve"> </v>
      </c>
      <c r="I262">
        <v>1</v>
      </c>
      <c r="J262">
        <v>1</v>
      </c>
      <c r="L262">
        <v>1</v>
      </c>
      <c r="N262">
        <v>1</v>
      </c>
      <c r="O262" t="s">
        <v>1986</v>
      </c>
      <c r="P262" t="s">
        <v>2463</v>
      </c>
      <c r="R262" t="s">
        <v>2333</v>
      </c>
      <c r="S262" t="s">
        <v>2084</v>
      </c>
      <c r="T262" s="40" t="s">
        <v>2747</v>
      </c>
      <c r="U262" s="40" t="s">
        <v>2747</v>
      </c>
      <c r="V262" s="40" t="s">
        <v>2747</v>
      </c>
      <c r="W262" s="40" t="s">
        <v>2747</v>
      </c>
      <c r="X262" s="40" t="s">
        <v>2747</v>
      </c>
      <c r="Y262" s="40" t="str" cm="1">
        <f t="array" aca="1" ref="Y262" ca="1">TRIM(SUBSTITUTE(_xlfn.ARRAYTOTEXT(IFERROR(CONCATENATE(SUMIF(INDIRECT("'"&amp;Assemblies[Assy]&amp;"'!"&amp;"C$5:C1000"), $C262, INDIRECT("'"&amp;Assemblies[Assy]&amp;"'!"&amp;"O$5:O1000")), "x",Assemblies[Assy],".",IF(SUMIF(INDIRECT("'"&amp;Assemblies[Assy]&amp;"'!"&amp;"C$5:C1000"), $C262, INDIRECT("'"&amp;Assemblies[Assy]&amp;"'!"&amp;"A$5:A1000"))=0,NA(),SUMIF(INDIRECT("'"&amp;Assemblies[Assy]&amp;"'!"&amp;"C$5:C1000"), $C262, INDIRECT("'"&amp;Assemblies[Assy]&amp;"'!"&amp;"A$5:A1000")))),"")), " ,", ""))</f>
        <v>, 1x5.4.2.2,</v>
      </c>
      <c r="AD262" s="141"/>
      <c r="AE262" s="296"/>
      <c r="AF262" s="156"/>
      <c r="AG262"/>
    </row>
    <row r="263" spans="1:33" x14ac:dyDescent="0.25">
      <c r="A263" s="24" t="s">
        <v>2482</v>
      </c>
      <c r="B263" s="134" t="s">
        <v>54</v>
      </c>
      <c r="C263" t="str">
        <f>_xlfn.CONCAT(A263,".",B263)</f>
        <v>PG10.5.4.2.3.A</v>
      </c>
      <c r="D263" t="s">
        <v>2483</v>
      </c>
      <c r="E263" s="18">
        <v>215</v>
      </c>
      <c r="F263" s="19" cm="1">
        <f t="array" aca="1" ref="F263" ca="1">SUMPRODUCT(SUMIF(INDIRECT("'"&amp;Assemblies[Assy]&amp;"'!"&amp;"C5:C1000"),C263,(INDIRECT("'"&amp;Assemblies[Assy]&amp;"'!"&amp;"O5:O1000"))))</f>
        <v>1</v>
      </c>
      <c r="G263" s="19">
        <v>1</v>
      </c>
      <c r="H263" s="19" t="str">
        <f ca="1">IF(F263&lt;=G263," ","YES")</f>
        <v xml:space="preserve"> </v>
      </c>
      <c r="I263">
        <v>1</v>
      </c>
      <c r="J263">
        <v>1</v>
      </c>
      <c r="K263" s="40">
        <v>45541</v>
      </c>
      <c r="L263">
        <v>1</v>
      </c>
      <c r="M263" s="40">
        <v>45559</v>
      </c>
      <c r="N263">
        <v>1</v>
      </c>
      <c r="O263" t="s">
        <v>1986</v>
      </c>
      <c r="P263" t="s">
        <v>2463</v>
      </c>
      <c r="Q263" t="s">
        <v>1988</v>
      </c>
      <c r="R263" t="s">
        <v>2047</v>
      </c>
      <c r="T263" s="40">
        <v>45495</v>
      </c>
      <c r="U263" s="40">
        <v>45505</v>
      </c>
      <c r="V263" s="40">
        <v>45540</v>
      </c>
      <c r="W263" s="40">
        <v>45540</v>
      </c>
      <c r="X263" s="157">
        <v>55644</v>
      </c>
      <c r="Y263" s="40" t="str" cm="1">
        <f t="array" aca="1" ref="Y263" ca="1">TRIM(SUBSTITUTE(_xlfn.ARRAYTOTEXT(IFERROR(CONCATENATE(SUMIF(INDIRECT("'"&amp;Assemblies[Assy]&amp;"'!"&amp;"C$5:C1000"), $C263, INDIRECT("'"&amp;Assemblies[Assy]&amp;"'!"&amp;"O$5:O1000")), "x",Assemblies[Assy],".",IF(SUMIF(INDIRECT("'"&amp;Assemblies[Assy]&amp;"'!"&amp;"C$5:C1000"), $C263, INDIRECT("'"&amp;Assemblies[Assy]&amp;"'!"&amp;"A$5:A1000"))=0,NA(),SUMIF(INDIRECT("'"&amp;Assemblies[Assy]&amp;"'!"&amp;"C$5:C1000"), $C263, INDIRECT("'"&amp;Assemblies[Assy]&amp;"'!"&amp;"A$5:A1000")))),"")), " ,", ""))</f>
        <v>, 1x5.4.2.3,</v>
      </c>
      <c r="Z263" s="141">
        <v>0</v>
      </c>
      <c r="AA263" s="141">
        <v>0</v>
      </c>
      <c r="AB263" s="141">
        <v>0</v>
      </c>
      <c r="AC263" s="39">
        <v>0</v>
      </c>
      <c r="AD263" s="141"/>
      <c r="AE263" s="296">
        <v>55724</v>
      </c>
      <c r="AF263" s="156"/>
      <c r="AG263"/>
    </row>
    <row r="264" spans="1:33" x14ac:dyDescent="0.25">
      <c r="A264" s="24" t="s">
        <v>2484</v>
      </c>
      <c r="B264" s="134" t="s">
        <v>54</v>
      </c>
      <c r="C264" t="str">
        <f>_xlfn.CONCAT(A264,".",B264)</f>
        <v>PG10.5.4.2.4.A</v>
      </c>
      <c r="D264" t="s">
        <v>2485</v>
      </c>
      <c r="E264" s="18">
        <v>215</v>
      </c>
      <c r="F264" s="19" cm="1">
        <f t="array" aca="1" ref="F264" ca="1">SUMPRODUCT(SUMIF(INDIRECT("'"&amp;Assemblies[Assy]&amp;"'!"&amp;"C5:C1000"),C264,(INDIRECT("'"&amp;Assemblies[Assy]&amp;"'!"&amp;"O5:O1000"))))</f>
        <v>1</v>
      </c>
      <c r="G264" s="19">
        <v>1</v>
      </c>
      <c r="H264" s="19" t="str">
        <f ca="1">IF(F264&lt;=G264," ","YES")</f>
        <v xml:space="preserve"> </v>
      </c>
      <c r="I264">
        <v>1</v>
      </c>
      <c r="J264">
        <v>1</v>
      </c>
      <c r="K264" s="40">
        <v>45541</v>
      </c>
      <c r="L264">
        <v>1</v>
      </c>
      <c r="M264" s="40">
        <v>45559</v>
      </c>
      <c r="N264">
        <v>1</v>
      </c>
      <c r="O264" t="s">
        <v>1986</v>
      </c>
      <c r="P264" t="s">
        <v>2463</v>
      </c>
      <c r="Q264" t="s">
        <v>1988</v>
      </c>
      <c r="R264" t="s">
        <v>2047</v>
      </c>
      <c r="T264" s="40">
        <v>45495</v>
      </c>
      <c r="U264" s="40">
        <v>45505</v>
      </c>
      <c r="V264" s="40">
        <v>45540</v>
      </c>
      <c r="W264" s="40">
        <v>45540</v>
      </c>
      <c r="X264" s="157">
        <v>55644</v>
      </c>
      <c r="Y264" s="40" t="str" cm="1">
        <f t="array" aca="1" ref="Y264" ca="1">TRIM(SUBSTITUTE(_xlfn.ARRAYTOTEXT(IFERROR(CONCATENATE(SUMIF(INDIRECT("'"&amp;Assemblies[Assy]&amp;"'!"&amp;"C$5:C1000"), $C264, INDIRECT("'"&amp;Assemblies[Assy]&amp;"'!"&amp;"O$5:O1000")), "x",Assemblies[Assy],".",IF(SUMIF(INDIRECT("'"&amp;Assemblies[Assy]&amp;"'!"&amp;"C$5:C1000"), $C264, INDIRECT("'"&amp;Assemblies[Assy]&amp;"'!"&amp;"A$5:A1000"))=0,NA(),SUMIF(INDIRECT("'"&amp;Assemblies[Assy]&amp;"'!"&amp;"C$5:C1000"), $C264, INDIRECT("'"&amp;Assemblies[Assy]&amp;"'!"&amp;"A$5:A1000")))),"")), " ,", ""))</f>
        <v>, 1x5.4.2.4,</v>
      </c>
      <c r="Z264" s="141">
        <v>0</v>
      </c>
      <c r="AA264" s="141">
        <v>0</v>
      </c>
      <c r="AB264" s="141">
        <v>0</v>
      </c>
      <c r="AC264" s="39">
        <v>0</v>
      </c>
      <c r="AD264" s="141"/>
      <c r="AE264" s="296">
        <v>55724</v>
      </c>
      <c r="AF264" s="156"/>
      <c r="AG264"/>
    </row>
    <row r="265" spans="1:33" x14ac:dyDescent="0.25">
      <c r="A265" s="24" t="s">
        <v>2486</v>
      </c>
      <c r="B265" s="134" t="s">
        <v>54</v>
      </c>
      <c r="C265" t="str">
        <f>_xlfn.CONCAT(A265,".",B265)</f>
        <v>PG10.5.4.2.A</v>
      </c>
      <c r="D265" t="s">
        <v>2487</v>
      </c>
      <c r="E265" s="18">
        <v>72.67</v>
      </c>
      <c r="F265" s="19" cm="1">
        <f t="array" aca="1" ref="F265" ca="1">SUMPRODUCT(SUMIF(INDIRECT("'"&amp;Assemblies[Assy]&amp;"'!"&amp;"C5:C1000"),C265,(INDIRECT("'"&amp;Assemblies[Assy]&amp;"'!"&amp;"O5:O1000"))))</f>
        <v>2</v>
      </c>
      <c r="G265" s="19">
        <v>2</v>
      </c>
      <c r="H265" s="19" t="str">
        <f ca="1">IF(F265&lt;=G265," ","YES")</f>
        <v xml:space="preserve"> </v>
      </c>
      <c r="I265">
        <v>2</v>
      </c>
      <c r="J265">
        <v>2</v>
      </c>
      <c r="L265">
        <v>2</v>
      </c>
      <c r="N265">
        <v>2</v>
      </c>
      <c r="O265" t="s">
        <v>2021</v>
      </c>
      <c r="P265" t="s">
        <v>1993</v>
      </c>
      <c r="R265" t="s">
        <v>2488</v>
      </c>
      <c r="T265" s="40">
        <v>45495</v>
      </c>
      <c r="U265" s="40">
        <v>45510</v>
      </c>
      <c r="V265" s="40">
        <v>45540</v>
      </c>
      <c r="W265" s="40">
        <v>45540</v>
      </c>
      <c r="X265" s="157">
        <v>55658</v>
      </c>
      <c r="Y265" s="40" t="str" cm="1">
        <f t="array" aca="1" ref="Y265" ca="1">TRIM(SUBSTITUTE(_xlfn.ARRAYTOTEXT(IFERROR(CONCATENATE(SUMIF(INDIRECT("'"&amp;Assemblies[Assy]&amp;"'!"&amp;"C$5:C1000"), $C265, INDIRECT("'"&amp;Assemblies[Assy]&amp;"'!"&amp;"O$5:O1000")), "x",Assemblies[Assy],".",IF(SUMIF(INDIRECT("'"&amp;Assemblies[Assy]&amp;"'!"&amp;"C$5:C1000"), $C265, INDIRECT("'"&amp;Assemblies[Assy]&amp;"'!"&amp;"A$5:A1000"))=0,NA(),SUMIF(INDIRECT("'"&amp;Assemblies[Assy]&amp;"'!"&amp;"C$5:C1000"), $C265, INDIRECT("'"&amp;Assemblies[Assy]&amp;"'!"&amp;"A$5:A1000")))),"")), " ,", ""))</f>
        <v>, 2x5.4.2,</v>
      </c>
      <c r="Z265" s="141">
        <v>0</v>
      </c>
      <c r="AA265" s="141">
        <v>0</v>
      </c>
      <c r="AB265" s="141">
        <v>0</v>
      </c>
      <c r="AC265" s="39">
        <v>0</v>
      </c>
      <c r="AD265" s="141"/>
      <c r="AE265" s="296"/>
      <c r="AF265" s="156"/>
      <c r="AG265"/>
    </row>
    <row r="266" spans="1:33" x14ac:dyDescent="0.25">
      <c r="A266" s="24" t="s">
        <v>2489</v>
      </c>
      <c r="B266" s="134" t="s">
        <v>54</v>
      </c>
      <c r="C266" t="str">
        <f>_xlfn.CONCAT(A266,".",B266)</f>
        <v>PG10.5.5.1.1.A</v>
      </c>
      <c r="D266" t="s">
        <v>2490</v>
      </c>
      <c r="E266" s="18">
        <v>167.65</v>
      </c>
      <c r="F266" s="19" cm="1">
        <f t="array" aca="1" ref="F266" ca="1">SUMPRODUCT(SUMIF(INDIRECT("'"&amp;Assemblies[Assy]&amp;"'!"&amp;"C5:C1000"),C266,(INDIRECT("'"&amp;Assemblies[Assy]&amp;"'!"&amp;"O5:O1000"))))</f>
        <v>1</v>
      </c>
      <c r="G266" s="19">
        <v>1</v>
      </c>
      <c r="H266" s="19" t="str">
        <f ca="1">IF(F266&lt;=G266," ","YES")</f>
        <v xml:space="preserve"> </v>
      </c>
      <c r="I266">
        <v>1</v>
      </c>
      <c r="J266">
        <v>1</v>
      </c>
      <c r="K266" s="40">
        <v>45541</v>
      </c>
      <c r="L266">
        <v>1</v>
      </c>
      <c r="M266" s="40">
        <v>45558</v>
      </c>
      <c r="N266">
        <v>1</v>
      </c>
      <c r="O266" t="s">
        <v>1986</v>
      </c>
      <c r="P266" t="s">
        <v>2165</v>
      </c>
      <c r="Q266" t="s">
        <v>1988</v>
      </c>
      <c r="R266" t="s">
        <v>1989</v>
      </c>
      <c r="T266" s="40">
        <v>45495</v>
      </c>
      <c r="U266" s="40">
        <v>45504</v>
      </c>
      <c r="V266" s="40">
        <v>45534</v>
      </c>
      <c r="W266" s="40">
        <v>45534</v>
      </c>
      <c r="X266" s="157">
        <v>55641</v>
      </c>
      <c r="Y266" s="40" t="str" cm="1">
        <f t="array" aca="1" ref="Y266" ca="1">TRIM(SUBSTITUTE(_xlfn.ARRAYTOTEXT(IFERROR(CONCATENATE(SUMIF(INDIRECT("'"&amp;Assemblies[Assy]&amp;"'!"&amp;"C$5:C1000"), $C266, INDIRECT("'"&amp;Assemblies[Assy]&amp;"'!"&amp;"O$5:O1000")), "x",Assemblies[Assy],".",IF(SUMIF(INDIRECT("'"&amp;Assemblies[Assy]&amp;"'!"&amp;"C$5:C1000"), $C266, INDIRECT("'"&amp;Assemblies[Assy]&amp;"'!"&amp;"A$5:A1000"))=0,NA(),SUMIF(INDIRECT("'"&amp;Assemblies[Assy]&amp;"'!"&amp;"C$5:C1000"), $C266, INDIRECT("'"&amp;Assemblies[Assy]&amp;"'!"&amp;"A$5:A1000")))),"")), " ,", ""))</f>
        <v>, 1x5.5.1.1,</v>
      </c>
      <c r="Z266" s="141">
        <v>0</v>
      </c>
      <c r="AA266" s="141">
        <v>0</v>
      </c>
      <c r="AB266" s="141">
        <v>0</v>
      </c>
      <c r="AC266" s="39">
        <v>0</v>
      </c>
      <c r="AD266" s="141"/>
      <c r="AE266" s="296">
        <v>55723</v>
      </c>
      <c r="AF266" s="156"/>
      <c r="AG266"/>
    </row>
    <row r="267" spans="1:33" x14ac:dyDescent="0.25">
      <c r="A267" s="24" t="s">
        <v>2491</v>
      </c>
      <c r="B267" s="134" t="s">
        <v>54</v>
      </c>
      <c r="C267" t="str">
        <f>_xlfn.CONCAT(A267,".",B267)</f>
        <v>PG10.5.5.1.2.A</v>
      </c>
      <c r="D267" t="s">
        <v>2492</v>
      </c>
      <c r="E267" s="18">
        <v>128.6</v>
      </c>
      <c r="F267" s="19" cm="1">
        <f t="array" aca="1" ref="F267" ca="1">SUMPRODUCT(SUMIF(INDIRECT("'"&amp;Assemblies[Assy]&amp;"'!"&amp;"C5:C1000"),C267,(INDIRECT("'"&amp;Assemblies[Assy]&amp;"'!"&amp;"O5:O1000"))))</f>
        <v>1</v>
      </c>
      <c r="G267" s="19">
        <v>1</v>
      </c>
      <c r="H267" s="19" t="str">
        <f ca="1">IF(F267&lt;=G267," ","YES")</f>
        <v xml:space="preserve"> </v>
      </c>
      <c r="I267">
        <v>1</v>
      </c>
      <c r="J267">
        <v>1</v>
      </c>
      <c r="K267" s="40">
        <v>45541</v>
      </c>
      <c r="L267">
        <v>1</v>
      </c>
      <c r="M267" s="40">
        <v>45558</v>
      </c>
      <c r="N267">
        <v>1</v>
      </c>
      <c r="O267" t="s">
        <v>1986</v>
      </c>
      <c r="P267" t="s">
        <v>2165</v>
      </c>
      <c r="Q267" t="s">
        <v>1988</v>
      </c>
      <c r="R267" t="s">
        <v>1989</v>
      </c>
      <c r="T267" s="40">
        <v>45495</v>
      </c>
      <c r="U267" s="40">
        <v>45504</v>
      </c>
      <c r="V267" s="40">
        <v>45534</v>
      </c>
      <c r="W267" s="40">
        <v>45534</v>
      </c>
      <c r="X267" s="157">
        <v>55641</v>
      </c>
      <c r="Y267" s="40" t="str" cm="1">
        <f t="array" aca="1" ref="Y267" ca="1">TRIM(SUBSTITUTE(_xlfn.ARRAYTOTEXT(IFERROR(CONCATENATE(SUMIF(INDIRECT("'"&amp;Assemblies[Assy]&amp;"'!"&amp;"C$5:C1000"), $C267, INDIRECT("'"&amp;Assemblies[Assy]&amp;"'!"&amp;"O$5:O1000")), "x",Assemblies[Assy],".",IF(SUMIF(INDIRECT("'"&amp;Assemblies[Assy]&amp;"'!"&amp;"C$5:C1000"), $C267, INDIRECT("'"&amp;Assemblies[Assy]&amp;"'!"&amp;"A$5:A1000"))=0,NA(),SUMIF(INDIRECT("'"&amp;Assemblies[Assy]&amp;"'!"&amp;"C$5:C1000"), $C267, INDIRECT("'"&amp;Assemblies[Assy]&amp;"'!"&amp;"A$5:A1000")))),"")), " ,", ""))</f>
        <v>, 1x5.5.1.2,</v>
      </c>
      <c r="Z267" s="141">
        <v>0</v>
      </c>
      <c r="AA267" s="141">
        <v>0</v>
      </c>
      <c r="AB267" s="141">
        <v>0</v>
      </c>
      <c r="AC267" s="39">
        <v>0</v>
      </c>
      <c r="AD267" s="141"/>
      <c r="AE267" s="296">
        <v>55723</v>
      </c>
      <c r="AF267" s="156"/>
      <c r="AG267"/>
    </row>
    <row r="268" spans="1:33" x14ac:dyDescent="0.25">
      <c r="A268" s="24" t="s">
        <v>2493</v>
      </c>
      <c r="B268" s="134" t="s">
        <v>54</v>
      </c>
      <c r="C268" t="str">
        <f>_xlfn.CONCAT(A268,".",B268)</f>
        <v>PG10.5.5.1.3.A</v>
      </c>
      <c r="D268" t="s">
        <v>2494</v>
      </c>
      <c r="E268" s="18">
        <v>328.5</v>
      </c>
      <c r="F268" s="19" cm="1">
        <f t="array" aca="1" ref="F268" ca="1">SUMPRODUCT(SUMIF(INDIRECT("'"&amp;Assemblies[Assy]&amp;"'!"&amp;"C5:C1000"),C268,(INDIRECT("'"&amp;Assemblies[Assy]&amp;"'!"&amp;"O5:O1000"))))</f>
        <v>1</v>
      </c>
      <c r="G268" s="19">
        <v>1</v>
      </c>
      <c r="H268" s="19" t="str">
        <f ca="1">IF(F268&lt;=G268," ","YES")</f>
        <v xml:space="preserve"> </v>
      </c>
      <c r="I268">
        <v>1</v>
      </c>
      <c r="J268">
        <v>1</v>
      </c>
      <c r="L268">
        <v>1</v>
      </c>
      <c r="N268">
        <v>1</v>
      </c>
      <c r="O268" t="s">
        <v>2021</v>
      </c>
      <c r="P268" t="s">
        <v>1993</v>
      </c>
      <c r="R268" t="s">
        <v>1989</v>
      </c>
      <c r="T268" s="40">
        <v>45495</v>
      </c>
      <c r="U268" s="40">
        <v>45504</v>
      </c>
      <c r="V268" s="40">
        <v>45534</v>
      </c>
      <c r="W268" s="40">
        <v>45534</v>
      </c>
      <c r="X268" s="157">
        <v>55641</v>
      </c>
      <c r="Y268" s="40" t="str" cm="1">
        <f t="array" aca="1" ref="Y268" ca="1">TRIM(SUBSTITUTE(_xlfn.ARRAYTOTEXT(IFERROR(CONCATENATE(SUMIF(INDIRECT("'"&amp;Assemblies[Assy]&amp;"'!"&amp;"C$5:C1000"), $C268, INDIRECT("'"&amp;Assemblies[Assy]&amp;"'!"&amp;"O$5:O1000")), "x",Assemblies[Assy],".",IF(SUMIF(INDIRECT("'"&amp;Assemblies[Assy]&amp;"'!"&amp;"C$5:C1000"), $C268, INDIRECT("'"&amp;Assemblies[Assy]&amp;"'!"&amp;"A$5:A1000"))=0,NA(),SUMIF(INDIRECT("'"&amp;Assemblies[Assy]&amp;"'!"&amp;"C$5:C1000"), $C268, INDIRECT("'"&amp;Assemblies[Assy]&amp;"'!"&amp;"A$5:A1000")))),"")), " ,", ""))</f>
        <v>, 1x5.5.1.3,</v>
      </c>
      <c r="Z268" s="141">
        <v>0</v>
      </c>
      <c r="AA268" s="141">
        <v>0</v>
      </c>
      <c r="AB268" s="141">
        <v>0</v>
      </c>
      <c r="AC268" s="39">
        <v>0</v>
      </c>
      <c r="AD268" s="141"/>
      <c r="AE268" s="296"/>
      <c r="AF268" s="156"/>
      <c r="AG268"/>
    </row>
    <row r="269" spans="1:33" x14ac:dyDescent="0.25">
      <c r="A269" s="24" t="s">
        <v>2495</v>
      </c>
      <c r="B269" s="134" t="s">
        <v>54</v>
      </c>
      <c r="C269" t="str">
        <f>_xlfn.CONCAT(A269,".",B269)</f>
        <v>PG10.5.5.1.4.A</v>
      </c>
      <c r="D269" t="s">
        <v>2496</v>
      </c>
      <c r="E269" s="18">
        <v>72.56</v>
      </c>
      <c r="F269" s="19" cm="1">
        <f t="array" aca="1" ref="F269" ca="1">SUMPRODUCT(SUMIF(INDIRECT("'"&amp;Assemblies[Assy]&amp;"'!"&amp;"C5:C1000"),C269,(INDIRECT("'"&amp;Assemblies[Assy]&amp;"'!"&amp;"O5:O1000"))))</f>
        <v>1</v>
      </c>
      <c r="G269" s="19">
        <v>2</v>
      </c>
      <c r="H269" s="19" t="str">
        <f ca="1">IF(F269&lt;=G269," ","YES")</f>
        <v xml:space="preserve"> </v>
      </c>
      <c r="I269">
        <v>2</v>
      </c>
      <c r="J269">
        <v>2</v>
      </c>
      <c r="L269">
        <v>2</v>
      </c>
      <c r="N269">
        <v>2</v>
      </c>
      <c r="O269" t="s">
        <v>2021</v>
      </c>
      <c r="P269" t="s">
        <v>2030</v>
      </c>
      <c r="R269" t="s">
        <v>2488</v>
      </c>
      <c r="T269" s="40">
        <v>45495</v>
      </c>
      <c r="U269" s="40">
        <v>45510</v>
      </c>
      <c r="V269" s="40">
        <v>45540</v>
      </c>
      <c r="W269" s="40">
        <v>45540</v>
      </c>
      <c r="X269" s="157">
        <v>55658</v>
      </c>
      <c r="Y269" s="40" t="str" cm="1">
        <f t="array" aca="1" ref="Y269" ca="1">TRIM(SUBSTITUTE(_xlfn.ARRAYTOTEXT(IFERROR(CONCATENATE(SUMIF(INDIRECT("'"&amp;Assemblies[Assy]&amp;"'!"&amp;"C$5:C1000"), $C269, INDIRECT("'"&amp;Assemblies[Assy]&amp;"'!"&amp;"O$5:O1000")), "x",Assemblies[Assy],".",IF(SUMIF(INDIRECT("'"&amp;Assemblies[Assy]&amp;"'!"&amp;"C$5:C1000"), $C269, INDIRECT("'"&amp;Assemblies[Assy]&amp;"'!"&amp;"A$5:A1000"))=0,NA(),SUMIF(INDIRECT("'"&amp;Assemblies[Assy]&amp;"'!"&amp;"C$5:C1000"), $C269, INDIRECT("'"&amp;Assemblies[Assy]&amp;"'!"&amp;"A$5:A1000")))),"")), " ,", ""))</f>
        <v>, 1x5.5.1.4,</v>
      </c>
      <c r="Z269" s="141">
        <v>0</v>
      </c>
      <c r="AA269" s="141">
        <v>0</v>
      </c>
      <c r="AB269" s="141">
        <v>0</v>
      </c>
      <c r="AC269" s="39">
        <v>0</v>
      </c>
      <c r="AD269" s="141"/>
      <c r="AE269" s="296"/>
      <c r="AF269" s="156"/>
      <c r="AG269"/>
    </row>
    <row r="270" spans="1:33" x14ac:dyDescent="0.25">
      <c r="A270" s="24" t="s">
        <v>2497</v>
      </c>
      <c r="B270" s="134" t="s">
        <v>54</v>
      </c>
      <c r="C270" t="str">
        <f>_xlfn.CONCAT(A270,".",B270)</f>
        <v>PG10.5.5.1.5.A</v>
      </c>
      <c r="D270" t="s">
        <v>2498</v>
      </c>
      <c r="E270" s="18">
        <v>72.56</v>
      </c>
      <c r="F270" s="19" cm="1">
        <f t="array" aca="1" ref="F270" ca="1">SUMPRODUCT(SUMIF(INDIRECT("'"&amp;Assemblies[Assy]&amp;"'!"&amp;"C5:C1000"),C270,(INDIRECT("'"&amp;Assemblies[Assy]&amp;"'!"&amp;"O5:O1000"))))</f>
        <v>1</v>
      </c>
      <c r="G270" s="19">
        <v>2</v>
      </c>
      <c r="H270" s="19" t="str">
        <f ca="1">IF(F270&lt;=G270," ","YES")</f>
        <v xml:space="preserve"> </v>
      </c>
      <c r="I270">
        <v>2</v>
      </c>
      <c r="J270">
        <v>2</v>
      </c>
      <c r="L270">
        <v>2</v>
      </c>
      <c r="N270">
        <v>2</v>
      </c>
      <c r="O270" t="s">
        <v>2021</v>
      </c>
      <c r="P270" t="s">
        <v>2030</v>
      </c>
      <c r="R270" t="s">
        <v>2488</v>
      </c>
      <c r="T270" s="40">
        <v>45495</v>
      </c>
      <c r="U270" s="40">
        <v>45510</v>
      </c>
      <c r="V270" s="40">
        <v>45540</v>
      </c>
      <c r="W270" s="40">
        <v>45540</v>
      </c>
      <c r="X270" s="157">
        <v>55658</v>
      </c>
      <c r="Y270" s="40" t="str" cm="1">
        <f t="array" aca="1" ref="Y270" ca="1">TRIM(SUBSTITUTE(_xlfn.ARRAYTOTEXT(IFERROR(CONCATENATE(SUMIF(INDIRECT("'"&amp;Assemblies[Assy]&amp;"'!"&amp;"C$5:C1000"), $C270, INDIRECT("'"&amp;Assemblies[Assy]&amp;"'!"&amp;"O$5:O1000")), "x",Assemblies[Assy],".",IF(SUMIF(INDIRECT("'"&amp;Assemblies[Assy]&amp;"'!"&amp;"C$5:C1000"), $C270, INDIRECT("'"&amp;Assemblies[Assy]&amp;"'!"&amp;"A$5:A1000"))=0,NA(),SUMIF(INDIRECT("'"&amp;Assemblies[Assy]&amp;"'!"&amp;"C$5:C1000"), $C270, INDIRECT("'"&amp;Assemblies[Assy]&amp;"'!"&amp;"A$5:A1000")))),"")), " ,", ""))</f>
        <v>, 1x5.5.1.5,</v>
      </c>
      <c r="Z270" s="141">
        <v>0</v>
      </c>
      <c r="AA270" s="141">
        <v>0</v>
      </c>
      <c r="AB270" s="141">
        <v>0</v>
      </c>
      <c r="AC270" s="39">
        <v>0</v>
      </c>
      <c r="AD270" s="141"/>
      <c r="AE270" s="296"/>
      <c r="AF270" s="156"/>
      <c r="AG270"/>
    </row>
    <row r="271" spans="1:33" x14ac:dyDescent="0.25">
      <c r="A271" s="24" t="s">
        <v>2499</v>
      </c>
      <c r="B271" s="134" t="s">
        <v>54</v>
      </c>
      <c r="C271" t="str">
        <f>_xlfn.CONCAT(A271,".",B271)</f>
        <v>PG10.5.5.1.6.A</v>
      </c>
      <c r="D271" t="s">
        <v>2500</v>
      </c>
      <c r="E271" s="18">
        <v>139.13999999999999</v>
      </c>
      <c r="F271" s="19" cm="1">
        <f t="array" aca="1" ref="F271" ca="1">SUMPRODUCT(SUMIF(INDIRECT("'"&amp;Assemblies[Assy]&amp;"'!"&amp;"C5:C1000"),C271,(INDIRECT("'"&amp;Assemblies[Assy]&amp;"'!"&amp;"O5:O1000"))))</f>
        <v>1</v>
      </c>
      <c r="G271" s="19">
        <v>1</v>
      </c>
      <c r="H271" s="19" t="str">
        <f ca="1">IF(F271&lt;=G271," ","YES")</f>
        <v xml:space="preserve"> </v>
      </c>
      <c r="I271">
        <v>1</v>
      </c>
      <c r="J271">
        <v>1</v>
      </c>
      <c r="L271">
        <v>1</v>
      </c>
      <c r="N271">
        <v>1</v>
      </c>
      <c r="O271" t="s">
        <v>2021</v>
      </c>
      <c r="P271" t="s">
        <v>2030</v>
      </c>
      <c r="R271" t="s">
        <v>2488</v>
      </c>
      <c r="T271" s="40">
        <v>45495</v>
      </c>
      <c r="U271" s="40">
        <v>45510</v>
      </c>
      <c r="V271" s="40">
        <v>45540</v>
      </c>
      <c r="W271" s="40">
        <v>45540</v>
      </c>
      <c r="X271" s="157">
        <v>55658</v>
      </c>
      <c r="Y271" s="40" t="str" cm="1">
        <f t="array" aca="1" ref="Y271" ca="1">TRIM(SUBSTITUTE(_xlfn.ARRAYTOTEXT(IFERROR(CONCATENATE(SUMIF(INDIRECT("'"&amp;Assemblies[Assy]&amp;"'!"&amp;"C$5:C1000"), $C271, INDIRECT("'"&amp;Assemblies[Assy]&amp;"'!"&amp;"O$5:O1000")), "x",Assemblies[Assy],".",IF(SUMIF(INDIRECT("'"&amp;Assemblies[Assy]&amp;"'!"&amp;"C$5:C1000"), $C271, INDIRECT("'"&amp;Assemblies[Assy]&amp;"'!"&amp;"A$5:A1000"))=0,NA(),SUMIF(INDIRECT("'"&amp;Assemblies[Assy]&amp;"'!"&amp;"C$5:C1000"), $C271, INDIRECT("'"&amp;Assemblies[Assy]&amp;"'!"&amp;"A$5:A1000")))),"")), " ,", ""))</f>
        <v>, 1x5.5.1.6,</v>
      </c>
      <c r="Z271" s="141">
        <v>0</v>
      </c>
      <c r="AA271" s="141">
        <v>0</v>
      </c>
      <c r="AB271" s="141">
        <v>0</v>
      </c>
      <c r="AC271" s="39">
        <v>0</v>
      </c>
      <c r="AD271" s="141"/>
      <c r="AE271" s="296"/>
      <c r="AF271" s="156"/>
      <c r="AG271"/>
    </row>
    <row r="272" spans="1:33" x14ac:dyDescent="0.25">
      <c r="A272" s="24" t="s">
        <v>2501</v>
      </c>
      <c r="B272" s="134" t="s">
        <v>54</v>
      </c>
      <c r="C272" t="str">
        <f>_xlfn.CONCAT(A272,".",B272)</f>
        <v>PG10.5.5.1.7.A</v>
      </c>
      <c r="D272" t="s">
        <v>2502</v>
      </c>
      <c r="E272" s="18">
        <v>51.84</v>
      </c>
      <c r="F272" s="19" cm="1">
        <f t="array" aca="1" ref="F272" ca="1">SUMPRODUCT(SUMIF(INDIRECT("'"&amp;Assemblies[Assy]&amp;"'!"&amp;"C5:C1000"),C272,(INDIRECT("'"&amp;Assemblies[Assy]&amp;"'!"&amp;"O5:O1000"))))</f>
        <v>2</v>
      </c>
      <c r="G272" s="19">
        <v>2</v>
      </c>
      <c r="H272" s="19" t="str">
        <f ca="1">IF(F272&lt;=G272," ","YES")</f>
        <v xml:space="preserve"> </v>
      </c>
      <c r="I272">
        <v>2</v>
      </c>
      <c r="J272">
        <v>2</v>
      </c>
      <c r="L272">
        <v>2</v>
      </c>
      <c r="N272">
        <v>2</v>
      </c>
      <c r="O272" t="s">
        <v>2021</v>
      </c>
      <c r="P272" t="s">
        <v>2030</v>
      </c>
      <c r="R272" t="s">
        <v>2488</v>
      </c>
      <c r="T272" s="40">
        <v>45495</v>
      </c>
      <c r="U272" s="40">
        <v>45510</v>
      </c>
      <c r="V272" s="40">
        <v>45540</v>
      </c>
      <c r="W272" s="40">
        <v>45540</v>
      </c>
      <c r="X272" s="157">
        <v>55658</v>
      </c>
      <c r="Y272" s="40" t="str" cm="1">
        <f t="array" aca="1" ref="Y272" ca="1">TRIM(SUBSTITUTE(_xlfn.ARRAYTOTEXT(IFERROR(CONCATENATE(SUMIF(INDIRECT("'"&amp;Assemblies[Assy]&amp;"'!"&amp;"C$5:C1000"), $C272, INDIRECT("'"&amp;Assemblies[Assy]&amp;"'!"&amp;"O$5:O1000")), "x",Assemblies[Assy],".",IF(SUMIF(INDIRECT("'"&amp;Assemblies[Assy]&amp;"'!"&amp;"C$5:C1000"), $C272, INDIRECT("'"&amp;Assemblies[Assy]&amp;"'!"&amp;"A$5:A1000"))=0,NA(),SUMIF(INDIRECT("'"&amp;Assemblies[Assy]&amp;"'!"&amp;"C$5:C1000"), $C272, INDIRECT("'"&amp;Assemblies[Assy]&amp;"'!"&amp;"A$5:A1000")))),"")), " ,", ""))</f>
        <v>, 1x5.5.1.7, 1x5.6.1.7,</v>
      </c>
      <c r="Z272" s="141">
        <v>0</v>
      </c>
      <c r="AA272" s="141">
        <v>0</v>
      </c>
      <c r="AB272" s="141">
        <v>0</v>
      </c>
      <c r="AC272" s="39">
        <v>0</v>
      </c>
      <c r="AD272" s="141"/>
      <c r="AE272" s="296"/>
      <c r="AF272" s="156"/>
      <c r="AG272"/>
    </row>
    <row r="273" spans="1:33" x14ac:dyDescent="0.25">
      <c r="A273" s="24" t="s">
        <v>2503</v>
      </c>
      <c r="B273" s="134" t="s">
        <v>54</v>
      </c>
      <c r="C273" t="str">
        <f>_xlfn.CONCAT(A273,".",B273)</f>
        <v>PG10.5.5.1.8.A</v>
      </c>
      <c r="D273" t="s">
        <v>2504</v>
      </c>
      <c r="E273" s="18">
        <v>140.04</v>
      </c>
      <c r="F273" s="19" cm="1">
        <f t="array" aca="1" ref="F273" ca="1">SUMPRODUCT(SUMIF(INDIRECT("'"&amp;Assemblies[Assy]&amp;"'!"&amp;"C5:C1000"),C273,(INDIRECT("'"&amp;Assemblies[Assy]&amp;"'!"&amp;"O5:O1000"))))</f>
        <v>1</v>
      </c>
      <c r="G273" s="19">
        <v>1</v>
      </c>
      <c r="H273" s="19" t="str">
        <f ca="1">IF(F273&lt;=G273," ","YES")</f>
        <v xml:space="preserve"> </v>
      </c>
      <c r="I273">
        <v>1</v>
      </c>
      <c r="J273">
        <v>1</v>
      </c>
      <c r="L273">
        <v>1</v>
      </c>
      <c r="N273">
        <v>1</v>
      </c>
      <c r="O273" t="s">
        <v>2021</v>
      </c>
      <c r="P273" t="s">
        <v>2030</v>
      </c>
      <c r="R273" t="s">
        <v>2488</v>
      </c>
      <c r="T273" s="40">
        <v>45495</v>
      </c>
      <c r="U273" s="40">
        <v>45510</v>
      </c>
      <c r="V273" s="40">
        <v>45540</v>
      </c>
      <c r="W273" s="40">
        <v>45540</v>
      </c>
      <c r="X273" s="157">
        <v>55658</v>
      </c>
      <c r="Y273" s="40" t="str" cm="1">
        <f t="array" aca="1" ref="Y273" ca="1">TRIM(SUBSTITUTE(_xlfn.ARRAYTOTEXT(IFERROR(CONCATENATE(SUMIF(INDIRECT("'"&amp;Assemblies[Assy]&amp;"'!"&amp;"C$5:C1000"), $C273, INDIRECT("'"&amp;Assemblies[Assy]&amp;"'!"&amp;"O$5:O1000")), "x",Assemblies[Assy],".",IF(SUMIF(INDIRECT("'"&amp;Assemblies[Assy]&amp;"'!"&amp;"C$5:C1000"), $C273, INDIRECT("'"&amp;Assemblies[Assy]&amp;"'!"&amp;"A$5:A1000"))=0,NA(),SUMIF(INDIRECT("'"&amp;Assemblies[Assy]&amp;"'!"&amp;"C$5:C1000"), $C273, INDIRECT("'"&amp;Assemblies[Assy]&amp;"'!"&amp;"A$5:A1000")))),"")), " ,", ""))</f>
        <v>, 1x5.5.1.8,</v>
      </c>
      <c r="Z273" s="141">
        <v>0</v>
      </c>
      <c r="AA273" s="141">
        <v>0</v>
      </c>
      <c r="AB273" s="141">
        <v>0</v>
      </c>
      <c r="AC273" s="39">
        <v>0</v>
      </c>
      <c r="AD273" s="141"/>
      <c r="AE273" s="296"/>
      <c r="AF273" s="156"/>
      <c r="AG273"/>
    </row>
    <row r="274" spans="1:33" x14ac:dyDescent="0.25">
      <c r="A274" s="24" t="s">
        <v>2505</v>
      </c>
      <c r="B274" s="134" t="s">
        <v>54</v>
      </c>
      <c r="C274" t="str">
        <f>_xlfn.CONCAT(A274,".",B274)</f>
        <v>PG10.5.5.1.A</v>
      </c>
      <c r="D274" t="s">
        <v>2506</v>
      </c>
      <c r="E274" s="18">
        <v>526</v>
      </c>
      <c r="F274" s="19" cm="1">
        <f t="array" aca="1" ref="F274" ca="1">SUMPRODUCT(SUMIF(INDIRECT("'"&amp;Assemblies[Assy]&amp;"'!"&amp;"C5:C1000"),C274,(INDIRECT("'"&amp;Assemblies[Assy]&amp;"'!"&amp;"O5:O1000"))))</f>
        <v>2</v>
      </c>
      <c r="G274" s="19">
        <v>2</v>
      </c>
      <c r="H274" s="19" t="str">
        <f ca="1">IF(F274&lt;=G274," ","YES")</f>
        <v xml:space="preserve"> </v>
      </c>
      <c r="I274">
        <v>2</v>
      </c>
      <c r="J274">
        <v>2</v>
      </c>
      <c r="K274" s="40">
        <v>45541</v>
      </c>
      <c r="L274">
        <v>2</v>
      </c>
      <c r="M274" s="40">
        <v>45558</v>
      </c>
      <c r="N274">
        <v>2</v>
      </c>
      <c r="O274" t="s">
        <v>2067</v>
      </c>
      <c r="P274" t="s">
        <v>2165</v>
      </c>
      <c r="Q274" t="s">
        <v>1988</v>
      </c>
      <c r="R274" t="s">
        <v>2047</v>
      </c>
      <c r="T274" s="40">
        <v>45495</v>
      </c>
      <c r="U274" s="40">
        <v>45505</v>
      </c>
      <c r="V274" s="40">
        <v>45540</v>
      </c>
      <c r="W274" s="40">
        <v>45540</v>
      </c>
      <c r="X274" s="157">
        <v>55644</v>
      </c>
      <c r="Y274" s="40" t="str" cm="1">
        <f t="array" aca="1" ref="Y274" ca="1">TRIM(SUBSTITUTE(_xlfn.ARRAYTOTEXT(IFERROR(CONCATENATE(SUMIF(INDIRECT("'"&amp;Assemblies[Assy]&amp;"'!"&amp;"C$5:C1000"), $C274, INDIRECT("'"&amp;Assemblies[Assy]&amp;"'!"&amp;"O$5:O1000")), "x",Assemblies[Assy],".",IF(SUMIF(INDIRECT("'"&amp;Assemblies[Assy]&amp;"'!"&amp;"C$5:C1000"), $C274, INDIRECT("'"&amp;Assemblies[Assy]&amp;"'!"&amp;"A$5:A1000"))=0,NA(),SUMIF(INDIRECT("'"&amp;Assemblies[Assy]&amp;"'!"&amp;"C$5:C1000"), $C274, INDIRECT("'"&amp;Assemblies[Assy]&amp;"'!"&amp;"A$5:A1000")))),"")), " ,", ""))</f>
        <v>, 1x5.5.1, 1x5.6.1,</v>
      </c>
      <c r="AD274" s="141"/>
      <c r="AE274" s="296">
        <v>55725</v>
      </c>
      <c r="AF274" s="156"/>
      <c r="AG274"/>
    </row>
    <row r="275" spans="1:33" x14ac:dyDescent="0.25">
      <c r="A275" s="24" t="s">
        <v>2507</v>
      </c>
      <c r="B275" s="134" t="s">
        <v>54</v>
      </c>
      <c r="C275" t="str">
        <f>_xlfn.CONCAT(A275,".",B275)</f>
        <v>PG10.5.5.2.1.1.A</v>
      </c>
      <c r="D275" t="s">
        <v>2508</v>
      </c>
      <c r="E275" s="18">
        <v>160.19999999999999</v>
      </c>
      <c r="F275" s="19" cm="1">
        <f t="array" aca="1" ref="F275" ca="1">SUMPRODUCT(SUMIF(INDIRECT("'"&amp;Assemblies[Assy]&amp;"'!"&amp;"C5:C1000"),C275,(INDIRECT("'"&amp;Assemblies[Assy]&amp;"'!"&amp;"O5:O1000"))))</f>
        <v>2</v>
      </c>
      <c r="G275" s="19">
        <v>2</v>
      </c>
      <c r="H275" s="19" t="str">
        <f ca="1">IF(F275&lt;=G275," ","YES")</f>
        <v xml:space="preserve"> </v>
      </c>
      <c r="I275">
        <v>2</v>
      </c>
      <c r="J275">
        <v>2</v>
      </c>
      <c r="K275" s="40">
        <v>45541</v>
      </c>
      <c r="L275">
        <v>2</v>
      </c>
      <c r="M275" s="40">
        <v>45558</v>
      </c>
      <c r="N275">
        <v>2</v>
      </c>
      <c r="O275" t="s">
        <v>1986</v>
      </c>
      <c r="P275" t="s">
        <v>2165</v>
      </c>
      <c r="Q275" t="s">
        <v>1988</v>
      </c>
      <c r="R275" t="s">
        <v>2047</v>
      </c>
      <c r="T275" s="40">
        <v>45495</v>
      </c>
      <c r="U275" s="40">
        <v>45505</v>
      </c>
      <c r="V275" s="40">
        <v>45540</v>
      </c>
      <c r="W275" s="40">
        <v>45540</v>
      </c>
      <c r="X275" s="157">
        <v>55644</v>
      </c>
      <c r="Y275" s="40" t="str" cm="1">
        <f t="array" aca="1" ref="Y275" ca="1">TRIM(SUBSTITUTE(_xlfn.ARRAYTOTEXT(IFERROR(CONCATENATE(SUMIF(INDIRECT("'"&amp;Assemblies[Assy]&amp;"'!"&amp;"C$5:C1000"), $C275, INDIRECT("'"&amp;Assemblies[Assy]&amp;"'!"&amp;"O$5:O1000")), "x",Assemblies[Assy],".",IF(SUMIF(INDIRECT("'"&amp;Assemblies[Assy]&amp;"'!"&amp;"C$5:C1000"), $C275, INDIRECT("'"&amp;Assemblies[Assy]&amp;"'!"&amp;"A$5:A1000"))=0,NA(),SUMIF(INDIRECT("'"&amp;Assemblies[Assy]&amp;"'!"&amp;"C$5:C1000"), $C275, INDIRECT("'"&amp;Assemblies[Assy]&amp;"'!"&amp;"A$5:A1000")))),"")), " ,", ""))</f>
        <v>, 2x5.5.2.1.1,</v>
      </c>
      <c r="Z275" s="141">
        <v>0</v>
      </c>
      <c r="AA275" s="141">
        <v>0</v>
      </c>
      <c r="AB275" s="141">
        <v>0</v>
      </c>
      <c r="AC275" s="39">
        <v>0</v>
      </c>
      <c r="AD275" s="141"/>
      <c r="AE275" s="296">
        <v>55723</v>
      </c>
      <c r="AF275" s="156"/>
      <c r="AG275"/>
    </row>
    <row r="276" spans="1:33" x14ac:dyDescent="0.25">
      <c r="A276" s="24" t="s">
        <v>2509</v>
      </c>
      <c r="B276" s="134" t="s">
        <v>54</v>
      </c>
      <c r="C276" t="str">
        <f>_xlfn.CONCAT(A276,".",B276)</f>
        <v>PG10.5.5.2.1.2.A</v>
      </c>
      <c r="D276" t="s">
        <v>2510</v>
      </c>
      <c r="E276" s="18">
        <v>188</v>
      </c>
      <c r="F276" s="19" cm="1">
        <f t="array" aca="1" ref="F276" ca="1">SUMPRODUCT(SUMIF(INDIRECT("'"&amp;Assemblies[Assy]&amp;"'!"&amp;"C5:C1000"),C276,(INDIRECT("'"&amp;Assemblies[Assy]&amp;"'!"&amp;"O5:O1000"))))</f>
        <v>2</v>
      </c>
      <c r="G276" s="19">
        <v>2</v>
      </c>
      <c r="H276" s="19" t="str">
        <f ca="1">IF(F276&lt;=G276," ","YES")</f>
        <v xml:space="preserve"> </v>
      </c>
      <c r="I276">
        <v>2</v>
      </c>
      <c r="J276">
        <v>2</v>
      </c>
      <c r="K276" s="40">
        <v>45541</v>
      </c>
      <c r="L276">
        <v>2</v>
      </c>
      <c r="M276" s="40">
        <v>45558</v>
      </c>
      <c r="N276">
        <v>2</v>
      </c>
      <c r="O276" t="s">
        <v>1986</v>
      </c>
      <c r="P276" t="s">
        <v>2165</v>
      </c>
      <c r="Q276" t="s">
        <v>1988</v>
      </c>
      <c r="R276" t="s">
        <v>2047</v>
      </c>
      <c r="T276" s="40">
        <v>45495</v>
      </c>
      <c r="U276" s="40">
        <v>45505</v>
      </c>
      <c r="V276" s="40">
        <v>45540</v>
      </c>
      <c r="W276" s="40">
        <v>45540</v>
      </c>
      <c r="X276" s="157">
        <v>55644</v>
      </c>
      <c r="Y276" s="40" t="str" cm="1">
        <f t="array" aca="1" ref="Y276" ca="1">TRIM(SUBSTITUTE(_xlfn.ARRAYTOTEXT(IFERROR(CONCATENATE(SUMIF(INDIRECT("'"&amp;Assemblies[Assy]&amp;"'!"&amp;"C$5:C1000"), $C276, INDIRECT("'"&amp;Assemblies[Assy]&amp;"'!"&amp;"O$5:O1000")), "x",Assemblies[Assy],".",IF(SUMIF(INDIRECT("'"&amp;Assemblies[Assy]&amp;"'!"&amp;"C$5:C1000"), $C276, INDIRECT("'"&amp;Assemblies[Assy]&amp;"'!"&amp;"A$5:A1000"))=0,NA(),SUMIF(INDIRECT("'"&amp;Assemblies[Assy]&amp;"'!"&amp;"C$5:C1000"), $C276, INDIRECT("'"&amp;Assemblies[Assy]&amp;"'!"&amp;"A$5:A1000")))),"")), " ,", ""))</f>
        <v>, 2x5.5.2.1.2,</v>
      </c>
      <c r="Z276" s="141">
        <v>0</v>
      </c>
      <c r="AA276" s="141">
        <v>0</v>
      </c>
      <c r="AB276" s="141">
        <v>0</v>
      </c>
      <c r="AC276" s="39">
        <v>0</v>
      </c>
      <c r="AD276" s="141"/>
      <c r="AE276" s="296">
        <v>55723</v>
      </c>
      <c r="AF276" s="156"/>
      <c r="AG276"/>
    </row>
    <row r="277" spans="1:33" x14ac:dyDescent="0.25">
      <c r="A277" s="24" t="s">
        <v>2511</v>
      </c>
      <c r="B277" s="134" t="s">
        <v>54</v>
      </c>
      <c r="C277" t="str">
        <f>_xlfn.CONCAT(A277,".",B277)</f>
        <v>PG10.5.5.2.1.3.A</v>
      </c>
      <c r="D277" s="22" t="s">
        <v>3883</v>
      </c>
      <c r="E277" s="18">
        <v>87.6</v>
      </c>
      <c r="F277" s="19" cm="1">
        <f t="array" aca="1" ref="F277" ca="1">SUMPRODUCT(SUMIF(INDIRECT("'"&amp;Assemblies[Assy]&amp;"'!"&amp;"C5:C1000"),C277,(INDIRECT("'"&amp;Assemblies[Assy]&amp;"'!"&amp;"O5:O1000"))))</f>
        <v>2</v>
      </c>
      <c r="G277" s="19">
        <v>3</v>
      </c>
      <c r="H277" s="19" t="str">
        <f ca="1">IF(F277&lt;=G277," ","YES")</f>
        <v xml:space="preserve"> </v>
      </c>
      <c r="I277">
        <v>3</v>
      </c>
      <c r="J277">
        <v>3</v>
      </c>
      <c r="K277" s="40">
        <v>45541</v>
      </c>
      <c r="L277">
        <v>3</v>
      </c>
      <c r="M277" s="40">
        <v>45559</v>
      </c>
      <c r="N277">
        <v>3</v>
      </c>
      <c r="O277" t="s">
        <v>1986</v>
      </c>
      <c r="P277" t="s">
        <v>2463</v>
      </c>
      <c r="Q277" t="s">
        <v>1988</v>
      </c>
      <c r="R277" t="s">
        <v>1989</v>
      </c>
      <c r="T277" s="40">
        <v>45495</v>
      </c>
      <c r="U277" s="40">
        <v>45504</v>
      </c>
      <c r="V277" s="40">
        <v>45534</v>
      </c>
      <c r="W277" s="40">
        <v>45534</v>
      </c>
      <c r="X277" s="157">
        <v>55641</v>
      </c>
      <c r="Y277" s="40" t="str" cm="1">
        <f t="array" aca="1" ref="Y277" ca="1">TRIM(SUBSTITUTE(_xlfn.ARRAYTOTEXT(IFERROR(CONCATENATE(SUMIF(INDIRECT("'"&amp;Assemblies[Assy]&amp;"'!"&amp;"C$5:C1000"), $C277, INDIRECT("'"&amp;Assemblies[Assy]&amp;"'!"&amp;"O$5:O1000")), "x",Assemblies[Assy],".",IF(SUMIF(INDIRECT("'"&amp;Assemblies[Assy]&amp;"'!"&amp;"C$5:C1000"), $C277, INDIRECT("'"&amp;Assemblies[Assy]&amp;"'!"&amp;"A$5:A1000"))=0,NA(),SUMIF(INDIRECT("'"&amp;Assemblies[Assy]&amp;"'!"&amp;"C$5:C1000"), $C277, INDIRECT("'"&amp;Assemblies[Assy]&amp;"'!"&amp;"A$5:A1000")))),"")), " ,", ""))</f>
        <v>, 2x5.5.2.1.3,</v>
      </c>
      <c r="Z277" s="141">
        <v>0</v>
      </c>
      <c r="AA277" s="141">
        <v>0</v>
      </c>
      <c r="AB277" s="141">
        <v>0</v>
      </c>
      <c r="AC277" s="39">
        <v>0</v>
      </c>
      <c r="AD277" s="141"/>
      <c r="AE277" s="296">
        <v>55724</v>
      </c>
      <c r="AF277" s="156"/>
      <c r="AG277"/>
    </row>
    <row r="278" spans="1:33" x14ac:dyDescent="0.25">
      <c r="A278" s="24" t="s">
        <v>2512</v>
      </c>
      <c r="B278" s="134" t="s">
        <v>54</v>
      </c>
      <c r="C278" t="str">
        <f>_xlfn.CONCAT(A278,".",B278)</f>
        <v>PG10.5.5.2.1.4.A</v>
      </c>
      <c r="D278" t="s">
        <v>2513</v>
      </c>
      <c r="E278" s="18">
        <v>87.6</v>
      </c>
      <c r="F278" s="19" cm="1">
        <f t="array" aca="1" ref="F278" ca="1">SUMPRODUCT(SUMIF(INDIRECT("'"&amp;Assemblies[Assy]&amp;"'!"&amp;"C5:C1000"),C278,(INDIRECT("'"&amp;Assemblies[Assy]&amp;"'!"&amp;"O5:O1000"))))</f>
        <v>2</v>
      </c>
      <c r="G278" s="19">
        <v>3</v>
      </c>
      <c r="H278" s="19" t="str">
        <f ca="1">IF(F278&lt;=G278," ","YES")</f>
        <v xml:space="preserve"> </v>
      </c>
      <c r="I278">
        <v>3</v>
      </c>
      <c r="J278">
        <v>3</v>
      </c>
      <c r="K278" s="40">
        <v>45541</v>
      </c>
      <c r="L278">
        <v>3</v>
      </c>
      <c r="M278" s="40">
        <v>45559</v>
      </c>
      <c r="N278">
        <v>3</v>
      </c>
      <c r="O278" t="s">
        <v>1986</v>
      </c>
      <c r="P278" t="s">
        <v>2463</v>
      </c>
      <c r="Q278" t="s">
        <v>1988</v>
      </c>
      <c r="R278" t="s">
        <v>1989</v>
      </c>
      <c r="T278" s="40">
        <v>45495</v>
      </c>
      <c r="U278" s="40">
        <v>45504</v>
      </c>
      <c r="V278" s="40">
        <v>45534</v>
      </c>
      <c r="W278" s="40">
        <v>45534</v>
      </c>
      <c r="X278" s="157">
        <v>55641</v>
      </c>
      <c r="Y278" s="40" t="str" cm="1">
        <f t="array" aca="1" ref="Y278" ca="1">TRIM(SUBSTITUTE(_xlfn.ARRAYTOTEXT(IFERROR(CONCATENATE(SUMIF(INDIRECT("'"&amp;Assemblies[Assy]&amp;"'!"&amp;"C$5:C1000"), $C278, INDIRECT("'"&amp;Assemblies[Assy]&amp;"'!"&amp;"O$5:O1000")), "x",Assemblies[Assy],".",IF(SUMIF(INDIRECT("'"&amp;Assemblies[Assy]&amp;"'!"&amp;"C$5:C1000"), $C278, INDIRECT("'"&amp;Assemblies[Assy]&amp;"'!"&amp;"A$5:A1000"))=0,NA(),SUMIF(INDIRECT("'"&amp;Assemblies[Assy]&amp;"'!"&amp;"C$5:C1000"), $C278, INDIRECT("'"&amp;Assemblies[Assy]&amp;"'!"&amp;"A$5:A1000")))),"")), " ,", ""))</f>
        <v>, 2x5.5.2.1.4,</v>
      </c>
      <c r="Z278" s="141">
        <v>0</v>
      </c>
      <c r="AA278" s="141">
        <v>0</v>
      </c>
      <c r="AB278" s="141">
        <v>0</v>
      </c>
      <c r="AC278" s="39">
        <v>0</v>
      </c>
      <c r="AD278" s="141"/>
      <c r="AE278" s="296">
        <v>55724</v>
      </c>
      <c r="AF278" s="156"/>
      <c r="AG278"/>
    </row>
    <row r="279" spans="1:33" x14ac:dyDescent="0.25">
      <c r="A279" s="24" t="s">
        <v>2514</v>
      </c>
      <c r="B279" s="134" t="s">
        <v>54</v>
      </c>
      <c r="C279" t="str">
        <f>_xlfn.CONCAT(A279,".",B279)</f>
        <v>PG10.5.5.2.1.5.A</v>
      </c>
      <c r="D279" t="s">
        <v>2515</v>
      </c>
      <c r="E279" s="18">
        <v>86.18</v>
      </c>
      <c r="F279" s="19" cm="1">
        <f t="array" aca="1" ref="F279" ca="1">SUMPRODUCT(SUMIF(INDIRECT("'"&amp;Assemblies[Assy]&amp;"'!"&amp;"C5:C1000"),C279,(INDIRECT("'"&amp;Assemblies[Assy]&amp;"'!"&amp;"O5:O1000"))))</f>
        <v>2</v>
      </c>
      <c r="G279" s="19">
        <v>2</v>
      </c>
      <c r="H279" s="19" t="str">
        <f ca="1">IF(F279&lt;=G279," ","YES")</f>
        <v xml:space="preserve"> </v>
      </c>
      <c r="I279">
        <v>2</v>
      </c>
      <c r="J279">
        <v>2</v>
      </c>
      <c r="L279">
        <v>2</v>
      </c>
      <c r="N279">
        <v>2</v>
      </c>
      <c r="O279" t="s">
        <v>2021</v>
      </c>
      <c r="P279" t="s">
        <v>2030</v>
      </c>
      <c r="R279" t="s">
        <v>2488</v>
      </c>
      <c r="T279" s="40">
        <v>45495</v>
      </c>
      <c r="U279" s="40">
        <v>45510</v>
      </c>
      <c r="V279" s="40">
        <v>45540</v>
      </c>
      <c r="W279" s="40">
        <v>45540</v>
      </c>
      <c r="X279" s="157">
        <v>55658</v>
      </c>
      <c r="Y279" s="40" t="str" cm="1">
        <f t="array" aca="1" ref="Y279" ca="1">TRIM(SUBSTITUTE(_xlfn.ARRAYTOTEXT(IFERROR(CONCATENATE(SUMIF(INDIRECT("'"&amp;Assemblies[Assy]&amp;"'!"&amp;"C$5:C1000"), $C279, INDIRECT("'"&amp;Assemblies[Assy]&amp;"'!"&amp;"O$5:O1000")), "x",Assemblies[Assy],".",IF(SUMIF(INDIRECT("'"&amp;Assemblies[Assy]&amp;"'!"&amp;"C$5:C1000"), $C279, INDIRECT("'"&amp;Assemblies[Assy]&amp;"'!"&amp;"A$5:A1000"))=0,NA(),SUMIF(INDIRECT("'"&amp;Assemblies[Assy]&amp;"'!"&amp;"C$5:C1000"), $C279, INDIRECT("'"&amp;Assemblies[Assy]&amp;"'!"&amp;"A$5:A1000")))),"")), " ,", ""))</f>
        <v>, 2x5.5.2.1.5,</v>
      </c>
      <c r="Z279" s="141">
        <v>0</v>
      </c>
      <c r="AA279" s="141">
        <v>0</v>
      </c>
      <c r="AB279" s="141">
        <v>0</v>
      </c>
      <c r="AC279" s="39">
        <v>0</v>
      </c>
      <c r="AD279" s="141"/>
      <c r="AE279" s="296"/>
      <c r="AF279" s="156"/>
      <c r="AG279"/>
    </row>
    <row r="280" spans="1:33" x14ac:dyDescent="0.25">
      <c r="A280" s="24" t="s">
        <v>2516</v>
      </c>
      <c r="B280" s="134" t="s">
        <v>54</v>
      </c>
      <c r="C280" t="str">
        <f>_xlfn.CONCAT(A280,".",B280)</f>
        <v>PG10.5.5.2.1.A</v>
      </c>
      <c r="D280" t="s">
        <v>2517</v>
      </c>
      <c r="E280" s="18">
        <v>68.55</v>
      </c>
      <c r="F280" s="19" cm="1">
        <f t="array" aca="1" ref="F280" ca="1">SUMPRODUCT(SUMIF(INDIRECT("'"&amp;Assemblies[Assy]&amp;"'!"&amp;"C5:C1000"),C280,(INDIRECT("'"&amp;Assemblies[Assy]&amp;"'!"&amp;"O5:O1000"))))</f>
        <v>1</v>
      </c>
      <c r="G280" s="19">
        <v>1</v>
      </c>
      <c r="H280" s="19" t="str">
        <f ca="1">IF(F280&lt;=G280," ","YES")</f>
        <v xml:space="preserve"> </v>
      </c>
      <c r="I280">
        <v>1</v>
      </c>
      <c r="J280">
        <v>1</v>
      </c>
      <c r="K280" s="40">
        <v>45541</v>
      </c>
      <c r="L280">
        <v>1</v>
      </c>
      <c r="M280" s="40">
        <v>45558</v>
      </c>
      <c r="N280">
        <v>1</v>
      </c>
      <c r="O280" t="s">
        <v>1986</v>
      </c>
      <c r="P280" t="s">
        <v>2165</v>
      </c>
      <c r="Q280" t="s">
        <v>1988</v>
      </c>
      <c r="R280" t="s">
        <v>1989</v>
      </c>
      <c r="T280" s="40">
        <v>45495</v>
      </c>
      <c r="U280" s="40">
        <v>45504</v>
      </c>
      <c r="V280" s="40">
        <v>45534</v>
      </c>
      <c r="W280" s="40">
        <v>45534</v>
      </c>
      <c r="X280" s="157">
        <v>55641</v>
      </c>
      <c r="Y280" s="40" t="str" cm="1">
        <f t="array" aca="1" ref="Y280" ca="1">TRIM(SUBSTITUTE(_xlfn.ARRAYTOTEXT(IFERROR(CONCATENATE(SUMIF(INDIRECT("'"&amp;Assemblies[Assy]&amp;"'!"&amp;"C$5:C1000"), $C280, INDIRECT("'"&amp;Assemblies[Assy]&amp;"'!"&amp;"O$5:O1000")), "x",Assemblies[Assy],".",IF(SUMIF(INDIRECT("'"&amp;Assemblies[Assy]&amp;"'!"&amp;"C$5:C1000"), $C280, INDIRECT("'"&amp;Assemblies[Assy]&amp;"'!"&amp;"A$5:A1000"))=0,NA(),SUMIF(INDIRECT("'"&amp;Assemblies[Assy]&amp;"'!"&amp;"C$5:C1000"), $C280, INDIRECT("'"&amp;Assemblies[Assy]&amp;"'!"&amp;"A$5:A1000")))),"")), " ,", ""))</f>
        <v>, 1x5.5.2.1,</v>
      </c>
      <c r="Z280" s="141">
        <v>0</v>
      </c>
      <c r="AA280" s="141">
        <v>0</v>
      </c>
      <c r="AB280" s="141">
        <v>0</v>
      </c>
      <c r="AC280" s="39">
        <v>0</v>
      </c>
      <c r="AD280" s="141"/>
      <c r="AE280" s="296">
        <v>55723</v>
      </c>
      <c r="AF280" s="156"/>
      <c r="AG280"/>
    </row>
    <row r="281" spans="1:33" x14ac:dyDescent="0.25">
      <c r="A281" s="24" t="s">
        <v>2518</v>
      </c>
      <c r="B281" s="134" t="s">
        <v>54</v>
      </c>
      <c r="C281" t="str">
        <f>_xlfn.CONCAT(A281,".",B281)</f>
        <v>PG10.5.5.2.A</v>
      </c>
      <c r="D281" t="s">
        <v>2519</v>
      </c>
      <c r="E281" s="18">
        <v>461</v>
      </c>
      <c r="F281" s="19" cm="1">
        <f t="array" aca="1" ref="F281" ca="1">SUMPRODUCT(SUMIF(INDIRECT("'"&amp;Assemblies[Assy]&amp;"'!"&amp;"C5:C1000"),C281,(INDIRECT("'"&amp;Assemblies[Assy]&amp;"'!"&amp;"O5:O1000"))))</f>
        <v>1</v>
      </c>
      <c r="G281" s="19">
        <v>1</v>
      </c>
      <c r="H281" s="19" t="str">
        <f ca="1">IF(F281&lt;=G281," ","YES")</f>
        <v xml:space="preserve"> </v>
      </c>
      <c r="I281">
        <v>1</v>
      </c>
      <c r="J281">
        <v>1</v>
      </c>
      <c r="K281" s="40">
        <v>45541</v>
      </c>
      <c r="L281">
        <v>1</v>
      </c>
      <c r="M281" s="40">
        <v>45558</v>
      </c>
      <c r="N281">
        <v>1</v>
      </c>
      <c r="O281" t="s">
        <v>2067</v>
      </c>
      <c r="P281" t="s">
        <v>2165</v>
      </c>
      <c r="Q281" t="s">
        <v>1988</v>
      </c>
      <c r="R281" t="s">
        <v>2047</v>
      </c>
      <c r="T281" s="40">
        <v>45495</v>
      </c>
      <c r="U281" s="40">
        <v>45505</v>
      </c>
      <c r="V281" s="40">
        <v>45540</v>
      </c>
      <c r="W281" s="40">
        <v>45540</v>
      </c>
      <c r="X281" s="157">
        <v>55644</v>
      </c>
      <c r="Y281" s="40" t="str" cm="1">
        <f t="array" aca="1" ref="Y281" ca="1">TRIM(SUBSTITUTE(_xlfn.ARRAYTOTEXT(IFERROR(CONCATENATE(SUMIF(INDIRECT("'"&amp;Assemblies[Assy]&amp;"'!"&amp;"C$5:C1000"), $C281, INDIRECT("'"&amp;Assemblies[Assy]&amp;"'!"&amp;"O$5:O1000")), "x",Assemblies[Assy],".",IF(SUMIF(INDIRECT("'"&amp;Assemblies[Assy]&amp;"'!"&amp;"C$5:C1000"), $C281, INDIRECT("'"&amp;Assemblies[Assy]&amp;"'!"&amp;"A$5:A1000"))=0,NA(),SUMIF(INDIRECT("'"&amp;Assemblies[Assy]&amp;"'!"&amp;"C$5:C1000"), $C281, INDIRECT("'"&amp;Assemblies[Assy]&amp;"'!"&amp;"A$5:A1000")))),"")), " ,", ""))</f>
        <v>, 1x5.5.2,</v>
      </c>
      <c r="AD281" s="141"/>
      <c r="AE281" s="296">
        <v>55725</v>
      </c>
      <c r="AF281" s="156"/>
      <c r="AG281"/>
    </row>
    <row r="282" spans="1:33" x14ac:dyDescent="0.25">
      <c r="A282" s="24" t="s">
        <v>2520</v>
      </c>
      <c r="B282" s="134" t="s">
        <v>54</v>
      </c>
      <c r="C282" t="str">
        <f>_xlfn.CONCAT(A282,".",B282)</f>
        <v>PG10.5.5.3.1.A</v>
      </c>
      <c r="D282" t="s">
        <v>2521</v>
      </c>
      <c r="E282" s="18">
        <v>104.65</v>
      </c>
      <c r="F282" s="19" cm="1">
        <f t="array" aca="1" ref="F282" ca="1">SUMPRODUCT(SUMIF(INDIRECT("'"&amp;Assemblies[Assy]&amp;"'!"&amp;"C5:C1000"),C282,(INDIRECT("'"&amp;Assemblies[Assy]&amp;"'!"&amp;"O5:O1000"))))</f>
        <v>2</v>
      </c>
      <c r="G282" s="19">
        <v>2</v>
      </c>
      <c r="H282" s="19" t="str">
        <f ca="1">IF(F282&lt;=G282," ","YES")</f>
        <v xml:space="preserve"> </v>
      </c>
      <c r="I282">
        <v>2</v>
      </c>
      <c r="J282">
        <v>2</v>
      </c>
      <c r="K282" s="40">
        <v>45541</v>
      </c>
      <c r="L282">
        <v>2</v>
      </c>
      <c r="M282" s="40">
        <v>45558</v>
      </c>
      <c r="N282">
        <v>2</v>
      </c>
      <c r="O282" t="s">
        <v>1986</v>
      </c>
      <c r="P282" t="s">
        <v>2165</v>
      </c>
      <c r="Q282" t="s">
        <v>1988</v>
      </c>
      <c r="R282" t="s">
        <v>1989</v>
      </c>
      <c r="T282" s="40">
        <v>45495</v>
      </c>
      <c r="U282" s="40">
        <v>45504</v>
      </c>
      <c r="V282" s="40">
        <v>45534</v>
      </c>
      <c r="W282" s="40">
        <v>45534</v>
      </c>
      <c r="X282" s="157">
        <v>55641</v>
      </c>
      <c r="Y282" s="40" t="str" cm="1">
        <f t="array" aca="1" ref="Y282" ca="1">TRIM(SUBSTITUTE(_xlfn.ARRAYTOTEXT(IFERROR(CONCATENATE(SUMIF(INDIRECT("'"&amp;Assemblies[Assy]&amp;"'!"&amp;"C$5:C1000"), $C282, INDIRECT("'"&amp;Assemblies[Assy]&amp;"'!"&amp;"O$5:O1000")), "x",Assemblies[Assy],".",IF(SUMIF(INDIRECT("'"&amp;Assemblies[Assy]&amp;"'!"&amp;"C$5:C1000"), $C282, INDIRECT("'"&amp;Assemblies[Assy]&amp;"'!"&amp;"A$5:A1000"))=0,NA(),SUMIF(INDIRECT("'"&amp;Assemblies[Assy]&amp;"'!"&amp;"C$5:C1000"), $C282, INDIRECT("'"&amp;Assemblies[Assy]&amp;"'!"&amp;"A$5:A1000")))),"")), " ,", ""))</f>
        <v>, 2x5.5.3.1,</v>
      </c>
      <c r="Z282" s="141">
        <v>0</v>
      </c>
      <c r="AA282" s="141">
        <v>0</v>
      </c>
      <c r="AB282" s="141">
        <v>0</v>
      </c>
      <c r="AC282" s="39">
        <v>0</v>
      </c>
      <c r="AD282" s="141"/>
      <c r="AE282" s="296">
        <v>55723</v>
      </c>
      <c r="AF282" s="156"/>
      <c r="AG282"/>
    </row>
    <row r="283" spans="1:33" x14ac:dyDescent="0.25">
      <c r="A283" s="24" t="s">
        <v>2522</v>
      </c>
      <c r="B283" s="134" t="s">
        <v>54</v>
      </c>
      <c r="C283" t="str">
        <f>_xlfn.CONCAT(A283,".",B283)</f>
        <v>PG10.5.5.3.2.A</v>
      </c>
      <c r="D283" t="s">
        <v>2523</v>
      </c>
      <c r="E283" s="18">
        <v>72.12</v>
      </c>
      <c r="F283" s="19" cm="1">
        <f t="array" aca="1" ref="F283" ca="1">SUMPRODUCT(SUMIF(INDIRECT("'"&amp;Assemblies[Assy]&amp;"'!"&amp;"C5:C1000"),C283,(INDIRECT("'"&amp;Assemblies[Assy]&amp;"'!"&amp;"O5:O1000"))))</f>
        <v>2</v>
      </c>
      <c r="G283" s="19">
        <v>2</v>
      </c>
      <c r="H283" s="19" t="str">
        <f ca="1">IF(F283&lt;=G283," ","YES")</f>
        <v xml:space="preserve"> </v>
      </c>
      <c r="I283">
        <v>2</v>
      </c>
      <c r="J283">
        <v>2</v>
      </c>
      <c r="L283">
        <v>2</v>
      </c>
      <c r="N283">
        <v>2</v>
      </c>
      <c r="O283" t="s">
        <v>2021</v>
      </c>
      <c r="P283" t="s">
        <v>2030</v>
      </c>
      <c r="R283" t="s">
        <v>2488</v>
      </c>
      <c r="T283" s="40">
        <v>45495</v>
      </c>
      <c r="U283" s="40">
        <v>45510</v>
      </c>
      <c r="V283" s="40">
        <v>45540</v>
      </c>
      <c r="W283" s="40">
        <v>45540</v>
      </c>
      <c r="X283" s="157">
        <v>55658</v>
      </c>
      <c r="Y283" s="40" t="str" cm="1">
        <f t="array" aca="1" ref="Y283" ca="1">TRIM(SUBSTITUTE(_xlfn.ARRAYTOTEXT(IFERROR(CONCATENATE(SUMIF(INDIRECT("'"&amp;Assemblies[Assy]&amp;"'!"&amp;"C$5:C1000"), $C283, INDIRECT("'"&amp;Assemblies[Assy]&amp;"'!"&amp;"O$5:O1000")), "x",Assemblies[Assy],".",IF(SUMIF(INDIRECT("'"&amp;Assemblies[Assy]&amp;"'!"&amp;"C$5:C1000"), $C283, INDIRECT("'"&amp;Assemblies[Assy]&amp;"'!"&amp;"A$5:A1000"))=0,NA(),SUMIF(INDIRECT("'"&amp;Assemblies[Assy]&amp;"'!"&amp;"C$5:C1000"), $C283, INDIRECT("'"&amp;Assemblies[Assy]&amp;"'!"&amp;"A$5:A1000")))),"")), " ,", ""))</f>
        <v>, 2x5.5.3.2,</v>
      </c>
      <c r="Z283" s="141">
        <v>0</v>
      </c>
      <c r="AA283" s="141">
        <v>0</v>
      </c>
      <c r="AB283" s="141">
        <v>0</v>
      </c>
      <c r="AC283" s="39">
        <v>0</v>
      </c>
      <c r="AD283" s="141"/>
      <c r="AE283" s="296"/>
      <c r="AF283" s="156"/>
      <c r="AG283"/>
    </row>
    <row r="284" spans="1:33" x14ac:dyDescent="0.25">
      <c r="A284" s="24" t="s">
        <v>2524</v>
      </c>
      <c r="B284" s="134" t="s">
        <v>54</v>
      </c>
      <c r="C284" t="str">
        <f>_xlfn.CONCAT(A284,".",B284)</f>
        <v>PG10.5.5.3.A</v>
      </c>
      <c r="D284" t="s">
        <v>2525</v>
      </c>
      <c r="E284" s="18">
        <v>196.25</v>
      </c>
      <c r="F284" s="19" cm="1">
        <f t="array" aca="1" ref="F284" ca="1">SUMPRODUCT(SUMIF(INDIRECT("'"&amp;Assemblies[Assy]&amp;"'!"&amp;"C5:C1000"),C284,(INDIRECT("'"&amp;Assemblies[Assy]&amp;"'!"&amp;"O5:O1000"))))</f>
        <v>4</v>
      </c>
      <c r="G284" s="19">
        <v>4</v>
      </c>
      <c r="H284" s="19" t="str">
        <f ca="1">IF(F284&lt;=G284," ","YES")</f>
        <v xml:space="preserve"> </v>
      </c>
      <c r="I284">
        <v>4</v>
      </c>
      <c r="J284">
        <v>4</v>
      </c>
      <c r="K284" s="40">
        <v>45541</v>
      </c>
      <c r="L284">
        <v>4</v>
      </c>
      <c r="M284" s="40">
        <v>45558</v>
      </c>
      <c r="N284">
        <v>4</v>
      </c>
      <c r="O284" t="s">
        <v>1986</v>
      </c>
      <c r="P284" t="s">
        <v>2165</v>
      </c>
      <c r="Q284" t="s">
        <v>1988</v>
      </c>
      <c r="R284" t="s">
        <v>2047</v>
      </c>
      <c r="T284" s="40">
        <v>45495</v>
      </c>
      <c r="U284" s="40">
        <v>45505</v>
      </c>
      <c r="V284" s="40">
        <v>45540</v>
      </c>
      <c r="W284" s="40">
        <v>45540</v>
      </c>
      <c r="X284" s="157">
        <v>55644</v>
      </c>
      <c r="Y284" s="40" t="str" cm="1">
        <f t="array" aca="1" ref="Y284" ca="1">TRIM(SUBSTITUTE(_xlfn.ARRAYTOTEXT(IFERROR(CONCATENATE(SUMIF(INDIRECT("'"&amp;Assemblies[Assy]&amp;"'!"&amp;"C$5:C1000"), $C284, INDIRECT("'"&amp;Assemblies[Assy]&amp;"'!"&amp;"O$5:O1000")), "x",Assemblies[Assy],".",IF(SUMIF(INDIRECT("'"&amp;Assemblies[Assy]&amp;"'!"&amp;"C$5:C1000"), $C284, INDIRECT("'"&amp;Assemblies[Assy]&amp;"'!"&amp;"A$5:A1000"))=0,NA(),SUMIF(INDIRECT("'"&amp;Assemblies[Assy]&amp;"'!"&amp;"C$5:C1000"), $C284, INDIRECT("'"&amp;Assemblies[Assy]&amp;"'!"&amp;"A$5:A1000")))),"")), " ,", ""))</f>
        <v>, 2x5.5.3, 2x5.6.3,</v>
      </c>
      <c r="AD284" s="141"/>
      <c r="AE284" s="296">
        <v>55723</v>
      </c>
      <c r="AF284" s="156"/>
      <c r="AG284"/>
    </row>
    <row r="285" spans="1:33" x14ac:dyDescent="0.25">
      <c r="A285" s="24" t="s">
        <v>2526</v>
      </c>
      <c r="B285" s="134" t="s">
        <v>54</v>
      </c>
      <c r="C285" t="str">
        <f>_xlfn.CONCAT(A285,".",B285)</f>
        <v>PG10.5.5.4.1.A</v>
      </c>
      <c r="D285" t="s">
        <v>2527</v>
      </c>
      <c r="E285" s="18">
        <v>127.3</v>
      </c>
      <c r="F285" s="19" cm="1">
        <f t="array" aca="1" ref="F285" ca="1">SUMPRODUCT(SUMIF(INDIRECT("'"&amp;Assemblies[Assy]&amp;"'!"&amp;"C5:C1000"),C285,(INDIRECT("'"&amp;Assemblies[Assy]&amp;"'!"&amp;"O5:O1000"))))</f>
        <v>2</v>
      </c>
      <c r="G285" s="19">
        <v>2</v>
      </c>
      <c r="H285" s="19" t="str">
        <f ca="1">IF(F285&lt;=G285," ","YES")</f>
        <v xml:space="preserve"> </v>
      </c>
      <c r="I285">
        <v>2</v>
      </c>
      <c r="J285">
        <v>2</v>
      </c>
      <c r="K285" s="40">
        <v>45541</v>
      </c>
      <c r="L285">
        <v>2</v>
      </c>
      <c r="M285" s="40">
        <v>45558</v>
      </c>
      <c r="N285">
        <v>2</v>
      </c>
      <c r="O285" t="s">
        <v>1986</v>
      </c>
      <c r="P285" t="s">
        <v>2165</v>
      </c>
      <c r="Q285" t="s">
        <v>1988</v>
      </c>
      <c r="R285" t="s">
        <v>1989</v>
      </c>
      <c r="T285" s="40">
        <v>45495</v>
      </c>
      <c r="U285" s="40">
        <v>45504</v>
      </c>
      <c r="V285" s="40">
        <v>45534</v>
      </c>
      <c r="W285" s="40">
        <v>45534</v>
      </c>
      <c r="X285" s="157">
        <v>55641</v>
      </c>
      <c r="Y285" s="40" t="str" cm="1">
        <f t="array" aca="1" ref="Y285" ca="1">TRIM(SUBSTITUTE(_xlfn.ARRAYTOTEXT(IFERROR(CONCATENATE(SUMIF(INDIRECT("'"&amp;Assemblies[Assy]&amp;"'!"&amp;"C$5:C1000"), $C285, INDIRECT("'"&amp;Assemblies[Assy]&amp;"'!"&amp;"O$5:O1000")), "x",Assemblies[Assy],".",IF(SUMIF(INDIRECT("'"&amp;Assemblies[Assy]&amp;"'!"&amp;"C$5:C1000"), $C285, INDIRECT("'"&amp;Assemblies[Assy]&amp;"'!"&amp;"A$5:A1000"))=0,NA(),SUMIF(INDIRECT("'"&amp;Assemblies[Assy]&amp;"'!"&amp;"C$5:C1000"), $C285, INDIRECT("'"&amp;Assemblies[Assy]&amp;"'!"&amp;"A$5:A1000")))),"")), " ,", ""))</f>
        <v>, 2x5.5.4.1,</v>
      </c>
      <c r="AD285" s="141"/>
      <c r="AE285" s="296">
        <v>55723</v>
      </c>
      <c r="AF285" s="156"/>
      <c r="AG285"/>
    </row>
    <row r="286" spans="1:33" x14ac:dyDescent="0.25">
      <c r="A286" s="24" t="s">
        <v>2528</v>
      </c>
      <c r="B286" s="134" t="s">
        <v>54</v>
      </c>
      <c r="C286" t="str">
        <f>_xlfn.CONCAT(A286,".",B286)</f>
        <v>PG10.5.5.4.2.A</v>
      </c>
      <c r="D286" t="s">
        <v>2529</v>
      </c>
      <c r="E286" s="18">
        <v>91.45</v>
      </c>
      <c r="F286" s="19" cm="1">
        <f t="array" aca="1" ref="F286" ca="1">SUMPRODUCT(SUMIF(INDIRECT("'"&amp;Assemblies[Assy]&amp;"'!"&amp;"C5:C1000"),C286,(INDIRECT("'"&amp;Assemblies[Assy]&amp;"'!"&amp;"O5:O1000"))))</f>
        <v>2</v>
      </c>
      <c r="G286" s="19">
        <v>2</v>
      </c>
      <c r="H286" s="19" t="str">
        <f ca="1">IF(F286&lt;=G286," ","YES")</f>
        <v xml:space="preserve"> </v>
      </c>
      <c r="I286">
        <v>2</v>
      </c>
      <c r="J286">
        <v>2</v>
      </c>
      <c r="K286" s="40">
        <v>45541</v>
      </c>
      <c r="L286">
        <v>2</v>
      </c>
      <c r="N286">
        <v>2</v>
      </c>
      <c r="O286" t="s">
        <v>2026</v>
      </c>
      <c r="P286" t="s">
        <v>2027</v>
      </c>
      <c r="Q286" t="s">
        <v>1988</v>
      </c>
      <c r="R286" t="s">
        <v>1989</v>
      </c>
      <c r="T286" s="40">
        <v>45495</v>
      </c>
      <c r="U286" s="40">
        <v>45504</v>
      </c>
      <c r="V286" s="40">
        <v>45534</v>
      </c>
      <c r="W286" s="40">
        <v>45534</v>
      </c>
      <c r="X286" s="157">
        <v>55641</v>
      </c>
      <c r="Y286" s="40" t="str" cm="1">
        <f t="array" aca="1" ref="Y286" ca="1">TRIM(SUBSTITUTE(_xlfn.ARRAYTOTEXT(IFERROR(CONCATENATE(SUMIF(INDIRECT("'"&amp;Assemblies[Assy]&amp;"'!"&amp;"C$5:C1000"), $C286, INDIRECT("'"&amp;Assemblies[Assy]&amp;"'!"&amp;"O$5:O1000")), "x",Assemblies[Assy],".",IF(SUMIF(INDIRECT("'"&amp;Assemblies[Assy]&amp;"'!"&amp;"C$5:C1000"), $C286, INDIRECT("'"&amp;Assemblies[Assy]&amp;"'!"&amp;"A$5:A1000"))=0,NA(),SUMIF(INDIRECT("'"&amp;Assemblies[Assy]&amp;"'!"&amp;"C$5:C1000"), $C286, INDIRECT("'"&amp;Assemblies[Assy]&amp;"'!"&amp;"A$5:A1000")))),"")), " ,", ""))</f>
        <v>, 2x5.5.4.2,</v>
      </c>
      <c r="AD286" s="141"/>
      <c r="AE286" s="296">
        <v>55722</v>
      </c>
      <c r="AF286" s="156"/>
      <c r="AG286"/>
    </row>
    <row r="287" spans="1:33" x14ac:dyDescent="0.25">
      <c r="A287" s="24" t="s">
        <v>2530</v>
      </c>
      <c r="B287" s="134" t="s">
        <v>54</v>
      </c>
      <c r="C287" t="str">
        <f>_xlfn.CONCAT(A287,".",B287)</f>
        <v>PG10.5.5.4.3.A</v>
      </c>
      <c r="D287" t="s">
        <v>2531</v>
      </c>
      <c r="E287" s="18">
        <v>45.8</v>
      </c>
      <c r="F287" s="19" cm="1">
        <f t="array" aca="1" ref="F287" ca="1">SUMPRODUCT(SUMIF(INDIRECT("'"&amp;Assemblies[Assy]&amp;"'!"&amp;"C5:C1000"),C287,(INDIRECT("'"&amp;Assemblies[Assy]&amp;"'!"&amp;"O5:O1000"))))</f>
        <v>2</v>
      </c>
      <c r="G287" s="19">
        <v>2</v>
      </c>
      <c r="H287" s="19" t="str">
        <f ca="1">IF(F287&lt;=G287," ","YES")</f>
        <v xml:space="preserve"> </v>
      </c>
      <c r="I287">
        <v>2</v>
      </c>
      <c r="J287">
        <v>2</v>
      </c>
      <c r="K287" s="40">
        <v>45541</v>
      </c>
      <c r="L287">
        <v>2</v>
      </c>
      <c r="M287" s="40">
        <v>45559</v>
      </c>
      <c r="N287">
        <v>2</v>
      </c>
      <c r="O287" t="s">
        <v>1986</v>
      </c>
      <c r="P287" t="s">
        <v>2463</v>
      </c>
      <c r="Q287" t="s">
        <v>1988</v>
      </c>
      <c r="R287" t="s">
        <v>1989</v>
      </c>
      <c r="T287" s="40">
        <v>45495</v>
      </c>
      <c r="U287" s="40">
        <v>45504</v>
      </c>
      <c r="V287" s="40">
        <v>45534</v>
      </c>
      <c r="W287" s="40">
        <v>45534</v>
      </c>
      <c r="X287" s="157">
        <v>55641</v>
      </c>
      <c r="Y287" s="40" t="str" cm="1">
        <f t="array" aca="1" ref="Y287" ca="1">TRIM(SUBSTITUTE(_xlfn.ARRAYTOTEXT(IFERROR(CONCATENATE(SUMIF(INDIRECT("'"&amp;Assemblies[Assy]&amp;"'!"&amp;"C$5:C1000"), $C287, INDIRECT("'"&amp;Assemblies[Assy]&amp;"'!"&amp;"O$5:O1000")), "x",Assemblies[Assy],".",IF(SUMIF(INDIRECT("'"&amp;Assemblies[Assy]&amp;"'!"&amp;"C$5:C1000"), $C287, INDIRECT("'"&amp;Assemblies[Assy]&amp;"'!"&amp;"A$5:A1000"))=0,NA(),SUMIF(INDIRECT("'"&amp;Assemblies[Assy]&amp;"'!"&amp;"C$5:C1000"), $C287, INDIRECT("'"&amp;Assemblies[Assy]&amp;"'!"&amp;"A$5:A1000")))),"")), " ,", ""))</f>
        <v>, 2x5.5.4.3,</v>
      </c>
      <c r="AD287" s="141"/>
      <c r="AE287" s="296">
        <v>55724</v>
      </c>
      <c r="AF287" s="156"/>
      <c r="AG287"/>
    </row>
    <row r="288" spans="1:33" x14ac:dyDescent="0.25">
      <c r="A288" s="24" t="s">
        <v>2532</v>
      </c>
      <c r="B288" s="134" t="s">
        <v>54</v>
      </c>
      <c r="C288" t="str">
        <f>_xlfn.CONCAT(A288,".",B288)</f>
        <v>PG10.5.5.4.4.A</v>
      </c>
      <c r="D288" t="s">
        <v>2533</v>
      </c>
      <c r="E288" s="18">
        <v>144.6</v>
      </c>
      <c r="F288" s="19" cm="1">
        <f t="array" aca="1" ref="F288" ca="1">SUMPRODUCT(SUMIF(INDIRECT("'"&amp;Assemblies[Assy]&amp;"'!"&amp;"C5:C1000"),C288,(INDIRECT("'"&amp;Assemblies[Assy]&amp;"'!"&amp;"O5:O1000"))))</f>
        <v>2</v>
      </c>
      <c r="G288" s="19">
        <v>3</v>
      </c>
      <c r="H288" s="19" t="str">
        <f ca="1">IF(F288&lt;=G288," ","YES")</f>
        <v xml:space="preserve"> </v>
      </c>
      <c r="I288">
        <v>3</v>
      </c>
      <c r="J288">
        <v>3</v>
      </c>
      <c r="K288" s="40">
        <v>45541</v>
      </c>
      <c r="L288">
        <v>3</v>
      </c>
      <c r="O288" t="s">
        <v>1986</v>
      </c>
      <c r="P288" t="s">
        <v>2463</v>
      </c>
      <c r="Q288" t="s">
        <v>1988</v>
      </c>
      <c r="R288" t="s">
        <v>1989</v>
      </c>
      <c r="T288" s="40">
        <v>45495</v>
      </c>
      <c r="U288" s="40">
        <v>45504</v>
      </c>
      <c r="V288" s="40">
        <v>45534</v>
      </c>
      <c r="W288" s="40">
        <v>45534</v>
      </c>
      <c r="X288" s="157">
        <v>55641</v>
      </c>
      <c r="Y288" s="40" t="str" cm="1">
        <f t="array" aca="1" ref="Y288" ca="1">TRIM(SUBSTITUTE(_xlfn.ARRAYTOTEXT(IFERROR(CONCATENATE(SUMIF(INDIRECT("'"&amp;Assemblies[Assy]&amp;"'!"&amp;"C$5:C1000"), $C288, INDIRECT("'"&amp;Assemblies[Assy]&amp;"'!"&amp;"O$5:O1000")), "x",Assemblies[Assy],".",IF(SUMIF(INDIRECT("'"&amp;Assemblies[Assy]&amp;"'!"&amp;"C$5:C1000"), $C288, INDIRECT("'"&amp;Assemblies[Assy]&amp;"'!"&amp;"A$5:A1000"))=0,NA(),SUMIF(INDIRECT("'"&amp;Assemblies[Assy]&amp;"'!"&amp;"C$5:C1000"), $C288, INDIRECT("'"&amp;Assemblies[Assy]&amp;"'!"&amp;"A$5:A1000")))),"")), " ,", ""))</f>
        <v>, 2x5.5.4.4,</v>
      </c>
      <c r="AD288" s="141"/>
      <c r="AE288" s="296">
        <v>55724</v>
      </c>
      <c r="AF288" s="156"/>
      <c r="AG288"/>
    </row>
    <row r="289" spans="1:33" x14ac:dyDescent="0.25">
      <c r="A289" s="24" t="s">
        <v>2534</v>
      </c>
      <c r="B289" s="134" t="s">
        <v>54</v>
      </c>
      <c r="C289" t="str">
        <f>_xlfn.CONCAT(A289,".",B289)</f>
        <v>PG10.5.5.4.A</v>
      </c>
      <c r="D289" t="s">
        <v>2535</v>
      </c>
      <c r="E289" s="18">
        <v>45.94</v>
      </c>
      <c r="F289" s="19" cm="1">
        <f t="array" aca="1" ref="F289" ca="1">SUMPRODUCT(SUMIF(INDIRECT("'"&amp;Assemblies[Assy]&amp;"'!"&amp;"C5:C1000"),C289,(INDIRECT("'"&amp;Assemblies[Assy]&amp;"'!"&amp;"O5:O1000"))))</f>
        <v>16</v>
      </c>
      <c r="G289" s="19">
        <v>16</v>
      </c>
      <c r="H289" s="19" t="str">
        <f ca="1">IF(F289&lt;=G289," ","YES")</f>
        <v xml:space="preserve"> </v>
      </c>
      <c r="I289">
        <v>16</v>
      </c>
      <c r="J289">
        <v>16</v>
      </c>
      <c r="L289">
        <v>16</v>
      </c>
      <c r="N289">
        <v>16</v>
      </c>
      <c r="O289" t="s">
        <v>2021</v>
      </c>
      <c r="P289" t="s">
        <v>2030</v>
      </c>
      <c r="R289" t="s">
        <v>2488</v>
      </c>
      <c r="T289" s="40">
        <v>45495</v>
      </c>
      <c r="U289" s="40">
        <v>45510</v>
      </c>
      <c r="V289" s="40">
        <v>45540</v>
      </c>
      <c r="W289" s="40">
        <v>45540</v>
      </c>
      <c r="X289" s="157">
        <v>55658</v>
      </c>
      <c r="Y289" s="40" t="str" cm="1">
        <f t="array" aca="1" ref="Y289" ca="1">TRIM(SUBSTITUTE(_xlfn.ARRAYTOTEXT(IFERROR(CONCATENATE(SUMIF(INDIRECT("'"&amp;Assemblies[Assy]&amp;"'!"&amp;"C$5:C1000"), $C289, INDIRECT("'"&amp;Assemblies[Assy]&amp;"'!"&amp;"O$5:O1000")), "x",Assemblies[Assy],".",IF(SUMIF(INDIRECT("'"&amp;Assemblies[Assy]&amp;"'!"&amp;"C$5:C1000"), $C289, INDIRECT("'"&amp;Assemblies[Assy]&amp;"'!"&amp;"A$5:A1000"))=0,NA(),SUMIF(INDIRECT("'"&amp;Assemblies[Assy]&amp;"'!"&amp;"C$5:C1000"), $C289, INDIRECT("'"&amp;Assemblies[Assy]&amp;"'!"&amp;"A$5:A1000")))),"")), " ,", ""))</f>
        <v>, 8x5.5.4, 8x5.6.4,</v>
      </c>
      <c r="Z289" s="141">
        <v>0</v>
      </c>
      <c r="AA289" s="141">
        <v>0</v>
      </c>
      <c r="AB289" s="141">
        <v>0</v>
      </c>
      <c r="AC289" s="39">
        <v>0</v>
      </c>
      <c r="AD289" s="141"/>
      <c r="AE289" s="296"/>
      <c r="AF289" s="156"/>
      <c r="AG289"/>
    </row>
    <row r="290" spans="1:33" x14ac:dyDescent="0.25">
      <c r="A290" s="24" t="s">
        <v>2536</v>
      </c>
      <c r="B290" s="134" t="s">
        <v>54</v>
      </c>
      <c r="C290" t="str">
        <f>_xlfn.CONCAT(A290,".",B290)</f>
        <v>PG10.5.5.5.A</v>
      </c>
      <c r="D290" t="s">
        <v>2537</v>
      </c>
      <c r="E290" s="18">
        <v>72.12</v>
      </c>
      <c r="F290" s="19" cm="1">
        <f t="array" aca="1" ref="F290" ca="1">SUMPRODUCT(SUMIF(INDIRECT("'"&amp;Assemblies[Assy]&amp;"'!"&amp;"C5:C1000"),C290,(INDIRECT("'"&amp;Assemblies[Assy]&amp;"'!"&amp;"O5:O1000"))))</f>
        <v>2</v>
      </c>
      <c r="G290" s="19">
        <v>2</v>
      </c>
      <c r="H290" s="19" t="str">
        <f ca="1">IF(F290&lt;=G290," ","YES")</f>
        <v xml:space="preserve"> </v>
      </c>
      <c r="I290">
        <v>2</v>
      </c>
      <c r="J290">
        <v>2</v>
      </c>
      <c r="L290">
        <v>2</v>
      </c>
      <c r="N290">
        <v>2</v>
      </c>
      <c r="O290" t="s">
        <v>2021</v>
      </c>
      <c r="P290" t="s">
        <v>2030</v>
      </c>
      <c r="R290" t="s">
        <v>2488</v>
      </c>
      <c r="T290" s="40">
        <v>45495</v>
      </c>
      <c r="U290" s="40">
        <v>45510</v>
      </c>
      <c r="V290" s="40">
        <v>45540</v>
      </c>
      <c r="W290" s="40">
        <v>45540</v>
      </c>
      <c r="X290" s="157">
        <v>55658</v>
      </c>
      <c r="Y290" s="40" t="str" cm="1">
        <f t="array" aca="1" ref="Y290" ca="1">TRIM(SUBSTITUTE(_xlfn.ARRAYTOTEXT(IFERROR(CONCATENATE(SUMIF(INDIRECT("'"&amp;Assemblies[Assy]&amp;"'!"&amp;"C$5:C1000"), $C290, INDIRECT("'"&amp;Assemblies[Assy]&amp;"'!"&amp;"O$5:O1000")), "x",Assemblies[Assy],".",IF(SUMIF(INDIRECT("'"&amp;Assemblies[Assy]&amp;"'!"&amp;"C$5:C1000"), $C290, INDIRECT("'"&amp;Assemblies[Assy]&amp;"'!"&amp;"A$5:A1000"))=0,NA(),SUMIF(INDIRECT("'"&amp;Assemblies[Assy]&amp;"'!"&amp;"C$5:C1000"), $C290, INDIRECT("'"&amp;Assemblies[Assy]&amp;"'!"&amp;"A$5:A1000")))),"")), " ,", ""))</f>
        <v>, 1x5.5.5, 1x5.6.5,</v>
      </c>
      <c r="Z290" s="141">
        <v>0</v>
      </c>
      <c r="AA290" s="141">
        <v>0</v>
      </c>
      <c r="AB290" s="141">
        <v>0</v>
      </c>
      <c r="AC290" s="39">
        <v>0</v>
      </c>
      <c r="AD290" s="141"/>
      <c r="AE290" s="296"/>
      <c r="AF290" s="156"/>
      <c r="AG290"/>
    </row>
    <row r="291" spans="1:33" x14ac:dyDescent="0.25">
      <c r="A291" s="24" t="s">
        <v>2538</v>
      </c>
      <c r="B291" s="134" t="s">
        <v>54</v>
      </c>
      <c r="C291" t="str">
        <f>_xlfn.CONCAT(A291,".",B291)</f>
        <v>PG10.5.5.6.A</v>
      </c>
      <c r="D291" t="s">
        <v>2539</v>
      </c>
      <c r="E291" s="18">
        <v>63.35</v>
      </c>
      <c r="F291" s="19" cm="1">
        <f t="array" aca="1" ref="F291" ca="1">SUMPRODUCT(SUMIF(INDIRECT("'"&amp;Assemblies[Assy]&amp;"'!"&amp;"C5:C1000"),C291,(INDIRECT("'"&amp;Assemblies[Assy]&amp;"'!"&amp;"O5:O1000"))))</f>
        <v>4</v>
      </c>
      <c r="G291" s="19">
        <v>4</v>
      </c>
      <c r="H291" s="19" t="str">
        <f ca="1">IF(F291&lt;=G291," ","YES")</f>
        <v xml:space="preserve"> </v>
      </c>
      <c r="I291">
        <v>4</v>
      </c>
      <c r="J291">
        <v>4</v>
      </c>
      <c r="K291" s="40">
        <v>45541</v>
      </c>
      <c r="L291">
        <v>4</v>
      </c>
      <c r="M291" s="40">
        <v>45558</v>
      </c>
      <c r="N291">
        <v>4</v>
      </c>
      <c r="O291" t="s">
        <v>1986</v>
      </c>
      <c r="P291" t="s">
        <v>2165</v>
      </c>
      <c r="Q291" t="s">
        <v>1988</v>
      </c>
      <c r="R291" t="s">
        <v>1989</v>
      </c>
      <c r="T291" s="40">
        <v>45495</v>
      </c>
      <c r="U291" s="40">
        <v>45504</v>
      </c>
      <c r="V291" s="40">
        <v>45534</v>
      </c>
      <c r="W291" s="40">
        <v>45534</v>
      </c>
      <c r="X291" s="157">
        <v>55641</v>
      </c>
      <c r="Y291" s="40" t="str" cm="1">
        <f t="array" aca="1" ref="Y291" ca="1">TRIM(SUBSTITUTE(_xlfn.ARRAYTOTEXT(IFERROR(CONCATENATE(SUMIF(INDIRECT("'"&amp;Assemblies[Assy]&amp;"'!"&amp;"C$5:C1000"), $C291, INDIRECT("'"&amp;Assemblies[Assy]&amp;"'!"&amp;"O$5:O1000")), "x",Assemblies[Assy],".",IF(SUMIF(INDIRECT("'"&amp;Assemblies[Assy]&amp;"'!"&amp;"C$5:C1000"), $C291, INDIRECT("'"&amp;Assemblies[Assy]&amp;"'!"&amp;"A$5:A1000"))=0,NA(),SUMIF(INDIRECT("'"&amp;Assemblies[Assy]&amp;"'!"&amp;"C$5:C1000"), $C291, INDIRECT("'"&amp;Assemblies[Assy]&amp;"'!"&amp;"A$5:A1000")))),"")), " ,", ""))</f>
        <v>, 2x5.5.6, 2x5.6.6,</v>
      </c>
      <c r="AD291" s="141"/>
      <c r="AE291" s="296">
        <v>55723</v>
      </c>
      <c r="AF291" s="156"/>
      <c r="AG291"/>
    </row>
    <row r="292" spans="1:33" x14ac:dyDescent="0.25">
      <c r="A292" s="24" t="s">
        <v>2540</v>
      </c>
      <c r="B292" s="134" t="s">
        <v>54</v>
      </c>
      <c r="C292" t="str">
        <f>_xlfn.CONCAT(A292,".",B292)</f>
        <v>PG10.5.6.1.1.A</v>
      </c>
      <c r="D292" t="s">
        <v>2541</v>
      </c>
      <c r="E292" s="18">
        <v>160.5</v>
      </c>
      <c r="F292" s="19" cm="1">
        <f t="array" aca="1" ref="F292" ca="1">SUMPRODUCT(SUMIF(INDIRECT("'"&amp;Assemblies[Assy]&amp;"'!"&amp;"C5:C1000"),C292,(INDIRECT("'"&amp;Assemblies[Assy]&amp;"'!"&amp;"O5:O1000"))))</f>
        <v>1</v>
      </c>
      <c r="G292" s="19">
        <v>1</v>
      </c>
      <c r="H292" s="19" t="str">
        <f ca="1">IF(F292&lt;=G292," ","YES")</f>
        <v xml:space="preserve"> </v>
      </c>
      <c r="I292">
        <v>1</v>
      </c>
      <c r="J292">
        <v>1</v>
      </c>
      <c r="K292" s="40">
        <v>45541</v>
      </c>
      <c r="L292">
        <v>1</v>
      </c>
      <c r="M292" s="40">
        <v>45558</v>
      </c>
      <c r="N292">
        <v>1</v>
      </c>
      <c r="O292" t="s">
        <v>1986</v>
      </c>
      <c r="P292" t="s">
        <v>2165</v>
      </c>
      <c r="Q292" t="s">
        <v>1988</v>
      </c>
      <c r="R292" t="s">
        <v>1989</v>
      </c>
      <c r="T292" s="40">
        <v>45495</v>
      </c>
      <c r="U292" s="40">
        <v>45504</v>
      </c>
      <c r="V292" s="40">
        <v>45534</v>
      </c>
      <c r="W292" s="40">
        <v>45534</v>
      </c>
      <c r="X292" s="157">
        <v>55641</v>
      </c>
      <c r="Y292" s="40" t="str" cm="1">
        <f t="array" aca="1" ref="Y292" ca="1">TRIM(SUBSTITUTE(_xlfn.ARRAYTOTEXT(IFERROR(CONCATENATE(SUMIF(INDIRECT("'"&amp;Assemblies[Assy]&amp;"'!"&amp;"C$5:C1000"), $C292, INDIRECT("'"&amp;Assemblies[Assy]&amp;"'!"&amp;"O$5:O1000")), "x",Assemblies[Assy],".",IF(SUMIF(INDIRECT("'"&amp;Assemblies[Assy]&amp;"'!"&amp;"C$5:C1000"), $C292, INDIRECT("'"&amp;Assemblies[Assy]&amp;"'!"&amp;"A$5:A1000"))=0,NA(),SUMIF(INDIRECT("'"&amp;Assemblies[Assy]&amp;"'!"&amp;"C$5:C1000"), $C292, INDIRECT("'"&amp;Assemblies[Assy]&amp;"'!"&amp;"A$5:A1000")))),"")), " ,", ""))</f>
        <v>, 1x5.6.1.1,</v>
      </c>
      <c r="AD292" s="141"/>
      <c r="AE292" s="296">
        <v>55723</v>
      </c>
      <c r="AF292" s="156"/>
      <c r="AG292"/>
    </row>
    <row r="293" spans="1:33" x14ac:dyDescent="0.25">
      <c r="A293" s="24" t="s">
        <v>2542</v>
      </c>
      <c r="B293" s="134" t="s">
        <v>54</v>
      </c>
      <c r="C293" t="str">
        <f>_xlfn.CONCAT(A293,".",B293)</f>
        <v>PG10.5.6.1.2.A</v>
      </c>
      <c r="D293" t="s">
        <v>2543</v>
      </c>
      <c r="E293" s="18">
        <v>129.35</v>
      </c>
      <c r="F293" s="19" cm="1">
        <f t="array" aca="1" ref="F293" ca="1">SUMPRODUCT(SUMIF(INDIRECT("'"&amp;Assemblies[Assy]&amp;"'!"&amp;"C5:C1000"),C293,(INDIRECT("'"&amp;Assemblies[Assy]&amp;"'!"&amp;"O5:O1000"))))</f>
        <v>1</v>
      </c>
      <c r="G293" s="19">
        <v>1</v>
      </c>
      <c r="H293" s="19" t="str">
        <f ca="1">IF(F293&lt;=G293," ","YES")</f>
        <v xml:space="preserve"> </v>
      </c>
      <c r="I293">
        <v>1</v>
      </c>
      <c r="J293">
        <v>1</v>
      </c>
      <c r="K293" s="40">
        <v>45541</v>
      </c>
      <c r="L293">
        <v>1</v>
      </c>
      <c r="M293" s="40">
        <v>45558</v>
      </c>
      <c r="N293">
        <v>1</v>
      </c>
      <c r="O293" t="s">
        <v>1986</v>
      </c>
      <c r="P293" t="s">
        <v>2165</v>
      </c>
      <c r="Q293" t="s">
        <v>1988</v>
      </c>
      <c r="R293" t="s">
        <v>1989</v>
      </c>
      <c r="T293" s="40">
        <v>45495</v>
      </c>
      <c r="U293" s="40">
        <v>45504</v>
      </c>
      <c r="V293" s="40">
        <v>45534</v>
      </c>
      <c r="W293" s="40">
        <v>45534</v>
      </c>
      <c r="X293" s="157">
        <v>55641</v>
      </c>
      <c r="Y293" s="40" t="str" cm="1">
        <f t="array" aca="1" ref="Y293" ca="1">TRIM(SUBSTITUTE(_xlfn.ARRAYTOTEXT(IFERROR(CONCATENATE(SUMIF(INDIRECT("'"&amp;Assemblies[Assy]&amp;"'!"&amp;"C$5:C1000"), $C293, INDIRECT("'"&amp;Assemblies[Assy]&amp;"'!"&amp;"O$5:O1000")), "x",Assemblies[Assy],".",IF(SUMIF(INDIRECT("'"&amp;Assemblies[Assy]&amp;"'!"&amp;"C$5:C1000"), $C293, INDIRECT("'"&amp;Assemblies[Assy]&amp;"'!"&amp;"A$5:A1000"))=0,NA(),SUMIF(INDIRECT("'"&amp;Assemblies[Assy]&amp;"'!"&amp;"C$5:C1000"), $C293, INDIRECT("'"&amp;Assemblies[Assy]&amp;"'!"&amp;"A$5:A1000")))),"")), " ,", ""))</f>
        <v>, 1x5.6.1.2,</v>
      </c>
      <c r="AD293" s="141"/>
      <c r="AE293" s="296">
        <v>55723</v>
      </c>
      <c r="AF293" s="156"/>
      <c r="AG293"/>
    </row>
    <row r="294" spans="1:33" x14ac:dyDescent="0.25">
      <c r="A294" s="24" t="s">
        <v>2544</v>
      </c>
      <c r="B294" s="134" t="s">
        <v>54</v>
      </c>
      <c r="C294" t="str">
        <f>_xlfn.CONCAT(A294,".",B294)</f>
        <v>PG10.5.6.1.3.A</v>
      </c>
      <c r="D294" t="s">
        <v>2545</v>
      </c>
      <c r="E294" s="18">
        <v>328.5</v>
      </c>
      <c r="F294" s="19" cm="1">
        <f t="array" aca="1" ref="F294" ca="1">SUMPRODUCT(SUMIF(INDIRECT("'"&amp;Assemblies[Assy]&amp;"'!"&amp;"C5:C1000"),C294,(INDIRECT("'"&amp;Assemblies[Assy]&amp;"'!"&amp;"O5:O1000"))))</f>
        <v>1</v>
      </c>
      <c r="G294" s="19">
        <v>1</v>
      </c>
      <c r="H294" s="19" t="str">
        <f ca="1">IF(F294&lt;=G294," ","YES")</f>
        <v xml:space="preserve"> </v>
      </c>
      <c r="I294">
        <v>1</v>
      </c>
      <c r="J294">
        <v>1</v>
      </c>
      <c r="L294">
        <v>1</v>
      </c>
      <c r="N294">
        <v>1</v>
      </c>
      <c r="O294" t="s">
        <v>2021</v>
      </c>
      <c r="P294" t="s">
        <v>1993</v>
      </c>
      <c r="R294" t="s">
        <v>1989</v>
      </c>
      <c r="T294" s="40">
        <v>45495</v>
      </c>
      <c r="U294" s="40">
        <v>45504</v>
      </c>
      <c r="V294" s="40">
        <v>45534</v>
      </c>
      <c r="W294" s="40">
        <v>45534</v>
      </c>
      <c r="X294" s="157">
        <v>55641</v>
      </c>
      <c r="Y294" s="40" t="str" cm="1">
        <f t="array" aca="1" ref="Y294" ca="1">TRIM(SUBSTITUTE(_xlfn.ARRAYTOTEXT(IFERROR(CONCATENATE(SUMIF(INDIRECT("'"&amp;Assemblies[Assy]&amp;"'!"&amp;"C$5:C1000"), $C294, INDIRECT("'"&amp;Assemblies[Assy]&amp;"'!"&amp;"O$5:O1000")), "x",Assemblies[Assy],".",IF(SUMIF(INDIRECT("'"&amp;Assemblies[Assy]&amp;"'!"&amp;"C$5:C1000"), $C294, INDIRECT("'"&amp;Assemblies[Assy]&amp;"'!"&amp;"A$5:A1000"))=0,NA(),SUMIF(INDIRECT("'"&amp;Assemblies[Assy]&amp;"'!"&amp;"C$5:C1000"), $C294, INDIRECT("'"&amp;Assemblies[Assy]&amp;"'!"&amp;"A$5:A1000")))),"")), " ,", ""))</f>
        <v>, 1x5.6.1.3,</v>
      </c>
      <c r="AD294" s="141"/>
      <c r="AE294" s="296"/>
      <c r="AF294" s="156"/>
      <c r="AG294"/>
    </row>
    <row r="295" spans="1:33" x14ac:dyDescent="0.25">
      <c r="A295" s="24" t="s">
        <v>2546</v>
      </c>
      <c r="B295" s="134" t="s">
        <v>54</v>
      </c>
      <c r="C295" t="str">
        <f>_xlfn.CONCAT(A295,".",B295)</f>
        <v>PG10.5.6.1.4.A</v>
      </c>
      <c r="D295" t="s">
        <v>2547</v>
      </c>
      <c r="E295" s="18">
        <v>52.07</v>
      </c>
      <c r="F295" s="19" cm="1">
        <f t="array" aca="1" ref="F295" ca="1">SUMPRODUCT(SUMIF(INDIRECT("'"&amp;Assemblies[Assy]&amp;"'!"&amp;"C5:C1000"),C295,(INDIRECT("'"&amp;Assemblies[Assy]&amp;"'!"&amp;"O5:O1000"))))</f>
        <v>1</v>
      </c>
      <c r="G295" s="19">
        <v>2</v>
      </c>
      <c r="H295" s="19" t="str">
        <f ca="1">IF(F295&lt;=G295," ","YES")</f>
        <v xml:space="preserve"> </v>
      </c>
      <c r="I295">
        <v>2</v>
      </c>
      <c r="J295">
        <v>2</v>
      </c>
      <c r="L295">
        <v>2</v>
      </c>
      <c r="N295">
        <v>2</v>
      </c>
      <c r="O295" t="s">
        <v>2021</v>
      </c>
      <c r="P295" t="s">
        <v>2030</v>
      </c>
      <c r="R295" t="s">
        <v>2488</v>
      </c>
      <c r="T295" s="40">
        <v>45495</v>
      </c>
      <c r="U295" s="40">
        <v>45510</v>
      </c>
      <c r="V295" s="40">
        <v>45540</v>
      </c>
      <c r="W295" s="40">
        <v>45540</v>
      </c>
      <c r="X295" s="157">
        <v>55658</v>
      </c>
      <c r="Y295" s="40" t="str" cm="1">
        <f t="array" aca="1" ref="Y295" ca="1">TRIM(SUBSTITUTE(_xlfn.ARRAYTOTEXT(IFERROR(CONCATENATE(SUMIF(INDIRECT("'"&amp;Assemblies[Assy]&amp;"'!"&amp;"C$5:C1000"), $C295, INDIRECT("'"&amp;Assemblies[Assy]&amp;"'!"&amp;"O$5:O1000")), "x",Assemblies[Assy],".",IF(SUMIF(INDIRECT("'"&amp;Assemblies[Assy]&amp;"'!"&amp;"C$5:C1000"), $C295, INDIRECT("'"&amp;Assemblies[Assy]&amp;"'!"&amp;"A$5:A1000"))=0,NA(),SUMIF(INDIRECT("'"&amp;Assemblies[Assy]&amp;"'!"&amp;"C$5:C1000"), $C295, INDIRECT("'"&amp;Assemblies[Assy]&amp;"'!"&amp;"A$5:A1000")))),"")), " ,", ""))</f>
        <v>, 1x5.6.1.4,</v>
      </c>
      <c r="Z295" s="141">
        <v>0</v>
      </c>
      <c r="AA295" s="141">
        <v>0</v>
      </c>
      <c r="AB295" s="141">
        <v>0</v>
      </c>
      <c r="AC295" s="39">
        <v>0</v>
      </c>
      <c r="AD295" s="141"/>
      <c r="AE295" s="296"/>
      <c r="AF295" s="156"/>
      <c r="AG295"/>
    </row>
    <row r="296" spans="1:33" x14ac:dyDescent="0.25">
      <c r="A296" s="24" t="s">
        <v>2548</v>
      </c>
      <c r="B296" s="134" t="s">
        <v>54</v>
      </c>
      <c r="C296" t="str">
        <f>_xlfn.CONCAT(A296,".",B296)</f>
        <v>PG10.5.6.1.5.A</v>
      </c>
      <c r="D296" t="s">
        <v>2549</v>
      </c>
      <c r="E296" s="18">
        <v>80.87</v>
      </c>
      <c r="F296" s="19" cm="1">
        <f t="array" aca="1" ref="F296" ca="1">SUMPRODUCT(SUMIF(INDIRECT("'"&amp;Assemblies[Assy]&amp;"'!"&amp;"C5:C1000"),C296,(INDIRECT("'"&amp;Assemblies[Assy]&amp;"'!"&amp;"O5:O1000"))))</f>
        <v>1</v>
      </c>
      <c r="G296" s="19">
        <v>2</v>
      </c>
      <c r="H296" s="19" t="str">
        <f ca="1">IF(F296&lt;=G296," ","YES")</f>
        <v xml:space="preserve"> </v>
      </c>
      <c r="I296">
        <v>2</v>
      </c>
      <c r="J296">
        <v>2</v>
      </c>
      <c r="L296">
        <v>2</v>
      </c>
      <c r="N296">
        <v>2</v>
      </c>
      <c r="O296" t="s">
        <v>2021</v>
      </c>
      <c r="P296" t="s">
        <v>2030</v>
      </c>
      <c r="R296" t="s">
        <v>2488</v>
      </c>
      <c r="T296" s="40">
        <v>45495</v>
      </c>
      <c r="U296" s="40">
        <v>45510</v>
      </c>
      <c r="V296" s="40">
        <v>45540</v>
      </c>
      <c r="W296" s="40">
        <v>45540</v>
      </c>
      <c r="X296" s="157">
        <v>55658</v>
      </c>
      <c r="Y296" s="40" t="str" cm="1">
        <f t="array" aca="1" ref="Y296" ca="1">TRIM(SUBSTITUTE(_xlfn.ARRAYTOTEXT(IFERROR(CONCATENATE(SUMIF(INDIRECT("'"&amp;Assemblies[Assy]&amp;"'!"&amp;"C$5:C1000"), $C296, INDIRECT("'"&amp;Assemblies[Assy]&amp;"'!"&amp;"O$5:O1000")), "x",Assemblies[Assy],".",IF(SUMIF(INDIRECT("'"&amp;Assemblies[Assy]&amp;"'!"&amp;"C$5:C1000"), $C296, INDIRECT("'"&amp;Assemblies[Assy]&amp;"'!"&amp;"A$5:A1000"))=0,NA(),SUMIF(INDIRECT("'"&amp;Assemblies[Assy]&amp;"'!"&amp;"C$5:C1000"), $C296, INDIRECT("'"&amp;Assemblies[Assy]&amp;"'!"&amp;"A$5:A1000")))),"")), " ,", ""))</f>
        <v>, 1x5.6.1.5,</v>
      </c>
      <c r="Z296" s="141">
        <v>0</v>
      </c>
      <c r="AA296" s="141">
        <v>0</v>
      </c>
      <c r="AB296" s="141">
        <v>0</v>
      </c>
      <c r="AC296" s="39">
        <v>0</v>
      </c>
      <c r="AD296" s="141"/>
      <c r="AE296" s="296"/>
      <c r="AF296" s="156"/>
      <c r="AG296"/>
    </row>
    <row r="297" spans="1:33" x14ac:dyDescent="0.25">
      <c r="A297" s="24" t="s">
        <v>2550</v>
      </c>
      <c r="B297" s="134" t="s">
        <v>54</v>
      </c>
      <c r="C297" t="str">
        <f>_xlfn.CONCAT(A297,".",B297)</f>
        <v>PG10.5.6.1.6.A</v>
      </c>
      <c r="D297" t="s">
        <v>2551</v>
      </c>
      <c r="E297" s="18">
        <v>156.76</v>
      </c>
      <c r="F297" s="19" cm="1">
        <f t="array" aca="1" ref="F297" ca="1">SUMPRODUCT(SUMIF(INDIRECT("'"&amp;Assemblies[Assy]&amp;"'!"&amp;"C5:C1000"),C297,(INDIRECT("'"&amp;Assemblies[Assy]&amp;"'!"&amp;"O5:O1000"))))</f>
        <v>1</v>
      </c>
      <c r="G297" s="19">
        <v>1</v>
      </c>
      <c r="H297" s="19" t="str">
        <f ca="1">IF(F297&lt;=G297," ","YES")</f>
        <v xml:space="preserve"> </v>
      </c>
      <c r="I297">
        <v>1</v>
      </c>
      <c r="J297">
        <v>1</v>
      </c>
      <c r="L297">
        <v>1</v>
      </c>
      <c r="N297">
        <v>1</v>
      </c>
      <c r="O297" t="s">
        <v>2021</v>
      </c>
      <c r="P297" t="s">
        <v>2030</v>
      </c>
      <c r="R297" t="s">
        <v>2488</v>
      </c>
      <c r="T297" s="40">
        <v>45495</v>
      </c>
      <c r="U297" s="40">
        <v>45510</v>
      </c>
      <c r="V297" s="40">
        <v>45540</v>
      </c>
      <c r="W297" s="40">
        <v>45540</v>
      </c>
      <c r="X297" s="157">
        <v>55658</v>
      </c>
      <c r="Y297" s="40" t="str" cm="1">
        <f t="array" aca="1" ref="Y297" ca="1">TRIM(SUBSTITUTE(_xlfn.ARRAYTOTEXT(IFERROR(CONCATENATE(SUMIF(INDIRECT("'"&amp;Assemblies[Assy]&amp;"'!"&amp;"C$5:C1000"), $C297, INDIRECT("'"&amp;Assemblies[Assy]&amp;"'!"&amp;"O$5:O1000")), "x",Assemblies[Assy],".",IF(SUMIF(INDIRECT("'"&amp;Assemblies[Assy]&amp;"'!"&amp;"C$5:C1000"), $C297, INDIRECT("'"&amp;Assemblies[Assy]&amp;"'!"&amp;"A$5:A1000"))=0,NA(),SUMIF(INDIRECT("'"&amp;Assemblies[Assy]&amp;"'!"&amp;"C$5:C1000"), $C297, INDIRECT("'"&amp;Assemblies[Assy]&amp;"'!"&amp;"A$5:A1000")))),"")), " ,", ""))</f>
        <v>, 1x5.6.1.6,</v>
      </c>
      <c r="Z297" s="141">
        <v>0</v>
      </c>
      <c r="AA297" s="141">
        <v>0</v>
      </c>
      <c r="AB297" s="141">
        <v>0</v>
      </c>
      <c r="AC297" s="39">
        <v>0</v>
      </c>
      <c r="AD297" s="141"/>
      <c r="AE297" s="296"/>
      <c r="AF297" s="156"/>
      <c r="AG297"/>
    </row>
    <row r="298" spans="1:33" x14ac:dyDescent="0.25">
      <c r="A298" s="24" t="s">
        <v>2552</v>
      </c>
      <c r="B298" s="134" t="s">
        <v>54</v>
      </c>
      <c r="C298" t="str">
        <f>_xlfn.CONCAT(A298,".",B298)</f>
        <v>PG10.5.6.2.1.A</v>
      </c>
      <c r="D298" t="s">
        <v>2553</v>
      </c>
      <c r="E298" s="18">
        <v>93.4</v>
      </c>
      <c r="F298" s="19" cm="1">
        <f t="array" aca="1" ref="F298" ca="1">SUMPRODUCT(SUMIF(INDIRECT("'"&amp;Assemblies[Assy]&amp;"'!"&amp;"C5:C1000"),C298,(INDIRECT("'"&amp;Assemblies[Assy]&amp;"'!"&amp;"O5:O1000"))))</f>
        <v>1</v>
      </c>
      <c r="G298" s="19">
        <v>1</v>
      </c>
      <c r="H298" s="19" t="str">
        <f ca="1">IF(F298&lt;=G298," ","YES")</f>
        <v xml:space="preserve"> </v>
      </c>
      <c r="I298">
        <v>1</v>
      </c>
      <c r="J298">
        <v>1</v>
      </c>
      <c r="K298" s="40">
        <v>45541</v>
      </c>
      <c r="L298">
        <v>1</v>
      </c>
      <c r="M298" s="40">
        <v>45558</v>
      </c>
      <c r="N298">
        <v>1</v>
      </c>
      <c r="O298" t="s">
        <v>1986</v>
      </c>
      <c r="P298" t="s">
        <v>2165</v>
      </c>
      <c r="Q298" t="s">
        <v>1988</v>
      </c>
      <c r="R298" t="s">
        <v>1989</v>
      </c>
      <c r="T298" s="40">
        <v>45495</v>
      </c>
      <c r="U298" s="40">
        <v>45504</v>
      </c>
      <c r="V298" s="40">
        <v>45534</v>
      </c>
      <c r="W298" s="40">
        <v>45534</v>
      </c>
      <c r="X298" s="157">
        <v>55641</v>
      </c>
      <c r="Y298" s="40" t="str" cm="1">
        <f t="array" aca="1" ref="Y298" ca="1">TRIM(SUBSTITUTE(_xlfn.ARRAYTOTEXT(IFERROR(CONCATENATE(SUMIF(INDIRECT("'"&amp;Assemblies[Assy]&amp;"'!"&amp;"C$5:C1000"), $C298, INDIRECT("'"&amp;Assemblies[Assy]&amp;"'!"&amp;"O$5:O1000")), "x",Assemblies[Assy],".",IF(SUMIF(INDIRECT("'"&amp;Assemblies[Assy]&amp;"'!"&amp;"C$5:C1000"), $C298, INDIRECT("'"&amp;Assemblies[Assy]&amp;"'!"&amp;"A$5:A1000"))=0,NA(),SUMIF(INDIRECT("'"&amp;Assemblies[Assy]&amp;"'!"&amp;"C$5:C1000"), $C298, INDIRECT("'"&amp;Assemblies[Assy]&amp;"'!"&amp;"A$5:A1000")))),"")), " ,", ""))</f>
        <v>, 1x5.6.2.1,</v>
      </c>
      <c r="AD298" s="141"/>
      <c r="AE298" s="296">
        <v>55723</v>
      </c>
      <c r="AF298" s="156"/>
      <c r="AG298"/>
    </row>
    <row r="299" spans="1:33" x14ac:dyDescent="0.25">
      <c r="A299" s="24" t="s">
        <v>2554</v>
      </c>
      <c r="B299" s="134" t="s">
        <v>54</v>
      </c>
      <c r="C299" t="str">
        <f>_xlfn.CONCAT(A299,".",B299)</f>
        <v>PG10.5.6.2.2.A</v>
      </c>
      <c r="D299" t="s">
        <v>2555</v>
      </c>
      <c r="E299" s="18">
        <v>114.15</v>
      </c>
      <c r="F299" s="19" cm="1">
        <f t="array" aca="1" ref="F299" ca="1">SUMPRODUCT(SUMIF(INDIRECT("'"&amp;Assemblies[Assy]&amp;"'!"&amp;"C5:C1000"),C299,(INDIRECT("'"&amp;Assemblies[Assy]&amp;"'!"&amp;"O5:O1000"))))</f>
        <v>1</v>
      </c>
      <c r="G299" s="19">
        <v>1</v>
      </c>
      <c r="H299" s="19" t="str">
        <f ca="1">IF(F299&lt;=G299," ","YES")</f>
        <v xml:space="preserve"> </v>
      </c>
      <c r="I299">
        <v>1</v>
      </c>
      <c r="J299">
        <v>1</v>
      </c>
      <c r="K299" s="40">
        <v>45541</v>
      </c>
      <c r="L299">
        <v>1</v>
      </c>
      <c r="M299" s="40">
        <v>45558</v>
      </c>
      <c r="N299">
        <v>1</v>
      </c>
      <c r="O299" t="s">
        <v>1986</v>
      </c>
      <c r="P299" t="s">
        <v>2165</v>
      </c>
      <c r="Q299" t="s">
        <v>1988</v>
      </c>
      <c r="R299" t="s">
        <v>1989</v>
      </c>
      <c r="T299" s="40">
        <v>45495</v>
      </c>
      <c r="U299" s="40">
        <v>45504</v>
      </c>
      <c r="V299" s="40">
        <v>45534</v>
      </c>
      <c r="W299" s="40">
        <v>45534</v>
      </c>
      <c r="X299" s="157">
        <v>55641</v>
      </c>
      <c r="Y299" s="40" t="str" cm="1">
        <f t="array" aca="1" ref="Y299" ca="1">TRIM(SUBSTITUTE(_xlfn.ARRAYTOTEXT(IFERROR(CONCATENATE(SUMIF(INDIRECT("'"&amp;Assemblies[Assy]&amp;"'!"&amp;"C$5:C1000"), $C299, INDIRECT("'"&amp;Assemblies[Assy]&amp;"'!"&amp;"O$5:O1000")), "x",Assemblies[Assy],".",IF(SUMIF(INDIRECT("'"&amp;Assemblies[Assy]&amp;"'!"&amp;"C$5:C1000"), $C299, INDIRECT("'"&amp;Assemblies[Assy]&amp;"'!"&amp;"A$5:A1000"))=0,NA(),SUMIF(INDIRECT("'"&amp;Assemblies[Assy]&amp;"'!"&amp;"C$5:C1000"), $C299, INDIRECT("'"&amp;Assemblies[Assy]&amp;"'!"&amp;"A$5:A1000")))),"")), " ,", ""))</f>
        <v>, 1x5.6.2.2,</v>
      </c>
      <c r="AD299" s="141"/>
      <c r="AE299" s="296">
        <v>55723</v>
      </c>
      <c r="AF299" s="156"/>
      <c r="AG299"/>
    </row>
    <row r="300" spans="1:33" x14ac:dyDescent="0.25">
      <c r="A300" s="24" t="s">
        <v>2556</v>
      </c>
      <c r="B300" s="134" t="s">
        <v>54</v>
      </c>
      <c r="C300" t="str">
        <f>_xlfn.CONCAT(A300,".",B300)</f>
        <v>PG10.5.6.2.A</v>
      </c>
      <c r="D300" t="s">
        <v>2557</v>
      </c>
      <c r="E300" s="18">
        <v>461</v>
      </c>
      <c r="F300" s="19" cm="1">
        <f t="array" aca="1" ref="F300" ca="1">SUMPRODUCT(SUMIF(INDIRECT("'"&amp;Assemblies[Assy]&amp;"'!"&amp;"C5:C1000"),C300,(INDIRECT("'"&amp;Assemblies[Assy]&amp;"'!"&amp;"O5:O1000"))))</f>
        <v>1</v>
      </c>
      <c r="G300" s="19">
        <v>1</v>
      </c>
      <c r="H300" s="19" t="str">
        <f ca="1">IF(F300&lt;=G300," ","YES")</f>
        <v xml:space="preserve"> </v>
      </c>
      <c r="I300">
        <v>1</v>
      </c>
      <c r="J300">
        <v>1</v>
      </c>
      <c r="K300" s="40">
        <v>45541</v>
      </c>
      <c r="L300">
        <v>1</v>
      </c>
      <c r="M300" s="40">
        <v>45558</v>
      </c>
      <c r="N300">
        <v>1</v>
      </c>
      <c r="O300" t="s">
        <v>2067</v>
      </c>
      <c r="P300" t="s">
        <v>2165</v>
      </c>
      <c r="Q300" t="s">
        <v>1988</v>
      </c>
      <c r="R300" t="s">
        <v>2047</v>
      </c>
      <c r="T300" s="40">
        <v>45495</v>
      </c>
      <c r="U300" s="40">
        <v>45505</v>
      </c>
      <c r="V300" s="40">
        <v>45540</v>
      </c>
      <c r="W300" s="40">
        <v>45540</v>
      </c>
      <c r="X300" s="157">
        <v>55644</v>
      </c>
      <c r="Y300" s="40" t="str" cm="1">
        <f t="array" aca="1" ref="Y300" ca="1">TRIM(SUBSTITUTE(_xlfn.ARRAYTOTEXT(IFERROR(CONCATENATE(SUMIF(INDIRECT("'"&amp;Assemblies[Assy]&amp;"'!"&amp;"C$5:C1000"), $C300, INDIRECT("'"&amp;Assemblies[Assy]&amp;"'!"&amp;"O$5:O1000")), "x",Assemblies[Assy],".",IF(SUMIF(INDIRECT("'"&amp;Assemblies[Assy]&amp;"'!"&amp;"C$5:C1000"), $C300, INDIRECT("'"&amp;Assemblies[Assy]&amp;"'!"&amp;"A$5:A1000"))=0,NA(),SUMIF(INDIRECT("'"&amp;Assemblies[Assy]&amp;"'!"&amp;"C$5:C1000"), $C300, INDIRECT("'"&amp;Assemblies[Assy]&amp;"'!"&amp;"A$5:A1000")))),"")), " ,", ""))</f>
        <v>, 1x5.6.2,</v>
      </c>
      <c r="AD300" s="141"/>
      <c r="AE300" s="296">
        <v>55725</v>
      </c>
      <c r="AF300" s="156"/>
      <c r="AG300"/>
    </row>
    <row r="301" spans="1:33" x14ac:dyDescent="0.25">
      <c r="A301" s="24" t="s">
        <v>2558</v>
      </c>
      <c r="B301" s="134" t="s">
        <v>54</v>
      </c>
      <c r="C301" t="str">
        <f>_xlfn.CONCAT(A301,".",B301)</f>
        <v>PG10.5.7.1.A</v>
      </c>
      <c r="D301" t="s">
        <v>2559</v>
      </c>
      <c r="E301" s="18">
        <v>267.5</v>
      </c>
      <c r="F301" s="19" cm="1">
        <f t="array" aca="1" ref="F301" ca="1">SUMPRODUCT(SUMIF(INDIRECT("'"&amp;Assemblies[Assy]&amp;"'!"&amp;"C5:C1000"),C301,(INDIRECT("'"&amp;Assemblies[Assy]&amp;"'!"&amp;"O5:O1000"))))</f>
        <v>2</v>
      </c>
      <c r="G301" s="19">
        <v>2</v>
      </c>
      <c r="H301" s="19" t="str">
        <f ca="1">IF(F301&lt;=G301," ","YES")</f>
        <v xml:space="preserve"> </v>
      </c>
      <c r="I301">
        <v>2</v>
      </c>
      <c r="J301">
        <v>2</v>
      </c>
      <c r="K301" s="40">
        <v>45541</v>
      </c>
      <c r="L301">
        <v>2</v>
      </c>
      <c r="M301" s="40">
        <v>45558</v>
      </c>
      <c r="N301">
        <v>2</v>
      </c>
      <c r="O301" t="s">
        <v>2067</v>
      </c>
      <c r="P301" t="s">
        <v>2165</v>
      </c>
      <c r="Q301" t="s">
        <v>1988</v>
      </c>
      <c r="R301" t="s">
        <v>2047</v>
      </c>
      <c r="T301" s="40">
        <v>45495</v>
      </c>
      <c r="U301" s="40">
        <v>45505</v>
      </c>
      <c r="V301" s="40">
        <v>45540</v>
      </c>
      <c r="W301" s="40">
        <v>45540</v>
      </c>
      <c r="X301" s="157">
        <v>55644</v>
      </c>
      <c r="Y301" s="40" t="str" cm="1">
        <f t="array" aca="1" ref="Y301" ca="1">TRIM(SUBSTITUTE(_xlfn.ARRAYTOTEXT(IFERROR(CONCATENATE(SUMIF(INDIRECT("'"&amp;Assemblies[Assy]&amp;"'!"&amp;"C$5:C1000"), $C301, INDIRECT("'"&amp;Assemblies[Assy]&amp;"'!"&amp;"O$5:O1000")), "x",Assemblies[Assy],".",IF(SUMIF(INDIRECT("'"&amp;Assemblies[Assy]&amp;"'!"&amp;"C$5:C1000"), $C301, INDIRECT("'"&amp;Assemblies[Assy]&amp;"'!"&amp;"A$5:A1000"))=0,NA(),SUMIF(INDIRECT("'"&amp;Assemblies[Assy]&amp;"'!"&amp;"C$5:C1000"), $C301, INDIRECT("'"&amp;Assemblies[Assy]&amp;"'!"&amp;"A$5:A1000")))),"")), " ,", ""))</f>
        <v>, 2x5.7.1,</v>
      </c>
      <c r="Z301" s="141">
        <v>0</v>
      </c>
      <c r="AA301" s="141">
        <v>0</v>
      </c>
      <c r="AB301" s="141">
        <v>0</v>
      </c>
      <c r="AC301" s="39">
        <v>0</v>
      </c>
      <c r="AD301" s="141"/>
      <c r="AE301" s="296">
        <v>55725</v>
      </c>
      <c r="AF301" s="156"/>
      <c r="AG301"/>
    </row>
    <row r="302" spans="1:33" x14ac:dyDescent="0.25">
      <c r="A302" s="24" t="s">
        <v>2560</v>
      </c>
      <c r="B302" s="134" t="s">
        <v>54</v>
      </c>
      <c r="C302" t="str">
        <f>_xlfn.CONCAT(A302,".",B302)</f>
        <v>PG10.5.7.2.A</v>
      </c>
      <c r="D302" t="s">
        <v>2561</v>
      </c>
      <c r="E302" s="18">
        <v>82.5</v>
      </c>
      <c r="F302" s="19" cm="1">
        <f t="array" aca="1" ref="F302" ca="1">SUMPRODUCT(SUMIF(INDIRECT("'"&amp;Assemblies[Assy]&amp;"'!"&amp;"C5:C1000"),C302,(INDIRECT("'"&amp;Assemblies[Assy]&amp;"'!"&amp;"O5:O1000"))))</f>
        <v>2</v>
      </c>
      <c r="G302" s="19">
        <v>2</v>
      </c>
      <c r="H302" s="19" t="str">
        <f ca="1">IF(F302&lt;=G302," ","YES")</f>
        <v xml:space="preserve"> </v>
      </c>
      <c r="I302">
        <v>2</v>
      </c>
      <c r="J302">
        <v>2</v>
      </c>
      <c r="K302" s="40">
        <v>45541</v>
      </c>
      <c r="L302">
        <v>2</v>
      </c>
      <c r="M302" s="40">
        <v>45558</v>
      </c>
      <c r="N302">
        <v>2</v>
      </c>
      <c r="O302" t="s">
        <v>1986</v>
      </c>
      <c r="P302" t="s">
        <v>2165</v>
      </c>
      <c r="Q302" t="s">
        <v>1988</v>
      </c>
      <c r="R302" t="s">
        <v>1989</v>
      </c>
      <c r="T302" s="40">
        <v>45495</v>
      </c>
      <c r="U302" s="40">
        <v>45504</v>
      </c>
      <c r="V302" s="40">
        <v>45534</v>
      </c>
      <c r="W302" s="40">
        <v>45534</v>
      </c>
      <c r="X302" s="157">
        <v>55641</v>
      </c>
      <c r="Y302" s="40" t="str" cm="1">
        <f t="array" aca="1" ref="Y302" ca="1">TRIM(SUBSTITUTE(_xlfn.ARRAYTOTEXT(IFERROR(CONCATENATE(SUMIF(INDIRECT("'"&amp;Assemblies[Assy]&amp;"'!"&amp;"C$5:C1000"), $C302, INDIRECT("'"&amp;Assemblies[Assy]&amp;"'!"&amp;"O$5:O1000")), "x",Assemblies[Assy],".",IF(SUMIF(INDIRECT("'"&amp;Assemblies[Assy]&amp;"'!"&amp;"C$5:C1000"), $C302, INDIRECT("'"&amp;Assemblies[Assy]&amp;"'!"&amp;"A$5:A1000"))=0,NA(),SUMIF(INDIRECT("'"&amp;Assemblies[Assy]&amp;"'!"&amp;"C$5:C1000"), $C302, INDIRECT("'"&amp;Assemblies[Assy]&amp;"'!"&amp;"A$5:A1000")))),"")), " ,", ""))</f>
        <v>, 2x5.7.2,</v>
      </c>
      <c r="Z302" s="141">
        <v>0</v>
      </c>
      <c r="AA302" s="141">
        <v>0</v>
      </c>
      <c r="AB302" s="141">
        <v>0</v>
      </c>
      <c r="AC302" s="39">
        <v>0</v>
      </c>
      <c r="AD302" s="141"/>
      <c r="AE302" s="296">
        <v>55723</v>
      </c>
      <c r="AF302" s="156"/>
      <c r="AG302"/>
    </row>
    <row r="303" spans="1:33" x14ac:dyDescent="0.25">
      <c r="A303" s="24" t="s">
        <v>2562</v>
      </c>
      <c r="B303" s="134" t="s">
        <v>54</v>
      </c>
      <c r="C303" t="str">
        <f>_xlfn.CONCAT(A303,".",B303)</f>
        <v>PG10.5.7.3.A</v>
      </c>
      <c r="D303" t="s">
        <v>2563</v>
      </c>
      <c r="E303" s="18">
        <v>117.7</v>
      </c>
      <c r="F303" s="19" cm="1">
        <f t="array" aca="1" ref="F303" ca="1">SUMPRODUCT(SUMIF(INDIRECT("'"&amp;Assemblies[Assy]&amp;"'!"&amp;"C5:C1000"),C303,(INDIRECT("'"&amp;Assemblies[Assy]&amp;"'!"&amp;"O5:O1000"))))</f>
        <v>2</v>
      </c>
      <c r="G303" s="19">
        <v>2</v>
      </c>
      <c r="H303" s="19" t="str">
        <f ca="1">IF(F303&lt;=G303," ","YES")</f>
        <v xml:space="preserve"> </v>
      </c>
      <c r="I303">
        <v>2</v>
      </c>
      <c r="J303">
        <v>2</v>
      </c>
      <c r="K303" s="40">
        <v>45541</v>
      </c>
      <c r="L303">
        <v>2</v>
      </c>
      <c r="N303">
        <v>2</v>
      </c>
      <c r="O303" t="s">
        <v>2026</v>
      </c>
      <c r="P303" t="s">
        <v>2027</v>
      </c>
      <c r="Q303" t="s">
        <v>1988</v>
      </c>
      <c r="R303" t="s">
        <v>1989</v>
      </c>
      <c r="T303" s="40">
        <v>45495</v>
      </c>
      <c r="U303" s="40">
        <v>45504</v>
      </c>
      <c r="V303" s="40">
        <v>45534</v>
      </c>
      <c r="W303" s="40">
        <v>45534</v>
      </c>
      <c r="X303" s="157">
        <v>55641</v>
      </c>
      <c r="Y303" s="40" t="str" cm="1">
        <f t="array" aca="1" ref="Y303" ca="1">TRIM(SUBSTITUTE(_xlfn.ARRAYTOTEXT(IFERROR(CONCATENATE(SUMIF(INDIRECT("'"&amp;Assemblies[Assy]&amp;"'!"&amp;"C$5:C1000"), $C303, INDIRECT("'"&amp;Assemblies[Assy]&amp;"'!"&amp;"O$5:O1000")), "x",Assemblies[Assy],".",IF(SUMIF(INDIRECT("'"&amp;Assemblies[Assy]&amp;"'!"&amp;"C$5:C1000"), $C303, INDIRECT("'"&amp;Assemblies[Assy]&amp;"'!"&amp;"A$5:A1000"))=0,NA(),SUMIF(INDIRECT("'"&amp;Assemblies[Assy]&amp;"'!"&amp;"C$5:C1000"), $C303, INDIRECT("'"&amp;Assemblies[Assy]&amp;"'!"&amp;"A$5:A1000")))),"")), " ,", ""))</f>
        <v>, 2x5.7.3,</v>
      </c>
      <c r="Z303" s="141">
        <v>0</v>
      </c>
      <c r="AA303" s="141">
        <v>0</v>
      </c>
      <c r="AB303" s="141">
        <v>0</v>
      </c>
      <c r="AC303" s="39">
        <v>0</v>
      </c>
      <c r="AD303" s="141"/>
      <c r="AE303" s="296">
        <v>55722</v>
      </c>
      <c r="AF303" s="156"/>
      <c r="AG303"/>
    </row>
    <row r="304" spans="1:33" x14ac:dyDescent="0.25">
      <c r="A304" s="24" t="s">
        <v>2564</v>
      </c>
      <c r="B304" s="134" t="s">
        <v>58</v>
      </c>
      <c r="C304" t="str">
        <f>_xlfn.CONCAT(A304,".",B304)</f>
        <v>PG10.6.1.1.C</v>
      </c>
      <c r="D304" t="s">
        <v>2565</v>
      </c>
      <c r="E304" s="18">
        <v>610.1</v>
      </c>
      <c r="F304" s="19" cm="1">
        <f t="array" aca="1" ref="F304" ca="1">SUMPRODUCT(SUMIF(INDIRECT("'"&amp;Assemblies[Assy]&amp;"'!"&amp;"C5:C1000"),C304,(INDIRECT("'"&amp;Assemblies[Assy]&amp;"'!"&amp;"O5:O1000"))))</f>
        <v>2</v>
      </c>
      <c r="G304" s="19">
        <v>2</v>
      </c>
      <c r="H304" s="19" t="str">
        <f ca="1">IF(F304&lt;=G304," ","YES")</f>
        <v xml:space="preserve"> </v>
      </c>
      <c r="O304" t="s">
        <v>2067</v>
      </c>
      <c r="P304" t="s">
        <v>2165</v>
      </c>
      <c r="Q304" t="s">
        <v>1988</v>
      </c>
      <c r="R304" t="s">
        <v>2168</v>
      </c>
      <c r="T304" s="40">
        <v>45489</v>
      </c>
      <c r="U304" s="40">
        <v>45513</v>
      </c>
      <c r="V304" s="40">
        <v>45551</v>
      </c>
      <c r="W304" s="40">
        <v>45566</v>
      </c>
      <c r="X304" s="157">
        <v>55676</v>
      </c>
      <c r="Y304" s="40" t="str" cm="1">
        <f t="array" aca="1" ref="Y304" ca="1">TRIM(SUBSTITUTE(_xlfn.ARRAYTOTEXT(IFERROR(CONCATENATE(SUMIF(INDIRECT("'"&amp;Assemblies[Assy]&amp;"'!"&amp;"C$5:C1000"), $C304, INDIRECT("'"&amp;Assemblies[Assy]&amp;"'!"&amp;"O$5:O1000")), "x",Assemblies[Assy],".",IF(SUMIF(INDIRECT("'"&amp;Assemblies[Assy]&amp;"'!"&amp;"C$5:C1000"), $C304, INDIRECT("'"&amp;Assemblies[Assy]&amp;"'!"&amp;"A$5:A1000"))=0,NA(),SUMIF(INDIRECT("'"&amp;Assemblies[Assy]&amp;"'!"&amp;"C$5:C1000"), $C304, INDIRECT("'"&amp;Assemblies[Assy]&amp;"'!"&amp;"A$5:A1000")))),"")), " ,", ""))</f>
        <v>, 2x6.1.1,</v>
      </c>
      <c r="AD304" s="141"/>
      <c r="AE304" s="296"/>
      <c r="AF304" s="156"/>
      <c r="AG304"/>
    </row>
    <row r="305" spans="1:33" x14ac:dyDescent="0.25">
      <c r="A305" s="24" t="s">
        <v>2566</v>
      </c>
      <c r="B305" s="134" t="s">
        <v>54</v>
      </c>
      <c r="C305" t="str">
        <f>_xlfn.CONCAT(A305,".",B305)</f>
        <v>PG10.6.1.10.A</v>
      </c>
      <c r="D305" t="s">
        <v>2567</v>
      </c>
      <c r="E305" s="18">
        <v>60.17</v>
      </c>
      <c r="F305" s="19" cm="1">
        <f t="array" aca="1" ref="F305" ca="1">SUMPRODUCT(SUMIF(INDIRECT("'"&amp;Assemblies[Assy]&amp;"'!"&amp;"C5:C1000"),C305,(INDIRECT("'"&amp;Assemblies[Assy]&amp;"'!"&amp;"O5:O1000"))))</f>
        <v>4</v>
      </c>
      <c r="G305" s="19">
        <v>4</v>
      </c>
      <c r="H305" s="19" t="str">
        <f ca="1">IF(F305&lt;=G305," ","YES")</f>
        <v xml:space="preserve"> </v>
      </c>
      <c r="I305">
        <v>4</v>
      </c>
      <c r="J305">
        <v>4</v>
      </c>
      <c r="L305">
        <v>4</v>
      </c>
      <c r="N305">
        <v>4</v>
      </c>
      <c r="O305" t="s">
        <v>1986</v>
      </c>
      <c r="P305" t="s">
        <v>1987</v>
      </c>
      <c r="Q305" t="s">
        <v>1988</v>
      </c>
      <c r="R305" t="s">
        <v>3662</v>
      </c>
      <c r="T305" s="40">
        <v>45527</v>
      </c>
      <c r="U305" s="40">
        <v>45530</v>
      </c>
      <c r="V305" s="40">
        <v>45560</v>
      </c>
      <c r="W305" s="40">
        <v>45560</v>
      </c>
      <c r="X305" s="157">
        <v>55706</v>
      </c>
      <c r="Y305" s="40" t="str" cm="1">
        <f t="array" aca="1" ref="Y305" ca="1">TRIM(SUBSTITUTE(_xlfn.ARRAYTOTEXT(IFERROR(CONCATENATE(SUMIF(INDIRECT("'"&amp;Assemblies[Assy]&amp;"'!"&amp;"C$5:C1000"), $C305, INDIRECT("'"&amp;Assemblies[Assy]&amp;"'!"&amp;"O$5:O1000")), "x",Assemblies[Assy],".",IF(SUMIF(INDIRECT("'"&amp;Assemblies[Assy]&amp;"'!"&amp;"C$5:C1000"), $C305, INDIRECT("'"&amp;Assemblies[Assy]&amp;"'!"&amp;"A$5:A1000"))=0,NA(),SUMIF(INDIRECT("'"&amp;Assemblies[Assy]&amp;"'!"&amp;"C$5:C1000"), $C305, INDIRECT("'"&amp;Assemblies[Assy]&amp;"'!"&amp;"A$5:A1000")))),"")), " ,", ""))</f>
        <v>, 2x5.3.11, 2x6.1.10,</v>
      </c>
      <c r="Z305" s="141">
        <v>0</v>
      </c>
      <c r="AA305" s="141">
        <v>0</v>
      </c>
      <c r="AB305" s="141">
        <v>0</v>
      </c>
      <c r="AC305" s="39">
        <v>0</v>
      </c>
      <c r="AD305" s="141"/>
      <c r="AE305" s="296"/>
      <c r="AF305" s="156"/>
      <c r="AG305"/>
    </row>
    <row r="306" spans="1:33" x14ac:dyDescent="0.25">
      <c r="A306" s="24" t="s">
        <v>2568</v>
      </c>
      <c r="B306" s="134" t="s">
        <v>54</v>
      </c>
      <c r="C306" t="str">
        <f>_xlfn.CONCAT(A306,".",B306)</f>
        <v>PG10.6.1.11.A</v>
      </c>
      <c r="D306" t="s">
        <v>2569</v>
      </c>
      <c r="E306" s="18">
        <v>47.5</v>
      </c>
      <c r="F306" s="19" cm="1">
        <f t="array" aca="1" ref="F306" ca="1">SUMPRODUCT(SUMIF(INDIRECT("'"&amp;Assemblies[Assy]&amp;"'!"&amp;"C5:C1000"),C306,(INDIRECT("'"&amp;Assemblies[Assy]&amp;"'!"&amp;"O5:O1000"))))</f>
        <v>2</v>
      </c>
      <c r="G306" s="19">
        <v>2</v>
      </c>
      <c r="H306" s="19" t="str">
        <f ca="1">IF(F306&lt;=G306," ","YES")</f>
        <v xml:space="preserve"> </v>
      </c>
      <c r="I306">
        <v>2</v>
      </c>
      <c r="J306">
        <v>2</v>
      </c>
      <c r="K306" s="40">
        <v>45541</v>
      </c>
      <c r="L306">
        <v>2</v>
      </c>
      <c r="M306" s="40">
        <v>45558</v>
      </c>
      <c r="N306">
        <v>2</v>
      </c>
      <c r="O306" t="s">
        <v>1986</v>
      </c>
      <c r="P306" t="s">
        <v>1987</v>
      </c>
      <c r="Q306" t="s">
        <v>1988</v>
      </c>
      <c r="R306" t="s">
        <v>2192</v>
      </c>
      <c r="T306" s="40">
        <v>45489</v>
      </c>
      <c r="U306" s="40">
        <v>45490</v>
      </c>
      <c r="V306" s="40">
        <v>45522</v>
      </c>
      <c r="W306" s="40">
        <v>45522</v>
      </c>
      <c r="X306" s="157">
        <v>55608</v>
      </c>
      <c r="Y306" s="40" t="str" cm="1">
        <f t="array" aca="1" ref="Y306" ca="1">TRIM(SUBSTITUTE(_xlfn.ARRAYTOTEXT(IFERROR(CONCATENATE(SUMIF(INDIRECT("'"&amp;Assemblies[Assy]&amp;"'!"&amp;"C$5:C1000"), $C306, INDIRECT("'"&amp;Assemblies[Assy]&amp;"'!"&amp;"O$5:O1000")), "x",Assemblies[Assy],".",IF(SUMIF(INDIRECT("'"&amp;Assemblies[Assy]&amp;"'!"&amp;"C$5:C1000"), $C306, INDIRECT("'"&amp;Assemblies[Assy]&amp;"'!"&amp;"A$5:A1000"))=0,NA(),SUMIF(INDIRECT("'"&amp;Assemblies[Assy]&amp;"'!"&amp;"C$5:C1000"), $C306, INDIRECT("'"&amp;Assemblies[Assy]&amp;"'!"&amp;"A$5:A1000")))),"")), " ,", ""))</f>
        <v>, 2x6.1.11,</v>
      </c>
      <c r="AD306" s="141"/>
      <c r="AE306" s="296">
        <v>55723</v>
      </c>
      <c r="AF306" s="156"/>
      <c r="AG306"/>
    </row>
    <row r="307" spans="1:33" x14ac:dyDescent="0.25">
      <c r="A307" s="24" t="s">
        <v>2570</v>
      </c>
      <c r="B307" s="134" t="s">
        <v>54</v>
      </c>
      <c r="C307" t="str">
        <f>_xlfn.CONCAT(A307,".",B307)</f>
        <v>PG10.6.1.12.A</v>
      </c>
      <c r="D307" t="s">
        <v>2571</v>
      </c>
      <c r="E307" s="18">
        <v>111.1</v>
      </c>
      <c r="F307" s="19" cm="1">
        <f t="array" aca="1" ref="F307" ca="1">SUMPRODUCT(SUMIF(INDIRECT("'"&amp;Assemblies[Assy]&amp;"'!"&amp;"C5:C1000"),C307,(INDIRECT("'"&amp;Assemblies[Assy]&amp;"'!"&amp;"O5:O1000"))))</f>
        <v>2</v>
      </c>
      <c r="G307" s="19">
        <v>2</v>
      </c>
      <c r="H307" s="19" t="str">
        <f ca="1">IF(F307&lt;=G307," ","YES")</f>
        <v xml:space="preserve"> </v>
      </c>
      <c r="I307">
        <v>2</v>
      </c>
      <c r="J307">
        <v>2</v>
      </c>
      <c r="K307" s="40">
        <v>45541</v>
      </c>
      <c r="L307">
        <v>2</v>
      </c>
      <c r="M307" s="40">
        <v>45558</v>
      </c>
      <c r="N307">
        <v>2</v>
      </c>
      <c r="O307" t="s">
        <v>1986</v>
      </c>
      <c r="P307" t="s">
        <v>1987</v>
      </c>
      <c r="Q307" t="s">
        <v>1988</v>
      </c>
      <c r="R307" t="s">
        <v>1989</v>
      </c>
      <c r="T307" s="40">
        <v>45495</v>
      </c>
      <c r="U307" s="40">
        <v>45504</v>
      </c>
      <c r="V307" s="40">
        <v>45534</v>
      </c>
      <c r="W307" s="40">
        <v>45534</v>
      </c>
      <c r="X307" s="157">
        <v>55641</v>
      </c>
      <c r="Y307" s="40" t="str" cm="1">
        <f t="array" aca="1" ref="Y307" ca="1">TRIM(SUBSTITUTE(_xlfn.ARRAYTOTEXT(IFERROR(CONCATENATE(SUMIF(INDIRECT("'"&amp;Assemblies[Assy]&amp;"'!"&amp;"C$5:C1000"), $C307, INDIRECT("'"&amp;Assemblies[Assy]&amp;"'!"&amp;"O$5:O1000")), "x",Assemblies[Assy],".",IF(SUMIF(INDIRECT("'"&amp;Assemblies[Assy]&amp;"'!"&amp;"C$5:C1000"), $C307, INDIRECT("'"&amp;Assemblies[Assy]&amp;"'!"&amp;"A$5:A1000"))=0,NA(),SUMIF(INDIRECT("'"&amp;Assemblies[Assy]&amp;"'!"&amp;"C$5:C1000"), $C307, INDIRECT("'"&amp;Assemblies[Assy]&amp;"'!"&amp;"A$5:A1000")))),"")), " ,", ""))</f>
        <v>, 2x6.1.12,</v>
      </c>
      <c r="AD307" s="141"/>
      <c r="AE307" s="296">
        <v>55723</v>
      </c>
      <c r="AF307" s="156"/>
      <c r="AG307"/>
    </row>
    <row r="308" spans="1:33" x14ac:dyDescent="0.25">
      <c r="A308" s="24" t="s">
        <v>2572</v>
      </c>
      <c r="B308" s="134" t="s">
        <v>54</v>
      </c>
      <c r="C308" t="str">
        <f>_xlfn.CONCAT(A308,".",B308)</f>
        <v>PG10.6.1.13.A</v>
      </c>
      <c r="D308" t="s">
        <v>2573</v>
      </c>
      <c r="E308" s="18">
        <f>Z308+AA308+AB308+(65*AC308)</f>
        <v>0</v>
      </c>
      <c r="F308" s="19" cm="1">
        <f t="array" aca="1" ref="F308" ca="1">SUMPRODUCT(SUMIF(INDIRECT("'"&amp;Assemblies[Assy]&amp;"'!"&amp;"C5:C1000"),C308,(INDIRECT("'"&amp;Assemblies[Assy]&amp;"'!"&amp;"O5:O1000"))))</f>
        <v>3</v>
      </c>
      <c r="G308" s="19">
        <v>3</v>
      </c>
      <c r="H308" s="19" t="str">
        <f ca="1">IF(F308&lt;=G308," ","YES")</f>
        <v xml:space="preserve"> </v>
      </c>
      <c r="O308" t="s">
        <v>2189</v>
      </c>
      <c r="P308" t="s">
        <v>1993</v>
      </c>
      <c r="R308" t="s">
        <v>1988</v>
      </c>
      <c r="Y308" s="40" t="str" cm="1">
        <f t="array" aca="1" ref="Y308" ca="1">TRIM(SUBSTITUTE(_xlfn.ARRAYTOTEXT(IFERROR(CONCATENATE(SUMIF(INDIRECT("'"&amp;Assemblies[Assy]&amp;"'!"&amp;"C$5:C1000"), $C308, INDIRECT("'"&amp;Assemblies[Assy]&amp;"'!"&amp;"O$5:O1000")), "x",Assemblies[Assy],".",IF(SUMIF(INDIRECT("'"&amp;Assemblies[Assy]&amp;"'!"&amp;"C$5:C1000"), $C308, INDIRECT("'"&amp;Assemblies[Assy]&amp;"'!"&amp;"A$5:A1000"))=0,NA(),SUMIF(INDIRECT("'"&amp;Assemblies[Assy]&amp;"'!"&amp;"C$5:C1000"), $C308, INDIRECT("'"&amp;Assemblies[Assy]&amp;"'!"&amp;"A$5:A1000")))),"")), " ,", ""))</f>
        <v>, 1x5.3.12, 1x6.1.13, 1x8.3.7,</v>
      </c>
      <c r="Z308" s="141">
        <v>0</v>
      </c>
      <c r="AA308" s="141">
        <v>0</v>
      </c>
      <c r="AB308" s="141">
        <v>0</v>
      </c>
      <c r="AC308" s="39">
        <v>0</v>
      </c>
      <c r="AD308" s="141"/>
      <c r="AE308" s="296"/>
      <c r="AF308" s="156"/>
      <c r="AG308"/>
    </row>
    <row r="309" spans="1:33" x14ac:dyDescent="0.25">
      <c r="A309" s="24" t="s">
        <v>2574</v>
      </c>
      <c r="B309" s="134" t="s">
        <v>54</v>
      </c>
      <c r="C309" t="str">
        <f>_xlfn.CONCAT(A309,".",B309)</f>
        <v>PG10.6.1.14.A</v>
      </c>
      <c r="D309" t="s">
        <v>2575</v>
      </c>
      <c r="E309" s="18">
        <v>60.9</v>
      </c>
      <c r="F309" s="19" cm="1">
        <f t="array" aca="1" ref="F309" ca="1">SUMPRODUCT(SUMIF(INDIRECT("'"&amp;Assemblies[Assy]&amp;"'!"&amp;"C5:C1000"),C309,(INDIRECT("'"&amp;Assemblies[Assy]&amp;"'!"&amp;"O5:O1000"))))</f>
        <v>3</v>
      </c>
      <c r="G309" s="19">
        <v>3</v>
      </c>
      <c r="H309" s="19" t="str">
        <f ca="1">IF(F309&lt;=G309," ","YES")</f>
        <v xml:space="preserve"> </v>
      </c>
      <c r="I309">
        <v>3</v>
      </c>
      <c r="J309">
        <v>3</v>
      </c>
      <c r="L309">
        <v>3</v>
      </c>
      <c r="N309">
        <v>3</v>
      </c>
      <c r="O309" t="s">
        <v>2189</v>
      </c>
      <c r="P309" t="s">
        <v>1993</v>
      </c>
      <c r="R309" s="191" t="s">
        <v>1989</v>
      </c>
      <c r="S309" t="s">
        <v>2576</v>
      </c>
      <c r="T309" s="40">
        <v>45524</v>
      </c>
      <c r="U309" s="40">
        <v>45527</v>
      </c>
      <c r="V309" s="40">
        <v>45555</v>
      </c>
      <c r="W309" s="40">
        <v>45527</v>
      </c>
      <c r="X309" s="157">
        <v>55699</v>
      </c>
      <c r="Y309" s="40" t="str" cm="1">
        <f t="array" aca="1" ref="Y309" ca="1">TRIM(SUBSTITUTE(_xlfn.ARRAYTOTEXT(IFERROR(CONCATENATE(SUMIF(INDIRECT("'"&amp;Assemblies[Assy]&amp;"'!"&amp;"C$5:C1000"), $C309, INDIRECT("'"&amp;Assemblies[Assy]&amp;"'!"&amp;"O$5:O1000")), "x",Assemblies[Assy],".",IF(SUMIF(INDIRECT("'"&amp;Assemblies[Assy]&amp;"'!"&amp;"C$5:C1000"), $C309, INDIRECT("'"&amp;Assemblies[Assy]&amp;"'!"&amp;"A$5:A1000"))=0,NA(),SUMIF(INDIRECT("'"&amp;Assemblies[Assy]&amp;"'!"&amp;"C$5:C1000"), $C309, INDIRECT("'"&amp;Assemblies[Assy]&amp;"'!"&amp;"A$5:A1000")))),"")), " ,", ""))</f>
        <v>, 1x5.3.13, 1x6.1.14, 1x8.3.8,</v>
      </c>
      <c r="Z309" s="141">
        <v>0</v>
      </c>
      <c r="AA309" s="141">
        <v>0</v>
      </c>
      <c r="AB309" s="141">
        <v>0</v>
      </c>
      <c r="AC309" s="39">
        <v>0</v>
      </c>
      <c r="AD309" s="141"/>
      <c r="AE309" s="296"/>
      <c r="AF309" s="156"/>
      <c r="AG309"/>
    </row>
    <row r="310" spans="1:33" x14ac:dyDescent="0.25">
      <c r="A310" s="24" t="s">
        <v>2577</v>
      </c>
      <c r="B310" s="134" t="s">
        <v>54</v>
      </c>
      <c r="C310" t="str">
        <f>_xlfn.CONCAT(A310,".",B310)</f>
        <v>PG10.6.1.15.A</v>
      </c>
      <c r="D310" t="s">
        <v>2578</v>
      </c>
      <c r="E310" s="18">
        <v>85.55</v>
      </c>
      <c r="F310" s="19" cm="1">
        <f t="array" aca="1" ref="F310" ca="1">SUMPRODUCT(SUMIF(INDIRECT("'"&amp;Assemblies[Assy]&amp;"'!"&amp;"C5:C1000"),C310,(INDIRECT("'"&amp;Assemblies[Assy]&amp;"'!"&amp;"O5:O1000"))))</f>
        <v>4</v>
      </c>
      <c r="G310" s="19">
        <v>4</v>
      </c>
      <c r="H310" s="19" t="str">
        <f ca="1">IF(F310&lt;=G310," ","YES")</f>
        <v xml:space="preserve"> </v>
      </c>
      <c r="I310">
        <v>4</v>
      </c>
      <c r="J310">
        <v>4</v>
      </c>
      <c r="L310">
        <v>4</v>
      </c>
      <c r="N310">
        <v>4</v>
      </c>
      <c r="O310" t="s">
        <v>2189</v>
      </c>
      <c r="P310" t="s">
        <v>1993</v>
      </c>
      <c r="R310" s="191" t="s">
        <v>1989</v>
      </c>
      <c r="S310" t="s">
        <v>2576</v>
      </c>
      <c r="T310" s="40">
        <v>45524</v>
      </c>
      <c r="U310" s="40">
        <v>45527</v>
      </c>
      <c r="V310" s="40">
        <v>45555</v>
      </c>
      <c r="W310" s="40">
        <v>45527</v>
      </c>
      <c r="X310" s="157">
        <v>55699</v>
      </c>
      <c r="Y310" s="40" t="str" cm="1">
        <f t="array" aca="1" ref="Y310" ca="1">TRIM(SUBSTITUTE(_xlfn.ARRAYTOTEXT(IFERROR(CONCATENATE(SUMIF(INDIRECT("'"&amp;Assemblies[Assy]&amp;"'!"&amp;"C$5:C1000"), $C310, INDIRECT("'"&amp;Assemblies[Assy]&amp;"'!"&amp;"O$5:O1000")), "x",Assemblies[Assy],".",IF(SUMIF(INDIRECT("'"&amp;Assemblies[Assy]&amp;"'!"&amp;"C$5:C1000"), $C310, INDIRECT("'"&amp;Assemblies[Assy]&amp;"'!"&amp;"A$5:A1000"))=0,NA(),SUMIF(INDIRECT("'"&amp;Assemblies[Assy]&amp;"'!"&amp;"C$5:C1000"), $C310, INDIRECT("'"&amp;Assemblies[Assy]&amp;"'!"&amp;"A$5:A1000")))),"")), " ,", ""))</f>
        <v>, 2x5.3.14, 2x6.1.15,</v>
      </c>
      <c r="Z310" s="141">
        <v>0</v>
      </c>
      <c r="AA310" s="141">
        <v>0</v>
      </c>
      <c r="AB310" s="141">
        <v>0</v>
      </c>
      <c r="AC310" s="39">
        <v>0</v>
      </c>
      <c r="AD310" s="141"/>
      <c r="AE310" s="296"/>
      <c r="AF310" s="156"/>
      <c r="AG310"/>
    </row>
    <row r="311" spans="1:33" x14ac:dyDescent="0.25">
      <c r="A311" s="24" t="s">
        <v>2373</v>
      </c>
      <c r="B311" s="134" t="s">
        <v>54</v>
      </c>
      <c r="C311" t="str">
        <f>_xlfn.CONCAT(A311,".",B311)</f>
        <v>PG10.6.1.16.A</v>
      </c>
      <c r="D311" t="s">
        <v>2374</v>
      </c>
      <c r="E311" s="18">
        <f>Z311+AA311+AB311+(65*AC311)</f>
        <v>75</v>
      </c>
      <c r="F311" s="19" cm="1">
        <f t="array" aca="1" ref="F311" ca="1">SUMPRODUCT(SUMIF(INDIRECT("'"&amp;Assemblies[Assy]&amp;"'!"&amp;"C5:C1000"),C311,(INDIRECT("'"&amp;Assemblies[Assy]&amp;"'!"&amp;"O5:O1000"))))</f>
        <v>1</v>
      </c>
      <c r="G311" s="19">
        <v>1</v>
      </c>
      <c r="H311" s="19" t="str">
        <f ca="1">IF(F311&lt;=G311," ","YES")</f>
        <v xml:space="preserve"> </v>
      </c>
      <c r="O311" t="s">
        <v>1999</v>
      </c>
      <c r="P311" t="s">
        <v>1993</v>
      </c>
      <c r="R311" t="s">
        <v>2000</v>
      </c>
      <c r="T311" s="40" t="s">
        <v>2001</v>
      </c>
      <c r="U311" s="40">
        <v>45530</v>
      </c>
      <c r="V311" s="40">
        <v>45561</v>
      </c>
      <c r="X311" s="157">
        <v>55708</v>
      </c>
      <c r="Y311" s="40" t="str" cm="1">
        <f t="array" aca="1" ref="Y311" ca="1">TRIM(SUBSTITUTE(_xlfn.ARRAYTOTEXT(IFERROR(CONCATENATE(SUMIF(INDIRECT("'"&amp;Assemblies[Assy]&amp;"'!"&amp;"C$5:C1000"), $C311, INDIRECT("'"&amp;Assemblies[Assy]&amp;"'!"&amp;"O$5:O1000")), "x",Assemblies[Assy],".",IF(SUMIF(INDIRECT("'"&amp;Assemblies[Assy]&amp;"'!"&amp;"C$5:C1000"), $C311, INDIRECT("'"&amp;Assemblies[Assy]&amp;"'!"&amp;"A$5:A1000"))=0,NA(),SUMIF(INDIRECT("'"&amp;Assemblies[Assy]&amp;"'!"&amp;"C$5:C1000"), $C311, INDIRECT("'"&amp;Assemblies[Assy]&amp;"'!"&amp;"A$5:A1000")))),"")), " ,", ""))</f>
        <v>, 1x6.1.17,</v>
      </c>
      <c r="Z311" s="141">
        <v>75</v>
      </c>
      <c r="AA311" s="141">
        <v>0</v>
      </c>
      <c r="AB311" s="141">
        <v>0</v>
      </c>
      <c r="AC311" s="39">
        <v>0</v>
      </c>
      <c r="AD311" s="141" t="s">
        <v>1473</v>
      </c>
      <c r="AE311" s="296"/>
      <c r="AF311" s="156"/>
      <c r="AG311"/>
    </row>
    <row r="312" spans="1:33" x14ac:dyDescent="0.25">
      <c r="A312" s="24" t="s">
        <v>2375</v>
      </c>
      <c r="B312" s="134" t="s">
        <v>54</v>
      </c>
      <c r="C312" t="str">
        <f>_xlfn.CONCAT(A312,".",B312)</f>
        <v>PG10.6.1.17.A</v>
      </c>
      <c r="D312" t="s">
        <v>2376</v>
      </c>
      <c r="E312" s="18">
        <f>Z312+AA312+AB312+(65*AC312)</f>
        <v>75</v>
      </c>
      <c r="F312" s="19" cm="1">
        <f t="array" aca="1" ref="F312" ca="1">SUMPRODUCT(SUMIF(INDIRECT("'"&amp;Assemblies[Assy]&amp;"'!"&amp;"C5:C1000"),C312,(INDIRECT("'"&amp;Assemblies[Assy]&amp;"'!"&amp;"O5:O1000"))))</f>
        <v>1</v>
      </c>
      <c r="G312" s="19">
        <v>1</v>
      </c>
      <c r="H312" s="19" t="str">
        <f ca="1">IF(F312&lt;=G312," ","YES")</f>
        <v xml:space="preserve"> </v>
      </c>
      <c r="O312" t="s">
        <v>1999</v>
      </c>
      <c r="P312" t="s">
        <v>1993</v>
      </c>
      <c r="R312" t="s">
        <v>2000</v>
      </c>
      <c r="T312" s="40" t="s">
        <v>2001</v>
      </c>
      <c r="U312" s="40">
        <v>45530</v>
      </c>
      <c r="V312" s="40">
        <v>45561</v>
      </c>
      <c r="X312" s="157">
        <v>55708</v>
      </c>
      <c r="Y312" s="40" t="str" cm="1">
        <f t="array" aca="1" ref="Y312" ca="1">TRIM(SUBSTITUTE(_xlfn.ARRAYTOTEXT(IFERROR(CONCATENATE(SUMIF(INDIRECT("'"&amp;Assemblies[Assy]&amp;"'!"&amp;"C$5:C1000"), $C312, INDIRECT("'"&amp;Assemblies[Assy]&amp;"'!"&amp;"O$5:O1000")), "x",Assemblies[Assy],".",IF(SUMIF(INDIRECT("'"&amp;Assemblies[Assy]&amp;"'!"&amp;"C$5:C1000"), $C312, INDIRECT("'"&amp;Assemblies[Assy]&amp;"'!"&amp;"A$5:A1000"))=0,NA(),SUMIF(INDIRECT("'"&amp;Assemblies[Assy]&amp;"'!"&amp;"C$5:C1000"), $C312, INDIRECT("'"&amp;Assemblies[Assy]&amp;"'!"&amp;"A$5:A1000")))),"")), " ,", ""))</f>
        <v>, 1x6.1.18,</v>
      </c>
      <c r="Z312" s="141">
        <v>75</v>
      </c>
      <c r="AA312" s="141">
        <v>0</v>
      </c>
      <c r="AB312" s="141">
        <v>0</v>
      </c>
      <c r="AC312" s="39">
        <v>0</v>
      </c>
      <c r="AD312" s="141" t="s">
        <v>1473</v>
      </c>
      <c r="AE312" s="296"/>
      <c r="AF312" s="156"/>
      <c r="AG312"/>
    </row>
    <row r="313" spans="1:33" x14ac:dyDescent="0.25">
      <c r="A313" s="24" t="s">
        <v>2581</v>
      </c>
      <c r="B313" s="134" t="s">
        <v>54</v>
      </c>
      <c r="C313" t="str">
        <f>_xlfn.CONCAT(A313,".",B313)</f>
        <v>PG10.6.1.18.A</v>
      </c>
      <c r="D313" t="s">
        <v>2582</v>
      </c>
      <c r="E313" s="18">
        <f>Z313+AA313+AB313+(65*AC313)</f>
        <v>0</v>
      </c>
      <c r="F313" s="19" cm="1">
        <f t="array" aca="1" ref="F313" ca="1">SUMPRODUCT(SUMIF(INDIRECT("'"&amp;Assemblies[Assy]&amp;"'!"&amp;"C5:C1000"),C313,(INDIRECT("'"&amp;Assemblies[Assy]&amp;"'!"&amp;"O5:O1000"))))</f>
        <v>4</v>
      </c>
      <c r="G313" s="19">
        <v>4</v>
      </c>
      <c r="H313" s="19" t="str">
        <f ca="1">IF(F313&lt;=G313," ","YES")</f>
        <v xml:space="preserve"> </v>
      </c>
      <c r="I313">
        <v>4</v>
      </c>
      <c r="J313">
        <v>4</v>
      </c>
      <c r="L313">
        <v>4</v>
      </c>
      <c r="N313">
        <v>4</v>
      </c>
      <c r="O313" t="s">
        <v>2021</v>
      </c>
      <c r="P313" t="s">
        <v>2030</v>
      </c>
      <c r="R313" t="s">
        <v>2488</v>
      </c>
      <c r="T313" s="40">
        <v>45526</v>
      </c>
      <c r="U313" s="40">
        <v>45527</v>
      </c>
      <c r="V313" s="40">
        <v>45548</v>
      </c>
      <c r="W313" s="40">
        <v>45548</v>
      </c>
      <c r="X313" s="157">
        <v>55702</v>
      </c>
      <c r="Y313" s="40" t="str" cm="1">
        <f t="array" aca="1" ref="Y313" ca="1">TRIM(SUBSTITUTE(_xlfn.ARRAYTOTEXT(IFERROR(CONCATENATE(SUMIF(INDIRECT("'"&amp;Assemblies[Assy]&amp;"'!"&amp;"C$5:C1000"), $C313, INDIRECT("'"&amp;Assemblies[Assy]&amp;"'!"&amp;"O$5:O1000")), "x",Assemblies[Assy],".",IF(SUMIF(INDIRECT("'"&amp;Assemblies[Assy]&amp;"'!"&amp;"C$5:C1000"), $C313, INDIRECT("'"&amp;Assemblies[Assy]&amp;"'!"&amp;"A$5:A1000"))=0,NA(),SUMIF(INDIRECT("'"&amp;Assemblies[Assy]&amp;"'!"&amp;"C$5:C1000"), $C313, INDIRECT("'"&amp;Assemblies[Assy]&amp;"'!"&amp;"A$5:A1000")))),"")), " ,", ""))</f>
        <v>, 2x5.3.18, 2x6.1.19,</v>
      </c>
      <c r="Z313" s="141">
        <v>0</v>
      </c>
      <c r="AA313" s="141">
        <v>0</v>
      </c>
      <c r="AB313" s="141">
        <v>0</v>
      </c>
      <c r="AC313" s="39">
        <v>0</v>
      </c>
      <c r="AD313" s="141"/>
      <c r="AE313" s="296"/>
      <c r="AF313" s="156"/>
      <c r="AG313"/>
    </row>
    <row r="314" spans="1:33" x14ac:dyDescent="0.25">
      <c r="A314" s="24" t="s">
        <v>2377</v>
      </c>
      <c r="B314" s="134" t="s">
        <v>54</v>
      </c>
      <c r="C314" t="str">
        <f>_xlfn.CONCAT(A314,".",B314)</f>
        <v>PG10.6.1.19.A</v>
      </c>
      <c r="D314" t="s">
        <v>2378</v>
      </c>
      <c r="E314" s="18">
        <f>Z314+AA314+AB314+(65*AC314)</f>
        <v>75</v>
      </c>
      <c r="F314" s="19" cm="1">
        <f t="array" aca="1" ref="F314" ca="1">SUMPRODUCT(SUMIF(INDIRECT("'"&amp;Assemblies[Assy]&amp;"'!"&amp;"C5:C1000"),C314,(INDIRECT("'"&amp;Assemblies[Assy]&amp;"'!"&amp;"O5:O1000"))))</f>
        <v>1</v>
      </c>
      <c r="G314" s="19">
        <v>1</v>
      </c>
      <c r="H314" s="19" t="str">
        <f ca="1">IF(F314&lt;=G314," ","YES")</f>
        <v xml:space="preserve"> </v>
      </c>
      <c r="O314" t="s">
        <v>1999</v>
      </c>
      <c r="P314" t="s">
        <v>1993</v>
      </c>
      <c r="R314" t="s">
        <v>2000</v>
      </c>
      <c r="T314" s="40" t="s">
        <v>2001</v>
      </c>
      <c r="U314" s="40">
        <v>45530</v>
      </c>
      <c r="V314" s="40">
        <v>45561</v>
      </c>
      <c r="X314" s="157">
        <v>55708</v>
      </c>
      <c r="Y314" s="40" t="str" cm="1">
        <f t="array" aca="1" ref="Y314" ca="1">TRIM(SUBSTITUTE(_xlfn.ARRAYTOTEXT(IFERROR(CONCATENATE(SUMIF(INDIRECT("'"&amp;Assemblies[Assy]&amp;"'!"&amp;"C$5:C1000"), $C314, INDIRECT("'"&amp;Assemblies[Assy]&amp;"'!"&amp;"O$5:O1000")), "x",Assemblies[Assy],".",IF(SUMIF(INDIRECT("'"&amp;Assemblies[Assy]&amp;"'!"&amp;"C$5:C1000"), $C314, INDIRECT("'"&amp;Assemblies[Assy]&amp;"'!"&amp;"A$5:A1000"))=0,NA(),SUMIF(INDIRECT("'"&amp;Assemblies[Assy]&amp;"'!"&amp;"C$5:C1000"), $C314, INDIRECT("'"&amp;Assemblies[Assy]&amp;"'!"&amp;"A$5:A1000")))),"")), " ,", ""))</f>
        <v>, 1x6.1.20,</v>
      </c>
      <c r="Z314" s="141">
        <v>75</v>
      </c>
      <c r="AA314" s="141">
        <v>0</v>
      </c>
      <c r="AB314" s="141">
        <v>0</v>
      </c>
      <c r="AC314" s="39">
        <v>0</v>
      </c>
      <c r="AD314" s="141" t="s">
        <v>1473</v>
      </c>
      <c r="AE314" s="296"/>
      <c r="AF314" s="156"/>
      <c r="AG314"/>
    </row>
    <row r="315" spans="1:33" x14ac:dyDescent="0.25">
      <c r="A315" s="24" t="s">
        <v>2584</v>
      </c>
      <c r="B315" s="134" t="s">
        <v>54</v>
      </c>
      <c r="C315" t="str">
        <f>_xlfn.CONCAT(A315,".",B315)</f>
        <v>PG10.6.1.2.A</v>
      </c>
      <c r="D315" t="s">
        <v>2585</v>
      </c>
      <c r="E315" s="18">
        <v>201.85</v>
      </c>
      <c r="F315" s="19" cm="1">
        <f t="array" aca="1" ref="F315" ca="1">SUMPRODUCT(SUMIF(INDIRECT("'"&amp;Assemblies[Assy]&amp;"'!"&amp;"C5:C1000"),C315,(INDIRECT("'"&amp;Assemblies[Assy]&amp;"'!"&amp;"O5:O1000"))))</f>
        <v>6</v>
      </c>
      <c r="G315" s="19">
        <v>6</v>
      </c>
      <c r="H315" s="19" t="str">
        <f ca="1">IF(F315&lt;=G315," ","YES")</f>
        <v xml:space="preserve"> </v>
      </c>
      <c r="O315" t="s">
        <v>2067</v>
      </c>
      <c r="P315" t="s">
        <v>1987</v>
      </c>
      <c r="Q315" t="s">
        <v>1988</v>
      </c>
      <c r="R315" t="s">
        <v>2168</v>
      </c>
      <c r="T315" s="40">
        <v>45489</v>
      </c>
      <c r="U315" s="40">
        <v>45513</v>
      </c>
      <c r="V315" s="40">
        <v>45551</v>
      </c>
      <c r="W315" s="40">
        <v>45566</v>
      </c>
      <c r="X315" s="157">
        <v>55676</v>
      </c>
      <c r="Y315" s="40" t="str" cm="1">
        <f t="array" aca="1" ref="Y315" ca="1">TRIM(SUBSTITUTE(_xlfn.ARRAYTOTEXT(IFERROR(CONCATENATE(SUMIF(INDIRECT("'"&amp;Assemblies[Assy]&amp;"'!"&amp;"C$5:C1000"), $C315, INDIRECT("'"&amp;Assemblies[Assy]&amp;"'!"&amp;"O$5:O1000")), "x",Assemblies[Assy],".",IF(SUMIF(INDIRECT("'"&amp;Assemblies[Assy]&amp;"'!"&amp;"C$5:C1000"), $C315, INDIRECT("'"&amp;Assemblies[Assy]&amp;"'!"&amp;"A$5:A1000"))=0,NA(),SUMIF(INDIRECT("'"&amp;Assemblies[Assy]&amp;"'!"&amp;"C$5:C1000"), $C315, INDIRECT("'"&amp;Assemblies[Assy]&amp;"'!"&amp;"A$5:A1000")))),"")), " ,", ""))</f>
        <v>, 4x5.3.6, 2x6.1.2,</v>
      </c>
      <c r="Z315" s="141">
        <v>0</v>
      </c>
      <c r="AA315" s="141">
        <v>0</v>
      </c>
      <c r="AB315" s="141">
        <v>0</v>
      </c>
      <c r="AC315" s="39">
        <v>0</v>
      </c>
      <c r="AD315" s="141"/>
      <c r="AE315" s="296"/>
      <c r="AF315" s="156"/>
      <c r="AG315"/>
    </row>
    <row r="316" spans="1:33" x14ac:dyDescent="0.25">
      <c r="A316" s="24" t="s">
        <v>2379</v>
      </c>
      <c r="B316" s="134" t="s">
        <v>54</v>
      </c>
      <c r="C316" t="str">
        <f>_xlfn.CONCAT(A316,".",B316)</f>
        <v>PG10.6.1.20.A</v>
      </c>
      <c r="D316" t="s">
        <v>2380</v>
      </c>
      <c r="E316" s="18">
        <f>Z316+AA316+AB316+(65*AC316)</f>
        <v>75</v>
      </c>
      <c r="F316" s="19" cm="1">
        <f t="array" aca="1" ref="F316" ca="1">SUMPRODUCT(SUMIF(INDIRECT("'"&amp;Assemblies[Assy]&amp;"'!"&amp;"C5:C1000"),C316,(INDIRECT("'"&amp;Assemblies[Assy]&amp;"'!"&amp;"O5:O1000"))))</f>
        <v>1</v>
      </c>
      <c r="G316" s="19">
        <v>1</v>
      </c>
      <c r="H316" s="19" t="str">
        <f ca="1">IF(F316&lt;=G316," ","YES")</f>
        <v xml:space="preserve"> </v>
      </c>
      <c r="O316" t="s">
        <v>1999</v>
      </c>
      <c r="P316" t="s">
        <v>1993</v>
      </c>
      <c r="R316" t="s">
        <v>2000</v>
      </c>
      <c r="T316" s="40" t="s">
        <v>2001</v>
      </c>
      <c r="U316" s="40">
        <v>45530</v>
      </c>
      <c r="V316" s="40">
        <v>45561</v>
      </c>
      <c r="X316" s="157">
        <v>55708</v>
      </c>
      <c r="Y316" s="40" t="str" cm="1">
        <f t="array" aca="1" ref="Y316" ca="1">TRIM(SUBSTITUTE(_xlfn.ARRAYTOTEXT(IFERROR(CONCATENATE(SUMIF(INDIRECT("'"&amp;Assemblies[Assy]&amp;"'!"&amp;"C$5:C1000"), $C316, INDIRECT("'"&amp;Assemblies[Assy]&amp;"'!"&amp;"O$5:O1000")), "x",Assemblies[Assy],".",IF(SUMIF(INDIRECT("'"&amp;Assemblies[Assy]&amp;"'!"&amp;"C$5:C1000"), $C316, INDIRECT("'"&amp;Assemblies[Assy]&amp;"'!"&amp;"A$5:A1000"))=0,NA(),SUMIF(INDIRECT("'"&amp;Assemblies[Assy]&amp;"'!"&amp;"C$5:C1000"), $C316, INDIRECT("'"&amp;Assemblies[Assy]&amp;"'!"&amp;"A$5:A1000")))),"")), " ,", ""))</f>
        <v>, 1x6.1.21,</v>
      </c>
      <c r="Z316" s="141">
        <v>75</v>
      </c>
      <c r="AA316" s="141">
        <v>0</v>
      </c>
      <c r="AB316" s="141">
        <v>0</v>
      </c>
      <c r="AC316" s="39">
        <v>0</v>
      </c>
      <c r="AD316" s="141" t="s">
        <v>1473</v>
      </c>
      <c r="AE316" s="296"/>
      <c r="AF316" s="156"/>
      <c r="AG316"/>
    </row>
    <row r="317" spans="1:33" x14ac:dyDescent="0.25">
      <c r="A317" s="24" t="s">
        <v>2587</v>
      </c>
      <c r="B317" s="134" t="s">
        <v>54</v>
      </c>
      <c r="C317" t="str">
        <f>_xlfn.CONCAT(A317,".",B317)</f>
        <v>PG10.6.1.3.A</v>
      </c>
      <c r="D317" t="s">
        <v>2588</v>
      </c>
      <c r="E317" s="18">
        <v>158.94999999999999</v>
      </c>
      <c r="F317" s="19" cm="1">
        <f t="array" aca="1" ref="F317" ca="1">SUMPRODUCT(SUMIF(INDIRECT("'"&amp;Assemblies[Assy]&amp;"'!"&amp;"C5:C1000"),C317,(INDIRECT("'"&amp;Assemblies[Assy]&amp;"'!"&amp;"O5:O1000"))))</f>
        <v>2</v>
      </c>
      <c r="G317" s="19">
        <v>2</v>
      </c>
      <c r="H317" s="19" t="str">
        <f ca="1">IF(F317&lt;=G317," ","YES")</f>
        <v xml:space="preserve"> </v>
      </c>
      <c r="I317">
        <v>2</v>
      </c>
      <c r="J317">
        <v>2</v>
      </c>
      <c r="K317" s="40">
        <v>45541</v>
      </c>
      <c r="L317">
        <v>2</v>
      </c>
      <c r="M317" s="40">
        <v>45558</v>
      </c>
      <c r="N317">
        <v>2</v>
      </c>
      <c r="O317" t="s">
        <v>1986</v>
      </c>
      <c r="P317" t="s">
        <v>1987</v>
      </c>
      <c r="Q317" t="s">
        <v>1988</v>
      </c>
      <c r="R317" t="s">
        <v>1989</v>
      </c>
      <c r="T317" s="40">
        <v>45489</v>
      </c>
      <c r="U317" s="40">
        <v>45490</v>
      </c>
      <c r="V317" s="40">
        <v>45512</v>
      </c>
      <c r="W317" s="40">
        <v>45512</v>
      </c>
      <c r="X317" s="157">
        <v>55607</v>
      </c>
      <c r="Y317" s="40" t="str" cm="1">
        <f t="array" aca="1" ref="Y317" ca="1">TRIM(SUBSTITUTE(_xlfn.ARRAYTOTEXT(IFERROR(CONCATENATE(SUMIF(INDIRECT("'"&amp;Assemblies[Assy]&amp;"'!"&amp;"C$5:C1000"), $C317, INDIRECT("'"&amp;Assemblies[Assy]&amp;"'!"&amp;"O$5:O1000")), "x",Assemblies[Assy],".",IF(SUMIF(INDIRECT("'"&amp;Assemblies[Assy]&amp;"'!"&amp;"C$5:C1000"), $C317, INDIRECT("'"&amp;Assemblies[Assy]&amp;"'!"&amp;"A$5:A1000"))=0,NA(),SUMIF(INDIRECT("'"&amp;Assemblies[Assy]&amp;"'!"&amp;"C$5:C1000"), $C317, INDIRECT("'"&amp;Assemblies[Assy]&amp;"'!"&amp;"A$5:A1000")))),"")), " ,", ""))</f>
        <v>, 2x6.1.3,</v>
      </c>
      <c r="AD317" s="141"/>
      <c r="AE317" s="296">
        <v>55723</v>
      </c>
      <c r="AF317" s="156"/>
      <c r="AG317"/>
    </row>
    <row r="318" spans="1:33" x14ac:dyDescent="0.25">
      <c r="A318" s="24" t="s">
        <v>2589</v>
      </c>
      <c r="B318" s="134" t="s">
        <v>54</v>
      </c>
      <c r="C318" t="str">
        <f>_xlfn.CONCAT(A318,".",B318)</f>
        <v>PG10.6.1.4.A</v>
      </c>
      <c r="D318" t="s">
        <v>2590</v>
      </c>
      <c r="E318" s="18">
        <v>17.760000000000002</v>
      </c>
      <c r="F318" s="19" cm="1">
        <f t="array" aca="1" ref="F318" ca="1">SUMPRODUCT(SUMIF(INDIRECT("'"&amp;Assemblies[Assy]&amp;"'!"&amp;"C5:C1000"),C318,(INDIRECT("'"&amp;Assemblies[Assy]&amp;"'!"&amp;"O5:O1000"))))</f>
        <v>6</v>
      </c>
      <c r="G318" s="19">
        <v>6</v>
      </c>
      <c r="H318" s="19" t="str">
        <f ca="1">IF(F318&lt;=G318," ","YES")</f>
        <v xml:space="preserve"> </v>
      </c>
      <c r="I318">
        <v>6</v>
      </c>
      <c r="J318">
        <v>6</v>
      </c>
      <c r="K318" s="40">
        <v>45541</v>
      </c>
      <c r="L318">
        <v>6</v>
      </c>
      <c r="N318">
        <v>6</v>
      </c>
      <c r="O318" t="s">
        <v>2026</v>
      </c>
      <c r="P318" t="s">
        <v>2027</v>
      </c>
      <c r="Q318" t="s">
        <v>1988</v>
      </c>
      <c r="R318" t="s">
        <v>2178</v>
      </c>
      <c r="T318" s="40">
        <v>45489</v>
      </c>
      <c r="U318" s="40">
        <v>45490</v>
      </c>
      <c r="V318" s="40">
        <v>45522</v>
      </c>
      <c r="W318" s="40">
        <v>45522</v>
      </c>
      <c r="X318" s="157">
        <v>55609</v>
      </c>
      <c r="Y318" s="40" t="str" cm="1">
        <f t="array" aca="1" ref="Y318" ca="1">TRIM(SUBSTITUTE(_xlfn.ARRAYTOTEXT(IFERROR(CONCATENATE(SUMIF(INDIRECT("'"&amp;Assemblies[Assy]&amp;"'!"&amp;"C$5:C1000"), $C318, INDIRECT("'"&amp;Assemblies[Assy]&amp;"'!"&amp;"O$5:O1000")), "x",Assemblies[Assy],".",IF(SUMIF(INDIRECT("'"&amp;Assemblies[Assy]&amp;"'!"&amp;"C$5:C1000"), $C318, INDIRECT("'"&amp;Assemblies[Assy]&amp;"'!"&amp;"A$5:A1000"))=0,NA(),SUMIF(INDIRECT("'"&amp;Assemblies[Assy]&amp;"'!"&amp;"C$5:C1000"), $C318, INDIRECT("'"&amp;Assemblies[Assy]&amp;"'!"&amp;"A$5:A1000")))),"")), " ,", ""))</f>
        <v>, 6x6.1.4,</v>
      </c>
      <c r="AD318" s="141"/>
      <c r="AE318" s="296">
        <v>55722</v>
      </c>
      <c r="AF318" s="156"/>
      <c r="AG318"/>
    </row>
    <row r="319" spans="1:33" x14ac:dyDescent="0.25">
      <c r="A319" s="24" t="s">
        <v>2591</v>
      </c>
      <c r="B319" s="134" t="s">
        <v>54</v>
      </c>
      <c r="C319" t="str">
        <f>_xlfn.CONCAT(A319,".",B319)</f>
        <v>PG10.6.1.5.A</v>
      </c>
      <c r="D319" t="s">
        <v>2592</v>
      </c>
      <c r="E319" s="18">
        <v>421.98</v>
      </c>
      <c r="F319" s="19" cm="1">
        <f t="array" aca="1" ref="F319" ca="1">SUMPRODUCT(SUMIF(INDIRECT("'"&amp;Assemblies[Assy]&amp;"'!"&amp;"C5:C1000"),C319,(INDIRECT("'"&amp;Assemblies[Assy]&amp;"'!"&amp;"O5:O1000"))))</f>
        <v>2</v>
      </c>
      <c r="G319" s="19">
        <v>2</v>
      </c>
      <c r="H319" s="19" t="str">
        <f ca="1">IF(F319&lt;=G319," ","YES")</f>
        <v xml:space="preserve"> </v>
      </c>
      <c r="O319" t="s">
        <v>1986</v>
      </c>
      <c r="P319" t="s">
        <v>2165</v>
      </c>
      <c r="Q319" t="s">
        <v>1988</v>
      </c>
      <c r="R319" t="s">
        <v>2168</v>
      </c>
      <c r="T319" s="40">
        <v>45489</v>
      </c>
      <c r="U319" s="40">
        <v>45513</v>
      </c>
      <c r="V319" s="40">
        <v>45551</v>
      </c>
      <c r="W319" s="40">
        <v>45566</v>
      </c>
      <c r="X319" s="157">
        <v>55676</v>
      </c>
      <c r="Y319" s="40" t="str" cm="1">
        <f t="array" aca="1" ref="Y319" ca="1">TRIM(SUBSTITUTE(_xlfn.ARRAYTOTEXT(IFERROR(CONCATENATE(SUMIF(INDIRECT("'"&amp;Assemblies[Assy]&amp;"'!"&amp;"C$5:C1000"), $C319, INDIRECT("'"&amp;Assemblies[Assy]&amp;"'!"&amp;"O$5:O1000")), "x",Assemblies[Assy],".",IF(SUMIF(INDIRECT("'"&amp;Assemblies[Assy]&amp;"'!"&amp;"C$5:C1000"), $C319, INDIRECT("'"&amp;Assemblies[Assy]&amp;"'!"&amp;"A$5:A1000"))=0,NA(),SUMIF(INDIRECT("'"&amp;Assemblies[Assy]&amp;"'!"&amp;"C$5:C1000"), $C319, INDIRECT("'"&amp;Assemblies[Assy]&amp;"'!"&amp;"A$5:A1000")))),"")), " ,", ""))</f>
        <v>, 2x6.1.5,</v>
      </c>
      <c r="Z319" s="141">
        <v>0</v>
      </c>
      <c r="AA319" s="141">
        <v>0</v>
      </c>
      <c r="AB319" s="141">
        <v>0</v>
      </c>
      <c r="AC319" s="39">
        <v>0</v>
      </c>
      <c r="AD319" s="141"/>
      <c r="AE319" s="296"/>
      <c r="AF319" s="156"/>
      <c r="AG319"/>
    </row>
    <row r="320" spans="1:33" x14ac:dyDescent="0.25">
      <c r="A320" s="24" t="s">
        <v>2593</v>
      </c>
      <c r="B320" s="134" t="s">
        <v>54</v>
      </c>
      <c r="C320" t="str">
        <f>_xlfn.CONCAT(A320,".",B320)</f>
        <v>PG10.6.1.6.A</v>
      </c>
      <c r="D320" t="s">
        <v>2594</v>
      </c>
      <c r="E320" s="18">
        <v>107.1</v>
      </c>
      <c r="F320" s="355" cm="1">
        <f t="array" aca="1" ref="F320" ca="1">SUMPRODUCT(SUMIF(INDIRECT("'"&amp;Assemblies[Assy]&amp;"'!"&amp;"C5:C1000"),C320,(INDIRECT("'"&amp;Assemblies[Assy]&amp;"'!"&amp;"O5:O1000"))))</f>
        <v>4</v>
      </c>
      <c r="G320" s="19">
        <v>4</v>
      </c>
      <c r="H320" s="19" t="str">
        <f ca="1">IF(F320&lt;=G320," ","YES")</f>
        <v xml:space="preserve"> </v>
      </c>
      <c r="I320">
        <v>3</v>
      </c>
      <c r="J320">
        <v>3</v>
      </c>
      <c r="K320" s="40">
        <v>45541</v>
      </c>
      <c r="L320">
        <v>3</v>
      </c>
      <c r="M320" s="40">
        <v>45558</v>
      </c>
      <c r="N320">
        <v>3</v>
      </c>
      <c r="O320" t="s">
        <v>1986</v>
      </c>
      <c r="P320" t="s">
        <v>1987</v>
      </c>
      <c r="Q320" t="s">
        <v>1988</v>
      </c>
      <c r="R320" t="s">
        <v>3886</v>
      </c>
      <c r="S320" t="s">
        <v>3887</v>
      </c>
      <c r="T320" s="40">
        <v>45489</v>
      </c>
      <c r="U320" s="40">
        <v>45490</v>
      </c>
      <c r="V320" s="40">
        <v>45512</v>
      </c>
      <c r="W320" s="40">
        <v>45512</v>
      </c>
      <c r="X320" s="157">
        <v>55607</v>
      </c>
      <c r="Y320" s="40" t="str" cm="1">
        <f t="array" aca="1" ref="Y320" ca="1">TRIM(SUBSTITUTE(_xlfn.ARRAYTOTEXT(IFERROR(CONCATENATE(SUMIF(INDIRECT("'"&amp;Assemblies[Assy]&amp;"'!"&amp;"C$5:C1000"), $C320, INDIRECT("'"&amp;Assemblies[Assy]&amp;"'!"&amp;"O$5:O1000")), "x",Assemblies[Assy],".",IF(SUMIF(INDIRECT("'"&amp;Assemblies[Assy]&amp;"'!"&amp;"C$5:C1000"), $C320, INDIRECT("'"&amp;Assemblies[Assy]&amp;"'!"&amp;"A$5:A1000"))=0,NA(),SUMIF(INDIRECT("'"&amp;Assemblies[Assy]&amp;"'!"&amp;"C$5:C1000"), $C320, INDIRECT("'"&amp;Assemblies[Assy]&amp;"'!"&amp;"A$5:A1000")))),"")), " ,", ""))</f>
        <v>, 1x4.5.1.4, 1x5.3.7, 1x6.1.6, 1x8.3.9,</v>
      </c>
      <c r="AD320" s="141"/>
      <c r="AE320" s="296">
        <v>55723</v>
      </c>
      <c r="AF320" s="156"/>
      <c r="AG320"/>
    </row>
    <row r="321" spans="1:33" x14ac:dyDescent="0.25">
      <c r="A321" s="24" t="s">
        <v>2595</v>
      </c>
      <c r="B321" s="134" t="s">
        <v>54</v>
      </c>
      <c r="C321" t="str">
        <f>_xlfn.CONCAT(A321,".",B321)</f>
        <v>PG10.6.1.7.A</v>
      </c>
      <c r="D321" t="s">
        <v>2596</v>
      </c>
      <c r="E321" s="18">
        <v>27.5</v>
      </c>
      <c r="F321" s="19" cm="1">
        <f t="array" aca="1" ref="F321" ca="1">SUMPRODUCT(SUMIF(INDIRECT("'"&amp;Assemblies[Assy]&amp;"'!"&amp;"C5:C1000"),C321,(INDIRECT("'"&amp;Assemblies[Assy]&amp;"'!"&amp;"O5:O1000"))))</f>
        <v>24</v>
      </c>
      <c r="G321" s="19">
        <v>24</v>
      </c>
      <c r="H321" s="19" t="str">
        <f ca="1">IF(F321&lt;=G321," ","YES")</f>
        <v xml:space="preserve"> </v>
      </c>
      <c r="I321">
        <v>24</v>
      </c>
      <c r="J321">
        <v>24</v>
      </c>
      <c r="K321" s="40">
        <v>45512</v>
      </c>
      <c r="L321">
        <v>24</v>
      </c>
      <c r="M321" s="40">
        <v>45520</v>
      </c>
      <c r="N321">
        <v>24</v>
      </c>
      <c r="O321" t="s">
        <v>2026</v>
      </c>
      <c r="P321" t="s">
        <v>2027</v>
      </c>
      <c r="Q321" t="s">
        <v>1988</v>
      </c>
      <c r="R321" t="s">
        <v>2192</v>
      </c>
      <c r="T321" s="40">
        <v>45468</v>
      </c>
      <c r="U321" s="40">
        <v>45483</v>
      </c>
      <c r="V321" s="40">
        <v>45502</v>
      </c>
      <c r="W321" s="40">
        <v>45502</v>
      </c>
      <c r="X321" s="157">
        <v>55595</v>
      </c>
      <c r="Y321" s="40" t="str" cm="1">
        <f t="array" aca="1" ref="Y321" ca="1">TRIM(SUBSTITUTE(_xlfn.ARRAYTOTEXT(IFERROR(CONCATENATE(SUMIF(INDIRECT("'"&amp;Assemblies[Assy]&amp;"'!"&amp;"C$5:C1000"), $C321, INDIRECT("'"&amp;Assemblies[Assy]&amp;"'!"&amp;"O$5:O1000")), "x",Assemblies[Assy],".",IF(SUMIF(INDIRECT("'"&amp;Assemblies[Assy]&amp;"'!"&amp;"C$5:C1000"), $C321, INDIRECT("'"&amp;Assemblies[Assy]&amp;"'!"&amp;"A$5:A1000"))=0,NA(),SUMIF(INDIRECT("'"&amp;Assemblies[Assy]&amp;"'!"&amp;"C$5:C1000"), $C321, INDIRECT("'"&amp;Assemblies[Assy]&amp;"'!"&amp;"A$5:A1000")))),"")), " ,", ""))</f>
        <v>, 8x5.3.8, 8x6.1.7, 8x8.3.5,</v>
      </c>
      <c r="AD321" s="141"/>
      <c r="AE321" s="296">
        <v>55670</v>
      </c>
      <c r="AF321" s="156"/>
      <c r="AG321"/>
    </row>
    <row r="322" spans="1:33" x14ac:dyDescent="0.25">
      <c r="A322" s="24" t="s">
        <v>2597</v>
      </c>
      <c r="B322" s="134" t="s">
        <v>54</v>
      </c>
      <c r="C322" t="str">
        <f>_xlfn.CONCAT(A322,".",B322)</f>
        <v>PG10.6.1.8.A</v>
      </c>
      <c r="D322" t="s">
        <v>2598</v>
      </c>
      <c r="E322" s="18">
        <v>119.15</v>
      </c>
      <c r="F322" s="19" cm="1">
        <f t="array" aca="1" ref="F322" ca="1">SUMPRODUCT(SUMIF(INDIRECT("'"&amp;Assemblies[Assy]&amp;"'!"&amp;"C5:C1000"),C322,(INDIRECT("'"&amp;Assemblies[Assy]&amp;"'!"&amp;"O5:O1000"))))</f>
        <v>2</v>
      </c>
      <c r="G322" s="19">
        <v>2</v>
      </c>
      <c r="H322" s="19" t="str">
        <f ca="1">IF(F322&lt;=G322," ","YES")</f>
        <v xml:space="preserve"> </v>
      </c>
      <c r="I322">
        <v>2</v>
      </c>
      <c r="J322">
        <v>2</v>
      </c>
      <c r="K322" s="40">
        <v>45541</v>
      </c>
      <c r="L322">
        <v>2</v>
      </c>
      <c r="M322" s="40">
        <v>45558</v>
      </c>
      <c r="N322">
        <v>2</v>
      </c>
      <c r="O322" t="s">
        <v>1986</v>
      </c>
      <c r="P322" t="s">
        <v>1987</v>
      </c>
      <c r="Q322" t="s">
        <v>1988</v>
      </c>
      <c r="R322" t="s">
        <v>1989</v>
      </c>
      <c r="T322" s="40">
        <v>45489</v>
      </c>
      <c r="U322" s="40">
        <v>45490</v>
      </c>
      <c r="V322" s="40">
        <v>45512</v>
      </c>
      <c r="W322" s="40">
        <v>45512</v>
      </c>
      <c r="X322" s="157">
        <v>55607</v>
      </c>
      <c r="Y322" s="40" t="str" cm="1">
        <f t="array" aca="1" ref="Y322" ca="1">TRIM(SUBSTITUTE(_xlfn.ARRAYTOTEXT(IFERROR(CONCATENATE(SUMIF(INDIRECT("'"&amp;Assemblies[Assy]&amp;"'!"&amp;"C$5:C1000"), $C322, INDIRECT("'"&amp;Assemblies[Assy]&amp;"'!"&amp;"O$5:O1000")), "x",Assemblies[Assy],".",IF(SUMIF(INDIRECT("'"&amp;Assemblies[Assy]&amp;"'!"&amp;"C$5:C1000"), $C322, INDIRECT("'"&amp;Assemblies[Assy]&amp;"'!"&amp;"A$5:A1000"))=0,NA(),SUMIF(INDIRECT("'"&amp;Assemblies[Assy]&amp;"'!"&amp;"C$5:C1000"), $C322, INDIRECT("'"&amp;Assemblies[Assy]&amp;"'!"&amp;"A$5:A1000")))),"")), " ,", ""))</f>
        <v>, 1x5.3.9, 1x6.1.8,</v>
      </c>
      <c r="AD322" s="141"/>
      <c r="AE322" s="296">
        <v>55723</v>
      </c>
      <c r="AF322" s="156"/>
      <c r="AG322"/>
    </row>
    <row r="323" spans="1:33" x14ac:dyDescent="0.25">
      <c r="A323" s="24" t="s">
        <v>2599</v>
      </c>
      <c r="B323" s="134" t="s">
        <v>54</v>
      </c>
      <c r="C323" t="str">
        <f>_xlfn.CONCAT(A323,".",B323)</f>
        <v>PG10.6.1.9.A</v>
      </c>
      <c r="D323" t="s">
        <v>2600</v>
      </c>
      <c r="E323" s="18">
        <v>45</v>
      </c>
      <c r="F323" s="19" cm="1">
        <f t="array" aca="1" ref="F323" ca="1">SUMPRODUCT(SUMIF(INDIRECT("'"&amp;Assemblies[Assy]&amp;"'!"&amp;"C5:C1000"),C323,(INDIRECT("'"&amp;Assemblies[Assy]&amp;"'!"&amp;"O5:O1000"))))</f>
        <v>6</v>
      </c>
      <c r="G323" s="19">
        <v>6</v>
      </c>
      <c r="H323" s="19" t="str">
        <f ca="1">IF(F323&lt;=G323," ","YES")</f>
        <v xml:space="preserve"> </v>
      </c>
      <c r="I323">
        <v>6</v>
      </c>
      <c r="J323">
        <v>6</v>
      </c>
      <c r="K323" s="40">
        <v>45512</v>
      </c>
      <c r="L323">
        <v>6</v>
      </c>
      <c r="M323" s="40">
        <v>45520</v>
      </c>
      <c r="N323">
        <v>6</v>
      </c>
      <c r="O323" t="s">
        <v>1986</v>
      </c>
      <c r="P323" t="s">
        <v>1987</v>
      </c>
      <c r="Q323" t="s">
        <v>1988</v>
      </c>
      <c r="R323" t="s">
        <v>2192</v>
      </c>
      <c r="T323" s="40">
        <v>45468</v>
      </c>
      <c r="U323" s="40">
        <v>45483</v>
      </c>
      <c r="V323" s="40">
        <v>45502</v>
      </c>
      <c r="W323" s="40">
        <v>45502</v>
      </c>
      <c r="X323" s="157">
        <v>55595</v>
      </c>
      <c r="Y323" s="40" t="str" cm="1">
        <f t="array" aca="1" ref="Y323" ca="1">TRIM(SUBSTITUTE(_xlfn.ARRAYTOTEXT(IFERROR(CONCATENATE(SUMIF(INDIRECT("'"&amp;Assemblies[Assy]&amp;"'!"&amp;"C$5:C1000"), $C323, INDIRECT("'"&amp;Assemblies[Assy]&amp;"'!"&amp;"O$5:O1000")), "x",Assemblies[Assy],".",IF(SUMIF(INDIRECT("'"&amp;Assemblies[Assy]&amp;"'!"&amp;"C$5:C1000"), $C323, INDIRECT("'"&amp;Assemblies[Assy]&amp;"'!"&amp;"A$5:A1000"))=0,NA(),SUMIF(INDIRECT("'"&amp;Assemblies[Assy]&amp;"'!"&amp;"C$5:C1000"), $C323, INDIRECT("'"&amp;Assemblies[Assy]&amp;"'!"&amp;"A$5:A1000")))),"")), " ,", ""))</f>
        <v>, 2x5.3.10, 2x6.1.9, 2x8.3.6,</v>
      </c>
      <c r="AD323" s="141"/>
      <c r="AE323" s="296">
        <v>55668</v>
      </c>
      <c r="AF323" s="156"/>
      <c r="AG323"/>
    </row>
    <row r="324" spans="1:33" x14ac:dyDescent="0.25">
      <c r="A324" s="24" t="s">
        <v>2601</v>
      </c>
      <c r="B324" s="134" t="s">
        <v>54</v>
      </c>
      <c r="C324" t="str">
        <f>_xlfn.CONCAT(A324,".",B324)</f>
        <v>PG10.6.10.1.1.A</v>
      </c>
      <c r="D324" t="s">
        <v>2602</v>
      </c>
      <c r="E324" s="18">
        <f>Z324+AA324+AB324+(65*AC324)</f>
        <v>0</v>
      </c>
      <c r="F324" s="19" cm="1">
        <f t="array" aca="1" ref="F324" ca="1">SUMPRODUCT(SUMIF(INDIRECT("'"&amp;Assemblies[Assy]&amp;"'!"&amp;"C5:C1000"),C324,(INDIRECT("'"&amp;Assemblies[Assy]&amp;"'!"&amp;"O5:O1000"))))</f>
        <v>2</v>
      </c>
      <c r="H324" s="19" t="str">
        <f ca="1">IF(F324&lt;=G324," ","YES")</f>
        <v>YES</v>
      </c>
      <c r="O324" t="s">
        <v>1986</v>
      </c>
      <c r="P324" t="s">
        <v>2165</v>
      </c>
      <c r="S324" t="s">
        <v>2603</v>
      </c>
      <c r="Y324" s="40" t="str" cm="1">
        <f t="array" aca="1" ref="Y324" ca="1">TRIM(SUBSTITUTE(_xlfn.ARRAYTOTEXT(IFERROR(CONCATENATE(SUMIF(INDIRECT("'"&amp;Assemblies[Assy]&amp;"'!"&amp;"C$5:C1000"), $C324, INDIRECT("'"&amp;Assemblies[Assy]&amp;"'!"&amp;"O$5:O1000")), "x",Assemblies[Assy],".",IF(SUMIF(INDIRECT("'"&amp;Assemblies[Assy]&amp;"'!"&amp;"C$5:C1000"), $C324, INDIRECT("'"&amp;Assemblies[Assy]&amp;"'!"&amp;"A$5:A1000"))=0,NA(),SUMIF(INDIRECT("'"&amp;Assemblies[Assy]&amp;"'!"&amp;"C$5:C1000"), $C324, INDIRECT("'"&amp;Assemblies[Assy]&amp;"'!"&amp;"A$5:A1000")))),"")), " ,", ""))</f>
        <v>, 2x6.10.1.1,</v>
      </c>
      <c r="Z324" s="141">
        <v>0</v>
      </c>
      <c r="AA324" s="141">
        <v>0</v>
      </c>
      <c r="AB324" s="141">
        <v>0</v>
      </c>
      <c r="AC324" s="39">
        <v>0</v>
      </c>
      <c r="AD324" s="141"/>
      <c r="AE324" s="296"/>
      <c r="AF324" s="156"/>
      <c r="AG324"/>
    </row>
    <row r="325" spans="1:33" x14ac:dyDescent="0.25">
      <c r="A325" s="24" t="s">
        <v>2604</v>
      </c>
      <c r="B325" s="134" t="s">
        <v>54</v>
      </c>
      <c r="C325" t="str">
        <f>_xlfn.CONCAT(A325,".",B325)</f>
        <v>PG10.6.10.1.2.A</v>
      </c>
      <c r="D325" t="s">
        <v>2605</v>
      </c>
      <c r="E325" s="18">
        <f>Z325+AA325+AB325+(65*AC325)</f>
        <v>0</v>
      </c>
      <c r="F325" s="19" cm="1">
        <f t="array" aca="1" ref="F325" ca="1">SUMPRODUCT(SUMIF(INDIRECT("'"&amp;Assemblies[Assy]&amp;"'!"&amp;"C5:C1000"),C325,(INDIRECT("'"&amp;Assemblies[Assy]&amp;"'!"&amp;"O5:O1000"))))</f>
        <v>4</v>
      </c>
      <c r="H325" s="19" t="str">
        <f ca="1">IF(F325&lt;=G325," ","YES")</f>
        <v>YES</v>
      </c>
      <c r="O325" t="s">
        <v>2021</v>
      </c>
      <c r="P325" t="s">
        <v>2606</v>
      </c>
      <c r="S325" t="s">
        <v>2603</v>
      </c>
      <c r="Y325" s="40" t="str" cm="1">
        <f t="array" aca="1" ref="Y325" ca="1">TRIM(SUBSTITUTE(_xlfn.ARRAYTOTEXT(IFERROR(CONCATENATE(SUMIF(INDIRECT("'"&amp;Assemblies[Assy]&amp;"'!"&amp;"C$5:C1000"), $C325, INDIRECT("'"&amp;Assemblies[Assy]&amp;"'!"&amp;"O$5:O1000")), "x",Assemblies[Assy],".",IF(SUMIF(INDIRECT("'"&amp;Assemblies[Assy]&amp;"'!"&amp;"C$5:C1000"), $C325, INDIRECT("'"&amp;Assemblies[Assy]&amp;"'!"&amp;"A$5:A1000"))=0,NA(),SUMIF(INDIRECT("'"&amp;Assemblies[Assy]&amp;"'!"&amp;"C$5:C1000"), $C325, INDIRECT("'"&amp;Assemblies[Assy]&amp;"'!"&amp;"A$5:A1000")))),"")), " ,", ""))</f>
        <v>, 4x6.10.1.2,</v>
      </c>
      <c r="Z325" s="141">
        <v>0</v>
      </c>
      <c r="AA325" s="141">
        <v>0</v>
      </c>
      <c r="AB325" s="141">
        <v>0</v>
      </c>
      <c r="AC325" s="39">
        <v>0</v>
      </c>
      <c r="AD325" s="141"/>
      <c r="AE325" s="296"/>
      <c r="AF325" s="156"/>
      <c r="AG325"/>
    </row>
    <row r="326" spans="1:33" x14ac:dyDescent="0.25">
      <c r="A326" s="24" t="s">
        <v>2607</v>
      </c>
      <c r="B326" s="134" t="s">
        <v>56</v>
      </c>
      <c r="C326" t="str">
        <f>_xlfn.CONCAT(A326,".",B326)</f>
        <v>PG10.6.10.1.B</v>
      </c>
      <c r="D326" t="s">
        <v>2608</v>
      </c>
      <c r="E326" s="18">
        <v>188.43</v>
      </c>
      <c r="F326" s="19" cm="1">
        <f t="array" aca="1" ref="F326" ca="1">SUMPRODUCT(SUMIF(INDIRECT("'"&amp;Assemblies[Assy]&amp;"'!"&amp;"C5:C1000"),C326,(INDIRECT("'"&amp;Assemblies[Assy]&amp;"'!"&amp;"O5:O1000"))))</f>
        <v>2</v>
      </c>
      <c r="G326" s="19">
        <v>2</v>
      </c>
      <c r="H326" s="19" t="str">
        <f ca="1">IF(F326&lt;=G326," ","YES")</f>
        <v xml:space="preserve"> </v>
      </c>
      <c r="I326">
        <v>2</v>
      </c>
      <c r="J326">
        <v>2</v>
      </c>
      <c r="L326">
        <v>2</v>
      </c>
      <c r="N326">
        <v>2</v>
      </c>
      <c r="O326" t="s">
        <v>1986</v>
      </c>
      <c r="P326" t="s">
        <v>2165</v>
      </c>
      <c r="R326" t="s">
        <v>3662</v>
      </c>
      <c r="S326" s="40"/>
      <c r="T326" s="40">
        <v>45527</v>
      </c>
      <c r="U326" s="40">
        <v>45530</v>
      </c>
      <c r="V326" s="40">
        <v>45560</v>
      </c>
      <c r="W326" s="40">
        <v>45560</v>
      </c>
      <c r="X326" s="157">
        <v>55706</v>
      </c>
      <c r="Y326" s="40" t="str" cm="1">
        <f t="array" aca="1" ref="Y326" ca="1">TRIM(SUBSTITUTE(_xlfn.ARRAYTOTEXT(IFERROR(CONCATENATE(SUMIF(INDIRECT("'"&amp;Assemblies[Assy]&amp;"'!"&amp;"C$5:C1000"), $C326, INDIRECT("'"&amp;Assemblies[Assy]&amp;"'!"&amp;"O$5:O1000")), "x",Assemblies[Assy],".",IF(SUMIF(INDIRECT("'"&amp;Assemblies[Assy]&amp;"'!"&amp;"C$5:C1000"), $C326, INDIRECT("'"&amp;Assemblies[Assy]&amp;"'!"&amp;"A$5:A1000"))=0,NA(),SUMIF(INDIRECT("'"&amp;Assemblies[Assy]&amp;"'!"&amp;"C$5:C1000"), $C326, INDIRECT("'"&amp;Assemblies[Assy]&amp;"'!"&amp;"A$5:A1000")))),"")), " ,", ""))</f>
        <v>, 2x6.10.1,</v>
      </c>
      <c r="Z326" s="141">
        <v>0</v>
      </c>
      <c r="AA326" s="141">
        <v>0</v>
      </c>
      <c r="AB326" s="141">
        <v>0</v>
      </c>
      <c r="AC326" s="39">
        <v>0</v>
      </c>
      <c r="AD326" s="141"/>
      <c r="AE326" s="296"/>
      <c r="AF326" s="156"/>
      <c r="AG326"/>
    </row>
    <row r="327" spans="1:33" x14ac:dyDescent="0.25">
      <c r="A327" s="24" t="s">
        <v>2609</v>
      </c>
      <c r="B327" s="134" t="s">
        <v>54</v>
      </c>
      <c r="C327" t="str">
        <f>_xlfn.CONCAT(A327,".",B327)</f>
        <v>PG10.6.10.10.A</v>
      </c>
      <c r="D327" t="s">
        <v>2610</v>
      </c>
      <c r="E327" s="18">
        <v>991.3</v>
      </c>
      <c r="F327" s="19" cm="1">
        <f t="array" aca="1" ref="F327" ca="1">SUMPRODUCT(SUMIF(INDIRECT("'"&amp;Assemblies[Assy]&amp;"'!"&amp;"C5:C1000"),C327,(INDIRECT("'"&amp;Assemblies[Assy]&amp;"'!"&amp;"O5:O1000"))))</f>
        <v>2</v>
      </c>
      <c r="G327" s="19">
        <v>2</v>
      </c>
      <c r="H327" s="19" t="str">
        <f ca="1">IF(F327&lt;=G327," ","YES")</f>
        <v xml:space="preserve"> </v>
      </c>
      <c r="I327">
        <v>2</v>
      </c>
      <c r="J327">
        <v>2</v>
      </c>
      <c r="L327">
        <v>2</v>
      </c>
      <c r="N327">
        <v>2</v>
      </c>
      <c r="O327" t="s">
        <v>1986</v>
      </c>
      <c r="P327" t="s">
        <v>2165</v>
      </c>
      <c r="R327" t="s">
        <v>3662</v>
      </c>
      <c r="T327" s="40">
        <v>45527</v>
      </c>
      <c r="U327" s="40">
        <v>45530</v>
      </c>
      <c r="V327" s="40">
        <v>45560</v>
      </c>
      <c r="W327" s="40">
        <v>45560</v>
      </c>
      <c r="X327" s="157">
        <v>55706</v>
      </c>
      <c r="Y327" s="40" t="str" cm="1">
        <f t="array" aca="1" ref="Y327" ca="1">TRIM(SUBSTITUTE(_xlfn.ARRAYTOTEXT(IFERROR(CONCATENATE(SUMIF(INDIRECT("'"&amp;Assemblies[Assy]&amp;"'!"&amp;"C$5:C1000"), $C327, INDIRECT("'"&amp;Assemblies[Assy]&amp;"'!"&amp;"O$5:O1000")), "x",Assemblies[Assy],".",IF(SUMIF(INDIRECT("'"&amp;Assemblies[Assy]&amp;"'!"&amp;"C$5:C1000"), $C327, INDIRECT("'"&amp;Assemblies[Assy]&amp;"'!"&amp;"A$5:A1000"))=0,NA(),SUMIF(INDIRECT("'"&amp;Assemblies[Assy]&amp;"'!"&amp;"C$5:C1000"), $C327, INDIRECT("'"&amp;Assemblies[Assy]&amp;"'!"&amp;"A$5:A1000")))),"")), " ,", ""))</f>
        <v>, 2x6.10.10,</v>
      </c>
      <c r="Z327" s="141">
        <v>0</v>
      </c>
      <c r="AA327" s="141">
        <v>0</v>
      </c>
      <c r="AB327" s="141">
        <v>0</v>
      </c>
      <c r="AC327" s="39">
        <v>0</v>
      </c>
      <c r="AD327" s="141" t="s">
        <v>1473</v>
      </c>
      <c r="AE327" s="296"/>
      <c r="AF327" s="156"/>
      <c r="AG327"/>
    </row>
    <row r="328" spans="1:33" x14ac:dyDescent="0.25">
      <c r="A328" s="24" t="s">
        <v>2611</v>
      </c>
      <c r="B328" s="134" t="s">
        <v>54</v>
      </c>
      <c r="C328" t="str">
        <f>_xlfn.CONCAT(A328,".",B328)</f>
        <v>PG10.6.10.11.A</v>
      </c>
      <c r="D328" t="s">
        <v>2612</v>
      </c>
      <c r="E328" s="18">
        <v>112.87</v>
      </c>
      <c r="F328" s="19" cm="1">
        <f t="array" aca="1" ref="F328" ca="1">SUMPRODUCT(SUMIF(INDIRECT("'"&amp;Assemblies[Assy]&amp;"'!"&amp;"C5:C1000"),C328,(INDIRECT("'"&amp;Assemblies[Assy]&amp;"'!"&amp;"O5:O1000"))))</f>
        <v>2</v>
      </c>
      <c r="G328" s="19">
        <v>2</v>
      </c>
      <c r="H328" s="19" t="str">
        <f ca="1">IF(F328&lt;=G328," ","YES")</f>
        <v xml:space="preserve"> </v>
      </c>
      <c r="I328">
        <v>2</v>
      </c>
      <c r="J328">
        <v>2</v>
      </c>
      <c r="L328">
        <v>2</v>
      </c>
      <c r="N328">
        <v>2</v>
      </c>
      <c r="O328" t="s">
        <v>1986</v>
      </c>
      <c r="P328" t="s">
        <v>2165</v>
      </c>
      <c r="R328" t="s">
        <v>3662</v>
      </c>
      <c r="T328" s="40">
        <v>45527</v>
      </c>
      <c r="U328" s="40">
        <v>45530</v>
      </c>
      <c r="V328" s="40">
        <v>45560</v>
      </c>
      <c r="W328" s="40">
        <v>45560</v>
      </c>
      <c r="X328" s="157">
        <v>55706</v>
      </c>
      <c r="Y328" s="40" t="str" cm="1">
        <f t="array" aca="1" ref="Y328" ca="1">TRIM(SUBSTITUTE(_xlfn.ARRAYTOTEXT(IFERROR(CONCATENATE(SUMIF(INDIRECT("'"&amp;Assemblies[Assy]&amp;"'!"&amp;"C$5:C1000"), $C328, INDIRECT("'"&amp;Assemblies[Assy]&amp;"'!"&amp;"O$5:O1000")), "x",Assemblies[Assy],".",IF(SUMIF(INDIRECT("'"&amp;Assemblies[Assy]&amp;"'!"&amp;"C$5:C1000"), $C328, INDIRECT("'"&amp;Assemblies[Assy]&amp;"'!"&amp;"A$5:A1000"))=0,NA(),SUMIF(INDIRECT("'"&amp;Assemblies[Assy]&amp;"'!"&amp;"C$5:C1000"), $C328, INDIRECT("'"&amp;Assemblies[Assy]&amp;"'!"&amp;"A$5:A1000")))),"")), " ,", ""))</f>
        <v>, 2x6.10.11,</v>
      </c>
      <c r="Z328" s="141">
        <v>0</v>
      </c>
      <c r="AA328" s="141">
        <v>0</v>
      </c>
      <c r="AB328" s="141">
        <v>0</v>
      </c>
      <c r="AC328" s="39">
        <v>0</v>
      </c>
      <c r="AD328" s="141" t="s">
        <v>1473</v>
      </c>
      <c r="AE328" s="296"/>
      <c r="AF328" s="156"/>
      <c r="AG328"/>
    </row>
    <row r="329" spans="1:33" x14ac:dyDescent="0.25">
      <c r="A329" s="24" t="s">
        <v>2613</v>
      </c>
      <c r="B329" s="134" t="s">
        <v>54</v>
      </c>
      <c r="C329" t="str">
        <f>_xlfn.CONCAT(A329,".",B329)</f>
        <v>PG10.6.10.12.A</v>
      </c>
      <c r="D329" t="s">
        <v>2614</v>
      </c>
      <c r="E329" s="18">
        <v>113</v>
      </c>
      <c r="F329" s="19" cm="1">
        <f t="array" aca="1" ref="F329" ca="1">SUMPRODUCT(SUMIF(INDIRECT("'"&amp;Assemblies[Assy]&amp;"'!"&amp;"C5:C1000"),C329,(INDIRECT("'"&amp;Assemblies[Assy]&amp;"'!"&amp;"O5:O1000"))))</f>
        <v>2</v>
      </c>
      <c r="G329" s="19">
        <v>2</v>
      </c>
      <c r="H329" s="19" t="str">
        <f ca="1">IF(F329&lt;=G329," ","YES")</f>
        <v xml:space="preserve"> </v>
      </c>
      <c r="I329">
        <v>2</v>
      </c>
      <c r="J329">
        <v>2</v>
      </c>
      <c r="L329">
        <v>2</v>
      </c>
      <c r="N329">
        <v>2</v>
      </c>
      <c r="O329" t="s">
        <v>1986</v>
      </c>
      <c r="P329" t="s">
        <v>2165</v>
      </c>
      <c r="R329" t="s">
        <v>3662</v>
      </c>
      <c r="T329" s="40">
        <v>45527</v>
      </c>
      <c r="U329" s="40">
        <v>45530</v>
      </c>
      <c r="V329" s="40">
        <v>45560</v>
      </c>
      <c r="W329" s="40">
        <v>45560</v>
      </c>
      <c r="X329" s="157">
        <v>55706</v>
      </c>
      <c r="Y329" s="40" t="str" cm="1">
        <f t="array" aca="1" ref="Y329" ca="1">TRIM(SUBSTITUTE(_xlfn.ARRAYTOTEXT(IFERROR(CONCATENATE(SUMIF(INDIRECT("'"&amp;Assemblies[Assy]&amp;"'!"&amp;"C$5:C1000"), $C329, INDIRECT("'"&amp;Assemblies[Assy]&amp;"'!"&amp;"O$5:O1000")), "x",Assemblies[Assy],".",IF(SUMIF(INDIRECT("'"&amp;Assemblies[Assy]&amp;"'!"&amp;"C$5:C1000"), $C329, INDIRECT("'"&amp;Assemblies[Assy]&amp;"'!"&amp;"A$5:A1000"))=0,NA(),SUMIF(INDIRECT("'"&amp;Assemblies[Assy]&amp;"'!"&amp;"C$5:C1000"), $C329, INDIRECT("'"&amp;Assemblies[Assy]&amp;"'!"&amp;"A$5:A1000")))),"")), " ,", ""))</f>
        <v>, 2x6.10.12,</v>
      </c>
      <c r="Z329" s="141">
        <v>0</v>
      </c>
      <c r="AA329" s="141">
        <v>0</v>
      </c>
      <c r="AB329" s="141">
        <v>0</v>
      </c>
      <c r="AC329" s="39">
        <v>0</v>
      </c>
      <c r="AD329" s="141" t="s">
        <v>1473</v>
      </c>
      <c r="AE329" s="296"/>
      <c r="AF329" s="156"/>
      <c r="AG329"/>
    </row>
    <row r="330" spans="1:33" x14ac:dyDescent="0.25">
      <c r="A330" s="24" t="s">
        <v>2615</v>
      </c>
      <c r="B330" s="134" t="s">
        <v>54</v>
      </c>
      <c r="C330" t="str">
        <f>_xlfn.CONCAT(A330,".",B330)</f>
        <v>PG10.6.10.13.A</v>
      </c>
      <c r="D330" t="s">
        <v>2616</v>
      </c>
      <c r="E330" s="18">
        <v>54.62</v>
      </c>
      <c r="F330" s="19" cm="1">
        <f t="array" aca="1" ref="F330" ca="1">SUMPRODUCT(SUMIF(INDIRECT("'"&amp;Assemblies[Assy]&amp;"'!"&amp;"C5:C1000"),C330,(INDIRECT("'"&amp;Assemblies[Assy]&amp;"'!"&amp;"O5:O1000"))))</f>
        <v>4</v>
      </c>
      <c r="G330" s="19">
        <v>4</v>
      </c>
      <c r="H330" s="19" t="str">
        <f ca="1">IF(F330&lt;=G330," ","YES")</f>
        <v xml:space="preserve"> </v>
      </c>
      <c r="I330">
        <v>4</v>
      </c>
      <c r="J330">
        <v>4</v>
      </c>
      <c r="L330">
        <v>4</v>
      </c>
      <c r="N330">
        <v>4</v>
      </c>
      <c r="O330" t="s">
        <v>1986</v>
      </c>
      <c r="P330" t="s">
        <v>2165</v>
      </c>
      <c r="R330" t="s">
        <v>3662</v>
      </c>
      <c r="T330" s="40">
        <v>45527</v>
      </c>
      <c r="U330" s="40">
        <v>45530</v>
      </c>
      <c r="V330" s="40">
        <v>45560</v>
      </c>
      <c r="W330" s="40">
        <v>45560</v>
      </c>
      <c r="X330" s="157">
        <v>55706</v>
      </c>
      <c r="Y330" s="40" t="str" cm="1">
        <f t="array" aca="1" ref="Y330" ca="1">TRIM(SUBSTITUTE(_xlfn.ARRAYTOTEXT(IFERROR(CONCATENATE(SUMIF(INDIRECT("'"&amp;Assemblies[Assy]&amp;"'!"&amp;"C$5:C1000"), $C330, INDIRECT("'"&amp;Assemblies[Assy]&amp;"'!"&amp;"O$5:O1000")), "x",Assemblies[Assy],".",IF(SUMIF(INDIRECT("'"&amp;Assemblies[Assy]&amp;"'!"&amp;"C$5:C1000"), $C330, INDIRECT("'"&amp;Assemblies[Assy]&amp;"'!"&amp;"A$5:A1000"))=0,NA(),SUMIF(INDIRECT("'"&amp;Assemblies[Assy]&amp;"'!"&amp;"C$5:C1000"), $C330, INDIRECT("'"&amp;Assemblies[Assy]&amp;"'!"&amp;"A$5:A1000")))),"")), " ,", ""))</f>
        <v>, 4x6.10.13,</v>
      </c>
      <c r="Z330" s="141">
        <v>0</v>
      </c>
      <c r="AA330" s="141">
        <v>0</v>
      </c>
      <c r="AB330" s="141">
        <v>0</v>
      </c>
      <c r="AC330" s="39">
        <v>0</v>
      </c>
      <c r="AD330" s="141" t="s">
        <v>1473</v>
      </c>
      <c r="AE330" s="296"/>
      <c r="AF330" s="156"/>
      <c r="AG330"/>
    </row>
    <row r="331" spans="1:33" x14ac:dyDescent="0.25">
      <c r="A331" s="24" t="s">
        <v>2617</v>
      </c>
      <c r="B331" s="134" t="s">
        <v>54</v>
      </c>
      <c r="C331" t="str">
        <f>_xlfn.CONCAT(A331,".",B331)</f>
        <v>PG10.6.10.2.1.A</v>
      </c>
      <c r="D331" t="s">
        <v>2618</v>
      </c>
      <c r="E331" s="18">
        <f>Z331+AA331+AB331+(65*AC331)</f>
        <v>0</v>
      </c>
      <c r="F331" s="19" cm="1">
        <f t="array" aca="1" ref="F331" ca="1">SUMPRODUCT(SUMIF(INDIRECT("'"&amp;Assemblies[Assy]&amp;"'!"&amp;"C5:C1000"),C331,(INDIRECT("'"&amp;Assemblies[Assy]&amp;"'!"&amp;"O5:O1000"))))</f>
        <v>2</v>
      </c>
      <c r="G331" s="19">
        <v>2</v>
      </c>
      <c r="H331" s="19" t="str">
        <f ca="1">IF(F331&lt;=G331," ","YES")</f>
        <v xml:space="preserve"> </v>
      </c>
      <c r="I331">
        <v>2</v>
      </c>
      <c r="J331">
        <v>2</v>
      </c>
      <c r="L331">
        <v>2</v>
      </c>
      <c r="N331">
        <v>2</v>
      </c>
      <c r="O331" t="s">
        <v>2021</v>
      </c>
      <c r="P331" t="s">
        <v>2606</v>
      </c>
      <c r="R331" t="s">
        <v>2488</v>
      </c>
      <c r="T331" s="40">
        <v>45526</v>
      </c>
      <c r="U331" s="40">
        <v>45527</v>
      </c>
      <c r="V331" s="40">
        <v>45548</v>
      </c>
      <c r="W331" s="40">
        <v>45548</v>
      </c>
      <c r="X331" s="157">
        <v>55702</v>
      </c>
      <c r="Y331" s="40" t="str" cm="1">
        <f t="array" aca="1" ref="Y331" ca="1">TRIM(SUBSTITUTE(_xlfn.ARRAYTOTEXT(IFERROR(CONCATENATE(SUMIF(INDIRECT("'"&amp;Assemblies[Assy]&amp;"'!"&amp;"C$5:C1000"), $C331, INDIRECT("'"&amp;Assemblies[Assy]&amp;"'!"&amp;"O$5:O1000")), "x",Assemblies[Assy],".",IF(SUMIF(INDIRECT("'"&amp;Assemblies[Assy]&amp;"'!"&amp;"C$5:C1000"), $C331, INDIRECT("'"&amp;Assemblies[Assy]&amp;"'!"&amp;"A$5:A1000"))=0,NA(),SUMIF(INDIRECT("'"&amp;Assemblies[Assy]&amp;"'!"&amp;"C$5:C1000"), $C331, INDIRECT("'"&amp;Assemblies[Assy]&amp;"'!"&amp;"A$5:A1000")))),"")), " ,", ""))</f>
        <v>, 2x6.10.2.1,</v>
      </c>
      <c r="Z331" s="141">
        <v>0</v>
      </c>
      <c r="AA331" s="141">
        <v>0</v>
      </c>
      <c r="AB331" s="141">
        <v>0</v>
      </c>
      <c r="AC331" s="39">
        <v>0</v>
      </c>
      <c r="AD331" s="141"/>
      <c r="AE331" s="296"/>
      <c r="AF331" s="156"/>
      <c r="AG331"/>
    </row>
    <row r="332" spans="1:33" x14ac:dyDescent="0.25">
      <c r="A332" s="24" t="s">
        <v>2619</v>
      </c>
      <c r="B332" s="134" t="s">
        <v>56</v>
      </c>
      <c r="C332" t="str">
        <f>_xlfn.CONCAT(A332,".",B332)</f>
        <v>PG10.6.10.2.B</v>
      </c>
      <c r="D332" t="s">
        <v>2620</v>
      </c>
      <c r="E332" s="18">
        <v>189.82</v>
      </c>
      <c r="F332" s="19" cm="1">
        <f t="array" aca="1" ref="F332" ca="1">SUMPRODUCT(SUMIF(INDIRECT("'"&amp;Assemblies[Assy]&amp;"'!"&amp;"C5:C1000"),C332,(INDIRECT("'"&amp;Assemblies[Assy]&amp;"'!"&amp;"O5:O1000"))))</f>
        <v>2</v>
      </c>
      <c r="G332" s="19">
        <v>2</v>
      </c>
      <c r="H332" s="19" t="str">
        <f ca="1">IF(F332&lt;=G332," ","YES")</f>
        <v xml:space="preserve"> </v>
      </c>
      <c r="I332">
        <v>2</v>
      </c>
      <c r="J332">
        <v>2</v>
      </c>
      <c r="L332">
        <v>2</v>
      </c>
      <c r="N332">
        <v>2</v>
      </c>
      <c r="O332" t="s">
        <v>1986</v>
      </c>
      <c r="P332" t="s">
        <v>2165</v>
      </c>
      <c r="R332" t="s">
        <v>3662</v>
      </c>
      <c r="S332" s="40"/>
      <c r="T332" s="40">
        <v>45527</v>
      </c>
      <c r="U332" s="40">
        <v>45530</v>
      </c>
      <c r="V332" s="40">
        <v>45560</v>
      </c>
      <c r="W332" s="40">
        <v>45560</v>
      </c>
      <c r="X332" s="157">
        <v>55706</v>
      </c>
      <c r="Y332" s="40" t="str" cm="1">
        <f t="array" aca="1" ref="Y332" ca="1">TRIM(SUBSTITUTE(_xlfn.ARRAYTOTEXT(IFERROR(CONCATENATE(SUMIF(INDIRECT("'"&amp;Assemblies[Assy]&amp;"'!"&amp;"C$5:C1000"), $C332, INDIRECT("'"&amp;Assemblies[Assy]&amp;"'!"&amp;"O$5:O1000")), "x",Assemblies[Assy],".",IF(SUMIF(INDIRECT("'"&amp;Assemblies[Assy]&amp;"'!"&amp;"C$5:C1000"), $C332, INDIRECT("'"&amp;Assemblies[Assy]&amp;"'!"&amp;"A$5:A1000"))=0,NA(),SUMIF(INDIRECT("'"&amp;Assemblies[Assy]&amp;"'!"&amp;"C$5:C1000"), $C332, INDIRECT("'"&amp;Assemblies[Assy]&amp;"'!"&amp;"A$5:A1000")))),"")), " ,", ""))</f>
        <v>, 2x6.10.2,</v>
      </c>
      <c r="AD332" s="141"/>
      <c r="AE332" s="296"/>
      <c r="AF332" s="156"/>
      <c r="AG332"/>
    </row>
    <row r="333" spans="1:33" x14ac:dyDescent="0.25">
      <c r="A333" s="24" t="s">
        <v>2621</v>
      </c>
      <c r="B333" s="134" t="s">
        <v>54</v>
      </c>
      <c r="C333" t="str">
        <f>_xlfn.CONCAT(A333,".",B333)</f>
        <v>PG10.6.10.3.A</v>
      </c>
      <c r="D333" t="s">
        <v>2622</v>
      </c>
      <c r="E333" s="18">
        <v>206.67</v>
      </c>
      <c r="F333" s="19" cm="1">
        <f t="array" aca="1" ref="F333" ca="1">SUMPRODUCT(SUMIF(INDIRECT("'"&amp;Assemblies[Assy]&amp;"'!"&amp;"C5:C1000"),C333,(INDIRECT("'"&amp;Assemblies[Assy]&amp;"'!"&amp;"O5:O1000"))))</f>
        <v>2</v>
      </c>
      <c r="G333" s="19">
        <v>2</v>
      </c>
      <c r="H333" s="19" t="str">
        <f ca="1">IF(F333&lt;=G333," ","YES")</f>
        <v xml:space="preserve"> </v>
      </c>
      <c r="I333">
        <v>2</v>
      </c>
      <c r="J333">
        <v>2</v>
      </c>
      <c r="L333">
        <v>2</v>
      </c>
      <c r="N333">
        <v>2</v>
      </c>
      <c r="O333" t="s">
        <v>1986</v>
      </c>
      <c r="P333" t="s">
        <v>2165</v>
      </c>
      <c r="R333" t="s">
        <v>3662</v>
      </c>
      <c r="T333" s="40">
        <v>45527</v>
      </c>
      <c r="U333" s="40">
        <v>45530</v>
      </c>
      <c r="V333" s="40">
        <v>45560</v>
      </c>
      <c r="W333" s="40">
        <v>45560</v>
      </c>
      <c r="X333" s="157">
        <v>55706</v>
      </c>
      <c r="Y333" s="40" t="str" cm="1">
        <f t="array" aca="1" ref="Y333" ca="1">TRIM(SUBSTITUTE(_xlfn.ARRAYTOTEXT(IFERROR(CONCATENATE(SUMIF(INDIRECT("'"&amp;Assemblies[Assy]&amp;"'!"&amp;"C$5:C1000"), $C333, INDIRECT("'"&amp;Assemblies[Assy]&amp;"'!"&amp;"O$5:O1000")), "x",Assemblies[Assy],".",IF(SUMIF(INDIRECT("'"&amp;Assemblies[Assy]&amp;"'!"&amp;"C$5:C1000"), $C333, INDIRECT("'"&amp;Assemblies[Assy]&amp;"'!"&amp;"A$5:A1000"))=0,NA(),SUMIF(INDIRECT("'"&amp;Assemblies[Assy]&amp;"'!"&amp;"C$5:C1000"), $C333, INDIRECT("'"&amp;Assemblies[Assy]&amp;"'!"&amp;"A$5:A1000")))),"")), " ,", ""))</f>
        <v>, 2x6.10.3,</v>
      </c>
      <c r="Z333" s="141">
        <v>0</v>
      </c>
      <c r="AA333" s="141">
        <v>0</v>
      </c>
      <c r="AB333" s="141">
        <v>0</v>
      </c>
      <c r="AC333" s="39">
        <v>0</v>
      </c>
      <c r="AD333" s="141" t="s">
        <v>1473</v>
      </c>
      <c r="AE333" s="296"/>
      <c r="AF333" s="156"/>
      <c r="AG333"/>
    </row>
    <row r="334" spans="1:33" x14ac:dyDescent="0.25">
      <c r="A334" s="24" t="s">
        <v>2623</v>
      </c>
      <c r="B334" s="134" t="s">
        <v>54</v>
      </c>
      <c r="C334" t="str">
        <f>_xlfn.CONCAT(A334,".",B334)</f>
        <v>PG10.6.10.4.A</v>
      </c>
      <c r="D334" t="s">
        <v>2624</v>
      </c>
      <c r="E334" s="18">
        <f>Z334+AA334+AB334+(65*AC334)</f>
        <v>0</v>
      </c>
      <c r="F334" s="19" cm="1">
        <f t="array" aca="1" ref="F334" ca="1">SUMPRODUCT(SUMIF(INDIRECT("'"&amp;Assemblies[Assy]&amp;"'!"&amp;"C5:C1000"),C334,(INDIRECT("'"&amp;Assemblies[Assy]&amp;"'!"&amp;"O5:O1000"))))</f>
        <v>2</v>
      </c>
      <c r="G334" s="19">
        <v>2</v>
      </c>
      <c r="H334" s="19" t="str">
        <f ca="1">IF(F334&lt;=G334," ","YES")</f>
        <v xml:space="preserve"> </v>
      </c>
      <c r="I334">
        <v>2</v>
      </c>
      <c r="J334">
        <v>2</v>
      </c>
      <c r="L334">
        <v>2</v>
      </c>
      <c r="N334">
        <v>2</v>
      </c>
      <c r="O334" t="s">
        <v>2021</v>
      </c>
      <c r="P334" t="s">
        <v>2625</v>
      </c>
      <c r="R334" t="s">
        <v>2488</v>
      </c>
      <c r="T334" s="40">
        <v>45526</v>
      </c>
      <c r="U334" s="40">
        <v>45527</v>
      </c>
      <c r="V334" s="40">
        <v>45548</v>
      </c>
      <c r="W334" s="40">
        <v>45548</v>
      </c>
      <c r="X334" s="157">
        <v>55702</v>
      </c>
      <c r="Y334" s="40" t="str" cm="1">
        <f t="array" aca="1" ref="Y334" ca="1">TRIM(SUBSTITUTE(_xlfn.ARRAYTOTEXT(IFERROR(CONCATENATE(SUMIF(INDIRECT("'"&amp;Assemblies[Assy]&amp;"'!"&amp;"C$5:C1000"), $C334, INDIRECT("'"&amp;Assemblies[Assy]&amp;"'!"&amp;"O$5:O1000")), "x",Assemblies[Assy],".",IF(SUMIF(INDIRECT("'"&amp;Assemblies[Assy]&amp;"'!"&amp;"C$5:C1000"), $C334, INDIRECT("'"&amp;Assemblies[Assy]&amp;"'!"&amp;"A$5:A1000"))=0,NA(),SUMIF(INDIRECT("'"&amp;Assemblies[Assy]&amp;"'!"&amp;"C$5:C1000"), $C334, INDIRECT("'"&amp;Assemblies[Assy]&amp;"'!"&amp;"A$5:A1000")))),"")), " ,", ""))</f>
        <v>, 2x6.10.4,</v>
      </c>
      <c r="Z334" s="141">
        <v>0</v>
      </c>
      <c r="AA334" s="141">
        <v>0</v>
      </c>
      <c r="AB334" s="141">
        <v>0</v>
      </c>
      <c r="AC334" s="39">
        <v>0</v>
      </c>
      <c r="AD334" s="141" t="s">
        <v>1473</v>
      </c>
      <c r="AE334" s="296"/>
      <c r="AF334" s="156"/>
      <c r="AG334"/>
    </row>
    <row r="335" spans="1:33" x14ac:dyDescent="0.25">
      <c r="A335" s="24" t="s">
        <v>2626</v>
      </c>
      <c r="B335" s="134" t="s">
        <v>54</v>
      </c>
      <c r="C335" t="str">
        <f>_xlfn.CONCAT(A335,".",B335)</f>
        <v>PG10.6.10.5.A</v>
      </c>
      <c r="D335" t="s">
        <v>2627</v>
      </c>
      <c r="E335" s="18">
        <f>Z335+AA335+AB335+(65*AC335)</f>
        <v>0</v>
      </c>
      <c r="F335" s="19" cm="1">
        <f t="array" aca="1" ref="F335" ca="1">SUMPRODUCT(SUMIF(INDIRECT("'"&amp;Assemblies[Assy]&amp;"'!"&amp;"C5:C1000"),C335,(INDIRECT("'"&amp;Assemblies[Assy]&amp;"'!"&amp;"O5:O1000"))))</f>
        <v>2</v>
      </c>
      <c r="H335" s="19" t="str">
        <f ca="1">IF(F335&lt;=G335," ","YES")</f>
        <v>YES</v>
      </c>
      <c r="O335" t="s">
        <v>2021</v>
      </c>
      <c r="P335" t="s">
        <v>2625</v>
      </c>
      <c r="S335" t="s">
        <v>2603</v>
      </c>
      <c r="Y335" s="40" t="str" cm="1">
        <f t="array" aca="1" ref="Y335" ca="1">TRIM(SUBSTITUTE(_xlfn.ARRAYTOTEXT(IFERROR(CONCATENATE(SUMIF(INDIRECT("'"&amp;Assemblies[Assy]&amp;"'!"&amp;"C$5:C1000"), $C335, INDIRECT("'"&amp;Assemblies[Assy]&amp;"'!"&amp;"O$5:O1000")), "x",Assemblies[Assy],".",IF(SUMIF(INDIRECT("'"&amp;Assemblies[Assy]&amp;"'!"&amp;"C$5:C1000"), $C335, INDIRECT("'"&amp;Assemblies[Assy]&amp;"'!"&amp;"A$5:A1000"))=0,NA(),SUMIF(INDIRECT("'"&amp;Assemblies[Assy]&amp;"'!"&amp;"C$5:C1000"), $C335, INDIRECT("'"&amp;Assemblies[Assy]&amp;"'!"&amp;"A$5:A1000")))),"")), " ,", ""))</f>
        <v>, 2x6.10.5,</v>
      </c>
      <c r="Z335" s="141">
        <v>0</v>
      </c>
      <c r="AA335" s="141">
        <v>0</v>
      </c>
      <c r="AB335" s="141">
        <v>0</v>
      </c>
      <c r="AC335" s="39">
        <v>0</v>
      </c>
      <c r="AD335" s="141" t="s">
        <v>1473</v>
      </c>
      <c r="AE335" s="296"/>
      <c r="AF335" s="156"/>
      <c r="AG335"/>
    </row>
    <row r="336" spans="1:33" x14ac:dyDescent="0.25">
      <c r="A336" s="24" t="s">
        <v>2628</v>
      </c>
      <c r="B336" s="134" t="s">
        <v>54</v>
      </c>
      <c r="C336" t="str">
        <f>_xlfn.CONCAT(A336,".",B336)</f>
        <v>PG10.6.10.6.A</v>
      </c>
      <c r="D336" t="s">
        <v>2629</v>
      </c>
      <c r="E336" s="18">
        <v>100.06</v>
      </c>
      <c r="F336" s="19" cm="1">
        <f t="array" aca="1" ref="F336" ca="1">SUMPRODUCT(SUMIF(INDIRECT("'"&amp;Assemblies[Assy]&amp;"'!"&amp;"C5:C1000"),C336,(INDIRECT("'"&amp;Assemblies[Assy]&amp;"'!"&amp;"O5:O1000"))))</f>
        <v>2</v>
      </c>
      <c r="G336" s="19">
        <v>2</v>
      </c>
      <c r="H336" s="19" t="str">
        <f ca="1">IF(F336&lt;=G336," ","YES")</f>
        <v xml:space="preserve"> </v>
      </c>
      <c r="I336">
        <v>2</v>
      </c>
      <c r="J336">
        <v>2</v>
      </c>
      <c r="L336">
        <v>2</v>
      </c>
      <c r="N336">
        <v>2</v>
      </c>
      <c r="O336" t="s">
        <v>1986</v>
      </c>
      <c r="P336" t="s">
        <v>2165</v>
      </c>
      <c r="R336" t="s">
        <v>3662</v>
      </c>
      <c r="T336" s="40">
        <v>45527</v>
      </c>
      <c r="U336" s="40">
        <v>45530</v>
      </c>
      <c r="V336" s="40">
        <v>45560</v>
      </c>
      <c r="W336" s="40">
        <v>45560</v>
      </c>
      <c r="X336" s="157">
        <v>55706</v>
      </c>
      <c r="Y336" s="40" t="str" cm="1">
        <f t="array" aca="1" ref="Y336" ca="1">TRIM(SUBSTITUTE(_xlfn.ARRAYTOTEXT(IFERROR(CONCATENATE(SUMIF(INDIRECT("'"&amp;Assemblies[Assy]&amp;"'!"&amp;"C$5:C1000"), $C336, INDIRECT("'"&amp;Assemblies[Assy]&amp;"'!"&amp;"O$5:O1000")), "x",Assemblies[Assy],".",IF(SUMIF(INDIRECT("'"&amp;Assemblies[Assy]&amp;"'!"&amp;"C$5:C1000"), $C336, INDIRECT("'"&amp;Assemblies[Assy]&amp;"'!"&amp;"A$5:A1000"))=0,NA(),SUMIF(INDIRECT("'"&amp;Assemblies[Assy]&amp;"'!"&amp;"C$5:C1000"), $C336, INDIRECT("'"&amp;Assemblies[Assy]&amp;"'!"&amp;"A$5:A1000")))),"")), " ,", ""))</f>
        <v>, 2x6.10.6,</v>
      </c>
      <c r="Z336" s="141">
        <v>0</v>
      </c>
      <c r="AA336" s="141">
        <v>0</v>
      </c>
      <c r="AB336" s="141">
        <v>0</v>
      </c>
      <c r="AC336" s="39">
        <v>0</v>
      </c>
      <c r="AD336" s="141" t="s">
        <v>1473</v>
      </c>
      <c r="AE336" s="296"/>
      <c r="AF336" s="156"/>
      <c r="AG336"/>
    </row>
    <row r="337" spans="1:33" x14ac:dyDescent="0.25">
      <c r="A337" s="24" t="s">
        <v>2630</v>
      </c>
      <c r="B337" s="134" t="s">
        <v>54</v>
      </c>
      <c r="C337" t="str">
        <f>_xlfn.CONCAT(A337,".",B337)</f>
        <v>PG10.6.10.7.A</v>
      </c>
      <c r="D337" t="s">
        <v>2631</v>
      </c>
      <c r="E337" s="18">
        <v>62.71</v>
      </c>
      <c r="F337" s="19" cm="1">
        <f t="array" aca="1" ref="F337" ca="1">SUMPRODUCT(SUMIF(INDIRECT("'"&amp;Assemblies[Assy]&amp;"'!"&amp;"C5:C1000"),C337,(INDIRECT("'"&amp;Assemblies[Assy]&amp;"'!"&amp;"O5:O1000"))))</f>
        <v>8</v>
      </c>
      <c r="G337" s="19">
        <v>8</v>
      </c>
      <c r="H337" s="19" t="str">
        <f ca="1">IF(F337&lt;=G337," ","YES")</f>
        <v xml:space="preserve"> </v>
      </c>
      <c r="I337">
        <v>8</v>
      </c>
      <c r="J337">
        <v>8</v>
      </c>
      <c r="L337">
        <v>8</v>
      </c>
      <c r="N337">
        <v>8</v>
      </c>
      <c r="O337" t="s">
        <v>2021</v>
      </c>
      <c r="P337" t="s">
        <v>1993</v>
      </c>
      <c r="R337" t="s">
        <v>3662</v>
      </c>
      <c r="T337" s="40">
        <v>45527</v>
      </c>
      <c r="U337" s="40">
        <v>45530</v>
      </c>
      <c r="V337" s="40">
        <v>45560</v>
      </c>
      <c r="W337" s="40">
        <v>45560</v>
      </c>
      <c r="X337" s="157">
        <v>55706</v>
      </c>
      <c r="Y337" s="40" t="str" cm="1">
        <f t="array" aca="1" ref="Y337" ca="1">TRIM(SUBSTITUTE(_xlfn.ARRAYTOTEXT(IFERROR(CONCATENATE(SUMIF(INDIRECT("'"&amp;Assemblies[Assy]&amp;"'!"&amp;"C$5:C1000"), $C337, INDIRECT("'"&amp;Assemblies[Assy]&amp;"'!"&amp;"O$5:O1000")), "x",Assemblies[Assy],".",IF(SUMIF(INDIRECT("'"&amp;Assemblies[Assy]&amp;"'!"&amp;"C$5:C1000"), $C337, INDIRECT("'"&amp;Assemblies[Assy]&amp;"'!"&amp;"A$5:A1000"))=0,NA(),SUMIF(INDIRECT("'"&amp;Assemblies[Assy]&amp;"'!"&amp;"C$5:C1000"), $C337, INDIRECT("'"&amp;Assemblies[Assy]&amp;"'!"&amp;"A$5:A1000")))),"")), " ,", ""))</f>
        <v>, 8x6.10.7,</v>
      </c>
      <c r="Z337" s="141">
        <v>0</v>
      </c>
      <c r="AA337" s="141">
        <v>0</v>
      </c>
      <c r="AB337" s="141">
        <v>0</v>
      </c>
      <c r="AC337" s="39">
        <v>0</v>
      </c>
      <c r="AD337" s="141" t="s">
        <v>1473</v>
      </c>
      <c r="AE337" s="296"/>
      <c r="AF337" s="156"/>
      <c r="AG337"/>
    </row>
    <row r="338" spans="1:33" x14ac:dyDescent="0.25">
      <c r="A338" s="24" t="s">
        <v>2632</v>
      </c>
      <c r="B338" s="134" t="s">
        <v>54</v>
      </c>
      <c r="C338" t="str">
        <f>_xlfn.CONCAT(A338,".",B338)</f>
        <v>PG10.6.10.8.A</v>
      </c>
      <c r="D338" t="s">
        <v>2633</v>
      </c>
      <c r="E338" s="18">
        <f>Z338+AA338+AB338+(65*AC338)</f>
        <v>0</v>
      </c>
      <c r="F338" s="19" cm="1">
        <f t="array" aca="1" ref="F338" ca="1">SUMPRODUCT(SUMIF(INDIRECT("'"&amp;Assemblies[Assy]&amp;"'!"&amp;"C5:C1000"),C338,(INDIRECT("'"&amp;Assemblies[Assy]&amp;"'!"&amp;"O5:O1000"))))</f>
        <v>2</v>
      </c>
      <c r="G338" s="19">
        <v>2</v>
      </c>
      <c r="H338" s="19" t="str">
        <f ca="1">IF(F338&lt;=G338," ","YES")</f>
        <v xml:space="preserve"> </v>
      </c>
      <c r="O338" t="s">
        <v>1986</v>
      </c>
      <c r="P338" t="s">
        <v>2165</v>
      </c>
      <c r="R338" t="s">
        <v>3662</v>
      </c>
      <c r="T338" s="40" t="s">
        <v>2747</v>
      </c>
      <c r="U338" s="40">
        <v>45560</v>
      </c>
      <c r="V338" s="40">
        <v>45568</v>
      </c>
      <c r="W338" s="40">
        <v>45568</v>
      </c>
      <c r="X338" s="157">
        <v>55760</v>
      </c>
      <c r="Y338" s="40" t="str" cm="1">
        <f t="array" aca="1" ref="Y338" ca="1">TRIM(SUBSTITUTE(_xlfn.ARRAYTOTEXT(IFERROR(CONCATENATE(SUMIF(INDIRECT("'"&amp;Assemblies[Assy]&amp;"'!"&amp;"C$5:C1000"), $C338, INDIRECT("'"&amp;Assemblies[Assy]&amp;"'!"&amp;"O$5:O1000")), "x",Assemblies[Assy],".",IF(SUMIF(INDIRECT("'"&amp;Assemblies[Assy]&amp;"'!"&amp;"C$5:C1000"), $C338, INDIRECT("'"&amp;Assemblies[Assy]&amp;"'!"&amp;"A$5:A1000"))=0,NA(),SUMIF(INDIRECT("'"&amp;Assemblies[Assy]&amp;"'!"&amp;"C$5:C1000"), $C338, INDIRECT("'"&amp;Assemblies[Assy]&amp;"'!"&amp;"A$5:A1000")))),"")), " ,", ""))</f>
        <v>, 2x6.10.8,</v>
      </c>
      <c r="Z338" s="141">
        <v>0</v>
      </c>
      <c r="AA338" s="141">
        <v>0</v>
      </c>
      <c r="AB338" s="141">
        <v>0</v>
      </c>
      <c r="AC338" s="39">
        <v>0</v>
      </c>
      <c r="AD338" s="141" t="s">
        <v>1473</v>
      </c>
      <c r="AE338" s="296"/>
      <c r="AF338" s="156"/>
      <c r="AG338"/>
    </row>
    <row r="339" spans="1:33" x14ac:dyDescent="0.25">
      <c r="A339" s="24" t="s">
        <v>2634</v>
      </c>
      <c r="B339" s="134" t="s">
        <v>54</v>
      </c>
      <c r="C339" t="str">
        <f>_xlfn.CONCAT(A339,".",B339)</f>
        <v>PG10.6.10.9.A</v>
      </c>
      <c r="D339" t="s">
        <v>2635</v>
      </c>
      <c r="E339" s="18">
        <v>43.5</v>
      </c>
      <c r="F339" s="19" cm="1">
        <f t="array" aca="1" ref="F339" ca="1">SUMPRODUCT(SUMIF(INDIRECT("'"&amp;Assemblies[Assy]&amp;"'!"&amp;"C5:C1000"),C339,(INDIRECT("'"&amp;Assemblies[Assy]&amp;"'!"&amp;"O5:O1000"))))</f>
        <v>4</v>
      </c>
      <c r="G339" s="19">
        <v>4</v>
      </c>
      <c r="H339" s="19" t="str">
        <f ca="1">IF(F339&lt;=G339," ","YES")</f>
        <v xml:space="preserve"> </v>
      </c>
      <c r="I339">
        <v>4</v>
      </c>
      <c r="J339">
        <v>4</v>
      </c>
      <c r="L339">
        <v>4</v>
      </c>
      <c r="N339">
        <v>4</v>
      </c>
      <c r="O339" t="s">
        <v>1986</v>
      </c>
      <c r="P339" t="s">
        <v>2165</v>
      </c>
      <c r="R339" t="s">
        <v>3662</v>
      </c>
      <c r="T339" s="40">
        <v>45527</v>
      </c>
      <c r="U339" s="40">
        <v>45530</v>
      </c>
      <c r="V339" s="40">
        <v>45560</v>
      </c>
      <c r="W339" s="40">
        <v>45560</v>
      </c>
      <c r="X339" s="157">
        <v>55706</v>
      </c>
      <c r="Y339" s="40" t="str" cm="1">
        <f t="array" aca="1" ref="Y339" ca="1">TRIM(SUBSTITUTE(_xlfn.ARRAYTOTEXT(IFERROR(CONCATENATE(SUMIF(INDIRECT("'"&amp;Assemblies[Assy]&amp;"'!"&amp;"C$5:C1000"), $C339, INDIRECT("'"&amp;Assemblies[Assy]&amp;"'!"&amp;"O$5:O1000")), "x",Assemblies[Assy],".",IF(SUMIF(INDIRECT("'"&amp;Assemblies[Assy]&amp;"'!"&amp;"C$5:C1000"), $C339, INDIRECT("'"&amp;Assemblies[Assy]&amp;"'!"&amp;"A$5:A1000"))=0,NA(),SUMIF(INDIRECT("'"&amp;Assemblies[Assy]&amp;"'!"&amp;"C$5:C1000"), $C339, INDIRECT("'"&amp;Assemblies[Assy]&amp;"'!"&amp;"A$5:A1000")))),"")), " ,", ""))</f>
        <v>, 4x6.10.9,</v>
      </c>
      <c r="Z339" s="141">
        <v>0</v>
      </c>
      <c r="AA339" s="141">
        <v>0</v>
      </c>
      <c r="AB339" s="141">
        <v>0</v>
      </c>
      <c r="AC339" s="39">
        <v>0</v>
      </c>
      <c r="AD339" s="141" t="s">
        <v>1473</v>
      </c>
      <c r="AE339" s="296"/>
      <c r="AF339" s="156"/>
      <c r="AG339"/>
    </row>
    <row r="340" spans="1:33" x14ac:dyDescent="0.25">
      <c r="A340" s="24" t="s">
        <v>2636</v>
      </c>
      <c r="B340" s="134" t="s">
        <v>54</v>
      </c>
      <c r="C340" t="str">
        <f>_xlfn.CONCAT(A340,".",B340)</f>
        <v>PG10.6.2.1.1.1.A</v>
      </c>
      <c r="D340" t="s">
        <v>2637</v>
      </c>
      <c r="E340" s="18">
        <v>237</v>
      </c>
      <c r="F340" s="19" cm="1">
        <f t="array" aca="1" ref="F340" ca="1">SUMPRODUCT(SUMIF(INDIRECT("'"&amp;Assemblies[Assy]&amp;"'!"&amp;"C5:C1000"),C340,(INDIRECT("'"&amp;Assemblies[Assy]&amp;"'!"&amp;"O5:O1000"))))</f>
        <v>2</v>
      </c>
      <c r="G340" s="19">
        <v>2</v>
      </c>
      <c r="H340" s="19" t="str">
        <f ca="1">IF(F340&lt;=G340," ","YES")</f>
        <v xml:space="preserve"> </v>
      </c>
      <c r="I340">
        <v>2</v>
      </c>
      <c r="J340">
        <v>2</v>
      </c>
      <c r="K340" s="40">
        <v>45512</v>
      </c>
      <c r="L340">
        <v>2</v>
      </c>
      <c r="M340" s="40">
        <v>45520</v>
      </c>
      <c r="N340">
        <v>2</v>
      </c>
      <c r="O340" t="s">
        <v>2026</v>
      </c>
      <c r="P340" t="s">
        <v>2027</v>
      </c>
      <c r="Q340" t="s">
        <v>1988</v>
      </c>
      <c r="R340" t="s">
        <v>2168</v>
      </c>
      <c r="T340" s="40">
        <v>45463</v>
      </c>
      <c r="U340" s="40">
        <v>45467</v>
      </c>
      <c r="V340" s="40">
        <v>45504</v>
      </c>
      <c r="W340" s="40">
        <v>45504</v>
      </c>
      <c r="X340" s="157">
        <v>55572</v>
      </c>
      <c r="Y340" s="40" t="str" cm="1">
        <f t="array" aca="1" ref="Y340" ca="1">TRIM(SUBSTITUTE(_xlfn.ARRAYTOTEXT(IFERROR(CONCATENATE(SUMIF(INDIRECT("'"&amp;Assemblies[Assy]&amp;"'!"&amp;"C$5:C1000"), $C340, INDIRECT("'"&amp;Assemblies[Assy]&amp;"'!"&amp;"O$5:O1000")), "x",Assemblies[Assy],".",IF(SUMIF(INDIRECT("'"&amp;Assemblies[Assy]&amp;"'!"&amp;"C$5:C1000"), $C340, INDIRECT("'"&amp;Assemblies[Assy]&amp;"'!"&amp;"A$5:A1000"))=0,NA(),SUMIF(INDIRECT("'"&amp;Assemblies[Assy]&amp;"'!"&amp;"C$5:C1000"), $C340, INDIRECT("'"&amp;Assemblies[Assy]&amp;"'!"&amp;"A$5:A1000")))),"")), " ,", ""))</f>
        <v>, 1x6.2.1.1.1, 1x6.3.1.1.1,</v>
      </c>
      <c r="AD340" s="141"/>
      <c r="AE340" s="296">
        <v>55670</v>
      </c>
      <c r="AF340" s="156"/>
      <c r="AG340"/>
    </row>
    <row r="341" spans="1:33" x14ac:dyDescent="0.25">
      <c r="A341" s="24" t="s">
        <v>2638</v>
      </c>
      <c r="B341" s="134" t="s">
        <v>54</v>
      </c>
      <c r="C341" t="str">
        <f>_xlfn.CONCAT(A341,".",B341)</f>
        <v>PG10.6.2.1.1.2.A</v>
      </c>
      <c r="D341" t="s">
        <v>2639</v>
      </c>
      <c r="E341" s="18">
        <v>91</v>
      </c>
      <c r="F341" s="19" cm="1">
        <f t="array" aca="1" ref="F341" ca="1">SUMPRODUCT(SUMIF(INDIRECT("'"&amp;Assemblies[Assy]&amp;"'!"&amp;"C5:C1000"),C341,(INDIRECT("'"&amp;Assemblies[Assy]&amp;"'!"&amp;"O5:O1000"))))</f>
        <v>2</v>
      </c>
      <c r="G341" s="19">
        <v>2</v>
      </c>
      <c r="H341" s="19" t="str">
        <f ca="1">IF(F341&lt;=G341," ","YES")</f>
        <v xml:space="preserve"> </v>
      </c>
      <c r="I341">
        <v>2</v>
      </c>
      <c r="J341">
        <v>2</v>
      </c>
      <c r="K341" s="40">
        <v>45512</v>
      </c>
      <c r="L341">
        <v>2</v>
      </c>
      <c r="M341" s="40">
        <v>45520</v>
      </c>
      <c r="N341">
        <v>2</v>
      </c>
      <c r="O341" t="s">
        <v>2026</v>
      </c>
      <c r="P341" t="s">
        <v>2027</v>
      </c>
      <c r="Q341" t="s">
        <v>1988</v>
      </c>
      <c r="R341" t="s">
        <v>2168</v>
      </c>
      <c r="T341" s="40">
        <v>45463</v>
      </c>
      <c r="U341" s="40">
        <v>45467</v>
      </c>
      <c r="V341" s="40">
        <v>45504</v>
      </c>
      <c r="W341" s="40">
        <v>45504</v>
      </c>
      <c r="X341" s="157">
        <v>55572</v>
      </c>
      <c r="Y341" s="40" t="str" cm="1">
        <f t="array" aca="1" ref="Y341" ca="1">TRIM(SUBSTITUTE(_xlfn.ARRAYTOTEXT(IFERROR(CONCATENATE(SUMIF(INDIRECT("'"&amp;Assemblies[Assy]&amp;"'!"&amp;"C$5:C1000"), $C341, INDIRECT("'"&amp;Assemblies[Assy]&amp;"'!"&amp;"O$5:O1000")), "x",Assemblies[Assy],".",IF(SUMIF(INDIRECT("'"&amp;Assemblies[Assy]&amp;"'!"&amp;"C$5:C1000"), $C341, INDIRECT("'"&amp;Assemblies[Assy]&amp;"'!"&amp;"A$5:A1000"))=0,NA(),SUMIF(INDIRECT("'"&amp;Assemblies[Assy]&amp;"'!"&amp;"C$5:C1000"), $C341, INDIRECT("'"&amp;Assemblies[Assy]&amp;"'!"&amp;"A$5:A1000")))),"")), " ,", ""))</f>
        <v>, 1x6.2.1.1.2, 1x6.3.1.1.2,</v>
      </c>
      <c r="AD341" s="141"/>
      <c r="AE341" s="296">
        <v>55670</v>
      </c>
      <c r="AF341" s="156"/>
      <c r="AG341"/>
    </row>
    <row r="342" spans="1:33" x14ac:dyDescent="0.25">
      <c r="A342" s="24" t="s">
        <v>2640</v>
      </c>
      <c r="B342" s="134" t="s">
        <v>54</v>
      </c>
      <c r="C342" t="str">
        <f>_xlfn.CONCAT(A342,".",B342)</f>
        <v>PG10.6.2.1.1.3.A</v>
      </c>
      <c r="D342" t="s">
        <v>2641</v>
      </c>
      <c r="E342" s="18">
        <v>156</v>
      </c>
      <c r="F342" s="19" cm="1">
        <f t="array" aca="1" ref="F342" ca="1">SUMPRODUCT(SUMIF(INDIRECT("'"&amp;Assemblies[Assy]&amp;"'!"&amp;"C5:C1000"),C342,(INDIRECT("'"&amp;Assemblies[Assy]&amp;"'!"&amp;"O5:O1000"))))</f>
        <v>2</v>
      </c>
      <c r="G342" s="19">
        <v>2</v>
      </c>
      <c r="H342" s="19" t="str">
        <f ca="1">IF(F342&lt;=G342," ","YES")</f>
        <v xml:space="preserve"> </v>
      </c>
      <c r="I342">
        <v>2</v>
      </c>
      <c r="J342">
        <v>2</v>
      </c>
      <c r="K342" s="40">
        <v>45512</v>
      </c>
      <c r="L342">
        <v>2</v>
      </c>
      <c r="M342" s="40">
        <v>45520</v>
      </c>
      <c r="N342">
        <v>2</v>
      </c>
      <c r="O342" t="s">
        <v>2026</v>
      </c>
      <c r="P342" t="s">
        <v>2027</v>
      </c>
      <c r="Q342" t="s">
        <v>1988</v>
      </c>
      <c r="R342" t="s">
        <v>2168</v>
      </c>
      <c r="T342" s="40">
        <v>45463</v>
      </c>
      <c r="U342" s="40">
        <v>45467</v>
      </c>
      <c r="V342" s="40">
        <v>45504</v>
      </c>
      <c r="W342" s="40">
        <v>45504</v>
      </c>
      <c r="X342" s="157">
        <v>55572</v>
      </c>
      <c r="Y342" s="40" t="str" cm="1">
        <f t="array" aca="1" ref="Y342" ca="1">TRIM(SUBSTITUTE(_xlfn.ARRAYTOTEXT(IFERROR(CONCATENATE(SUMIF(INDIRECT("'"&amp;Assemblies[Assy]&amp;"'!"&amp;"C$5:C1000"), $C342, INDIRECT("'"&amp;Assemblies[Assy]&amp;"'!"&amp;"O$5:O1000")), "x",Assemblies[Assy],".",IF(SUMIF(INDIRECT("'"&amp;Assemblies[Assy]&amp;"'!"&amp;"C$5:C1000"), $C342, INDIRECT("'"&amp;Assemblies[Assy]&amp;"'!"&amp;"A$5:A1000"))=0,NA(),SUMIF(INDIRECT("'"&amp;Assemblies[Assy]&amp;"'!"&amp;"C$5:C1000"), $C342, INDIRECT("'"&amp;Assemblies[Assy]&amp;"'!"&amp;"A$5:A1000")))),"")), " ,", ""))</f>
        <v>, 1x6.2.1.1.3, 1x6.3.1.1.3,</v>
      </c>
      <c r="AD342" s="141"/>
      <c r="AE342" s="296">
        <v>55670</v>
      </c>
      <c r="AF342" s="156"/>
      <c r="AG342"/>
    </row>
    <row r="343" spans="1:33" x14ac:dyDescent="0.25">
      <c r="A343" s="24" t="s">
        <v>2642</v>
      </c>
      <c r="B343" s="134" t="s">
        <v>54</v>
      </c>
      <c r="C343" t="str">
        <f>_xlfn.CONCAT(A343,".",B343)</f>
        <v>PG10.6.2.1.1.4.A</v>
      </c>
      <c r="D343" t="s">
        <v>2643</v>
      </c>
      <c r="E343" s="18">
        <v>34.25</v>
      </c>
      <c r="F343" s="19" cm="1">
        <f t="array" aca="1" ref="F343" ca="1">SUMPRODUCT(SUMIF(INDIRECT("'"&amp;Assemblies[Assy]&amp;"'!"&amp;"C5:C1000"),C343,(INDIRECT("'"&amp;Assemblies[Assy]&amp;"'!"&amp;"O5:O1000"))))</f>
        <v>4</v>
      </c>
      <c r="G343" s="19">
        <v>4</v>
      </c>
      <c r="H343" s="19" t="str">
        <f ca="1">IF(F343&lt;=G343," ","YES")</f>
        <v xml:space="preserve"> </v>
      </c>
      <c r="I343">
        <v>4</v>
      </c>
      <c r="J343">
        <v>4</v>
      </c>
      <c r="K343" s="40">
        <v>45512</v>
      </c>
      <c r="L343">
        <v>4</v>
      </c>
      <c r="M343" s="40">
        <v>45520</v>
      </c>
      <c r="N343">
        <v>4</v>
      </c>
      <c r="O343" t="s">
        <v>2026</v>
      </c>
      <c r="P343" t="s">
        <v>2027</v>
      </c>
      <c r="Q343" t="s">
        <v>1988</v>
      </c>
      <c r="R343" t="s">
        <v>2168</v>
      </c>
      <c r="T343" s="40">
        <v>45463</v>
      </c>
      <c r="U343" s="40">
        <v>45467</v>
      </c>
      <c r="V343" s="40">
        <v>45504</v>
      </c>
      <c r="W343" s="40">
        <v>45504</v>
      </c>
      <c r="X343" s="157">
        <v>55572</v>
      </c>
      <c r="Y343" s="40" t="str" cm="1">
        <f t="array" aca="1" ref="Y343" ca="1">TRIM(SUBSTITUTE(_xlfn.ARRAYTOTEXT(IFERROR(CONCATENATE(SUMIF(INDIRECT("'"&amp;Assemblies[Assy]&amp;"'!"&amp;"C$5:C1000"), $C343, INDIRECT("'"&amp;Assemblies[Assy]&amp;"'!"&amp;"O$5:O1000")), "x",Assemblies[Assy],".",IF(SUMIF(INDIRECT("'"&amp;Assemblies[Assy]&amp;"'!"&amp;"C$5:C1000"), $C343, INDIRECT("'"&amp;Assemblies[Assy]&amp;"'!"&amp;"A$5:A1000"))=0,NA(),SUMIF(INDIRECT("'"&amp;Assemblies[Assy]&amp;"'!"&amp;"C$5:C1000"), $C343, INDIRECT("'"&amp;Assemblies[Assy]&amp;"'!"&amp;"A$5:A1000")))),"")), " ,", ""))</f>
        <v>, 2x6.2.1.1.4, 2x6.3.1.1.4,</v>
      </c>
      <c r="AD343" s="141"/>
      <c r="AE343" s="296">
        <v>55670</v>
      </c>
      <c r="AF343" s="156"/>
      <c r="AG343"/>
    </row>
    <row r="344" spans="1:33" x14ac:dyDescent="0.25">
      <c r="A344" s="24" t="s">
        <v>2644</v>
      </c>
      <c r="B344" s="134" t="s">
        <v>54</v>
      </c>
      <c r="C344" t="str">
        <f>_xlfn.CONCAT(A344,".",B344)</f>
        <v>PG10.6.2.1.1.A</v>
      </c>
      <c r="D344" t="s">
        <v>2645</v>
      </c>
      <c r="E344" s="18">
        <v>439.75</v>
      </c>
      <c r="F344" s="19" cm="1">
        <f t="array" aca="1" ref="F344" ca="1">SUMPRODUCT(SUMIF(INDIRECT("'"&amp;Assemblies[Assy]&amp;"'!"&amp;"C5:C1000"),C344,(INDIRECT("'"&amp;Assemblies[Assy]&amp;"'!"&amp;"O5:O1000"))))</f>
        <v>2</v>
      </c>
      <c r="G344" s="19">
        <v>2</v>
      </c>
      <c r="H344" s="19" t="str">
        <f ca="1">IF(F344&lt;=G344," ","YES")</f>
        <v xml:space="preserve"> </v>
      </c>
      <c r="I344">
        <v>2</v>
      </c>
      <c r="J344">
        <v>2</v>
      </c>
      <c r="K344" s="40">
        <v>45512</v>
      </c>
      <c r="L344">
        <v>2</v>
      </c>
      <c r="N344">
        <v>2</v>
      </c>
      <c r="O344" t="s">
        <v>2067</v>
      </c>
      <c r="P344" t="s">
        <v>1987</v>
      </c>
      <c r="Q344" t="s">
        <v>1988</v>
      </c>
      <c r="R344" t="s">
        <v>2168</v>
      </c>
      <c r="T344" s="40">
        <v>45463</v>
      </c>
      <c r="U344" s="40">
        <v>45467</v>
      </c>
      <c r="V344" s="40">
        <v>45504</v>
      </c>
      <c r="W344" s="40">
        <v>45504</v>
      </c>
      <c r="X344" s="157">
        <v>55572</v>
      </c>
      <c r="Y344" s="40" t="str" cm="1">
        <f t="array" aca="1" ref="Y344" ca="1">TRIM(SUBSTITUTE(_xlfn.ARRAYTOTEXT(IFERROR(CONCATENATE(SUMIF(INDIRECT("'"&amp;Assemblies[Assy]&amp;"'!"&amp;"C$5:C1000"), $C344, INDIRECT("'"&amp;Assemblies[Assy]&amp;"'!"&amp;"O$5:O1000")), "x",Assemblies[Assy],".",IF(SUMIF(INDIRECT("'"&amp;Assemblies[Assy]&amp;"'!"&amp;"C$5:C1000"), $C344, INDIRECT("'"&amp;Assemblies[Assy]&amp;"'!"&amp;"A$5:A1000"))=0,NA(),SUMIF(INDIRECT("'"&amp;Assemblies[Assy]&amp;"'!"&amp;"C$5:C1000"), $C344, INDIRECT("'"&amp;Assemblies[Assy]&amp;"'!"&amp;"A$5:A1000")))),"")), " ,", ""))</f>
        <v>, 1x6.2.1.1, 1x6.3.1.1,</v>
      </c>
      <c r="AD344" s="141"/>
      <c r="AE344" s="296">
        <v>55665</v>
      </c>
      <c r="AF344" s="156"/>
      <c r="AG344"/>
    </row>
    <row r="345" spans="1:33" x14ac:dyDescent="0.25">
      <c r="A345" s="24" t="s">
        <v>2646</v>
      </c>
      <c r="B345" s="134" t="s">
        <v>54</v>
      </c>
      <c r="C345" t="str">
        <f>_xlfn.CONCAT(A345,".",B345)</f>
        <v>PG10.6.2.1.2.1.A</v>
      </c>
      <c r="D345" t="s">
        <v>2647</v>
      </c>
      <c r="E345" s="18">
        <v>141.94999999999999</v>
      </c>
      <c r="F345" s="19" cm="1">
        <f t="array" aca="1" ref="F345" ca="1">SUMPRODUCT(SUMIF(INDIRECT("'"&amp;Assemblies[Assy]&amp;"'!"&amp;"C5:C1000"),C345,(INDIRECT("'"&amp;Assemblies[Assy]&amp;"'!"&amp;"O5:O1000"))))</f>
        <v>0</v>
      </c>
      <c r="G345" s="19">
        <v>1</v>
      </c>
      <c r="H345" s="19" t="str">
        <f ca="1">IF(F345&lt;=G345," ","YES")</f>
        <v xml:space="preserve"> </v>
      </c>
      <c r="I345">
        <v>1</v>
      </c>
      <c r="J345">
        <v>1</v>
      </c>
      <c r="L345">
        <v>1</v>
      </c>
      <c r="N345">
        <v>1</v>
      </c>
      <c r="O345" t="s">
        <v>2021</v>
      </c>
      <c r="P345" t="s">
        <v>1993</v>
      </c>
      <c r="R345" t="s">
        <v>2488</v>
      </c>
      <c r="T345" s="40">
        <v>45495</v>
      </c>
      <c r="U345" s="40">
        <v>45510</v>
      </c>
      <c r="V345" s="40">
        <v>45540</v>
      </c>
      <c r="W345" s="40">
        <v>45540</v>
      </c>
      <c r="X345" s="157">
        <v>55658</v>
      </c>
      <c r="Y345" s="40" t="str" cm="1">
        <f t="array" aca="1" ref="Y345" ca="1">TRIM(SUBSTITUTE(_xlfn.ARRAYTOTEXT(IFERROR(CONCATENATE(SUMIF(INDIRECT("'"&amp;Assemblies[Assy]&amp;"'!"&amp;"C$5:C1000"), $C345, INDIRECT("'"&amp;Assemblies[Assy]&amp;"'!"&amp;"O$5:O1000")), "x",Assemblies[Assy],".",IF(SUMIF(INDIRECT("'"&amp;Assemblies[Assy]&amp;"'!"&amp;"C$5:C1000"), $C345, INDIRECT("'"&amp;Assemblies[Assy]&amp;"'!"&amp;"A$5:A1000"))=0,NA(),SUMIF(INDIRECT("'"&amp;Assemblies[Assy]&amp;"'!"&amp;"C$5:C1000"), $C345, INDIRECT("'"&amp;Assemblies[Assy]&amp;"'!"&amp;"A$5:A1000")))),"")), " ,", ""))</f>
        <v>,</v>
      </c>
      <c r="Z345" s="178">
        <v>0</v>
      </c>
      <c r="AA345" s="178">
        <v>0</v>
      </c>
      <c r="AB345" s="178">
        <v>0</v>
      </c>
      <c r="AC345" s="39">
        <v>0</v>
      </c>
      <c r="AD345" s="178"/>
      <c r="AE345" s="297"/>
      <c r="AF345" s="271"/>
      <c r="AG345"/>
    </row>
    <row r="346" spans="1:33" x14ac:dyDescent="0.25">
      <c r="A346" s="24" t="s">
        <v>2646</v>
      </c>
      <c r="B346" s="134" t="s">
        <v>56</v>
      </c>
      <c r="C346" t="str">
        <f>_xlfn.CONCAT(A346,".",B346)</f>
        <v>PG10.6.2.1.2.1.B</v>
      </c>
      <c r="D346" t="s">
        <v>2647</v>
      </c>
      <c r="E346" s="18">
        <v>0</v>
      </c>
      <c r="F346" s="19" cm="1">
        <f t="array" aca="1" ref="F346" ca="1">SUMPRODUCT(SUMIF(INDIRECT("'"&amp;Assemblies[Assy]&amp;"'!"&amp;"C5:C1000"),C346,(INDIRECT("'"&amp;Assemblies[Assy]&amp;"'!"&amp;"O5:O1000"))))</f>
        <v>1</v>
      </c>
      <c r="G346" s="19">
        <v>1</v>
      </c>
      <c r="H346" s="19" t="str">
        <f ca="1">IF(F346&lt;=G346," ","YES")</f>
        <v xml:space="preserve"> </v>
      </c>
      <c r="I346">
        <v>1</v>
      </c>
      <c r="J346">
        <v>1</v>
      </c>
      <c r="L346">
        <v>1</v>
      </c>
      <c r="N346">
        <v>1</v>
      </c>
      <c r="O346" t="s">
        <v>2021</v>
      </c>
      <c r="P346" t="s">
        <v>1993</v>
      </c>
      <c r="S346" t="s">
        <v>2084</v>
      </c>
      <c r="T346" s="40" t="s">
        <v>2747</v>
      </c>
      <c r="U346" s="40" t="s">
        <v>2747</v>
      </c>
      <c r="V346" s="40" t="s">
        <v>2747</v>
      </c>
      <c r="W346" s="40" t="s">
        <v>2747</v>
      </c>
      <c r="X346" s="157" t="s">
        <v>2747</v>
      </c>
      <c r="Y346" s="40" t="str" cm="1">
        <f t="array" aca="1" ref="Y346" ca="1">TRIM(SUBSTITUTE(_xlfn.ARRAYTOTEXT(IFERROR(CONCATENATE(SUMIF(INDIRECT("'"&amp;Assemblies[Assy]&amp;"'!"&amp;"C$5:C1000"), $C346, INDIRECT("'"&amp;Assemblies[Assy]&amp;"'!"&amp;"O$5:O1000")), "x",Assemblies[Assy],".",IF(SUMIF(INDIRECT("'"&amp;Assemblies[Assy]&amp;"'!"&amp;"C$5:C1000"), $C346, INDIRECT("'"&amp;Assemblies[Assy]&amp;"'!"&amp;"A$5:A1000"))=0,NA(),SUMIF(INDIRECT("'"&amp;Assemblies[Assy]&amp;"'!"&amp;"C$5:C1000"), $C346, INDIRECT("'"&amp;Assemblies[Assy]&amp;"'!"&amp;"A$5:A1000")))),"")), " ,", ""))</f>
        <v>, 1x6.2.1.2.1,</v>
      </c>
      <c r="Z346" s="141">
        <v>0</v>
      </c>
      <c r="AA346" s="141">
        <v>0</v>
      </c>
      <c r="AB346" s="141">
        <v>0</v>
      </c>
      <c r="AC346" s="39">
        <v>0</v>
      </c>
      <c r="AD346" s="141"/>
      <c r="AE346" s="296"/>
      <c r="AF346" s="156"/>
      <c r="AG346"/>
    </row>
    <row r="347" spans="1:33" x14ac:dyDescent="0.25">
      <c r="A347" s="24" t="s">
        <v>2648</v>
      </c>
      <c r="B347" s="134" t="s">
        <v>54</v>
      </c>
      <c r="C347" t="str">
        <f>_xlfn.CONCAT(A347,".",B347)</f>
        <v>PG10.6.2.1.2.2.A</v>
      </c>
      <c r="D347" t="s">
        <v>2649</v>
      </c>
      <c r="E347" s="18">
        <v>82.76</v>
      </c>
      <c r="F347" s="19" cm="1">
        <f t="array" aca="1" ref="F347" ca="1">SUMPRODUCT(SUMIF(INDIRECT("'"&amp;Assemblies[Assy]&amp;"'!"&amp;"C5:C1000"),C347,(INDIRECT("'"&amp;Assemblies[Assy]&amp;"'!"&amp;"O5:O1000"))))</f>
        <v>2</v>
      </c>
      <c r="G347" s="19">
        <v>2</v>
      </c>
      <c r="H347" s="19" t="str">
        <f ca="1">IF(F347&lt;=G347," ","YES")</f>
        <v xml:space="preserve"> </v>
      </c>
      <c r="I347">
        <v>2</v>
      </c>
      <c r="J347">
        <v>2</v>
      </c>
      <c r="L347">
        <v>2</v>
      </c>
      <c r="N347">
        <v>2</v>
      </c>
      <c r="O347" t="s">
        <v>2021</v>
      </c>
      <c r="P347" t="s">
        <v>1993</v>
      </c>
      <c r="R347" t="s">
        <v>2488</v>
      </c>
      <c r="T347" s="40">
        <v>45495</v>
      </c>
      <c r="U347" s="40">
        <v>45510</v>
      </c>
      <c r="V347" s="40">
        <v>45540</v>
      </c>
      <c r="W347" s="40">
        <v>45540</v>
      </c>
      <c r="X347" s="157">
        <v>55658</v>
      </c>
      <c r="Y347" s="40" t="str" cm="1">
        <f t="array" aca="1" ref="Y347" ca="1">TRIM(SUBSTITUTE(_xlfn.ARRAYTOTEXT(IFERROR(CONCATENATE(SUMIF(INDIRECT("'"&amp;Assemblies[Assy]&amp;"'!"&amp;"C$5:C1000"), $C347, INDIRECT("'"&amp;Assemblies[Assy]&amp;"'!"&amp;"O$5:O1000")), "x",Assemblies[Assy],".",IF(SUMIF(INDIRECT("'"&amp;Assemblies[Assy]&amp;"'!"&amp;"C$5:C1000"), $C347, INDIRECT("'"&amp;Assemblies[Assy]&amp;"'!"&amp;"A$5:A1000"))=0,NA(),SUMIF(INDIRECT("'"&amp;Assemblies[Assy]&amp;"'!"&amp;"C$5:C1000"), $C347, INDIRECT("'"&amp;Assemblies[Assy]&amp;"'!"&amp;"A$5:A1000")))),"")), " ,", ""))</f>
        <v>, 1x6.2.1.2.2, 1x6.3.1.2.2,</v>
      </c>
      <c r="Z347" s="141">
        <v>0</v>
      </c>
      <c r="AA347" s="141">
        <v>0</v>
      </c>
      <c r="AB347" s="141">
        <v>0</v>
      </c>
      <c r="AC347" s="39">
        <v>0</v>
      </c>
      <c r="AD347" s="141"/>
      <c r="AE347" s="296"/>
      <c r="AF347" s="156"/>
      <c r="AG347"/>
    </row>
    <row r="348" spans="1:33" x14ac:dyDescent="0.25">
      <c r="A348" s="24" t="s">
        <v>2650</v>
      </c>
      <c r="B348" s="134" t="s">
        <v>54</v>
      </c>
      <c r="C348" t="str">
        <f>_xlfn.CONCAT(A348,".",B348)</f>
        <v>PG10.6.2.1.2.A</v>
      </c>
      <c r="D348" t="s">
        <v>2651</v>
      </c>
      <c r="E348" s="18">
        <v>228</v>
      </c>
      <c r="F348" s="19" cm="1">
        <f t="array" aca="1" ref="F348" ca="1">SUMPRODUCT(SUMIF(INDIRECT("'"&amp;Assemblies[Assy]&amp;"'!"&amp;"C5:C1000"),C348,(INDIRECT("'"&amp;Assemblies[Assy]&amp;"'!"&amp;"O5:O1000"))))</f>
        <v>4</v>
      </c>
      <c r="G348" s="19">
        <v>4</v>
      </c>
      <c r="H348" s="19" t="str">
        <f ca="1">IF(F348&lt;=G348," ","YES")</f>
        <v xml:space="preserve"> </v>
      </c>
      <c r="I348">
        <v>4</v>
      </c>
      <c r="J348">
        <v>4</v>
      </c>
      <c r="K348" s="40">
        <v>45512</v>
      </c>
      <c r="L348">
        <v>4</v>
      </c>
      <c r="M348" s="40">
        <v>45520</v>
      </c>
      <c r="N348">
        <v>4</v>
      </c>
      <c r="O348" t="s">
        <v>1986</v>
      </c>
      <c r="P348" t="s">
        <v>1987</v>
      </c>
      <c r="Q348" t="s">
        <v>1988</v>
      </c>
      <c r="R348" t="s">
        <v>2168</v>
      </c>
      <c r="T348" s="40">
        <v>45463</v>
      </c>
      <c r="U348" s="40">
        <v>45467</v>
      </c>
      <c r="V348" s="40">
        <v>45504</v>
      </c>
      <c r="W348" s="40">
        <v>45504</v>
      </c>
      <c r="X348" s="157">
        <v>55572</v>
      </c>
      <c r="Y348" s="40" t="str" cm="1">
        <f t="array" aca="1" ref="Y348" ca="1">TRIM(SUBSTITUTE(_xlfn.ARRAYTOTEXT(IFERROR(CONCATENATE(SUMIF(INDIRECT("'"&amp;Assemblies[Assy]&amp;"'!"&amp;"C$5:C1000"), $C348, INDIRECT("'"&amp;Assemblies[Assy]&amp;"'!"&amp;"O$5:O1000")), "x",Assemblies[Assy],".",IF(SUMIF(INDIRECT("'"&amp;Assemblies[Assy]&amp;"'!"&amp;"C$5:C1000"), $C348, INDIRECT("'"&amp;Assemblies[Assy]&amp;"'!"&amp;"A$5:A1000"))=0,NA(),SUMIF(INDIRECT("'"&amp;Assemblies[Assy]&amp;"'!"&amp;"C$5:C1000"), $C348, INDIRECT("'"&amp;Assemblies[Assy]&amp;"'!"&amp;"A$5:A1000")))),"")), " ,", ""))</f>
        <v>, 2x6.2.1.2, 2x6.3.1.2,</v>
      </c>
      <c r="AD348" s="141"/>
      <c r="AE348" s="296">
        <v>55668</v>
      </c>
      <c r="AF348" s="156"/>
      <c r="AG348"/>
    </row>
    <row r="349" spans="1:33" x14ac:dyDescent="0.25">
      <c r="A349" s="24" t="s">
        <v>2652</v>
      </c>
      <c r="B349" s="134" t="s">
        <v>54</v>
      </c>
      <c r="C349" t="str">
        <f>_xlfn.CONCAT(A349,".",B349)</f>
        <v>PG10.6.2.1.3.1.A</v>
      </c>
      <c r="D349" t="s">
        <v>2653</v>
      </c>
      <c r="E349" s="18">
        <v>370.5</v>
      </c>
      <c r="F349" s="19" cm="1">
        <f t="array" aca="1" ref="F349" ca="1">SUMPRODUCT(SUMIF(INDIRECT("'"&amp;Assemblies[Assy]&amp;"'!"&amp;"C5:C1000"),C349,(INDIRECT("'"&amp;Assemblies[Assy]&amp;"'!"&amp;"O5:O1000"))))</f>
        <v>1</v>
      </c>
      <c r="G349" s="19">
        <v>1</v>
      </c>
      <c r="H349" s="19" t="str">
        <f ca="1">IF(F349&lt;=G349," ","YES")</f>
        <v xml:space="preserve"> </v>
      </c>
      <c r="I349">
        <v>1</v>
      </c>
      <c r="J349">
        <v>1</v>
      </c>
      <c r="K349" s="40">
        <v>45512</v>
      </c>
      <c r="L349">
        <v>1</v>
      </c>
      <c r="N349">
        <v>1</v>
      </c>
      <c r="O349" t="s">
        <v>2067</v>
      </c>
      <c r="P349" t="s">
        <v>1987</v>
      </c>
      <c r="Q349" t="s">
        <v>1988</v>
      </c>
      <c r="R349" t="s">
        <v>2168</v>
      </c>
      <c r="T349" s="40">
        <v>45463</v>
      </c>
      <c r="U349" s="40">
        <v>45467</v>
      </c>
      <c r="V349" s="40">
        <v>45504</v>
      </c>
      <c r="W349" s="40">
        <v>45504</v>
      </c>
      <c r="X349" s="157">
        <v>55572</v>
      </c>
      <c r="Y349" s="40" t="str" cm="1">
        <f t="array" aca="1" ref="Y349" ca="1">TRIM(SUBSTITUTE(_xlfn.ARRAYTOTEXT(IFERROR(CONCATENATE(SUMIF(INDIRECT("'"&amp;Assemblies[Assy]&amp;"'!"&amp;"C$5:C1000"), $C349, INDIRECT("'"&amp;Assemblies[Assy]&amp;"'!"&amp;"O$5:O1000")), "x",Assemblies[Assy],".",IF(SUMIF(INDIRECT("'"&amp;Assemblies[Assy]&amp;"'!"&amp;"C$5:C1000"), $C349, INDIRECT("'"&amp;Assemblies[Assy]&amp;"'!"&amp;"A$5:A1000"))=0,NA(),SUMIF(INDIRECT("'"&amp;Assemblies[Assy]&amp;"'!"&amp;"C$5:C1000"), $C349, INDIRECT("'"&amp;Assemblies[Assy]&amp;"'!"&amp;"A$5:A1000")))),"")), " ,", ""))</f>
        <v>, 1x6.2.1.3.1,</v>
      </c>
      <c r="AD349" s="141"/>
      <c r="AE349" s="296">
        <v>55665</v>
      </c>
      <c r="AF349" s="156"/>
      <c r="AG349"/>
    </row>
    <row r="350" spans="1:33" x14ac:dyDescent="0.25">
      <c r="A350" s="24" t="s">
        <v>2654</v>
      </c>
      <c r="B350" s="134" t="s">
        <v>54</v>
      </c>
      <c r="C350" t="str">
        <f>_xlfn.CONCAT(A350,".",B350)</f>
        <v>PG10.6.2.1.3.2.A</v>
      </c>
      <c r="D350" t="s">
        <v>2655</v>
      </c>
      <c r="E350" s="18">
        <v>40.33</v>
      </c>
      <c r="F350" s="19" cm="1">
        <f t="array" aca="1" ref="F350" ca="1">SUMPRODUCT(SUMIF(INDIRECT("'"&amp;Assemblies[Assy]&amp;"'!"&amp;"C5:C1000"),C350,(INDIRECT("'"&amp;Assemblies[Assy]&amp;"'!"&amp;"O5:O1000"))))</f>
        <v>6</v>
      </c>
      <c r="G350" s="19">
        <v>6</v>
      </c>
      <c r="H350" s="19" t="str">
        <f ca="1">IF(F350&lt;=G350," ","YES")</f>
        <v xml:space="preserve"> </v>
      </c>
      <c r="I350">
        <v>6</v>
      </c>
      <c r="J350">
        <v>6</v>
      </c>
      <c r="K350" s="40">
        <v>45512</v>
      </c>
      <c r="L350">
        <v>6</v>
      </c>
      <c r="M350" s="40">
        <v>45520</v>
      </c>
      <c r="N350">
        <v>6</v>
      </c>
      <c r="O350" t="s">
        <v>1986</v>
      </c>
      <c r="P350" t="s">
        <v>1987</v>
      </c>
      <c r="Q350" t="s">
        <v>1988</v>
      </c>
      <c r="R350" t="s">
        <v>2168</v>
      </c>
      <c r="T350" s="40">
        <v>45463</v>
      </c>
      <c r="U350" s="40">
        <v>45467</v>
      </c>
      <c r="V350" s="40">
        <v>45504</v>
      </c>
      <c r="W350" s="40">
        <v>45504</v>
      </c>
      <c r="X350" s="157">
        <v>55572</v>
      </c>
      <c r="Y350" s="40" t="str" cm="1">
        <f t="array" aca="1" ref="Y350" ca="1">TRIM(SUBSTITUTE(_xlfn.ARRAYTOTEXT(IFERROR(CONCATENATE(SUMIF(INDIRECT("'"&amp;Assemblies[Assy]&amp;"'!"&amp;"C$5:C1000"), $C350, INDIRECT("'"&amp;Assemblies[Assy]&amp;"'!"&amp;"O$5:O1000")), "x",Assemblies[Assy],".",IF(SUMIF(INDIRECT("'"&amp;Assemblies[Assy]&amp;"'!"&amp;"C$5:C1000"), $C350, INDIRECT("'"&amp;Assemblies[Assy]&amp;"'!"&amp;"A$5:A1000"))=0,NA(),SUMIF(INDIRECT("'"&amp;Assemblies[Assy]&amp;"'!"&amp;"C$5:C1000"), $C350, INDIRECT("'"&amp;Assemblies[Assy]&amp;"'!"&amp;"A$5:A1000")))),"")), " ,", ""))</f>
        <v>, 3x6.2.1.3.2, 3x6.3.1.3.2,</v>
      </c>
      <c r="AD350" s="141"/>
      <c r="AE350" s="296">
        <v>55668</v>
      </c>
      <c r="AF350" s="156"/>
      <c r="AG350"/>
    </row>
    <row r="351" spans="1:33" x14ac:dyDescent="0.25">
      <c r="A351" s="24" t="s">
        <v>2656</v>
      </c>
      <c r="B351" s="134" t="s">
        <v>54</v>
      </c>
      <c r="C351" t="str">
        <f>_xlfn.CONCAT(A351,".",B351)</f>
        <v>PG10.6.2.1.3.3.A</v>
      </c>
      <c r="D351" t="s">
        <v>2657</v>
      </c>
      <c r="E351" s="18">
        <v>34.94</v>
      </c>
      <c r="F351" s="19" cm="1">
        <f t="array" aca="1" ref="F351" ca="1">SUMPRODUCT(SUMIF(INDIRECT("'"&amp;Assemblies[Assy]&amp;"'!"&amp;"C5:C1000"),C351,(INDIRECT("'"&amp;Assemblies[Assy]&amp;"'!"&amp;"O5:O1000"))))</f>
        <v>8</v>
      </c>
      <c r="G351" s="19">
        <v>8</v>
      </c>
      <c r="H351" s="19" t="str">
        <f ca="1">IF(F351&lt;=G351," ","YES")</f>
        <v xml:space="preserve"> </v>
      </c>
      <c r="I351">
        <v>8</v>
      </c>
      <c r="J351">
        <v>8</v>
      </c>
      <c r="K351" s="40">
        <v>45512</v>
      </c>
      <c r="L351">
        <v>8</v>
      </c>
      <c r="M351" s="40">
        <v>45520</v>
      </c>
      <c r="N351">
        <v>8</v>
      </c>
      <c r="O351" t="s">
        <v>1986</v>
      </c>
      <c r="P351" t="s">
        <v>1987</v>
      </c>
      <c r="Q351" t="s">
        <v>1988</v>
      </c>
      <c r="R351" t="s">
        <v>2168</v>
      </c>
      <c r="T351" s="40">
        <v>45463</v>
      </c>
      <c r="U351" s="40">
        <v>45467</v>
      </c>
      <c r="V351" s="40">
        <v>45504</v>
      </c>
      <c r="W351" s="40">
        <v>45504</v>
      </c>
      <c r="X351" s="157">
        <v>55572</v>
      </c>
      <c r="Y351" s="40" t="str" cm="1">
        <f t="array" aca="1" ref="Y351" ca="1">TRIM(SUBSTITUTE(_xlfn.ARRAYTOTEXT(IFERROR(CONCATENATE(SUMIF(INDIRECT("'"&amp;Assemblies[Assy]&amp;"'!"&amp;"C$5:C1000"), $C351, INDIRECT("'"&amp;Assemblies[Assy]&amp;"'!"&amp;"O$5:O1000")), "x",Assemblies[Assy],".",IF(SUMIF(INDIRECT("'"&amp;Assemblies[Assy]&amp;"'!"&amp;"C$5:C1000"), $C351, INDIRECT("'"&amp;Assemblies[Assy]&amp;"'!"&amp;"A$5:A1000"))=0,NA(),SUMIF(INDIRECT("'"&amp;Assemblies[Assy]&amp;"'!"&amp;"C$5:C1000"), $C351, INDIRECT("'"&amp;Assemblies[Assy]&amp;"'!"&amp;"A$5:A1000")))),"")), " ,", ""))</f>
        <v>, 4x6.2.1.3.3, 4x6.3.1.3.3,</v>
      </c>
      <c r="AD351" s="141"/>
      <c r="AE351" s="296">
        <v>55668</v>
      </c>
      <c r="AF351" s="156"/>
      <c r="AG351"/>
    </row>
    <row r="352" spans="1:33" x14ac:dyDescent="0.25">
      <c r="A352" s="24" t="s">
        <v>2658</v>
      </c>
      <c r="B352" s="134" t="s">
        <v>54</v>
      </c>
      <c r="C352" t="str">
        <f>_xlfn.CONCAT(A352,".",B352)</f>
        <v>PG10.6.2.1.3.4.A</v>
      </c>
      <c r="D352" t="s">
        <v>2659</v>
      </c>
      <c r="E352" s="18">
        <v>135</v>
      </c>
      <c r="F352" s="19" cm="1">
        <f t="array" aca="1" ref="F352" ca="1">SUMPRODUCT(SUMIF(INDIRECT("'"&amp;Assemblies[Assy]&amp;"'!"&amp;"C5:C1000"),C352,(INDIRECT("'"&amp;Assemblies[Assy]&amp;"'!"&amp;"O5:O1000"))))</f>
        <v>2</v>
      </c>
      <c r="G352" s="19">
        <v>2</v>
      </c>
      <c r="H352" s="19" t="str">
        <f ca="1">IF(F352&lt;=G352," ","YES")</f>
        <v xml:space="preserve"> </v>
      </c>
      <c r="I352">
        <v>2</v>
      </c>
      <c r="J352">
        <v>2</v>
      </c>
      <c r="L352">
        <v>2</v>
      </c>
      <c r="N352">
        <v>2</v>
      </c>
      <c r="O352" t="s">
        <v>2026</v>
      </c>
      <c r="P352" t="s">
        <v>2027</v>
      </c>
      <c r="Q352" t="s">
        <v>1988</v>
      </c>
      <c r="R352" t="s">
        <v>2178</v>
      </c>
      <c r="T352" s="40">
        <v>45468</v>
      </c>
      <c r="U352" s="40">
        <v>45470</v>
      </c>
      <c r="V352" s="40">
        <v>45495</v>
      </c>
      <c r="W352" s="40">
        <v>45495</v>
      </c>
      <c r="X352" s="157">
        <v>55576</v>
      </c>
      <c r="Y352" s="40" t="str" cm="1">
        <f t="array" aca="1" ref="Y352" ca="1">TRIM(SUBSTITUTE(_xlfn.ARRAYTOTEXT(IFERROR(CONCATENATE(SUMIF(INDIRECT("'"&amp;Assemblies[Assy]&amp;"'!"&amp;"C$5:C1000"), $C352, INDIRECT("'"&amp;Assemblies[Assy]&amp;"'!"&amp;"O$5:O1000")), "x",Assemblies[Assy],".",IF(SUMIF(INDIRECT("'"&amp;Assemblies[Assy]&amp;"'!"&amp;"C$5:C1000"), $C352, INDIRECT("'"&amp;Assemblies[Assy]&amp;"'!"&amp;"A$5:A1000"))=0,NA(),SUMIF(INDIRECT("'"&amp;Assemblies[Assy]&amp;"'!"&amp;"C$5:C1000"), $C352, INDIRECT("'"&amp;Assemblies[Assy]&amp;"'!"&amp;"A$5:A1000")))),"")), " ,", ""))</f>
        <v>, 1x6.2.1.3.4, 1x6.3.1.3.4,</v>
      </c>
      <c r="AD352" s="141"/>
      <c r="AE352" s="296">
        <v>55618</v>
      </c>
      <c r="AF352" s="156"/>
      <c r="AG352"/>
    </row>
    <row r="353" spans="1:33" x14ac:dyDescent="0.25">
      <c r="A353" s="24" t="s">
        <v>2660</v>
      </c>
      <c r="B353" s="134" t="s">
        <v>54</v>
      </c>
      <c r="C353" t="str">
        <f>_xlfn.CONCAT(A353,".",B353)</f>
        <v>PG10.6.2.1.4.1.A</v>
      </c>
      <c r="D353" t="s">
        <v>2661</v>
      </c>
      <c r="E353" s="18">
        <v>108.5</v>
      </c>
      <c r="F353" s="19" cm="1">
        <f t="array" aca="1" ref="F353" ca="1">SUMPRODUCT(SUMIF(INDIRECT("'"&amp;Assemblies[Assy]&amp;"'!"&amp;"C5:C1000"),C353,(INDIRECT("'"&amp;Assemblies[Assy]&amp;"'!"&amp;"O5:O1000"))))</f>
        <v>2</v>
      </c>
      <c r="G353" s="19">
        <v>2</v>
      </c>
      <c r="H353" s="19" t="str">
        <f ca="1">IF(F353&lt;=G353," ","YES")</f>
        <v xml:space="preserve"> </v>
      </c>
      <c r="I353">
        <v>2</v>
      </c>
      <c r="J353">
        <v>2</v>
      </c>
      <c r="K353" s="40">
        <v>45512</v>
      </c>
      <c r="L353">
        <v>2</v>
      </c>
      <c r="M353" s="40">
        <v>45520</v>
      </c>
      <c r="N353">
        <v>2</v>
      </c>
      <c r="O353" t="s">
        <v>1986</v>
      </c>
      <c r="P353" t="s">
        <v>1987</v>
      </c>
      <c r="Q353" t="s">
        <v>1988</v>
      </c>
      <c r="R353" t="s">
        <v>2168</v>
      </c>
      <c r="T353" s="40">
        <v>45463</v>
      </c>
      <c r="U353" s="40">
        <v>45467</v>
      </c>
      <c r="V353" s="40">
        <v>45504</v>
      </c>
      <c r="W353" s="40">
        <v>45504</v>
      </c>
      <c r="X353" s="157">
        <v>55572</v>
      </c>
      <c r="Y353" s="40" t="str" cm="1">
        <f t="array" aca="1" ref="Y353" ca="1">TRIM(SUBSTITUTE(_xlfn.ARRAYTOTEXT(IFERROR(CONCATENATE(SUMIF(INDIRECT("'"&amp;Assemblies[Assy]&amp;"'!"&amp;"C$5:C1000"), $C353, INDIRECT("'"&amp;Assemblies[Assy]&amp;"'!"&amp;"O$5:O1000")), "x",Assemblies[Assy],".",IF(SUMIF(INDIRECT("'"&amp;Assemblies[Assy]&amp;"'!"&amp;"C$5:C1000"), $C353, INDIRECT("'"&amp;Assemblies[Assy]&amp;"'!"&amp;"A$5:A1000"))=0,NA(),SUMIF(INDIRECT("'"&amp;Assemblies[Assy]&amp;"'!"&amp;"C$5:C1000"), $C353, INDIRECT("'"&amp;Assemblies[Assy]&amp;"'!"&amp;"A$5:A1000")))),"")), " ,", ""))</f>
        <v>, 1x6.2.1.4.1, 1x6.3.1.4.1,</v>
      </c>
      <c r="AD353" s="141"/>
      <c r="AE353" s="296">
        <v>55668</v>
      </c>
      <c r="AF353" s="156"/>
      <c r="AG353"/>
    </row>
    <row r="354" spans="1:33" x14ac:dyDescent="0.25">
      <c r="A354" s="24" t="s">
        <v>2662</v>
      </c>
      <c r="B354" s="134" t="s">
        <v>54</v>
      </c>
      <c r="C354" s="284" t="str">
        <f>_xlfn.CONCAT(A354,".",B354)</f>
        <v>PG10.6.2.1.4.2.A</v>
      </c>
      <c r="D354" s="191" t="s">
        <v>2663</v>
      </c>
      <c r="E354" s="18">
        <f>Z354+AA354+AB354+(65*AC354)</f>
        <v>0</v>
      </c>
      <c r="F354" s="19" cm="1">
        <f t="array" aca="1" ref="F354" ca="1">SUMPRODUCT(SUMIF(INDIRECT("'"&amp;Assemblies[Assy]&amp;"'!"&amp;"C5:C1000"),C354,(INDIRECT("'"&amp;Assemblies[Assy]&amp;"'!"&amp;"O5:O1000"))))</f>
        <v>4</v>
      </c>
      <c r="G354" s="19">
        <v>4</v>
      </c>
      <c r="H354" s="19" t="str">
        <f ca="1">IF(F354&lt;=G354," ","YES")</f>
        <v xml:space="preserve"> </v>
      </c>
      <c r="I354">
        <v>4</v>
      </c>
      <c r="J354">
        <v>4</v>
      </c>
      <c r="L354">
        <v>4</v>
      </c>
      <c r="N354">
        <v>4</v>
      </c>
      <c r="O354" t="s">
        <v>3859</v>
      </c>
      <c r="P354" t="s">
        <v>1993</v>
      </c>
      <c r="R354" t="s">
        <v>2333</v>
      </c>
      <c r="S354" t="s">
        <v>3864</v>
      </c>
      <c r="T354" s="40" t="s">
        <v>2747</v>
      </c>
      <c r="U354" s="40" t="s">
        <v>2747</v>
      </c>
      <c r="V354" s="40" t="s">
        <v>2747</v>
      </c>
      <c r="W354" s="40" t="s">
        <v>2747</v>
      </c>
      <c r="X354" s="40" t="s">
        <v>2747</v>
      </c>
      <c r="Y354" s="40" t="str" cm="1">
        <f t="array" aca="1" ref="Y354" ca="1">TRIM(SUBSTITUTE(_xlfn.ARRAYTOTEXT(IFERROR(CONCATENATE(SUMIF(INDIRECT("'"&amp;Assemblies[Assy]&amp;"'!"&amp;"C$5:C1000"), $C354, INDIRECT("'"&amp;Assemblies[Assy]&amp;"'!"&amp;"O$5:O1000")), "x",Assemblies[Assy],".",IF(SUMIF(INDIRECT("'"&amp;Assemblies[Assy]&amp;"'!"&amp;"C$5:C1000"), $C354, INDIRECT("'"&amp;Assemblies[Assy]&amp;"'!"&amp;"A$5:A1000"))=0,NA(),SUMIF(INDIRECT("'"&amp;Assemblies[Assy]&amp;"'!"&amp;"C$5:C1000"), $C354, INDIRECT("'"&amp;Assemblies[Assy]&amp;"'!"&amp;"A$5:A1000")))),"")), " ,", ""))</f>
        <v>, 2x6.2.1.4.2, 2x6.3.1.4.2,</v>
      </c>
      <c r="Z354" s="141">
        <v>0</v>
      </c>
      <c r="AA354" s="141">
        <v>0</v>
      </c>
      <c r="AB354" s="141">
        <v>0</v>
      </c>
      <c r="AC354" s="39">
        <v>0</v>
      </c>
      <c r="AD354" s="141"/>
      <c r="AE354" s="296"/>
      <c r="AF354" s="156"/>
      <c r="AG354"/>
    </row>
    <row r="355" spans="1:33" x14ac:dyDescent="0.25">
      <c r="A355" s="24" t="s">
        <v>2664</v>
      </c>
      <c r="B355" s="134" t="s">
        <v>54</v>
      </c>
      <c r="C355" t="str">
        <f>_xlfn.CONCAT(A355,".",B355)</f>
        <v>PG10.6.2.1.4.3.A</v>
      </c>
      <c r="D355" t="s">
        <v>2665</v>
      </c>
      <c r="E355" s="18">
        <v>163.5</v>
      </c>
      <c r="F355" s="19" cm="1">
        <f t="array" aca="1" ref="F355" ca="1">SUMPRODUCT(SUMIF(INDIRECT("'"&amp;Assemblies[Assy]&amp;"'!"&amp;"C5:C1000"),C355,(INDIRECT("'"&amp;Assemblies[Assy]&amp;"'!"&amp;"O5:O1000"))))</f>
        <v>4</v>
      </c>
      <c r="G355" s="19">
        <v>4</v>
      </c>
      <c r="H355" s="19" t="str">
        <f ca="1">IF(F355&lt;=G355," ","YES")</f>
        <v xml:space="preserve"> </v>
      </c>
      <c r="I355">
        <v>4</v>
      </c>
      <c r="J355">
        <v>4</v>
      </c>
      <c r="L355">
        <v>4</v>
      </c>
      <c r="N355">
        <v>4</v>
      </c>
      <c r="O355" t="s">
        <v>2021</v>
      </c>
      <c r="P355" t="s">
        <v>1993</v>
      </c>
      <c r="R355" t="s">
        <v>2168</v>
      </c>
      <c r="T355" s="40">
        <v>45463</v>
      </c>
      <c r="U355" s="40">
        <v>45467</v>
      </c>
      <c r="V355" s="40">
        <v>45504</v>
      </c>
      <c r="W355" s="40">
        <v>45504</v>
      </c>
      <c r="X355" s="157">
        <v>55572</v>
      </c>
      <c r="Y355" s="40" t="str" cm="1">
        <f t="array" aca="1" ref="Y355" ca="1">TRIM(SUBSTITUTE(_xlfn.ARRAYTOTEXT(IFERROR(CONCATENATE(SUMIF(INDIRECT("'"&amp;Assemblies[Assy]&amp;"'!"&amp;"C$5:C1000"), $C355, INDIRECT("'"&amp;Assemblies[Assy]&amp;"'!"&amp;"O$5:O1000")), "x",Assemblies[Assy],".",IF(SUMIF(INDIRECT("'"&amp;Assemblies[Assy]&amp;"'!"&amp;"C$5:C1000"), $C355, INDIRECT("'"&amp;Assemblies[Assy]&amp;"'!"&amp;"A$5:A1000"))=0,NA(),SUMIF(INDIRECT("'"&amp;Assemblies[Assy]&amp;"'!"&amp;"C$5:C1000"), $C355, INDIRECT("'"&amp;Assemblies[Assy]&amp;"'!"&amp;"A$5:A1000")))),"")), " ,", ""))</f>
        <v>, 2x6.2.1.4.3, 2x6.3.1.4.3,</v>
      </c>
      <c r="AD355" s="141"/>
      <c r="AE355" s="296"/>
      <c r="AF355" s="156"/>
      <c r="AG355"/>
    </row>
    <row r="356" spans="1:33" x14ac:dyDescent="0.25">
      <c r="A356" s="24" t="s">
        <v>2666</v>
      </c>
      <c r="B356" s="134" t="s">
        <v>54</v>
      </c>
      <c r="C356" t="str">
        <f>_xlfn.CONCAT(A356,".",B356)</f>
        <v>PG10.6.2.1.4.4.A</v>
      </c>
      <c r="D356" t="s">
        <v>2667</v>
      </c>
      <c r="E356" s="18">
        <v>82.18</v>
      </c>
      <c r="F356" s="19" cm="1">
        <f t="array" aca="1" ref="F356" ca="1">SUMPRODUCT(SUMIF(INDIRECT("'"&amp;Assemblies[Assy]&amp;"'!"&amp;"C5:C1000"),C356,(INDIRECT("'"&amp;Assemblies[Assy]&amp;"'!"&amp;"O5:O1000"))))</f>
        <v>0</v>
      </c>
      <c r="G356" s="19">
        <v>2</v>
      </c>
      <c r="H356" s="19" t="str">
        <f ca="1">IF(F356&lt;=G356," ","YES")</f>
        <v xml:space="preserve"> </v>
      </c>
      <c r="I356">
        <v>2</v>
      </c>
      <c r="J356">
        <v>2</v>
      </c>
      <c r="L356">
        <v>2</v>
      </c>
      <c r="N356">
        <v>2</v>
      </c>
      <c r="O356" t="s">
        <v>2021</v>
      </c>
      <c r="P356" t="s">
        <v>1993</v>
      </c>
      <c r="R356" t="s">
        <v>2488</v>
      </c>
      <c r="T356" s="40">
        <v>45495</v>
      </c>
      <c r="U356" s="40">
        <v>45510</v>
      </c>
      <c r="V356" s="40">
        <v>45540</v>
      </c>
      <c r="W356" s="40">
        <v>45540</v>
      </c>
      <c r="X356" s="157">
        <v>55658</v>
      </c>
      <c r="Y356" s="40" t="str" cm="1">
        <f t="array" aca="1" ref="Y356" ca="1">TRIM(SUBSTITUTE(_xlfn.ARRAYTOTEXT(IFERROR(CONCATENATE(SUMIF(INDIRECT("'"&amp;Assemblies[Assy]&amp;"'!"&amp;"C$5:C1000"), $C356, INDIRECT("'"&amp;Assemblies[Assy]&amp;"'!"&amp;"O$5:O1000")), "x",Assemblies[Assy],".",IF(SUMIF(INDIRECT("'"&amp;Assemblies[Assy]&amp;"'!"&amp;"C$5:C1000"), $C356, INDIRECT("'"&amp;Assemblies[Assy]&amp;"'!"&amp;"A$5:A1000"))=0,NA(),SUMIF(INDIRECT("'"&amp;Assemblies[Assy]&amp;"'!"&amp;"C$5:C1000"), $C356, INDIRECT("'"&amp;Assemblies[Assy]&amp;"'!"&amp;"A$5:A1000")))),"")), " ,", ""))</f>
        <v>,</v>
      </c>
      <c r="Z356" s="178">
        <v>0</v>
      </c>
      <c r="AA356" s="178">
        <v>0</v>
      </c>
      <c r="AB356" s="178">
        <v>0</v>
      </c>
      <c r="AC356" s="39">
        <v>0</v>
      </c>
      <c r="AD356" s="178"/>
      <c r="AE356" s="297"/>
      <c r="AF356" s="271"/>
      <c r="AG356"/>
    </row>
    <row r="357" spans="1:33" x14ac:dyDescent="0.25">
      <c r="A357" s="24" t="s">
        <v>2666</v>
      </c>
      <c r="B357" s="134" t="s">
        <v>56</v>
      </c>
      <c r="C357" t="str">
        <f>_xlfn.CONCAT(A357,".",B357)</f>
        <v>PG10.6.2.1.4.4.B</v>
      </c>
      <c r="D357" s="191" t="s">
        <v>2667</v>
      </c>
      <c r="E357" s="18"/>
      <c r="F357" s="19" cm="1">
        <f t="array" aca="1" ref="F357" ca="1">SUMPRODUCT(SUMIF(INDIRECT("'"&amp;Assemblies[Assy]&amp;"'!"&amp;"C5:C1000"),C357,(INDIRECT("'"&amp;Assemblies[Assy]&amp;"'!"&amp;"O5:O1000"))))</f>
        <v>2</v>
      </c>
      <c r="G357" s="19">
        <v>2</v>
      </c>
      <c r="H357" s="19" t="str">
        <f ca="1">IF(F357&lt;=G357," ","YES")</f>
        <v xml:space="preserve"> </v>
      </c>
      <c r="I357">
        <v>2</v>
      </c>
      <c r="J357">
        <v>2</v>
      </c>
      <c r="L357">
        <v>2</v>
      </c>
      <c r="N357">
        <v>2</v>
      </c>
      <c r="O357" t="s">
        <v>2021</v>
      </c>
      <c r="P357" t="s">
        <v>1993</v>
      </c>
      <c r="S357" s="191" t="s">
        <v>2084</v>
      </c>
      <c r="T357" s="40" t="s">
        <v>2747</v>
      </c>
      <c r="U357" s="40" t="s">
        <v>2747</v>
      </c>
      <c r="V357" s="40" t="s">
        <v>2747</v>
      </c>
      <c r="W357" s="40" t="s">
        <v>2747</v>
      </c>
      <c r="X357" s="157" t="s">
        <v>2747</v>
      </c>
      <c r="Y357" s="40" t="str" cm="1">
        <f t="array" aca="1" ref="Y357" ca="1">TRIM(SUBSTITUTE(_xlfn.ARRAYTOTEXT(IFERROR(CONCATENATE(SUMIF(INDIRECT("'"&amp;Assemblies[Assy]&amp;"'!"&amp;"C$5:C1000"), $C357, INDIRECT("'"&amp;Assemblies[Assy]&amp;"'!"&amp;"O$5:O1000")), "x",Assemblies[Assy],".",IF(SUMIF(INDIRECT("'"&amp;Assemblies[Assy]&amp;"'!"&amp;"C$5:C1000"), $C357, INDIRECT("'"&amp;Assemblies[Assy]&amp;"'!"&amp;"A$5:A1000"))=0,NA(),SUMIF(INDIRECT("'"&amp;Assemblies[Assy]&amp;"'!"&amp;"C$5:C1000"), $C357, INDIRECT("'"&amp;Assemblies[Assy]&amp;"'!"&amp;"A$5:A1000")))),"")), " ,", ""))</f>
        <v>, 1x6.2.1.4.4, 1x6.3.1.4.4,</v>
      </c>
      <c r="Z357" s="141">
        <v>0</v>
      </c>
      <c r="AA357" s="141">
        <v>0</v>
      </c>
      <c r="AB357" s="141">
        <v>0</v>
      </c>
      <c r="AC357" s="39">
        <v>0</v>
      </c>
      <c r="AD357" s="141"/>
      <c r="AE357" s="296"/>
      <c r="AF357" s="156"/>
      <c r="AG357"/>
    </row>
    <row r="358" spans="1:33" x14ac:dyDescent="0.25">
      <c r="A358" s="24" t="s">
        <v>2668</v>
      </c>
      <c r="B358" s="134" t="s">
        <v>54</v>
      </c>
      <c r="C358" t="str">
        <f>_xlfn.CONCAT(A358,".",B358)</f>
        <v>PG10.6.2.1.5.1.A</v>
      </c>
      <c r="D358" t="s">
        <v>2669</v>
      </c>
      <c r="E358" s="18">
        <f>Z358+AA358+AB358+(65*AC358)</f>
        <v>0</v>
      </c>
      <c r="F358" s="19" cm="1">
        <f t="array" aca="1" ref="F358" ca="1">SUMPRODUCT(SUMIF(INDIRECT("'"&amp;Assemblies[Assy]&amp;"'!"&amp;"C5:C1000"),C358,(INDIRECT("'"&amp;Assemblies[Assy]&amp;"'!"&amp;"O5:O1000"))))</f>
        <v>4</v>
      </c>
      <c r="G358" s="19">
        <v>4</v>
      </c>
      <c r="H358" s="19" t="str">
        <f ca="1">IF(F358&lt;=G358," ","YES")</f>
        <v xml:space="preserve"> </v>
      </c>
      <c r="I358">
        <v>4</v>
      </c>
      <c r="J358">
        <v>4</v>
      </c>
      <c r="L358">
        <v>4</v>
      </c>
      <c r="N358">
        <v>4</v>
      </c>
      <c r="O358" t="s">
        <v>2021</v>
      </c>
      <c r="P358" t="s">
        <v>2606</v>
      </c>
      <c r="R358" t="s">
        <v>2488</v>
      </c>
      <c r="T358" s="40">
        <v>45526</v>
      </c>
      <c r="U358" s="40">
        <v>45527</v>
      </c>
      <c r="V358" s="40">
        <v>45548</v>
      </c>
      <c r="W358" s="40">
        <v>45548</v>
      </c>
      <c r="X358" s="157">
        <v>55702</v>
      </c>
      <c r="Y358" s="40" t="str" cm="1">
        <f t="array" aca="1" ref="Y358" ca="1">TRIM(SUBSTITUTE(_xlfn.ARRAYTOTEXT(IFERROR(CONCATENATE(SUMIF(INDIRECT("'"&amp;Assemblies[Assy]&amp;"'!"&amp;"C$5:C1000"), $C358, INDIRECT("'"&amp;Assemblies[Assy]&amp;"'!"&amp;"O$5:O1000")), "x",Assemblies[Assy],".",IF(SUMIF(INDIRECT("'"&amp;Assemblies[Assy]&amp;"'!"&amp;"C$5:C1000"), $C358, INDIRECT("'"&amp;Assemblies[Assy]&amp;"'!"&amp;"A$5:A1000"))=0,NA(),SUMIF(INDIRECT("'"&amp;Assemblies[Assy]&amp;"'!"&amp;"C$5:C1000"), $C358, INDIRECT("'"&amp;Assemblies[Assy]&amp;"'!"&amp;"A$5:A1000")))),"")), " ,", ""))</f>
        <v>, 2x6.2.1.5.1, 2x6.10.14,</v>
      </c>
      <c r="Z358" s="141">
        <v>0</v>
      </c>
      <c r="AA358" s="141">
        <v>0</v>
      </c>
      <c r="AB358" s="141">
        <v>0</v>
      </c>
      <c r="AC358" s="39">
        <v>0</v>
      </c>
      <c r="AD358" s="141"/>
      <c r="AE358" s="296"/>
      <c r="AF358" s="156"/>
      <c r="AG358"/>
    </row>
    <row r="359" spans="1:33" x14ac:dyDescent="0.25">
      <c r="A359" s="24" t="s">
        <v>2670</v>
      </c>
      <c r="B359" s="134" t="s">
        <v>54</v>
      </c>
      <c r="C359" t="str">
        <f>_xlfn.CONCAT(A359,".",B359)</f>
        <v>PG10.6.2.2.1.A</v>
      </c>
      <c r="D359" t="s">
        <v>2671</v>
      </c>
      <c r="E359" s="18">
        <v>263</v>
      </c>
      <c r="F359" s="19" cm="1">
        <f t="array" aca="1" ref="F359" ca="1">SUMPRODUCT(SUMIF(INDIRECT("'"&amp;Assemblies[Assy]&amp;"'!"&amp;"C5:C1000"),C359,(INDIRECT("'"&amp;Assemblies[Assy]&amp;"'!"&amp;"O5:O1000"))))</f>
        <v>2</v>
      </c>
      <c r="G359" s="19">
        <v>2</v>
      </c>
      <c r="H359" s="19" t="str">
        <f ca="1">IF(F359&lt;=G359," ","YES")</f>
        <v xml:space="preserve"> </v>
      </c>
      <c r="I359">
        <v>2</v>
      </c>
      <c r="J359">
        <v>2</v>
      </c>
      <c r="K359" s="40">
        <v>45512</v>
      </c>
      <c r="L359">
        <v>2</v>
      </c>
      <c r="M359" s="40">
        <v>45520</v>
      </c>
      <c r="N359">
        <v>2</v>
      </c>
      <c r="O359" t="s">
        <v>1986</v>
      </c>
      <c r="P359" t="s">
        <v>1987</v>
      </c>
      <c r="Q359" t="s">
        <v>1988</v>
      </c>
      <c r="R359" t="s">
        <v>2168</v>
      </c>
      <c r="T359" s="40">
        <v>45463</v>
      </c>
      <c r="U359" s="40">
        <v>45467</v>
      </c>
      <c r="V359" s="40">
        <v>45504</v>
      </c>
      <c r="W359" s="40">
        <v>45504</v>
      </c>
      <c r="X359" s="157">
        <v>55572</v>
      </c>
      <c r="Y359" s="40" t="str" cm="1">
        <f t="array" aca="1" ref="Y359" ca="1">TRIM(SUBSTITUTE(_xlfn.ARRAYTOTEXT(IFERROR(CONCATENATE(SUMIF(INDIRECT("'"&amp;Assemblies[Assy]&amp;"'!"&amp;"C$5:C1000"), $C359, INDIRECT("'"&amp;Assemblies[Assy]&amp;"'!"&amp;"O$5:O1000")), "x",Assemblies[Assy],".",IF(SUMIF(INDIRECT("'"&amp;Assemblies[Assy]&amp;"'!"&amp;"C$5:C1000"), $C359, INDIRECT("'"&amp;Assemblies[Assy]&amp;"'!"&amp;"A$5:A1000"))=0,NA(),SUMIF(INDIRECT("'"&amp;Assemblies[Assy]&amp;"'!"&amp;"C$5:C1000"), $C359, INDIRECT("'"&amp;Assemblies[Assy]&amp;"'!"&amp;"A$5:A1000")))),"")), " ,", ""))</f>
        <v>, 1x6.2.2.1, 1x6.3.2.1,</v>
      </c>
      <c r="AD359" s="141"/>
      <c r="AE359" s="296">
        <v>55668</v>
      </c>
      <c r="AF359" s="156"/>
      <c r="AG359"/>
    </row>
    <row r="360" spans="1:33" x14ac:dyDescent="0.25">
      <c r="A360" s="24" t="s">
        <v>2672</v>
      </c>
      <c r="B360" s="134" t="s">
        <v>54</v>
      </c>
      <c r="C360" t="str">
        <f>_xlfn.CONCAT(A360,".",B360)</f>
        <v>PG10.6.2.2.2.A</v>
      </c>
      <c r="D360" t="s">
        <v>2673</v>
      </c>
      <c r="E360" s="18">
        <v>73.75</v>
      </c>
      <c r="F360" s="19" cm="1">
        <f t="array" aca="1" ref="F360" ca="1">SUMPRODUCT(SUMIF(INDIRECT("'"&amp;Assemblies[Assy]&amp;"'!"&amp;"C5:C1000"),C360,(INDIRECT("'"&amp;Assemblies[Assy]&amp;"'!"&amp;"O5:O1000"))))</f>
        <v>2</v>
      </c>
      <c r="G360" s="19">
        <v>4</v>
      </c>
      <c r="H360" s="19" t="str">
        <f ca="1">IF(F360&lt;=G360," ","YES")</f>
        <v xml:space="preserve"> </v>
      </c>
      <c r="I360">
        <v>4</v>
      </c>
      <c r="J360">
        <v>4</v>
      </c>
      <c r="L360">
        <v>4</v>
      </c>
      <c r="N360">
        <v>4</v>
      </c>
      <c r="O360" t="s">
        <v>2021</v>
      </c>
      <c r="P360" t="s">
        <v>1993</v>
      </c>
      <c r="R360" t="s">
        <v>2178</v>
      </c>
      <c r="T360" s="40">
        <v>45468</v>
      </c>
      <c r="U360" s="40">
        <v>45470</v>
      </c>
      <c r="V360" s="40">
        <v>45495</v>
      </c>
      <c r="W360" s="40">
        <v>45495</v>
      </c>
      <c r="X360" s="157">
        <v>55576</v>
      </c>
      <c r="Y360" s="40" t="str" cm="1">
        <f t="array" aca="1" ref="Y360" ca="1">TRIM(SUBSTITUTE(_xlfn.ARRAYTOTEXT(IFERROR(CONCATENATE(SUMIF(INDIRECT("'"&amp;Assemblies[Assy]&amp;"'!"&amp;"C$5:C1000"), $C360, INDIRECT("'"&amp;Assemblies[Assy]&amp;"'!"&amp;"O$5:O1000")), "x",Assemblies[Assy],".",IF(SUMIF(INDIRECT("'"&amp;Assemblies[Assy]&amp;"'!"&amp;"C$5:C1000"), $C360, INDIRECT("'"&amp;Assemblies[Assy]&amp;"'!"&amp;"A$5:A1000"))=0,NA(),SUMIF(INDIRECT("'"&amp;Assemblies[Assy]&amp;"'!"&amp;"C$5:C1000"), $C360, INDIRECT("'"&amp;Assemblies[Assy]&amp;"'!"&amp;"A$5:A1000")))),"")), " ,", ""))</f>
        <v>, 1x6.2.2.2, 1x6.3.2.2,</v>
      </c>
      <c r="AD360" s="141"/>
      <c r="AE360" s="296"/>
      <c r="AF360" s="156"/>
      <c r="AG360"/>
    </row>
    <row r="361" spans="1:33" x14ac:dyDescent="0.25">
      <c r="A361" s="24" t="s">
        <v>2674</v>
      </c>
      <c r="B361" s="134" t="s">
        <v>54</v>
      </c>
      <c r="C361" t="str">
        <f>_xlfn.CONCAT(A361,".",B361)</f>
        <v>PG10.6.2.2.3.A</v>
      </c>
      <c r="D361" t="s">
        <v>2118</v>
      </c>
      <c r="E361" s="18">
        <v>108.5</v>
      </c>
      <c r="F361" s="19" cm="1">
        <f t="array" aca="1" ref="F361" ca="1">SUMPRODUCT(SUMIF(INDIRECT("'"&amp;Assemblies[Assy]&amp;"'!"&amp;"C5:C1000"),C361,(INDIRECT("'"&amp;Assemblies[Assy]&amp;"'!"&amp;"O5:O1000"))))</f>
        <v>2</v>
      </c>
      <c r="G361" s="19">
        <v>2</v>
      </c>
      <c r="H361" s="19" t="str">
        <f ca="1">IF(F361&lt;=G361," ","YES")</f>
        <v xml:space="preserve"> </v>
      </c>
      <c r="I361">
        <v>2</v>
      </c>
      <c r="J361">
        <v>2</v>
      </c>
      <c r="L361">
        <v>2</v>
      </c>
      <c r="N361">
        <v>2</v>
      </c>
      <c r="O361" t="s">
        <v>2021</v>
      </c>
      <c r="P361" t="s">
        <v>1993</v>
      </c>
      <c r="R361" t="s">
        <v>2168</v>
      </c>
      <c r="T361" s="40">
        <v>45463</v>
      </c>
      <c r="U361" s="40">
        <v>45467</v>
      </c>
      <c r="V361" s="40">
        <v>45504</v>
      </c>
      <c r="W361" s="40">
        <v>45504</v>
      </c>
      <c r="X361" s="157">
        <v>55572</v>
      </c>
      <c r="Y361" s="40" t="str" cm="1">
        <f t="array" aca="1" ref="Y361" ca="1">TRIM(SUBSTITUTE(_xlfn.ARRAYTOTEXT(IFERROR(CONCATENATE(SUMIF(INDIRECT("'"&amp;Assemblies[Assy]&amp;"'!"&amp;"C$5:C1000"), $C361, INDIRECT("'"&amp;Assemblies[Assy]&amp;"'!"&amp;"O$5:O1000")), "x",Assemblies[Assy],".",IF(SUMIF(INDIRECT("'"&amp;Assemblies[Assy]&amp;"'!"&amp;"C$5:C1000"), $C361, INDIRECT("'"&amp;Assemblies[Assy]&amp;"'!"&amp;"A$5:A1000"))=0,NA(),SUMIF(INDIRECT("'"&amp;Assemblies[Assy]&amp;"'!"&amp;"C$5:C1000"), $C361, INDIRECT("'"&amp;Assemblies[Assy]&amp;"'!"&amp;"A$5:A1000")))),"")), " ,", ""))</f>
        <v>, 1x6.2.2.3, 1x6.3.2.3,</v>
      </c>
      <c r="AD361" s="141"/>
      <c r="AE361" s="296"/>
      <c r="AF361" s="156"/>
      <c r="AG361"/>
    </row>
    <row r="362" spans="1:33" x14ac:dyDescent="0.25">
      <c r="A362" s="24" t="s">
        <v>2675</v>
      </c>
      <c r="B362" s="134" t="s">
        <v>54</v>
      </c>
      <c r="C362" t="str">
        <f>_xlfn.CONCAT(A362,".",B362)</f>
        <v>PG10.6.2.2.4.A</v>
      </c>
      <c r="D362" t="s">
        <v>2676</v>
      </c>
      <c r="E362" s="18">
        <v>116</v>
      </c>
      <c r="F362" s="19" cm="1">
        <f t="array" aca="1" ref="F362" ca="1">SUMPRODUCT(SUMIF(INDIRECT("'"&amp;Assemblies[Assy]&amp;"'!"&amp;"C5:C1000"),C362,(INDIRECT("'"&amp;Assemblies[Assy]&amp;"'!"&amp;"O5:O1000"))))</f>
        <v>2</v>
      </c>
      <c r="G362" s="19">
        <v>2</v>
      </c>
      <c r="H362" s="19" t="str">
        <f ca="1">IF(F362&lt;=G362," ","YES")</f>
        <v xml:space="preserve"> </v>
      </c>
      <c r="I362">
        <v>2</v>
      </c>
      <c r="J362">
        <v>2</v>
      </c>
      <c r="K362" s="40">
        <v>45512</v>
      </c>
      <c r="L362">
        <v>2</v>
      </c>
      <c r="N362">
        <v>2</v>
      </c>
      <c r="O362" t="s">
        <v>1986</v>
      </c>
      <c r="P362" t="s">
        <v>1987</v>
      </c>
      <c r="Q362" t="s">
        <v>1988</v>
      </c>
      <c r="R362" t="s">
        <v>2168</v>
      </c>
      <c r="T362" s="40">
        <v>45463</v>
      </c>
      <c r="U362" s="40">
        <v>45467</v>
      </c>
      <c r="V362" s="40">
        <v>45504</v>
      </c>
      <c r="W362" s="40">
        <v>45504</v>
      </c>
      <c r="X362" s="157">
        <v>55572</v>
      </c>
      <c r="Y362" s="40" t="str" cm="1">
        <f t="array" aca="1" ref="Y362" ca="1">TRIM(SUBSTITUTE(_xlfn.ARRAYTOTEXT(IFERROR(CONCATENATE(SUMIF(INDIRECT("'"&amp;Assemblies[Assy]&amp;"'!"&amp;"C$5:C1000"), $C362, INDIRECT("'"&amp;Assemblies[Assy]&amp;"'!"&amp;"O$5:O1000")), "x",Assemblies[Assy],".",IF(SUMIF(INDIRECT("'"&amp;Assemblies[Assy]&amp;"'!"&amp;"C$5:C1000"), $C362, INDIRECT("'"&amp;Assemblies[Assy]&amp;"'!"&amp;"A$5:A1000"))=0,NA(),SUMIF(INDIRECT("'"&amp;Assemblies[Assy]&amp;"'!"&amp;"C$5:C1000"), $C362, INDIRECT("'"&amp;Assemblies[Assy]&amp;"'!"&amp;"A$5:A1000")))),"")), " ,", ""))</f>
        <v>, 1x6.2.2.4, 1x6.3.2.4,</v>
      </c>
      <c r="AD362" s="141"/>
      <c r="AE362" s="296">
        <v>55665</v>
      </c>
      <c r="AF362" s="156"/>
      <c r="AG362"/>
    </row>
    <row r="363" spans="1:33" x14ac:dyDescent="0.25">
      <c r="A363" s="24" t="s">
        <v>2677</v>
      </c>
      <c r="B363" s="134" t="s">
        <v>54</v>
      </c>
      <c r="C363" t="str">
        <f>_xlfn.CONCAT(A363,".",B363)</f>
        <v>PG10.6.2.2.5.A</v>
      </c>
      <c r="D363" t="s">
        <v>2678</v>
      </c>
      <c r="E363" s="18">
        <v>205.5</v>
      </c>
      <c r="F363" s="19" cm="1">
        <f t="array" aca="1" ref="F363" ca="1">SUMPRODUCT(SUMIF(INDIRECT("'"&amp;Assemblies[Assy]&amp;"'!"&amp;"C5:C1000"),C363,(INDIRECT("'"&amp;Assemblies[Assy]&amp;"'!"&amp;"O5:O1000"))))</f>
        <v>4</v>
      </c>
      <c r="G363" s="19">
        <v>4</v>
      </c>
      <c r="H363" s="19" t="str">
        <f ca="1">IF(F363&lt;=G363," ","YES")</f>
        <v xml:space="preserve"> </v>
      </c>
      <c r="I363">
        <v>4</v>
      </c>
      <c r="J363">
        <v>4</v>
      </c>
      <c r="K363" s="40">
        <v>45512</v>
      </c>
      <c r="L363">
        <v>4</v>
      </c>
      <c r="M363" s="40">
        <v>45520</v>
      </c>
      <c r="N363">
        <v>4</v>
      </c>
      <c r="O363" t="s">
        <v>1986</v>
      </c>
      <c r="P363" t="s">
        <v>1987</v>
      </c>
      <c r="Q363" t="s">
        <v>1988</v>
      </c>
      <c r="R363" t="s">
        <v>2168</v>
      </c>
      <c r="T363" s="40">
        <v>45463</v>
      </c>
      <c r="U363" s="40">
        <v>45467</v>
      </c>
      <c r="V363" s="40">
        <v>45504</v>
      </c>
      <c r="W363" s="40">
        <v>45504</v>
      </c>
      <c r="X363" s="157">
        <v>55572</v>
      </c>
      <c r="Y363" s="40" t="str" cm="1">
        <f t="array" aca="1" ref="Y363" ca="1">TRIM(SUBSTITUTE(_xlfn.ARRAYTOTEXT(IFERROR(CONCATENATE(SUMIF(INDIRECT("'"&amp;Assemblies[Assy]&amp;"'!"&amp;"C$5:C1000"), $C363, INDIRECT("'"&amp;Assemblies[Assy]&amp;"'!"&amp;"O$5:O1000")), "x",Assemblies[Assy],".",IF(SUMIF(INDIRECT("'"&amp;Assemblies[Assy]&amp;"'!"&amp;"C$5:C1000"), $C363, INDIRECT("'"&amp;Assemblies[Assy]&amp;"'!"&amp;"A$5:A1000"))=0,NA(),SUMIF(INDIRECT("'"&amp;Assemblies[Assy]&amp;"'!"&amp;"C$5:C1000"), $C363, INDIRECT("'"&amp;Assemblies[Assy]&amp;"'!"&amp;"A$5:A1000")))),"")), " ,", ""))</f>
        <v>, 2x6.2.2.5, 2x6.3.2.5,</v>
      </c>
      <c r="AD363" s="141"/>
      <c r="AE363" s="296">
        <v>55668</v>
      </c>
      <c r="AF363" s="156"/>
      <c r="AG363"/>
    </row>
    <row r="364" spans="1:33" x14ac:dyDescent="0.25">
      <c r="A364" s="24" t="s">
        <v>2679</v>
      </c>
      <c r="B364" s="134" t="s">
        <v>54</v>
      </c>
      <c r="C364" t="str">
        <f>_xlfn.CONCAT(A364,".",B364)</f>
        <v>PG10.6.2.3.1.1.A</v>
      </c>
      <c r="D364" t="s">
        <v>2680</v>
      </c>
      <c r="E364" s="18">
        <f>Z364+AA364+AB364+(65*AC364)</f>
        <v>0</v>
      </c>
      <c r="F364" s="19" cm="1">
        <f t="array" aca="1" ref="F364" ca="1">SUMPRODUCT(SUMIF(INDIRECT("'"&amp;Assemblies[Assy]&amp;"'!"&amp;"C5:C1000"),C364,(INDIRECT("'"&amp;Assemblies[Assy]&amp;"'!"&amp;"O5:O1000"))))</f>
        <v>2</v>
      </c>
      <c r="G364" s="19">
        <v>2</v>
      </c>
      <c r="H364" s="19" t="str">
        <f ca="1">IF(F364&lt;=G364," ","YES")</f>
        <v xml:space="preserve"> </v>
      </c>
      <c r="I364">
        <v>2</v>
      </c>
      <c r="J364">
        <v>2</v>
      </c>
      <c r="L364">
        <v>2</v>
      </c>
      <c r="N364">
        <v>2</v>
      </c>
      <c r="O364" t="s">
        <v>2021</v>
      </c>
      <c r="P364" t="s">
        <v>2606</v>
      </c>
      <c r="R364" t="s">
        <v>2488</v>
      </c>
      <c r="T364" s="40">
        <v>45526</v>
      </c>
      <c r="U364" s="40">
        <v>45527</v>
      </c>
      <c r="V364" s="40">
        <v>45548</v>
      </c>
      <c r="W364" s="40">
        <v>45548</v>
      </c>
      <c r="X364" s="157">
        <v>55702</v>
      </c>
      <c r="Y364" s="40" t="str" cm="1">
        <f t="array" aca="1" ref="Y364" ca="1">TRIM(SUBSTITUTE(_xlfn.ARRAYTOTEXT(IFERROR(CONCATENATE(SUMIF(INDIRECT("'"&amp;Assemblies[Assy]&amp;"'!"&amp;"C$5:C1000"), $C364, INDIRECT("'"&amp;Assemblies[Assy]&amp;"'!"&amp;"O$5:O1000")), "x",Assemblies[Assy],".",IF(SUMIF(INDIRECT("'"&amp;Assemblies[Assy]&amp;"'!"&amp;"C$5:C1000"), $C364, INDIRECT("'"&amp;Assemblies[Assy]&amp;"'!"&amp;"A$5:A1000"))=0,NA(),SUMIF(INDIRECT("'"&amp;Assemblies[Assy]&amp;"'!"&amp;"C$5:C1000"), $C364, INDIRECT("'"&amp;Assemblies[Assy]&amp;"'!"&amp;"A$5:A1000")))),"")), " ,", ""))</f>
        <v>, 2x6.2.3.1.1,</v>
      </c>
      <c r="Z364" s="141">
        <v>0</v>
      </c>
      <c r="AA364" s="141">
        <v>0</v>
      </c>
      <c r="AB364" s="141">
        <v>0</v>
      </c>
      <c r="AC364" s="39">
        <v>0</v>
      </c>
      <c r="AD364" s="141"/>
      <c r="AE364" s="296"/>
      <c r="AF364" s="156"/>
      <c r="AG364"/>
    </row>
    <row r="365" spans="1:33" x14ac:dyDescent="0.25">
      <c r="A365" s="24" t="s">
        <v>2681</v>
      </c>
      <c r="B365" s="134" t="s">
        <v>54</v>
      </c>
      <c r="C365" t="str">
        <f>_xlfn.CONCAT(A365,".",B365)</f>
        <v>PG10.6.2.3.1.A</v>
      </c>
      <c r="D365" t="s">
        <v>2682</v>
      </c>
      <c r="E365" s="18">
        <v>147.33000000000001</v>
      </c>
      <c r="F365" s="19" cm="1">
        <f t="array" aca="1" ref="F365" ca="1">SUMPRODUCT(SUMIF(INDIRECT("'"&amp;Assemblies[Assy]&amp;"'!"&amp;"C5:C1000"),C365,(INDIRECT("'"&amp;Assemblies[Assy]&amp;"'!"&amp;"O5:O1000"))))</f>
        <v>2</v>
      </c>
      <c r="G365" s="19">
        <v>3</v>
      </c>
      <c r="H365" s="19" t="str">
        <f ca="1">IF(F365&lt;=G365," ","YES")</f>
        <v xml:space="preserve"> </v>
      </c>
      <c r="I365">
        <v>3</v>
      </c>
      <c r="J365">
        <v>3</v>
      </c>
      <c r="L365">
        <v>3</v>
      </c>
      <c r="N365">
        <v>3</v>
      </c>
      <c r="O365" t="s">
        <v>2021</v>
      </c>
      <c r="P365" t="s">
        <v>1993</v>
      </c>
      <c r="R365" t="s">
        <v>2168</v>
      </c>
      <c r="T365" s="40">
        <v>45463</v>
      </c>
      <c r="U365" s="40">
        <v>45467</v>
      </c>
      <c r="V365" s="40">
        <v>45504</v>
      </c>
      <c r="W365" s="40">
        <v>45504</v>
      </c>
      <c r="X365" s="157">
        <v>55572</v>
      </c>
      <c r="Y365" s="40" t="str" cm="1">
        <f t="array" aca="1" ref="Y365" ca="1">TRIM(SUBSTITUTE(_xlfn.ARRAYTOTEXT(IFERROR(CONCATENATE(SUMIF(INDIRECT("'"&amp;Assemblies[Assy]&amp;"'!"&amp;"C$5:C1000"), $C365, INDIRECT("'"&amp;Assemblies[Assy]&amp;"'!"&amp;"O$5:O1000")), "x",Assemblies[Assy],".",IF(SUMIF(INDIRECT("'"&amp;Assemblies[Assy]&amp;"'!"&amp;"C$5:C1000"), $C365, INDIRECT("'"&amp;Assemblies[Assy]&amp;"'!"&amp;"A$5:A1000"))=0,NA(),SUMIF(INDIRECT("'"&amp;Assemblies[Assy]&amp;"'!"&amp;"C$5:C1000"), $C365, INDIRECT("'"&amp;Assemblies[Assy]&amp;"'!"&amp;"A$5:A1000")))),"")), " ,", ""))</f>
        <v>, 1x6.2.3.1, 1x6.3.3.1,</v>
      </c>
      <c r="AD365" s="141"/>
      <c r="AE365" s="296"/>
      <c r="AF365" s="156"/>
      <c r="AG365"/>
    </row>
    <row r="366" spans="1:33" x14ac:dyDescent="0.25">
      <c r="A366" s="24" t="s">
        <v>2683</v>
      </c>
      <c r="B366" s="134" t="s">
        <v>54</v>
      </c>
      <c r="C366" t="str">
        <f>_xlfn.CONCAT(A366,".",B366)</f>
        <v>PG10.6.2.3.10.A</v>
      </c>
      <c r="D366" t="s">
        <v>2684</v>
      </c>
      <c r="E366" s="18">
        <v>163.46</v>
      </c>
      <c r="F366" s="19" cm="1">
        <f t="array" aca="1" ref="F366" ca="1">SUMPRODUCT(SUMIF(INDIRECT("'"&amp;Assemblies[Assy]&amp;"'!"&amp;"C5:C1000"),C366,(INDIRECT("'"&amp;Assemblies[Assy]&amp;"'!"&amp;"O5:O1000"))))</f>
        <v>1</v>
      </c>
      <c r="G366" s="19">
        <v>1</v>
      </c>
      <c r="H366" s="19" t="str">
        <f ca="1">IF(F366&lt;=G366," ","YES")</f>
        <v xml:space="preserve"> </v>
      </c>
      <c r="I366">
        <v>1</v>
      </c>
      <c r="J366">
        <v>1</v>
      </c>
      <c r="L366">
        <v>1</v>
      </c>
      <c r="N366">
        <v>1</v>
      </c>
      <c r="O366" t="s">
        <v>2021</v>
      </c>
      <c r="P366" t="s">
        <v>1993</v>
      </c>
      <c r="R366" t="s">
        <v>2488</v>
      </c>
      <c r="T366" s="40">
        <v>45495</v>
      </c>
      <c r="U366" s="40">
        <v>45510</v>
      </c>
      <c r="V366" s="40">
        <v>45540</v>
      </c>
      <c r="W366" s="40">
        <v>45540</v>
      </c>
      <c r="X366" s="157">
        <v>55658</v>
      </c>
      <c r="Y366" s="40" t="str" cm="1">
        <f t="array" aca="1" ref="Y366" ca="1">TRIM(SUBSTITUTE(_xlfn.ARRAYTOTEXT(IFERROR(CONCATENATE(SUMIF(INDIRECT("'"&amp;Assemblies[Assy]&amp;"'!"&amp;"C$5:C1000"), $C366, INDIRECT("'"&amp;Assemblies[Assy]&amp;"'!"&amp;"O$5:O1000")), "x",Assemblies[Assy],".",IF(SUMIF(INDIRECT("'"&amp;Assemblies[Assy]&amp;"'!"&amp;"C$5:C1000"), $C366, INDIRECT("'"&amp;Assemblies[Assy]&amp;"'!"&amp;"A$5:A1000"))=0,NA(),SUMIF(INDIRECT("'"&amp;Assemblies[Assy]&amp;"'!"&amp;"C$5:C1000"), $C366, INDIRECT("'"&amp;Assemblies[Assy]&amp;"'!"&amp;"A$5:A1000")))),"")), " ,", ""))</f>
        <v>, 1x6.2.3.10,</v>
      </c>
      <c r="Z366" s="141">
        <v>0</v>
      </c>
      <c r="AA366" s="141">
        <v>0</v>
      </c>
      <c r="AB366" s="141">
        <v>0</v>
      </c>
      <c r="AC366" s="39">
        <v>0</v>
      </c>
      <c r="AD366" s="141"/>
      <c r="AE366" s="296"/>
      <c r="AF366" s="156"/>
      <c r="AG366"/>
    </row>
    <row r="367" spans="1:33" x14ac:dyDescent="0.25">
      <c r="A367" s="24" t="s">
        <v>2685</v>
      </c>
      <c r="B367" s="134" t="s">
        <v>54</v>
      </c>
      <c r="C367" t="str">
        <f>_xlfn.CONCAT(A367,".",B367)</f>
        <v>PG10.6.2.3.11.A</v>
      </c>
      <c r="D367" t="s">
        <v>2686</v>
      </c>
      <c r="E367" s="18">
        <v>48</v>
      </c>
      <c r="F367" s="19" cm="1">
        <f t="array" aca="1" ref="F367" ca="1">SUMPRODUCT(SUMIF(INDIRECT("'"&amp;Assemblies[Assy]&amp;"'!"&amp;"C5:C1000"),C367,(INDIRECT("'"&amp;Assemblies[Assy]&amp;"'!"&amp;"O5:O1000"))))</f>
        <v>4</v>
      </c>
      <c r="G367" s="19">
        <v>4</v>
      </c>
      <c r="H367" s="19" t="str">
        <f ca="1">IF(F367&lt;=G367," ","YES")</f>
        <v xml:space="preserve"> </v>
      </c>
      <c r="I367">
        <v>4</v>
      </c>
      <c r="J367">
        <v>4</v>
      </c>
      <c r="K367" s="40">
        <v>45512</v>
      </c>
      <c r="L367">
        <v>4</v>
      </c>
      <c r="M367" s="40">
        <v>45520</v>
      </c>
      <c r="N367">
        <v>4</v>
      </c>
      <c r="O367" t="s">
        <v>1986</v>
      </c>
      <c r="P367" t="s">
        <v>1987</v>
      </c>
      <c r="Q367" t="s">
        <v>1988</v>
      </c>
      <c r="R367" t="s">
        <v>2168</v>
      </c>
      <c r="T367" s="40">
        <v>45463</v>
      </c>
      <c r="U367" s="40">
        <v>45467</v>
      </c>
      <c r="V367" s="40">
        <v>45504</v>
      </c>
      <c r="W367" s="40">
        <v>45504</v>
      </c>
      <c r="X367" s="157">
        <v>55572</v>
      </c>
      <c r="Y367" s="40" t="str" cm="1">
        <f t="array" aca="1" ref="Y367" ca="1">TRIM(SUBSTITUTE(_xlfn.ARRAYTOTEXT(IFERROR(CONCATENATE(SUMIF(INDIRECT("'"&amp;Assemblies[Assy]&amp;"'!"&amp;"C$5:C1000"), $C367, INDIRECT("'"&amp;Assemblies[Assy]&amp;"'!"&amp;"O$5:O1000")), "x",Assemblies[Assy],".",IF(SUMIF(INDIRECT("'"&amp;Assemblies[Assy]&amp;"'!"&amp;"C$5:C1000"), $C367, INDIRECT("'"&amp;Assemblies[Assy]&amp;"'!"&amp;"A$5:A1000"))=0,NA(),SUMIF(INDIRECT("'"&amp;Assemblies[Assy]&amp;"'!"&amp;"C$5:C1000"), $C367, INDIRECT("'"&amp;Assemblies[Assy]&amp;"'!"&amp;"A$5:A1000")))),"")), " ,", ""))</f>
        <v>, 2x6.2.3.11, 2x6.3.3.11,</v>
      </c>
      <c r="AD367" s="141"/>
      <c r="AE367" s="296">
        <v>55668</v>
      </c>
      <c r="AF367" s="156"/>
      <c r="AG367"/>
    </row>
    <row r="368" spans="1:33" x14ac:dyDescent="0.25">
      <c r="A368" s="24" t="s">
        <v>2687</v>
      </c>
      <c r="B368" s="134" t="s">
        <v>54</v>
      </c>
      <c r="C368" t="str">
        <f>_xlfn.CONCAT(A368,".",B368)</f>
        <v>PG10.6.2.3.12.A</v>
      </c>
      <c r="D368" t="s">
        <v>2688</v>
      </c>
      <c r="E368" s="18">
        <v>30.5</v>
      </c>
      <c r="F368" s="19" cm="1">
        <f t="array" aca="1" ref="F368" ca="1">SUMPRODUCT(SUMIF(INDIRECT("'"&amp;Assemblies[Assy]&amp;"'!"&amp;"C5:C1000"),C368,(INDIRECT("'"&amp;Assemblies[Assy]&amp;"'!"&amp;"O5:O1000"))))</f>
        <v>4</v>
      </c>
      <c r="G368" s="19">
        <v>4</v>
      </c>
      <c r="H368" s="19" t="str">
        <f ca="1">IF(F368&lt;=G368," ","YES")</f>
        <v xml:space="preserve"> </v>
      </c>
      <c r="I368">
        <v>4</v>
      </c>
      <c r="J368">
        <v>4</v>
      </c>
      <c r="K368" s="40">
        <v>45512</v>
      </c>
      <c r="L368">
        <v>4</v>
      </c>
      <c r="M368" s="40">
        <v>45520</v>
      </c>
      <c r="N368">
        <v>4</v>
      </c>
      <c r="O368" t="s">
        <v>2026</v>
      </c>
      <c r="P368" t="s">
        <v>2027</v>
      </c>
      <c r="Q368" t="s">
        <v>1988</v>
      </c>
      <c r="R368" t="s">
        <v>2168</v>
      </c>
      <c r="T368" s="40">
        <v>45463</v>
      </c>
      <c r="U368" s="40">
        <v>45467</v>
      </c>
      <c r="V368" s="40">
        <v>45504</v>
      </c>
      <c r="W368" s="40">
        <v>45504</v>
      </c>
      <c r="X368" s="157">
        <v>55572</v>
      </c>
      <c r="Y368" s="40" t="str" cm="1">
        <f t="array" aca="1" ref="Y368" ca="1">TRIM(SUBSTITUTE(_xlfn.ARRAYTOTEXT(IFERROR(CONCATENATE(SUMIF(INDIRECT("'"&amp;Assemblies[Assy]&amp;"'!"&amp;"C$5:C1000"), $C368, INDIRECT("'"&amp;Assemblies[Assy]&amp;"'!"&amp;"O$5:O1000")), "x",Assemblies[Assy],".",IF(SUMIF(INDIRECT("'"&amp;Assemblies[Assy]&amp;"'!"&amp;"C$5:C1000"), $C368, INDIRECT("'"&amp;Assemblies[Assy]&amp;"'!"&amp;"A$5:A1000"))=0,NA(),SUMIF(INDIRECT("'"&amp;Assemblies[Assy]&amp;"'!"&amp;"C$5:C1000"), $C368, INDIRECT("'"&amp;Assemblies[Assy]&amp;"'!"&amp;"A$5:A1000")))),"")), " ,", ""))</f>
        <v>, 2x6.2.3.12, 2x6.3.3.12,</v>
      </c>
      <c r="AD368" s="141"/>
      <c r="AE368" s="296">
        <v>55670</v>
      </c>
      <c r="AF368" s="156"/>
      <c r="AG368"/>
    </row>
    <row r="369" spans="1:33" x14ac:dyDescent="0.25">
      <c r="A369" s="24" t="s">
        <v>2689</v>
      </c>
      <c r="B369" s="134" t="s">
        <v>54</v>
      </c>
      <c r="C369" t="str">
        <f>_xlfn.CONCAT(A369,".",B369)</f>
        <v>PG10.6.2.3.2.1.A</v>
      </c>
      <c r="D369" t="s">
        <v>2690</v>
      </c>
      <c r="E369" s="18">
        <v>66.540000000000006</v>
      </c>
      <c r="F369" s="19" cm="1">
        <f t="array" aca="1" ref="F369" ca="1">SUMPRODUCT(SUMIF(INDIRECT("'"&amp;Assemblies[Assy]&amp;"'!"&amp;"C5:C1000"),C369,(INDIRECT("'"&amp;Assemblies[Assy]&amp;"'!"&amp;"O5:O1000"))))</f>
        <v>2</v>
      </c>
      <c r="G369" s="19">
        <v>2</v>
      </c>
      <c r="H369" s="19" t="str">
        <f ca="1">IF(F369&lt;=G369," ","YES")</f>
        <v xml:space="preserve"> </v>
      </c>
      <c r="I369">
        <v>2</v>
      </c>
      <c r="J369">
        <v>2</v>
      </c>
      <c r="L369">
        <v>2</v>
      </c>
      <c r="N369">
        <v>2</v>
      </c>
      <c r="O369" t="s">
        <v>1986</v>
      </c>
      <c r="P369" t="s">
        <v>2165</v>
      </c>
      <c r="R369" t="s">
        <v>3662</v>
      </c>
      <c r="T369" s="40">
        <v>45527</v>
      </c>
      <c r="U369" s="40">
        <v>45530</v>
      </c>
      <c r="V369" s="40">
        <v>45560</v>
      </c>
      <c r="W369" s="40">
        <v>45560</v>
      </c>
      <c r="X369" s="157">
        <v>55706</v>
      </c>
      <c r="Y369" s="40" t="str" cm="1">
        <f t="array" aca="1" ref="Y369" ca="1">TRIM(SUBSTITUTE(_xlfn.ARRAYTOTEXT(IFERROR(CONCATENATE(SUMIF(INDIRECT("'"&amp;Assemblies[Assy]&amp;"'!"&amp;"C$5:C1000"), $C369, INDIRECT("'"&amp;Assemblies[Assy]&amp;"'!"&amp;"O$5:O1000")), "x",Assemblies[Assy],".",IF(SUMIF(INDIRECT("'"&amp;Assemblies[Assy]&amp;"'!"&amp;"C$5:C1000"), $C369, INDIRECT("'"&amp;Assemblies[Assy]&amp;"'!"&amp;"A$5:A1000"))=0,NA(),SUMIF(INDIRECT("'"&amp;Assemblies[Assy]&amp;"'!"&amp;"C$5:C1000"), $C369, INDIRECT("'"&amp;Assemblies[Assy]&amp;"'!"&amp;"A$5:A1000")))),"")), " ,", ""))</f>
        <v>, 2x6.2.3.2.1,</v>
      </c>
      <c r="AD369" s="141"/>
      <c r="AE369" s="296"/>
      <c r="AF369" s="156"/>
      <c r="AG369"/>
    </row>
    <row r="370" spans="1:33" x14ac:dyDescent="0.25">
      <c r="A370" s="24" t="s">
        <v>2691</v>
      </c>
      <c r="B370" s="134" t="s">
        <v>54</v>
      </c>
      <c r="C370" t="str">
        <f>_xlfn.CONCAT(A370,".",B370)</f>
        <v>PG10.6.2.3.2.A</v>
      </c>
      <c r="D370" t="s">
        <v>2692</v>
      </c>
      <c r="E370" s="18">
        <v>151</v>
      </c>
      <c r="F370" s="19" cm="1">
        <f t="array" aca="1" ref="F370" ca="1">SUMPRODUCT(SUMIF(INDIRECT("'"&amp;Assemblies[Assy]&amp;"'!"&amp;"C5:C1000"),C370,(INDIRECT("'"&amp;Assemblies[Assy]&amp;"'!"&amp;"O5:O1000"))))</f>
        <v>0</v>
      </c>
      <c r="G370" s="19">
        <v>2</v>
      </c>
      <c r="H370" s="19" t="str">
        <f ca="1">IF(F370&lt;=G370," ","YES")</f>
        <v xml:space="preserve"> </v>
      </c>
      <c r="I370">
        <v>2</v>
      </c>
      <c r="J370">
        <v>2</v>
      </c>
      <c r="K370" s="40">
        <v>45512</v>
      </c>
      <c r="L370">
        <v>2</v>
      </c>
      <c r="N370">
        <v>2</v>
      </c>
      <c r="O370" t="s">
        <v>1986</v>
      </c>
      <c r="P370" t="s">
        <v>1987</v>
      </c>
      <c r="Q370" t="s">
        <v>1988</v>
      </c>
      <c r="R370" t="s">
        <v>2168</v>
      </c>
      <c r="T370" s="40">
        <v>45463</v>
      </c>
      <c r="U370" s="40">
        <v>45469</v>
      </c>
      <c r="V370" s="40">
        <v>45509</v>
      </c>
      <c r="W370" s="40">
        <v>45509</v>
      </c>
      <c r="X370" s="157">
        <v>55575</v>
      </c>
      <c r="Y370" s="40" t="str" cm="1">
        <f t="array" aca="1" ref="Y370" ca="1">TRIM(SUBSTITUTE(_xlfn.ARRAYTOTEXT(IFERROR(CONCATENATE(SUMIF(INDIRECT("'"&amp;Assemblies[Assy]&amp;"'!"&amp;"C$5:C1000"), $C370, INDIRECT("'"&amp;Assemblies[Assy]&amp;"'!"&amp;"O$5:O1000")), "x",Assemblies[Assy],".",IF(SUMIF(INDIRECT("'"&amp;Assemblies[Assy]&amp;"'!"&amp;"C$5:C1000"), $C370, INDIRECT("'"&amp;Assemblies[Assy]&amp;"'!"&amp;"A$5:A1000"))=0,NA(),SUMIF(INDIRECT("'"&amp;Assemblies[Assy]&amp;"'!"&amp;"C$5:C1000"), $C370, INDIRECT("'"&amp;Assemblies[Assy]&amp;"'!"&amp;"A$5:A1000")))),"")), " ,", ""))</f>
        <v>,</v>
      </c>
      <c r="AD370" s="141"/>
      <c r="AE370" s="296">
        <v>55668</v>
      </c>
      <c r="AF370" s="156"/>
      <c r="AG370"/>
    </row>
    <row r="371" spans="1:33" x14ac:dyDescent="0.25">
      <c r="A371" s="24" t="s">
        <v>2691</v>
      </c>
      <c r="B371" s="134" t="s">
        <v>56</v>
      </c>
      <c r="C371" t="str">
        <f>_xlfn.CONCAT(A371,".",B371)</f>
        <v>PG10.6.2.3.2.B</v>
      </c>
      <c r="D371" t="s">
        <v>2692</v>
      </c>
      <c r="E371" s="18">
        <f>Z371+AA371+AB371+(65*AC371)</f>
        <v>0</v>
      </c>
      <c r="F371" s="19" cm="1">
        <f t="array" aca="1" ref="F371" ca="1">SUMPRODUCT(SUMIF(INDIRECT("'"&amp;Assemblies[Assy]&amp;"'!"&amp;"C5:C1000"),C371,(INDIRECT("'"&amp;Assemblies[Assy]&amp;"'!"&amp;"O5:O1000"))))</f>
        <v>2</v>
      </c>
      <c r="G371" s="19">
        <v>2</v>
      </c>
      <c r="H371" s="19" t="str">
        <f ca="1">IF(F371&lt;=G371," ","YES")</f>
        <v xml:space="preserve"> </v>
      </c>
      <c r="I371">
        <v>2</v>
      </c>
      <c r="J371">
        <v>2</v>
      </c>
      <c r="K371" s="40">
        <v>45512</v>
      </c>
      <c r="L371">
        <v>2</v>
      </c>
      <c r="M371" s="40">
        <v>45520</v>
      </c>
      <c r="N371">
        <v>2</v>
      </c>
      <c r="O371" t="s">
        <v>1986</v>
      </c>
      <c r="P371" t="s">
        <v>1987</v>
      </c>
      <c r="R371" t="s">
        <v>2333</v>
      </c>
      <c r="S371" t="s">
        <v>2693</v>
      </c>
      <c r="T371" s="40" t="s">
        <v>2747</v>
      </c>
      <c r="U371" s="40" t="s">
        <v>2747</v>
      </c>
      <c r="V371" s="40" t="s">
        <v>2747</v>
      </c>
      <c r="W371" s="40" t="s">
        <v>2747</v>
      </c>
      <c r="X371" s="40" t="s">
        <v>2747</v>
      </c>
      <c r="Y371" s="40" t="str" cm="1">
        <f t="array" aca="1" ref="Y371" ca="1">TRIM(SUBSTITUTE(_xlfn.ARRAYTOTEXT(IFERROR(CONCATENATE(SUMIF(INDIRECT("'"&amp;Assemblies[Assy]&amp;"'!"&amp;"C$5:C1000"), $C371, INDIRECT("'"&amp;Assemblies[Assy]&amp;"'!"&amp;"O$5:O1000")), "x",Assemblies[Assy],".",IF(SUMIF(INDIRECT("'"&amp;Assemblies[Assy]&amp;"'!"&amp;"C$5:C1000"), $C371, INDIRECT("'"&amp;Assemblies[Assy]&amp;"'!"&amp;"A$5:A1000"))=0,NA(),SUMIF(INDIRECT("'"&amp;Assemblies[Assy]&amp;"'!"&amp;"C$5:C1000"), $C371, INDIRECT("'"&amp;Assemblies[Assy]&amp;"'!"&amp;"A$5:A1000")))),"")), " ,", ""))</f>
        <v>, 1x6.2.3.2, 1x6.3.3.2,</v>
      </c>
      <c r="AD371" s="141"/>
      <c r="AE371" s="296"/>
      <c r="AF371" s="156"/>
      <c r="AG371"/>
    </row>
    <row r="372" spans="1:33" x14ac:dyDescent="0.25">
      <c r="A372" s="24" t="s">
        <v>2694</v>
      </c>
      <c r="B372" s="134" t="s">
        <v>54</v>
      </c>
      <c r="C372" t="str">
        <f>_xlfn.CONCAT(A372,".",B372)</f>
        <v>PG10.6.2.3.3.1.A</v>
      </c>
      <c r="D372" t="s">
        <v>2695</v>
      </c>
      <c r="E372" s="18">
        <v>64.03</v>
      </c>
      <c r="F372" s="19" cm="1">
        <f t="array" aca="1" ref="F372" ca="1">SUMPRODUCT(SUMIF(INDIRECT("'"&amp;Assemblies[Assy]&amp;"'!"&amp;"C5:C1000"),C372,(INDIRECT("'"&amp;Assemblies[Assy]&amp;"'!"&amp;"O5:O1000"))))</f>
        <v>2</v>
      </c>
      <c r="G372" s="19">
        <v>2</v>
      </c>
      <c r="H372" s="19" t="str">
        <f ca="1">IF(F372&lt;=G372," ","YES")</f>
        <v xml:space="preserve"> </v>
      </c>
      <c r="I372">
        <v>2</v>
      </c>
      <c r="J372">
        <v>2</v>
      </c>
      <c r="L372">
        <v>2</v>
      </c>
      <c r="N372">
        <v>2</v>
      </c>
      <c r="O372" t="s">
        <v>1986</v>
      </c>
      <c r="P372" t="s">
        <v>2165</v>
      </c>
      <c r="R372" t="s">
        <v>3662</v>
      </c>
      <c r="T372" s="40">
        <v>45527</v>
      </c>
      <c r="U372" s="40">
        <v>45530</v>
      </c>
      <c r="V372" s="40">
        <v>45560</v>
      </c>
      <c r="W372" s="40">
        <v>45560</v>
      </c>
      <c r="X372" s="157">
        <v>55706</v>
      </c>
      <c r="Y372" s="40" t="str" cm="1">
        <f t="array" aca="1" ref="Y372" ca="1">TRIM(SUBSTITUTE(_xlfn.ARRAYTOTEXT(IFERROR(CONCATENATE(SUMIF(INDIRECT("'"&amp;Assemblies[Assy]&amp;"'!"&amp;"C$5:C1000"), $C372, INDIRECT("'"&amp;Assemblies[Assy]&amp;"'!"&amp;"O$5:O1000")), "x",Assemblies[Assy],".",IF(SUMIF(INDIRECT("'"&amp;Assemblies[Assy]&amp;"'!"&amp;"C$5:C1000"), $C372, INDIRECT("'"&amp;Assemblies[Assy]&amp;"'!"&amp;"A$5:A1000"))=0,NA(),SUMIF(INDIRECT("'"&amp;Assemblies[Assy]&amp;"'!"&amp;"C$5:C1000"), $C372, INDIRECT("'"&amp;Assemblies[Assy]&amp;"'!"&amp;"A$5:A1000")))),"")), " ,", ""))</f>
        <v>, 2x6.2.3.3.1,</v>
      </c>
      <c r="AD372" s="141"/>
      <c r="AE372" s="296"/>
      <c r="AF372" s="156"/>
      <c r="AG372"/>
    </row>
    <row r="373" spans="1:33" x14ac:dyDescent="0.25">
      <c r="A373" s="24" t="s">
        <v>2696</v>
      </c>
      <c r="B373" s="134" t="s">
        <v>54</v>
      </c>
      <c r="C373" t="str">
        <f>_xlfn.CONCAT(A373,".",B373)</f>
        <v>PG10.6.2.3.3.A</v>
      </c>
      <c r="D373" t="s">
        <v>2697</v>
      </c>
      <c r="E373" s="18">
        <v>238.5</v>
      </c>
      <c r="F373" s="19" cm="1">
        <f t="array" aca="1" ref="F373" ca="1">SUMPRODUCT(SUMIF(INDIRECT("'"&amp;Assemblies[Assy]&amp;"'!"&amp;"C5:C1000"),C373,(INDIRECT("'"&amp;Assemblies[Assy]&amp;"'!"&amp;"O5:O1000"))))</f>
        <v>0</v>
      </c>
      <c r="G373" s="19">
        <v>2</v>
      </c>
      <c r="H373" s="19" t="str">
        <f ca="1">IF(F373&lt;=G373," ","YES")</f>
        <v xml:space="preserve"> </v>
      </c>
      <c r="I373">
        <v>2</v>
      </c>
      <c r="J373">
        <v>2</v>
      </c>
      <c r="K373" s="40">
        <v>45512</v>
      </c>
      <c r="L373">
        <v>2</v>
      </c>
      <c r="N373">
        <v>2</v>
      </c>
      <c r="O373" t="s">
        <v>2067</v>
      </c>
      <c r="P373" t="s">
        <v>1987</v>
      </c>
      <c r="Q373" t="s">
        <v>1988</v>
      </c>
      <c r="R373" t="s">
        <v>2168</v>
      </c>
      <c r="T373" s="40">
        <v>45463</v>
      </c>
      <c r="U373" s="40">
        <v>45469</v>
      </c>
      <c r="V373" s="40">
        <v>45509</v>
      </c>
      <c r="W373" s="40">
        <v>45509</v>
      </c>
      <c r="X373" s="157">
        <v>55575</v>
      </c>
      <c r="Y373" s="40" t="str" cm="1">
        <f t="array" aca="1" ref="Y373" ca="1">TRIM(SUBSTITUTE(_xlfn.ARRAYTOTEXT(IFERROR(CONCATENATE(SUMIF(INDIRECT("'"&amp;Assemblies[Assy]&amp;"'!"&amp;"C$5:C1000"), $C373, INDIRECT("'"&amp;Assemblies[Assy]&amp;"'!"&amp;"O$5:O1000")), "x",Assemblies[Assy],".",IF(SUMIF(INDIRECT("'"&amp;Assemblies[Assy]&amp;"'!"&amp;"C$5:C1000"), $C373, INDIRECT("'"&amp;Assemblies[Assy]&amp;"'!"&amp;"A$5:A1000"))=0,NA(),SUMIF(INDIRECT("'"&amp;Assemblies[Assy]&amp;"'!"&amp;"C$5:C1000"), $C373, INDIRECT("'"&amp;Assemblies[Assy]&amp;"'!"&amp;"A$5:A1000")))),"")), " ,", ""))</f>
        <v>,</v>
      </c>
      <c r="AD373" s="141"/>
      <c r="AE373" s="296">
        <v>55665</v>
      </c>
      <c r="AF373" s="156"/>
      <c r="AG373"/>
    </row>
    <row r="374" spans="1:33" x14ac:dyDescent="0.25">
      <c r="A374" s="24" t="s">
        <v>2696</v>
      </c>
      <c r="B374" s="134" t="s">
        <v>56</v>
      </c>
      <c r="C374" t="str">
        <f>_xlfn.CONCAT(A374,".",B374)</f>
        <v>PG10.6.2.3.3.B</v>
      </c>
      <c r="D374" t="s">
        <v>2697</v>
      </c>
      <c r="E374" s="18">
        <f>Z374+AA374+AB374+(65*AC374)</f>
        <v>0</v>
      </c>
      <c r="F374" s="19" cm="1">
        <f t="array" aca="1" ref="F374" ca="1">SUMPRODUCT(SUMIF(INDIRECT("'"&amp;Assemblies[Assy]&amp;"'!"&amp;"C5:C1000"),C374,(INDIRECT("'"&amp;Assemblies[Assy]&amp;"'!"&amp;"O5:O1000"))))</f>
        <v>2</v>
      </c>
      <c r="G374" s="19">
        <v>2</v>
      </c>
      <c r="H374" s="19" t="str">
        <f ca="1">IF(F374&lt;=G374," ","YES")</f>
        <v xml:space="preserve"> </v>
      </c>
      <c r="O374" t="s">
        <v>2067</v>
      </c>
      <c r="P374" t="s">
        <v>1987</v>
      </c>
      <c r="R374" t="s">
        <v>2333</v>
      </c>
      <c r="S374" t="s">
        <v>2693</v>
      </c>
      <c r="T374" s="40" t="s">
        <v>2747</v>
      </c>
      <c r="U374" s="40" t="s">
        <v>2747</v>
      </c>
      <c r="V374" s="40" t="s">
        <v>2747</v>
      </c>
      <c r="W374" s="40" t="s">
        <v>2747</v>
      </c>
      <c r="X374" s="40" t="s">
        <v>2747</v>
      </c>
      <c r="Y374" s="40" t="str" cm="1">
        <f t="array" aca="1" ref="Y374" ca="1">TRIM(SUBSTITUTE(_xlfn.ARRAYTOTEXT(IFERROR(CONCATENATE(SUMIF(INDIRECT("'"&amp;Assemblies[Assy]&amp;"'!"&amp;"C$5:C1000"), $C374, INDIRECT("'"&amp;Assemblies[Assy]&amp;"'!"&amp;"O$5:O1000")), "x",Assemblies[Assy],".",IF(SUMIF(INDIRECT("'"&amp;Assemblies[Assy]&amp;"'!"&amp;"C$5:C1000"), $C374, INDIRECT("'"&amp;Assemblies[Assy]&amp;"'!"&amp;"A$5:A1000"))=0,NA(),SUMIF(INDIRECT("'"&amp;Assemblies[Assy]&amp;"'!"&amp;"C$5:C1000"), $C374, INDIRECT("'"&amp;Assemblies[Assy]&amp;"'!"&amp;"A$5:A1000")))),"")), " ,", ""))</f>
        <v>, 1x6.2.3.3, 1x6.3.3.3,</v>
      </c>
      <c r="AD374" s="141"/>
      <c r="AE374" s="296"/>
      <c r="AF374" s="156"/>
      <c r="AG374"/>
    </row>
    <row r="375" spans="1:33" x14ac:dyDescent="0.25">
      <c r="A375" s="24" t="s">
        <v>2698</v>
      </c>
      <c r="B375" s="134" t="s">
        <v>54</v>
      </c>
      <c r="C375" t="str">
        <f>_xlfn.CONCAT(A375,".",B375)</f>
        <v>PG10.6.2.3.4.A</v>
      </c>
      <c r="D375" t="s">
        <v>2699</v>
      </c>
      <c r="E375" s="18">
        <v>83</v>
      </c>
      <c r="F375" s="19" cm="1">
        <f t="array" aca="1" ref="F375" ca="1">SUMPRODUCT(SUMIF(INDIRECT("'"&amp;Assemblies[Assy]&amp;"'!"&amp;"C5:C1000"),C375,(INDIRECT("'"&amp;Assemblies[Assy]&amp;"'!"&amp;"O5:O1000"))))</f>
        <v>2</v>
      </c>
      <c r="G375" s="19">
        <v>2</v>
      </c>
      <c r="H375" s="19" t="str">
        <f ca="1">IF(F375&lt;=G375," ","YES")</f>
        <v xml:space="preserve"> </v>
      </c>
      <c r="I375">
        <v>2</v>
      </c>
      <c r="J375">
        <v>2</v>
      </c>
      <c r="L375">
        <v>2</v>
      </c>
      <c r="N375">
        <v>2</v>
      </c>
      <c r="O375" t="s">
        <v>2021</v>
      </c>
      <c r="P375" t="s">
        <v>1993</v>
      </c>
      <c r="R375" t="s">
        <v>2488</v>
      </c>
      <c r="T375" s="40">
        <v>45495</v>
      </c>
      <c r="U375" s="40">
        <v>45510</v>
      </c>
      <c r="V375" s="40">
        <v>45540</v>
      </c>
      <c r="W375" s="40">
        <v>45540</v>
      </c>
      <c r="X375" s="157">
        <v>55658</v>
      </c>
      <c r="Y375" s="40" t="str" cm="1">
        <f t="array" aca="1" ref="Y375" ca="1">TRIM(SUBSTITUTE(_xlfn.ARRAYTOTEXT(IFERROR(CONCATENATE(SUMIF(INDIRECT("'"&amp;Assemblies[Assy]&amp;"'!"&amp;"C$5:C1000"), $C375, INDIRECT("'"&amp;Assemblies[Assy]&amp;"'!"&amp;"O$5:O1000")), "x",Assemblies[Assy],".",IF(SUMIF(INDIRECT("'"&amp;Assemblies[Assy]&amp;"'!"&amp;"C$5:C1000"), $C375, INDIRECT("'"&amp;Assemblies[Assy]&amp;"'!"&amp;"A$5:A1000"))=0,NA(),SUMIF(INDIRECT("'"&amp;Assemblies[Assy]&amp;"'!"&amp;"C$5:C1000"), $C375, INDIRECT("'"&amp;Assemblies[Assy]&amp;"'!"&amp;"A$5:A1000")))),"")), " ,", ""))</f>
        <v>, 1x6.2.3.4, 1x6.3.3.4,</v>
      </c>
      <c r="Z375" s="141">
        <v>0</v>
      </c>
      <c r="AA375" s="141">
        <v>0</v>
      </c>
      <c r="AB375" s="141">
        <v>0</v>
      </c>
      <c r="AC375" s="39">
        <v>0</v>
      </c>
      <c r="AD375" s="141"/>
      <c r="AE375" s="296"/>
      <c r="AF375" s="156"/>
      <c r="AG375"/>
    </row>
    <row r="376" spans="1:33" x14ac:dyDescent="0.25">
      <c r="A376" s="24" t="s">
        <v>2700</v>
      </c>
      <c r="B376" s="134" t="s">
        <v>54</v>
      </c>
      <c r="C376" t="str">
        <f>_xlfn.CONCAT(A376,".",B376)</f>
        <v>PG10.6.2.3.5.A</v>
      </c>
      <c r="D376" t="s">
        <v>2701</v>
      </c>
      <c r="E376" s="18">
        <f>Z376+AA376+AB376+(65*AC376)</f>
        <v>0</v>
      </c>
      <c r="F376" s="19" cm="1">
        <f t="array" aca="1" ref="F376" ca="1">SUMPRODUCT(SUMIF(INDIRECT("'"&amp;Assemblies[Assy]&amp;"'!"&amp;"C5:C1000"),C376,(INDIRECT("'"&amp;Assemblies[Assy]&amp;"'!"&amp;"O5:O1000"))))</f>
        <v>2</v>
      </c>
      <c r="G376" s="19">
        <v>2</v>
      </c>
      <c r="H376" s="19" t="str">
        <f ca="1">IF(F376&lt;=G376," ","YES")</f>
        <v xml:space="preserve"> </v>
      </c>
      <c r="I376">
        <v>2</v>
      </c>
      <c r="J376">
        <v>2</v>
      </c>
      <c r="L376">
        <v>2</v>
      </c>
      <c r="N376">
        <v>2</v>
      </c>
      <c r="O376" t="s">
        <v>2021</v>
      </c>
      <c r="P376" t="s">
        <v>1993</v>
      </c>
      <c r="R376" t="s">
        <v>2488</v>
      </c>
      <c r="T376" s="40">
        <v>45495</v>
      </c>
      <c r="U376" s="40">
        <v>45510</v>
      </c>
      <c r="V376" s="40">
        <v>45540</v>
      </c>
      <c r="W376" s="40">
        <v>45540</v>
      </c>
      <c r="X376" s="157">
        <v>55658</v>
      </c>
      <c r="Y376" s="40" t="str" cm="1">
        <f t="array" aca="1" ref="Y376" ca="1">TRIM(SUBSTITUTE(_xlfn.ARRAYTOTEXT(IFERROR(CONCATENATE(SUMIF(INDIRECT("'"&amp;Assemblies[Assy]&amp;"'!"&amp;"C$5:C1000"), $C376, INDIRECT("'"&amp;Assemblies[Assy]&amp;"'!"&amp;"O$5:O1000")), "x",Assemblies[Assy],".",IF(SUMIF(INDIRECT("'"&amp;Assemblies[Assy]&amp;"'!"&amp;"C$5:C1000"), $C376, INDIRECT("'"&amp;Assemblies[Assy]&amp;"'!"&amp;"A$5:A1000"))=0,NA(),SUMIF(INDIRECT("'"&amp;Assemblies[Assy]&amp;"'!"&amp;"C$5:C1000"), $C376, INDIRECT("'"&amp;Assemblies[Assy]&amp;"'!"&amp;"A$5:A1000")))),"")), " ,", ""))</f>
        <v>, 1x6.2.3.5, 1x6.3.3.5,</v>
      </c>
      <c r="Z376" s="141">
        <v>0</v>
      </c>
      <c r="AA376" s="141">
        <v>0</v>
      </c>
      <c r="AB376" s="141">
        <v>0</v>
      </c>
      <c r="AC376" s="39">
        <v>0</v>
      </c>
      <c r="AD376" s="141"/>
      <c r="AE376" s="296"/>
      <c r="AF376" s="156"/>
      <c r="AG376"/>
    </row>
    <row r="377" spans="1:33" x14ac:dyDescent="0.25">
      <c r="A377" s="24" t="s">
        <v>2702</v>
      </c>
      <c r="B377" s="134" t="s">
        <v>54</v>
      </c>
      <c r="C377" t="str">
        <f>_xlfn.CONCAT(A377,".",B377)</f>
        <v>PG10.6.2.3.6.A</v>
      </c>
      <c r="D377" t="s">
        <v>2703</v>
      </c>
      <c r="E377" s="18">
        <v>419</v>
      </c>
      <c r="F377" s="19" cm="1">
        <f t="array" aca="1" ref="F377" ca="1">SUMPRODUCT(SUMIF(INDIRECT("'"&amp;Assemblies[Assy]&amp;"'!"&amp;"C5:C1000"),C377,(INDIRECT("'"&amp;Assemblies[Assy]&amp;"'!"&amp;"O5:O1000"))))</f>
        <v>2</v>
      </c>
      <c r="G377" s="19">
        <v>2</v>
      </c>
      <c r="H377" s="19" t="str">
        <f ca="1">IF(F377&lt;=G377," ","YES")</f>
        <v xml:space="preserve"> </v>
      </c>
      <c r="I377">
        <v>2</v>
      </c>
      <c r="J377">
        <v>2</v>
      </c>
      <c r="K377" s="40">
        <v>45512</v>
      </c>
      <c r="L377">
        <v>2</v>
      </c>
      <c r="N377">
        <v>2</v>
      </c>
      <c r="O377" t="s">
        <v>2067</v>
      </c>
      <c r="P377" t="s">
        <v>1987</v>
      </c>
      <c r="Q377" t="s">
        <v>1988</v>
      </c>
      <c r="R377" t="s">
        <v>2168</v>
      </c>
      <c r="S377" s="191" t="s">
        <v>3829</v>
      </c>
      <c r="T377" s="40">
        <v>45463</v>
      </c>
      <c r="U377" s="40">
        <v>45469</v>
      </c>
      <c r="V377" s="40">
        <v>45509</v>
      </c>
      <c r="W377" s="40">
        <v>45510</v>
      </c>
      <c r="X377" s="157">
        <v>55575</v>
      </c>
      <c r="Y377" s="40" t="str" cm="1">
        <f t="array" aca="1" ref="Y377" ca="1">TRIM(SUBSTITUTE(_xlfn.ARRAYTOTEXT(IFERROR(CONCATENATE(SUMIF(INDIRECT("'"&amp;Assemblies[Assy]&amp;"'!"&amp;"C$5:C1000"), $C377, INDIRECT("'"&amp;Assemblies[Assy]&amp;"'!"&amp;"O$5:O1000")), "x",Assemblies[Assy],".",IF(SUMIF(INDIRECT("'"&amp;Assemblies[Assy]&amp;"'!"&amp;"C$5:C1000"), $C377, INDIRECT("'"&amp;Assemblies[Assy]&amp;"'!"&amp;"A$5:A1000"))=0,NA(),SUMIF(INDIRECT("'"&amp;Assemblies[Assy]&amp;"'!"&amp;"C$5:C1000"), $C377, INDIRECT("'"&amp;Assemblies[Assy]&amp;"'!"&amp;"A$5:A1000")))),"")), " ,", ""))</f>
        <v>, 1x6.2.3.6, 1x6.3.3.6,</v>
      </c>
      <c r="AD377" s="141"/>
      <c r="AE377" s="296">
        <v>55665</v>
      </c>
      <c r="AF377" s="156"/>
      <c r="AG377"/>
    </row>
    <row r="378" spans="1:33" x14ac:dyDescent="0.25">
      <c r="A378" s="24" t="s">
        <v>2704</v>
      </c>
      <c r="B378" s="134" t="s">
        <v>54</v>
      </c>
      <c r="C378" t="str">
        <f>_xlfn.CONCAT(A378,".",B378)</f>
        <v>PG10.6.2.3.7.A</v>
      </c>
      <c r="D378" t="s">
        <v>2705</v>
      </c>
      <c r="E378" s="18">
        <v>106</v>
      </c>
      <c r="F378" s="19" cm="1">
        <f t="array" aca="1" ref="F378" ca="1">SUMPRODUCT(SUMIF(INDIRECT("'"&amp;Assemblies[Assy]&amp;"'!"&amp;"C5:C1000"),C378,(INDIRECT("'"&amp;Assemblies[Assy]&amp;"'!"&amp;"O5:O1000"))))</f>
        <v>2</v>
      </c>
      <c r="G378" s="19">
        <v>2</v>
      </c>
      <c r="H378" s="19" t="str">
        <f ca="1">IF(F378&lt;=G378," ","YES")</f>
        <v xml:space="preserve"> </v>
      </c>
      <c r="I378">
        <v>2</v>
      </c>
      <c r="J378">
        <v>2</v>
      </c>
      <c r="K378" s="40">
        <v>45512</v>
      </c>
      <c r="L378">
        <v>2</v>
      </c>
      <c r="M378" s="40">
        <v>45520</v>
      </c>
      <c r="N378">
        <v>2</v>
      </c>
      <c r="O378" t="s">
        <v>1986</v>
      </c>
      <c r="P378" t="s">
        <v>1987</v>
      </c>
      <c r="Q378" t="s">
        <v>1988</v>
      </c>
      <c r="R378" t="s">
        <v>2168</v>
      </c>
      <c r="T378" s="40">
        <v>45463</v>
      </c>
      <c r="U378" s="40">
        <v>45467</v>
      </c>
      <c r="V378" s="40">
        <v>45504</v>
      </c>
      <c r="W378" s="40">
        <v>45504</v>
      </c>
      <c r="X378" s="157">
        <v>55572</v>
      </c>
      <c r="Y378" s="40" t="str" cm="1">
        <f t="array" aca="1" ref="Y378" ca="1">TRIM(SUBSTITUTE(_xlfn.ARRAYTOTEXT(IFERROR(CONCATENATE(SUMIF(INDIRECT("'"&amp;Assemblies[Assy]&amp;"'!"&amp;"C$5:C1000"), $C378, INDIRECT("'"&amp;Assemblies[Assy]&amp;"'!"&amp;"O$5:O1000")), "x",Assemblies[Assy],".",IF(SUMIF(INDIRECT("'"&amp;Assemblies[Assy]&amp;"'!"&amp;"C$5:C1000"), $C378, INDIRECT("'"&amp;Assemblies[Assy]&amp;"'!"&amp;"A$5:A1000"))=0,NA(),SUMIF(INDIRECT("'"&amp;Assemblies[Assy]&amp;"'!"&amp;"C$5:C1000"), $C378, INDIRECT("'"&amp;Assemblies[Assy]&amp;"'!"&amp;"A$5:A1000")))),"")), " ,", ""))</f>
        <v>, 1x6.2.3.7, 1x6.3.3.7,</v>
      </c>
      <c r="AD378" s="141"/>
      <c r="AE378" s="296">
        <v>55668</v>
      </c>
      <c r="AF378" s="156"/>
      <c r="AG378"/>
    </row>
    <row r="379" spans="1:33" x14ac:dyDescent="0.25">
      <c r="A379" s="24" t="s">
        <v>2706</v>
      </c>
      <c r="B379" s="134" t="s">
        <v>54</v>
      </c>
      <c r="C379" t="str">
        <f>_xlfn.CONCAT(A379,".",B379)</f>
        <v>PG10.6.2.3.8.A</v>
      </c>
      <c r="D379" t="s">
        <v>2707</v>
      </c>
      <c r="E379" s="18">
        <v>251</v>
      </c>
      <c r="F379" s="19" cm="1">
        <f t="array" aca="1" ref="F379" ca="1">SUMPRODUCT(SUMIF(INDIRECT("'"&amp;Assemblies[Assy]&amp;"'!"&amp;"C5:C1000"),C379,(INDIRECT("'"&amp;Assemblies[Assy]&amp;"'!"&amp;"O5:O1000"))))</f>
        <v>2</v>
      </c>
      <c r="G379" s="19">
        <v>2</v>
      </c>
      <c r="H379" s="19" t="str">
        <f ca="1">IF(F379&lt;=G379," ","YES")</f>
        <v xml:space="preserve"> </v>
      </c>
      <c r="I379">
        <v>2</v>
      </c>
      <c r="J379">
        <v>2</v>
      </c>
      <c r="K379" s="40">
        <v>45512</v>
      </c>
      <c r="L379">
        <v>2</v>
      </c>
      <c r="M379" s="40">
        <v>45520</v>
      </c>
      <c r="N379">
        <v>2</v>
      </c>
      <c r="O379" t="s">
        <v>2026</v>
      </c>
      <c r="P379" t="s">
        <v>2027</v>
      </c>
      <c r="Q379" t="s">
        <v>1988</v>
      </c>
      <c r="R379" t="s">
        <v>2168</v>
      </c>
      <c r="T379" s="40">
        <v>45463</v>
      </c>
      <c r="U379" s="40">
        <v>45467</v>
      </c>
      <c r="V379" s="40">
        <v>45504</v>
      </c>
      <c r="W379" s="40">
        <v>45504</v>
      </c>
      <c r="X379" s="157">
        <v>55572</v>
      </c>
      <c r="Y379" s="40" t="str" cm="1">
        <f t="array" aca="1" ref="Y379" ca="1">TRIM(SUBSTITUTE(_xlfn.ARRAYTOTEXT(IFERROR(CONCATENATE(SUMIF(INDIRECT("'"&amp;Assemblies[Assy]&amp;"'!"&amp;"C$5:C1000"), $C379, INDIRECT("'"&amp;Assemblies[Assy]&amp;"'!"&amp;"O$5:O1000")), "x",Assemblies[Assy],".",IF(SUMIF(INDIRECT("'"&amp;Assemblies[Assy]&amp;"'!"&amp;"C$5:C1000"), $C379, INDIRECT("'"&amp;Assemblies[Assy]&amp;"'!"&amp;"A$5:A1000"))=0,NA(),SUMIF(INDIRECT("'"&amp;Assemblies[Assy]&amp;"'!"&amp;"C$5:C1000"), $C379, INDIRECT("'"&amp;Assemblies[Assy]&amp;"'!"&amp;"A$5:A1000")))),"")), " ,", ""))</f>
        <v>, 1x6.2.3.8, 1x6.3.3.8,</v>
      </c>
      <c r="AD379" s="141"/>
      <c r="AE379" s="296">
        <v>55670</v>
      </c>
      <c r="AF379" s="156"/>
      <c r="AG379"/>
    </row>
    <row r="380" spans="1:33" x14ac:dyDescent="0.25">
      <c r="A380" s="24" t="s">
        <v>2708</v>
      </c>
      <c r="B380" s="134" t="s">
        <v>54</v>
      </c>
      <c r="C380" t="str">
        <f>_xlfn.CONCAT(A380,".",B380)</f>
        <v>PG10.6.2.3.9.A</v>
      </c>
      <c r="D380" t="s">
        <v>2709</v>
      </c>
      <c r="E380" s="18">
        <v>251</v>
      </c>
      <c r="F380" s="19" cm="1">
        <f t="array" aca="1" ref="F380" ca="1">SUMPRODUCT(SUMIF(INDIRECT("'"&amp;Assemblies[Assy]&amp;"'!"&amp;"C5:C1000"),C380,(INDIRECT("'"&amp;Assemblies[Assy]&amp;"'!"&amp;"O5:O1000"))))</f>
        <v>2</v>
      </c>
      <c r="G380" s="19">
        <v>2</v>
      </c>
      <c r="H380" s="19" t="str">
        <f ca="1">IF(F380&lt;=G380," ","YES")</f>
        <v xml:space="preserve"> </v>
      </c>
      <c r="I380">
        <v>2</v>
      </c>
      <c r="J380">
        <v>2</v>
      </c>
      <c r="K380" s="40">
        <v>45512</v>
      </c>
      <c r="L380">
        <v>2</v>
      </c>
      <c r="M380" s="40">
        <v>45520</v>
      </c>
      <c r="N380">
        <v>2</v>
      </c>
      <c r="O380" t="s">
        <v>2026</v>
      </c>
      <c r="P380" t="s">
        <v>2027</v>
      </c>
      <c r="Q380" t="s">
        <v>1988</v>
      </c>
      <c r="R380" t="s">
        <v>2168</v>
      </c>
      <c r="T380" s="40">
        <v>45463</v>
      </c>
      <c r="U380" s="40">
        <v>45467</v>
      </c>
      <c r="V380" s="40">
        <v>45504</v>
      </c>
      <c r="W380" s="40">
        <v>45504</v>
      </c>
      <c r="X380" s="157">
        <v>55572</v>
      </c>
      <c r="Y380" s="40" t="str" cm="1">
        <f t="array" aca="1" ref="Y380" ca="1">TRIM(SUBSTITUTE(_xlfn.ARRAYTOTEXT(IFERROR(CONCATENATE(SUMIF(INDIRECT("'"&amp;Assemblies[Assy]&amp;"'!"&amp;"C$5:C1000"), $C380, INDIRECT("'"&amp;Assemblies[Assy]&amp;"'!"&amp;"O$5:O1000")), "x",Assemblies[Assy],".",IF(SUMIF(INDIRECT("'"&amp;Assemblies[Assy]&amp;"'!"&amp;"C$5:C1000"), $C380, INDIRECT("'"&amp;Assemblies[Assy]&amp;"'!"&amp;"A$5:A1000"))=0,NA(),SUMIF(INDIRECT("'"&amp;Assemblies[Assy]&amp;"'!"&amp;"C$5:C1000"), $C380, INDIRECT("'"&amp;Assemblies[Assy]&amp;"'!"&amp;"A$5:A1000")))),"")), " ,", ""))</f>
        <v>, 1x6.2.3.9, 1x6.3.3.9,</v>
      </c>
      <c r="AD380" s="141"/>
      <c r="AE380" s="296">
        <v>55670</v>
      </c>
      <c r="AF380" s="156"/>
      <c r="AG380"/>
    </row>
    <row r="381" spans="1:33" x14ac:dyDescent="0.25">
      <c r="A381" s="24" t="s">
        <v>2710</v>
      </c>
      <c r="B381" s="134" t="s">
        <v>54</v>
      </c>
      <c r="C381" t="str">
        <f>_xlfn.CONCAT(A381,".",B381)</f>
        <v>PG10.6.3.1.2.1.A</v>
      </c>
      <c r="D381" t="s">
        <v>2711</v>
      </c>
      <c r="E381" s="18">
        <v>141.44</v>
      </c>
      <c r="F381" s="19" cm="1">
        <f t="array" aca="1" ref="F381" ca="1">SUMPRODUCT(SUMIF(INDIRECT("'"&amp;Assemblies[Assy]&amp;"'!"&amp;"C5:C1000"),C381,(INDIRECT("'"&amp;Assemblies[Assy]&amp;"'!"&amp;"O5:O1000"))))</f>
        <v>0</v>
      </c>
      <c r="G381" s="19">
        <v>1</v>
      </c>
      <c r="H381" s="19" t="str">
        <f ca="1">IF(F381&lt;=G381," ","YES")</f>
        <v xml:space="preserve"> </v>
      </c>
      <c r="I381">
        <v>1</v>
      </c>
      <c r="J381">
        <v>1</v>
      </c>
      <c r="L381">
        <v>1</v>
      </c>
      <c r="N381">
        <v>1</v>
      </c>
      <c r="O381" t="s">
        <v>2021</v>
      </c>
      <c r="P381" t="s">
        <v>1993</v>
      </c>
      <c r="R381" t="s">
        <v>2488</v>
      </c>
      <c r="T381" s="40">
        <v>45495</v>
      </c>
      <c r="U381" s="40">
        <v>45510</v>
      </c>
      <c r="V381" s="40">
        <v>45540</v>
      </c>
      <c r="W381" s="40">
        <v>45540</v>
      </c>
      <c r="X381" s="157">
        <v>55658</v>
      </c>
      <c r="Y381" s="40" t="str" cm="1">
        <f t="array" aca="1" ref="Y381" ca="1">TRIM(SUBSTITUTE(_xlfn.ARRAYTOTEXT(IFERROR(CONCATENATE(SUMIF(INDIRECT("'"&amp;Assemblies[Assy]&amp;"'!"&amp;"C$5:C1000"), $C381, INDIRECT("'"&amp;Assemblies[Assy]&amp;"'!"&amp;"O$5:O1000")), "x",Assemblies[Assy],".",IF(SUMIF(INDIRECT("'"&amp;Assemblies[Assy]&amp;"'!"&amp;"C$5:C1000"), $C381, INDIRECT("'"&amp;Assemblies[Assy]&amp;"'!"&amp;"A$5:A1000"))=0,NA(),SUMIF(INDIRECT("'"&amp;Assemblies[Assy]&amp;"'!"&amp;"C$5:C1000"), $C381, INDIRECT("'"&amp;Assemblies[Assy]&amp;"'!"&amp;"A$5:A1000")))),"")), " ,", ""))</f>
        <v>,</v>
      </c>
      <c r="Z381" s="178">
        <v>0</v>
      </c>
      <c r="AA381" s="178">
        <v>0</v>
      </c>
      <c r="AB381" s="178">
        <v>0</v>
      </c>
      <c r="AC381" s="39">
        <v>0</v>
      </c>
      <c r="AD381" s="178"/>
      <c r="AE381" s="297"/>
      <c r="AF381" s="271"/>
      <c r="AG381"/>
    </row>
    <row r="382" spans="1:33" x14ac:dyDescent="0.25">
      <c r="A382" s="24" t="s">
        <v>2710</v>
      </c>
      <c r="B382" s="134" t="s">
        <v>56</v>
      </c>
      <c r="C382" t="str">
        <f>_xlfn.CONCAT(A382,".",B382)</f>
        <v>PG10.6.3.1.2.1.B</v>
      </c>
      <c r="D382" t="s">
        <v>2711</v>
      </c>
      <c r="E382" s="18">
        <v>0</v>
      </c>
      <c r="F382" s="19" cm="1">
        <f t="array" aca="1" ref="F382" ca="1">SUMPRODUCT(SUMIF(INDIRECT("'"&amp;Assemblies[Assy]&amp;"'!"&amp;"C5:C1000"),C382,(INDIRECT("'"&amp;Assemblies[Assy]&amp;"'!"&amp;"O5:O1000"))))</f>
        <v>1</v>
      </c>
      <c r="G382" s="19">
        <v>1</v>
      </c>
      <c r="H382" s="19" t="str">
        <f ca="1">IF(F382&lt;=G382," ","YES")</f>
        <v xml:space="preserve"> </v>
      </c>
      <c r="I382">
        <v>1</v>
      </c>
      <c r="J382">
        <v>1</v>
      </c>
      <c r="L382">
        <v>1</v>
      </c>
      <c r="N382">
        <v>1</v>
      </c>
      <c r="O382" t="s">
        <v>2021</v>
      </c>
      <c r="P382" t="s">
        <v>1993</v>
      </c>
      <c r="S382" t="s">
        <v>2084</v>
      </c>
      <c r="T382" s="40" t="s">
        <v>2747</v>
      </c>
      <c r="U382" s="40" t="s">
        <v>2747</v>
      </c>
      <c r="V382" s="40" t="s">
        <v>2747</v>
      </c>
      <c r="W382" s="40" t="s">
        <v>2747</v>
      </c>
      <c r="X382" s="157" t="s">
        <v>2747</v>
      </c>
      <c r="Y382" s="40" t="str" cm="1">
        <f t="array" aca="1" ref="Y382" ca="1">TRIM(SUBSTITUTE(_xlfn.ARRAYTOTEXT(IFERROR(CONCATENATE(SUMIF(INDIRECT("'"&amp;Assemblies[Assy]&amp;"'!"&amp;"C$5:C1000"), $C382, INDIRECT("'"&amp;Assemblies[Assy]&amp;"'!"&amp;"O$5:O1000")), "x",Assemblies[Assy],".",IF(SUMIF(INDIRECT("'"&amp;Assemblies[Assy]&amp;"'!"&amp;"C$5:C1000"), $C382, INDIRECT("'"&amp;Assemblies[Assy]&amp;"'!"&amp;"A$5:A1000"))=0,NA(),SUMIF(INDIRECT("'"&amp;Assemblies[Assy]&amp;"'!"&amp;"C$5:C1000"), $C382, INDIRECT("'"&amp;Assemblies[Assy]&amp;"'!"&amp;"A$5:A1000")))),"")), " ,", ""))</f>
        <v>, 1x6.3.1.2.1,</v>
      </c>
      <c r="Z382" s="141">
        <v>0</v>
      </c>
      <c r="AA382" s="141">
        <v>0</v>
      </c>
      <c r="AB382" s="141">
        <v>0</v>
      </c>
      <c r="AC382" s="39">
        <v>0</v>
      </c>
      <c r="AD382" s="141"/>
      <c r="AE382" s="296"/>
      <c r="AF382" s="156"/>
      <c r="AG382"/>
    </row>
    <row r="383" spans="1:33" x14ac:dyDescent="0.25">
      <c r="A383" s="24" t="s">
        <v>2712</v>
      </c>
      <c r="B383" s="134" t="s">
        <v>54</v>
      </c>
      <c r="C383" t="str">
        <f>_xlfn.CONCAT(A383,".",B383)</f>
        <v>PG10.6.3.1.3.1.A</v>
      </c>
      <c r="D383" t="s">
        <v>2713</v>
      </c>
      <c r="E383" s="18">
        <v>351</v>
      </c>
      <c r="F383" s="19" cm="1">
        <f t="array" aca="1" ref="F383" ca="1">SUMPRODUCT(SUMIF(INDIRECT("'"&amp;Assemblies[Assy]&amp;"'!"&amp;"C5:C1000"),C383,(INDIRECT("'"&amp;Assemblies[Assy]&amp;"'!"&amp;"O5:O1000"))))</f>
        <v>1</v>
      </c>
      <c r="G383" s="19">
        <v>1</v>
      </c>
      <c r="H383" s="19" t="str">
        <f ca="1">IF(F383&lt;=G383," ","YES")</f>
        <v xml:space="preserve"> </v>
      </c>
      <c r="I383">
        <v>1</v>
      </c>
      <c r="J383">
        <v>1</v>
      </c>
      <c r="K383" s="40">
        <v>45512</v>
      </c>
      <c r="L383">
        <v>1</v>
      </c>
      <c r="N383">
        <v>1</v>
      </c>
      <c r="O383" t="s">
        <v>2067</v>
      </c>
      <c r="P383" t="s">
        <v>1987</v>
      </c>
      <c r="Q383" t="s">
        <v>1988</v>
      </c>
      <c r="R383" t="s">
        <v>2168</v>
      </c>
      <c r="T383" s="40">
        <v>45463</v>
      </c>
      <c r="U383" s="40">
        <v>45467</v>
      </c>
      <c r="V383" s="40">
        <v>45504</v>
      </c>
      <c r="W383" s="40">
        <v>45504</v>
      </c>
      <c r="X383" s="157">
        <v>55572</v>
      </c>
      <c r="Y383" s="40" t="str" cm="1">
        <f t="array" aca="1" ref="Y383" ca="1">TRIM(SUBSTITUTE(_xlfn.ARRAYTOTEXT(IFERROR(CONCATENATE(SUMIF(INDIRECT("'"&amp;Assemblies[Assy]&amp;"'!"&amp;"C$5:C1000"), $C383, INDIRECT("'"&amp;Assemblies[Assy]&amp;"'!"&amp;"O$5:O1000")), "x",Assemblies[Assy],".",IF(SUMIF(INDIRECT("'"&amp;Assemblies[Assy]&amp;"'!"&amp;"C$5:C1000"), $C383, INDIRECT("'"&amp;Assemblies[Assy]&amp;"'!"&amp;"A$5:A1000"))=0,NA(),SUMIF(INDIRECT("'"&amp;Assemblies[Assy]&amp;"'!"&amp;"C$5:C1000"), $C383, INDIRECT("'"&amp;Assemblies[Assy]&amp;"'!"&amp;"A$5:A1000")))),"")), " ,", ""))</f>
        <v>, 1x6.3.1.3.1,</v>
      </c>
      <c r="AD383" s="141"/>
      <c r="AE383" s="296">
        <v>55665</v>
      </c>
      <c r="AF383" s="156"/>
      <c r="AG383"/>
    </row>
    <row r="384" spans="1:33" x14ac:dyDescent="0.25">
      <c r="A384" s="24" t="s">
        <v>2714</v>
      </c>
      <c r="B384" s="134" t="s">
        <v>54</v>
      </c>
      <c r="C384" t="str">
        <f>_xlfn.CONCAT(A384,".",B384)</f>
        <v>PG10.6.3.3.10.A</v>
      </c>
      <c r="D384" t="s">
        <v>2715</v>
      </c>
      <c r="E384" s="18">
        <v>163.46</v>
      </c>
      <c r="F384" s="19" cm="1">
        <f t="array" aca="1" ref="F384" ca="1">SUMPRODUCT(SUMIF(INDIRECT("'"&amp;Assemblies[Assy]&amp;"'!"&amp;"C5:C1000"),C384,(INDIRECT("'"&amp;Assemblies[Assy]&amp;"'!"&amp;"O5:O1000"))))</f>
        <v>1</v>
      </c>
      <c r="G384" s="19">
        <v>1</v>
      </c>
      <c r="H384" s="19" t="str">
        <f ca="1">IF(F384&lt;=G384," ","YES")</f>
        <v xml:space="preserve"> </v>
      </c>
      <c r="I384">
        <v>1</v>
      </c>
      <c r="J384">
        <v>1</v>
      </c>
      <c r="L384">
        <v>1</v>
      </c>
      <c r="N384">
        <v>1</v>
      </c>
      <c r="O384" t="s">
        <v>2021</v>
      </c>
      <c r="P384" t="s">
        <v>1993</v>
      </c>
      <c r="R384" t="s">
        <v>2488</v>
      </c>
      <c r="T384" s="40">
        <v>45495</v>
      </c>
      <c r="U384" s="40">
        <v>45510</v>
      </c>
      <c r="V384" s="40">
        <v>45540</v>
      </c>
      <c r="W384" s="40">
        <v>45540</v>
      </c>
      <c r="X384" s="157">
        <v>55658</v>
      </c>
      <c r="Y384" s="40" t="str" cm="1">
        <f t="array" aca="1" ref="Y384" ca="1">TRIM(SUBSTITUTE(_xlfn.ARRAYTOTEXT(IFERROR(CONCATENATE(SUMIF(INDIRECT("'"&amp;Assemblies[Assy]&amp;"'!"&amp;"C$5:C1000"), $C384, INDIRECT("'"&amp;Assemblies[Assy]&amp;"'!"&amp;"O$5:O1000")), "x",Assemblies[Assy],".",IF(SUMIF(INDIRECT("'"&amp;Assemblies[Assy]&amp;"'!"&amp;"C$5:C1000"), $C384, INDIRECT("'"&amp;Assemblies[Assy]&amp;"'!"&amp;"A$5:A1000"))=0,NA(),SUMIF(INDIRECT("'"&amp;Assemblies[Assy]&amp;"'!"&amp;"C$5:C1000"), $C384, INDIRECT("'"&amp;Assemblies[Assy]&amp;"'!"&amp;"A$5:A1000")))),"")), " ,", ""))</f>
        <v>, 1x6.3.3.10,</v>
      </c>
      <c r="Z384" s="141">
        <v>0</v>
      </c>
      <c r="AA384" s="141">
        <v>0</v>
      </c>
      <c r="AB384" s="141">
        <v>0</v>
      </c>
      <c r="AC384" s="39">
        <v>0</v>
      </c>
      <c r="AD384" s="141"/>
      <c r="AE384" s="296"/>
      <c r="AF384" s="156"/>
      <c r="AG384"/>
    </row>
    <row r="385" spans="1:33" x14ac:dyDescent="0.25">
      <c r="A385" s="24" t="s">
        <v>2716</v>
      </c>
      <c r="B385" s="134" t="s">
        <v>54</v>
      </c>
      <c r="C385" t="str">
        <f>_xlfn.CONCAT(A385,".",B385)</f>
        <v>PG10.6.4.1.A</v>
      </c>
      <c r="D385" t="s">
        <v>2717</v>
      </c>
      <c r="E385" s="18">
        <v>248.5</v>
      </c>
      <c r="F385" s="19" cm="1">
        <f t="array" aca="1" ref="F385" ca="1">SUMPRODUCT(SUMIF(INDIRECT("'"&amp;Assemblies[Assy]&amp;"'!"&amp;"C5:C1000"),C385,(INDIRECT("'"&amp;Assemblies[Assy]&amp;"'!"&amp;"O5:O1000"))))</f>
        <v>2</v>
      </c>
      <c r="G385" s="19">
        <v>2</v>
      </c>
      <c r="H385" s="19" t="str">
        <f ca="1">IF(F385&lt;=G385," ","YES")</f>
        <v xml:space="preserve"> </v>
      </c>
      <c r="I385">
        <v>2</v>
      </c>
      <c r="J385">
        <v>2</v>
      </c>
      <c r="K385" s="40">
        <v>45512</v>
      </c>
      <c r="L385">
        <v>2</v>
      </c>
      <c r="N385">
        <v>2</v>
      </c>
      <c r="O385" t="s">
        <v>1986</v>
      </c>
      <c r="P385" t="s">
        <v>1987</v>
      </c>
      <c r="Q385" t="s">
        <v>1988</v>
      </c>
      <c r="R385" t="s">
        <v>2168</v>
      </c>
      <c r="T385" s="40">
        <v>45463</v>
      </c>
      <c r="U385" s="40">
        <v>45467</v>
      </c>
      <c r="V385" s="40">
        <v>45504</v>
      </c>
      <c r="W385" s="40">
        <v>45504</v>
      </c>
      <c r="X385" s="157">
        <v>55572</v>
      </c>
      <c r="Y385" s="40" t="str" cm="1">
        <f t="array" aca="1" ref="Y385" ca="1">TRIM(SUBSTITUTE(_xlfn.ARRAYTOTEXT(IFERROR(CONCATENATE(SUMIF(INDIRECT("'"&amp;Assemblies[Assy]&amp;"'!"&amp;"C$5:C1000"), $C385, INDIRECT("'"&amp;Assemblies[Assy]&amp;"'!"&amp;"O$5:O1000")), "x",Assemblies[Assy],".",IF(SUMIF(INDIRECT("'"&amp;Assemblies[Assy]&amp;"'!"&amp;"C$5:C1000"), $C385, INDIRECT("'"&amp;Assemblies[Assy]&amp;"'!"&amp;"A$5:A1000"))=0,NA(),SUMIF(INDIRECT("'"&amp;Assemblies[Assy]&amp;"'!"&amp;"C$5:C1000"), $C385, INDIRECT("'"&amp;Assemblies[Assy]&amp;"'!"&amp;"A$5:A1000")))),"")), " ,", ""))</f>
        <v>, 1x6.4.1, 1x6.5.1,</v>
      </c>
      <c r="AD385" s="141"/>
      <c r="AE385" s="296">
        <v>55665</v>
      </c>
      <c r="AF385" s="156"/>
      <c r="AG385"/>
    </row>
    <row r="386" spans="1:33" x14ac:dyDescent="0.25">
      <c r="A386" s="24" t="s">
        <v>2718</v>
      </c>
      <c r="B386" s="134" t="s">
        <v>54</v>
      </c>
      <c r="C386" t="str">
        <f>_xlfn.CONCAT(A386,".",B386)</f>
        <v>PG10.6.4.2.A</v>
      </c>
      <c r="D386" t="s">
        <v>2719</v>
      </c>
      <c r="E386" s="18">
        <v>187.5</v>
      </c>
      <c r="F386" s="19" cm="1">
        <f t="array" aca="1" ref="F386" ca="1">SUMPRODUCT(SUMIF(INDIRECT("'"&amp;Assemblies[Assy]&amp;"'!"&amp;"C5:C1000"),C386,(INDIRECT("'"&amp;Assemblies[Assy]&amp;"'!"&amp;"O5:O1000"))))</f>
        <v>2</v>
      </c>
      <c r="G386" s="19">
        <v>4</v>
      </c>
      <c r="H386" s="19" t="str">
        <f ca="1">IF(F386&lt;=G386," ","YES")</f>
        <v xml:space="preserve"> </v>
      </c>
      <c r="I386">
        <v>4</v>
      </c>
      <c r="J386">
        <v>4</v>
      </c>
      <c r="L386">
        <v>4</v>
      </c>
      <c r="N386">
        <v>4</v>
      </c>
      <c r="O386" t="s">
        <v>2021</v>
      </c>
      <c r="P386" t="s">
        <v>1993</v>
      </c>
      <c r="R386" t="s">
        <v>2192</v>
      </c>
      <c r="T386" s="40">
        <v>45468</v>
      </c>
      <c r="U386" s="40">
        <v>45483</v>
      </c>
      <c r="V386" s="40">
        <v>45502</v>
      </c>
      <c r="W386" s="40">
        <v>45502</v>
      </c>
      <c r="X386" s="157">
        <v>55595</v>
      </c>
      <c r="Y386" s="40" t="str" cm="1">
        <f t="array" aca="1" ref="Y386" ca="1">TRIM(SUBSTITUTE(_xlfn.ARRAYTOTEXT(IFERROR(CONCATENATE(SUMIF(INDIRECT("'"&amp;Assemblies[Assy]&amp;"'!"&amp;"C$5:C1000"), $C386, INDIRECT("'"&amp;Assemblies[Assy]&amp;"'!"&amp;"O$5:O1000")), "x",Assemblies[Assy],".",IF(SUMIF(INDIRECT("'"&amp;Assemblies[Assy]&amp;"'!"&amp;"C$5:C1000"), $C386, INDIRECT("'"&amp;Assemblies[Assy]&amp;"'!"&amp;"A$5:A1000"))=0,NA(),SUMIF(INDIRECT("'"&amp;Assemblies[Assy]&amp;"'!"&amp;"C$5:C1000"), $C386, INDIRECT("'"&amp;Assemblies[Assy]&amp;"'!"&amp;"A$5:A1000")))),"")), " ,", ""))</f>
        <v>, 1x6.4.2, 1x6.5.2,</v>
      </c>
      <c r="AD386" s="141"/>
      <c r="AE386" s="296"/>
      <c r="AF386" s="156"/>
      <c r="AG386"/>
    </row>
    <row r="387" spans="1:33" x14ac:dyDescent="0.25">
      <c r="A387" s="24" t="s">
        <v>2720</v>
      </c>
      <c r="B387" s="134" t="s">
        <v>54</v>
      </c>
      <c r="C387" t="str">
        <f>_xlfn.CONCAT(A387,".",B387)</f>
        <v>PG10.6.4.3.A</v>
      </c>
      <c r="D387" t="s">
        <v>2721</v>
      </c>
      <c r="E387" s="18">
        <v>45.5</v>
      </c>
      <c r="F387" s="19" cm="1">
        <f t="array" aca="1" ref="F387" ca="1">SUMPRODUCT(SUMIF(INDIRECT("'"&amp;Assemblies[Assy]&amp;"'!"&amp;"C5:C1000"),C387,(INDIRECT("'"&amp;Assemblies[Assy]&amp;"'!"&amp;"O5:O1000"))))</f>
        <v>12</v>
      </c>
      <c r="G387" s="19">
        <v>12</v>
      </c>
      <c r="H387" s="19" t="str">
        <f ca="1">IF(F387&lt;=G387," ","YES")</f>
        <v xml:space="preserve"> </v>
      </c>
      <c r="I387">
        <v>12</v>
      </c>
      <c r="J387">
        <v>12</v>
      </c>
      <c r="K387" s="40">
        <v>45512</v>
      </c>
      <c r="L387">
        <v>12</v>
      </c>
      <c r="M387" s="40">
        <v>45520</v>
      </c>
      <c r="N387">
        <v>12</v>
      </c>
      <c r="O387" t="s">
        <v>1986</v>
      </c>
      <c r="P387" t="s">
        <v>1987</v>
      </c>
      <c r="Q387" t="s">
        <v>1988</v>
      </c>
      <c r="R387" t="s">
        <v>2178</v>
      </c>
      <c r="S387" t="s">
        <v>2722</v>
      </c>
      <c r="T387" s="40">
        <v>45468</v>
      </c>
      <c r="U387" s="40">
        <v>45470</v>
      </c>
      <c r="V387" s="40">
        <v>45495</v>
      </c>
      <c r="W387" s="40">
        <v>45495</v>
      </c>
      <c r="X387" s="157">
        <v>55576</v>
      </c>
      <c r="Y387" s="40" t="str" cm="1">
        <f t="array" aca="1" ref="Y387" ca="1">TRIM(SUBSTITUTE(_xlfn.ARRAYTOTEXT(IFERROR(CONCATENATE(SUMIF(INDIRECT("'"&amp;Assemblies[Assy]&amp;"'!"&amp;"C$5:C1000"), $C387, INDIRECT("'"&amp;Assemblies[Assy]&amp;"'!"&amp;"O$5:O1000")), "x",Assemblies[Assy],".",IF(SUMIF(INDIRECT("'"&amp;Assemblies[Assy]&amp;"'!"&amp;"C$5:C1000"), $C387, INDIRECT("'"&amp;Assemblies[Assy]&amp;"'!"&amp;"A$5:A1000"))=0,NA(),SUMIF(INDIRECT("'"&amp;Assemblies[Assy]&amp;"'!"&amp;"C$5:C1000"), $C387, INDIRECT("'"&amp;Assemblies[Assy]&amp;"'!"&amp;"A$5:A1000")))),"")), " ,", ""))</f>
        <v>, 2x5.5.7, 2x5.6.7, 4x5.7.4, 2x6.4.3, 2x6.5.3,</v>
      </c>
      <c r="AD387" s="141"/>
      <c r="AE387" s="296" t="s">
        <v>3836</v>
      </c>
      <c r="AF387" s="156"/>
      <c r="AG387"/>
    </row>
    <row r="388" spans="1:33" x14ac:dyDescent="0.25">
      <c r="A388" s="24" t="s">
        <v>2723</v>
      </c>
      <c r="B388" s="134" t="s">
        <v>54</v>
      </c>
      <c r="C388" t="str">
        <f>_xlfn.CONCAT(A388,".",B388)</f>
        <v>PG10.6.4.4.A</v>
      </c>
      <c r="D388" t="s">
        <v>2724</v>
      </c>
      <c r="E388" s="18">
        <f>Z388+AA388+AB388+(65*AC388)</f>
        <v>23.04</v>
      </c>
      <c r="F388" s="19" cm="1">
        <f t="array" aca="1" ref="F388" ca="1">SUMPRODUCT(SUMIF(INDIRECT("'"&amp;Assemblies[Assy]&amp;"'!"&amp;"C5:C1000"),C388,(INDIRECT("'"&amp;Assemblies[Assy]&amp;"'!"&amp;"O5:O1000"))))</f>
        <v>8</v>
      </c>
      <c r="G388" s="19">
        <v>8</v>
      </c>
      <c r="H388" s="19" t="str">
        <f ca="1">IF(F388&lt;=G388," ","YES")</f>
        <v xml:space="preserve"> </v>
      </c>
      <c r="I388">
        <v>8</v>
      </c>
      <c r="J388">
        <v>8</v>
      </c>
      <c r="L388">
        <v>8</v>
      </c>
      <c r="M388" s="40">
        <v>45540</v>
      </c>
      <c r="N388">
        <v>8</v>
      </c>
      <c r="O388" t="s">
        <v>2202</v>
      </c>
      <c r="P388" t="s">
        <v>1993</v>
      </c>
      <c r="R388" t="s">
        <v>2052</v>
      </c>
      <c r="S388" t="s">
        <v>2725</v>
      </c>
      <c r="T388" s="40">
        <v>45496</v>
      </c>
      <c r="U388" s="40">
        <v>45496</v>
      </c>
      <c r="V388" s="40">
        <v>45531</v>
      </c>
      <c r="W388" s="40">
        <v>45531</v>
      </c>
      <c r="X388" s="157">
        <v>55621</v>
      </c>
      <c r="Y388" s="40" t="str" cm="1">
        <f t="array" aca="1" ref="Y388" ca="1">TRIM(SUBSTITUTE(_xlfn.ARRAYTOTEXT(IFERROR(CONCATENATE(SUMIF(INDIRECT("'"&amp;Assemblies[Assy]&amp;"'!"&amp;"C$5:C1000"), $C388, INDIRECT("'"&amp;Assemblies[Assy]&amp;"'!"&amp;"O$5:O1000")), "x",Assemblies[Assy],".",IF(SUMIF(INDIRECT("'"&amp;Assemblies[Assy]&amp;"'!"&amp;"C$5:C1000"), $C388, INDIRECT("'"&amp;Assemblies[Assy]&amp;"'!"&amp;"A$5:A1000"))=0,NA(),SUMIF(INDIRECT("'"&amp;Assemblies[Assy]&amp;"'!"&amp;"C$5:C1000"), $C388, INDIRECT("'"&amp;Assemblies[Assy]&amp;"'!"&amp;"A$5:A1000")))),"")), " ,", ""))</f>
        <v>, 1x5.5.8, 1x5.6.8, 2x5.7.5, 1x6.2.3.13, 1x6.3.3.13, 1x6.4.4, 1x6.5.4,</v>
      </c>
      <c r="Z388" s="141">
        <v>16.54</v>
      </c>
      <c r="AC388" s="39">
        <v>0.1</v>
      </c>
      <c r="AD388" s="141"/>
      <c r="AE388" s="296"/>
      <c r="AF388" s="156"/>
      <c r="AG388"/>
    </row>
    <row r="389" spans="1:33" x14ac:dyDescent="0.25">
      <c r="A389" s="24" t="s">
        <v>2726</v>
      </c>
      <c r="B389" s="134" t="s">
        <v>54</v>
      </c>
      <c r="C389" t="str">
        <f>_xlfn.CONCAT(A389,".",B389)</f>
        <v>PG10.6.6.1.1.A</v>
      </c>
      <c r="D389" t="s">
        <v>2727</v>
      </c>
      <c r="E389" s="18">
        <f>Z389+AA389+AB389+(65*AC389)</f>
        <v>0</v>
      </c>
      <c r="F389" s="19" cm="1">
        <f t="array" aca="1" ref="F389" ca="1">SUMPRODUCT(SUMIF(INDIRECT("'"&amp;Assemblies[Assy]&amp;"'!"&amp;"C5:C1000"),C389,(INDIRECT("'"&amp;Assemblies[Assy]&amp;"'!"&amp;"O5:O1000"))))</f>
        <v>268</v>
      </c>
      <c r="G389" s="19">
        <v>275</v>
      </c>
      <c r="H389" s="19" t="str">
        <f ca="1">IF(F389&lt;=G389," ","YES")</f>
        <v xml:space="preserve"> </v>
      </c>
      <c r="O389" t="s">
        <v>2129</v>
      </c>
      <c r="P389" t="s">
        <v>2130</v>
      </c>
      <c r="R389" t="s">
        <v>1989</v>
      </c>
      <c r="S389" t="s">
        <v>2728</v>
      </c>
      <c r="U389" s="40">
        <v>45553</v>
      </c>
      <c r="V389" s="40">
        <v>45573</v>
      </c>
      <c r="X389" s="157">
        <v>55744</v>
      </c>
      <c r="Y389" s="40" t="str" cm="1">
        <f t="array" aca="1" ref="Y389" ca="1">TRIM(SUBSTITUTE(_xlfn.ARRAYTOTEXT(IFERROR(CONCATENATE(SUMIF(INDIRECT("'"&amp;Assemblies[Assy]&amp;"'!"&amp;"C$5:C1000"), $C389, INDIRECT("'"&amp;Assemblies[Assy]&amp;"'!"&amp;"O$5:O1000")), "x",Assemblies[Assy],".",IF(SUMIF(INDIRECT("'"&amp;Assemblies[Assy]&amp;"'!"&amp;"C$5:C1000"), $C389, INDIRECT("'"&amp;Assemblies[Assy]&amp;"'!"&amp;"A$5:A1000"))=0,NA(),SUMIF(INDIRECT("'"&amp;Assemblies[Assy]&amp;"'!"&amp;"C$5:C1000"), $C389, INDIRECT("'"&amp;Assemblies[Assy]&amp;"'!"&amp;"A$5:A1000")))),"")), " ,", ""))</f>
        <v>, 268x6.6.1.1,</v>
      </c>
      <c r="Z389" s="141">
        <v>0</v>
      </c>
      <c r="AA389" s="141">
        <v>0</v>
      </c>
      <c r="AB389" s="141">
        <v>0</v>
      </c>
      <c r="AC389" s="39">
        <v>0</v>
      </c>
      <c r="AD389" s="141"/>
      <c r="AE389" s="296"/>
      <c r="AF389" s="156"/>
      <c r="AG389"/>
    </row>
    <row r="390" spans="1:33" x14ac:dyDescent="0.25">
      <c r="A390" s="24" t="s">
        <v>2729</v>
      </c>
      <c r="B390" s="134" t="s">
        <v>54</v>
      </c>
      <c r="C390" t="str">
        <f>_xlfn.CONCAT(A390,".",B390)</f>
        <v>PG10.6.6.1.A</v>
      </c>
      <c r="D390" t="s">
        <v>2730</v>
      </c>
      <c r="E390" s="18">
        <v>152</v>
      </c>
      <c r="F390" s="19" cm="1">
        <f t="array" aca="1" ref="F390" ca="1">SUMPRODUCT(SUMIF(INDIRECT("'"&amp;Assemblies[Assy]&amp;"'!"&amp;"C5:C1000"),C390,(INDIRECT("'"&amp;Assemblies[Assy]&amp;"'!"&amp;"O5:O1000"))))</f>
        <v>2</v>
      </c>
      <c r="G390" s="19">
        <v>2</v>
      </c>
      <c r="H390" s="19" t="str">
        <f ca="1">IF(F390&lt;=G390," ","YES")</f>
        <v xml:space="preserve"> </v>
      </c>
      <c r="I390">
        <v>2</v>
      </c>
      <c r="J390">
        <v>2</v>
      </c>
      <c r="K390" s="40">
        <v>45541</v>
      </c>
      <c r="L390">
        <v>2</v>
      </c>
      <c r="M390" s="40">
        <v>45558</v>
      </c>
      <c r="N390">
        <v>2</v>
      </c>
      <c r="O390" t="s">
        <v>1986</v>
      </c>
      <c r="P390" t="s">
        <v>1987</v>
      </c>
      <c r="Q390" t="s">
        <v>1988</v>
      </c>
      <c r="R390" t="s">
        <v>2047</v>
      </c>
      <c r="T390" s="40">
        <v>45495</v>
      </c>
      <c r="U390" s="40">
        <v>45505</v>
      </c>
      <c r="V390" s="40">
        <v>45540</v>
      </c>
      <c r="W390" s="40">
        <v>45540</v>
      </c>
      <c r="X390" s="157">
        <v>55644</v>
      </c>
      <c r="Y390" s="40" t="str" cm="1">
        <f t="array" aca="1" ref="Y390" ca="1">TRIM(SUBSTITUTE(_xlfn.ARRAYTOTEXT(IFERROR(CONCATENATE(SUMIF(INDIRECT("'"&amp;Assemblies[Assy]&amp;"'!"&amp;"C$5:C1000"), $C390, INDIRECT("'"&amp;Assemblies[Assy]&amp;"'!"&amp;"O$5:O1000")), "x",Assemblies[Assy],".",IF(SUMIF(INDIRECT("'"&amp;Assemblies[Assy]&amp;"'!"&amp;"C$5:C1000"), $C390, INDIRECT("'"&amp;Assemblies[Assy]&amp;"'!"&amp;"A$5:A1000"))=0,NA(),SUMIF(INDIRECT("'"&amp;Assemblies[Assy]&amp;"'!"&amp;"C$5:C1000"), $C390, INDIRECT("'"&amp;Assemblies[Assy]&amp;"'!"&amp;"A$5:A1000")))),"")), " ,", ""))</f>
        <v>, 1x6.6.1, 1x6.7.1,</v>
      </c>
      <c r="AD390" s="141"/>
      <c r="AE390" s="296" t="s">
        <v>3837</v>
      </c>
      <c r="AF390" s="156"/>
      <c r="AG390"/>
    </row>
    <row r="391" spans="1:33" x14ac:dyDescent="0.25">
      <c r="A391" s="24" t="s">
        <v>2731</v>
      </c>
      <c r="B391" s="134" t="s">
        <v>54</v>
      </c>
      <c r="C391" t="str">
        <f>_xlfn.CONCAT(A391,".",B391)</f>
        <v>PG10.6.6.2.1.A</v>
      </c>
      <c r="D391" t="s">
        <v>2732</v>
      </c>
      <c r="E391" s="18">
        <f>Z391+AA391+AB391+(65*AC391)</f>
        <v>0</v>
      </c>
      <c r="F391" s="19" cm="1">
        <f t="array" aca="1" ref="F391" ca="1">SUMPRODUCT(SUMIF(INDIRECT("'"&amp;Assemblies[Assy]&amp;"'!"&amp;"C5:C1000"),C391,(INDIRECT("'"&amp;Assemblies[Assy]&amp;"'!"&amp;"O5:O1000"))))</f>
        <v>2</v>
      </c>
      <c r="G391" s="19">
        <v>2</v>
      </c>
      <c r="H391" s="19" t="str">
        <f ca="1">IF(F391&lt;=G391," ","YES")</f>
        <v xml:space="preserve"> </v>
      </c>
      <c r="I391">
        <v>2</v>
      </c>
      <c r="J391">
        <v>2</v>
      </c>
      <c r="L391">
        <v>2</v>
      </c>
      <c r="N391">
        <v>2</v>
      </c>
      <c r="O391" t="s">
        <v>2021</v>
      </c>
      <c r="P391" t="s">
        <v>2606</v>
      </c>
      <c r="R391" t="s">
        <v>2488</v>
      </c>
      <c r="T391" s="40">
        <v>45526</v>
      </c>
      <c r="U391" s="40">
        <v>45527</v>
      </c>
      <c r="V391" s="40">
        <v>45548</v>
      </c>
      <c r="W391" s="40">
        <v>45548</v>
      </c>
      <c r="X391" s="157">
        <v>55702</v>
      </c>
      <c r="Y391" s="40" t="str" cm="1">
        <f t="array" aca="1" ref="Y391" ca="1">TRIM(SUBSTITUTE(_xlfn.ARRAYTOTEXT(IFERROR(CONCATENATE(SUMIF(INDIRECT("'"&amp;Assemblies[Assy]&amp;"'!"&amp;"C$5:C1000"), $C391, INDIRECT("'"&amp;Assemblies[Assy]&amp;"'!"&amp;"O$5:O1000")), "x",Assemblies[Assy],".",IF(SUMIF(INDIRECT("'"&amp;Assemblies[Assy]&amp;"'!"&amp;"C$5:C1000"), $C391, INDIRECT("'"&amp;Assemblies[Assy]&amp;"'!"&amp;"A$5:A1000"))=0,NA(),SUMIF(INDIRECT("'"&amp;Assemblies[Assy]&amp;"'!"&amp;"C$5:C1000"), $C391, INDIRECT("'"&amp;Assemblies[Assy]&amp;"'!"&amp;"A$5:A1000")))),"")), " ,", ""))</f>
        <v>, 2x6.6.2.1,</v>
      </c>
      <c r="Z391" s="141">
        <v>0</v>
      </c>
      <c r="AA391" s="141">
        <v>0</v>
      </c>
      <c r="AB391" s="141">
        <v>0</v>
      </c>
      <c r="AC391" s="39">
        <v>0</v>
      </c>
      <c r="AD391" s="141"/>
      <c r="AE391" s="296"/>
      <c r="AF391" s="156"/>
      <c r="AG391"/>
    </row>
    <row r="392" spans="1:33" x14ac:dyDescent="0.25">
      <c r="A392" s="24" t="s">
        <v>2733</v>
      </c>
      <c r="B392" s="134" t="s">
        <v>54</v>
      </c>
      <c r="C392" t="str">
        <f>_xlfn.CONCAT(A392,".",B392)</f>
        <v>PG10.6.8.1.A</v>
      </c>
      <c r="D392" t="s">
        <v>2734</v>
      </c>
      <c r="E392" s="18">
        <v>290.13</v>
      </c>
      <c r="F392" s="19" cm="1">
        <f t="array" aca="1" ref="F392" ca="1">SUMPRODUCT(SUMIF(INDIRECT("'"&amp;Assemblies[Assy]&amp;"'!"&amp;"C5:C1000"),C392,(INDIRECT("'"&amp;Assemblies[Assy]&amp;"'!"&amp;"O5:O1000"))))</f>
        <v>4</v>
      </c>
      <c r="G392" s="19">
        <v>4</v>
      </c>
      <c r="H392" s="19" t="str">
        <f ca="1">IF(F392&lt;=G392," ","YES")</f>
        <v xml:space="preserve"> </v>
      </c>
      <c r="O392" t="s">
        <v>2067</v>
      </c>
      <c r="P392" t="s">
        <v>2165</v>
      </c>
      <c r="Q392" t="s">
        <v>1988</v>
      </c>
      <c r="R392" t="s">
        <v>2168</v>
      </c>
      <c r="T392" s="40">
        <v>45489</v>
      </c>
      <c r="U392" s="40">
        <v>45513</v>
      </c>
      <c r="V392" s="40">
        <v>45551</v>
      </c>
      <c r="W392" s="40">
        <v>45566</v>
      </c>
      <c r="X392" s="157">
        <v>55676</v>
      </c>
      <c r="Y392" s="40" t="str" cm="1">
        <f t="array" aca="1" ref="Y392" ca="1">TRIM(SUBSTITUTE(_xlfn.ARRAYTOTEXT(IFERROR(CONCATENATE(SUMIF(INDIRECT("'"&amp;Assemblies[Assy]&amp;"'!"&amp;"C$5:C1000"), $C392, INDIRECT("'"&amp;Assemblies[Assy]&amp;"'!"&amp;"O$5:O1000")), "x",Assemblies[Assy],".",IF(SUMIF(INDIRECT("'"&amp;Assemblies[Assy]&amp;"'!"&amp;"C$5:C1000"), $C392, INDIRECT("'"&amp;Assemblies[Assy]&amp;"'!"&amp;"A$5:A1000"))=0,NA(),SUMIF(INDIRECT("'"&amp;Assemblies[Assy]&amp;"'!"&amp;"C$5:C1000"), $C392, INDIRECT("'"&amp;Assemblies[Assy]&amp;"'!"&amp;"A$5:A1000")))),"")), " ,", ""))</f>
        <v>, 4x6.8.1,</v>
      </c>
      <c r="Z392" s="141">
        <v>0</v>
      </c>
      <c r="AA392" s="141">
        <v>0</v>
      </c>
      <c r="AB392" s="141">
        <v>0</v>
      </c>
      <c r="AC392" s="39">
        <v>0</v>
      </c>
      <c r="AD392" s="141"/>
      <c r="AE392" s="296"/>
      <c r="AF392" s="156"/>
      <c r="AG392"/>
    </row>
    <row r="393" spans="1:33" x14ac:dyDescent="0.25">
      <c r="A393" s="24" t="s">
        <v>2735</v>
      </c>
      <c r="B393" s="134" t="s">
        <v>54</v>
      </c>
      <c r="C393" t="str">
        <f>_xlfn.CONCAT(A393,".",B393)</f>
        <v>PG10.6.9.1.A</v>
      </c>
      <c r="D393" t="s">
        <v>2736</v>
      </c>
      <c r="E393" s="18">
        <v>121</v>
      </c>
      <c r="F393" s="19" cm="1">
        <f t="array" aca="1" ref="F393" ca="1">SUMPRODUCT(SUMIF(INDIRECT("'"&amp;Assemblies[Assy]&amp;"'!"&amp;"C5:C1000"),C393,(INDIRECT("'"&amp;Assemblies[Assy]&amp;"'!"&amp;"O5:O1000"))))</f>
        <v>4</v>
      </c>
      <c r="G393" s="19">
        <v>4</v>
      </c>
      <c r="H393" s="19" t="str">
        <f ca="1">IF(F393&lt;=G393," ","YES")</f>
        <v xml:space="preserve"> </v>
      </c>
      <c r="I393">
        <v>4</v>
      </c>
      <c r="J393">
        <v>4</v>
      </c>
      <c r="K393" s="40">
        <v>45541</v>
      </c>
      <c r="L393">
        <v>4</v>
      </c>
      <c r="M393" s="40">
        <v>45558</v>
      </c>
      <c r="N393">
        <v>4</v>
      </c>
      <c r="O393" t="s">
        <v>2067</v>
      </c>
      <c r="P393" t="s">
        <v>2165</v>
      </c>
      <c r="Q393" t="s">
        <v>1988</v>
      </c>
      <c r="R393" t="s">
        <v>2047</v>
      </c>
      <c r="T393" s="40">
        <v>45495</v>
      </c>
      <c r="U393" s="40">
        <v>45505</v>
      </c>
      <c r="V393" s="40">
        <v>45540</v>
      </c>
      <c r="W393" s="40">
        <v>45540</v>
      </c>
      <c r="X393" s="157">
        <v>55644</v>
      </c>
      <c r="Y393" s="40" t="str" cm="1">
        <f t="array" aca="1" ref="Y393" ca="1">TRIM(SUBSTITUTE(_xlfn.ARRAYTOTEXT(IFERROR(CONCATENATE(SUMIF(INDIRECT("'"&amp;Assemblies[Assy]&amp;"'!"&amp;"C$5:C1000"), $C393, INDIRECT("'"&amp;Assemblies[Assy]&amp;"'!"&amp;"O$5:O1000")), "x",Assemblies[Assy],".",IF(SUMIF(INDIRECT("'"&amp;Assemblies[Assy]&amp;"'!"&amp;"C$5:C1000"), $C393, INDIRECT("'"&amp;Assemblies[Assy]&amp;"'!"&amp;"A$5:A1000"))=0,NA(),SUMIF(INDIRECT("'"&amp;Assemblies[Assy]&amp;"'!"&amp;"C$5:C1000"), $C393, INDIRECT("'"&amp;Assemblies[Assy]&amp;"'!"&amp;"A$5:A1000")))),"")), " ,", ""))</f>
        <v>, 4x6.9.1,</v>
      </c>
      <c r="AD393" s="141"/>
      <c r="AE393" s="296">
        <v>55725</v>
      </c>
      <c r="AF393" s="156"/>
      <c r="AG393"/>
    </row>
    <row r="394" spans="1:33" x14ac:dyDescent="0.25">
      <c r="A394" s="24" t="s">
        <v>2737</v>
      </c>
      <c r="B394" s="134" t="s">
        <v>54</v>
      </c>
      <c r="C394" t="str">
        <f>_xlfn.CONCAT(A394,".",B394)</f>
        <v>PG10.6.9.2.A</v>
      </c>
      <c r="D394" t="s">
        <v>2738</v>
      </c>
      <c r="E394" s="18">
        <v>58.25</v>
      </c>
      <c r="F394" s="19" cm="1">
        <f t="array" aca="1" ref="F394" ca="1">SUMPRODUCT(SUMIF(INDIRECT("'"&amp;Assemblies[Assy]&amp;"'!"&amp;"C5:C1000"),C394,(INDIRECT("'"&amp;Assemblies[Assy]&amp;"'!"&amp;"O5:O1000"))))</f>
        <v>4</v>
      </c>
      <c r="G394" s="19">
        <v>4</v>
      </c>
      <c r="H394" s="19" t="str">
        <f ca="1">IF(F394&lt;=G394," ","YES")</f>
        <v xml:space="preserve"> </v>
      </c>
      <c r="I394">
        <v>4</v>
      </c>
      <c r="J394">
        <v>4</v>
      </c>
      <c r="K394" s="40">
        <v>45541</v>
      </c>
      <c r="L394">
        <v>4</v>
      </c>
      <c r="N394">
        <v>4</v>
      </c>
      <c r="O394" t="s">
        <v>2026</v>
      </c>
      <c r="P394" t="s">
        <v>2027</v>
      </c>
      <c r="Q394" t="s">
        <v>1988</v>
      </c>
      <c r="R394" t="s">
        <v>1989</v>
      </c>
      <c r="T394" s="40">
        <v>45495</v>
      </c>
      <c r="U394" s="40">
        <v>45504</v>
      </c>
      <c r="V394" s="40">
        <v>45534</v>
      </c>
      <c r="W394" s="40">
        <v>45534</v>
      </c>
      <c r="X394" s="157">
        <v>55641</v>
      </c>
      <c r="Y394" s="40" t="str" cm="1">
        <f t="array" aca="1" ref="Y394" ca="1">TRIM(SUBSTITUTE(_xlfn.ARRAYTOTEXT(IFERROR(CONCATENATE(SUMIF(INDIRECT("'"&amp;Assemblies[Assy]&amp;"'!"&amp;"C$5:C1000"), $C394, INDIRECT("'"&amp;Assemblies[Assy]&amp;"'!"&amp;"O$5:O1000")), "x",Assemblies[Assy],".",IF(SUMIF(INDIRECT("'"&amp;Assemblies[Assy]&amp;"'!"&amp;"C$5:C1000"), $C394, INDIRECT("'"&amp;Assemblies[Assy]&amp;"'!"&amp;"A$5:A1000"))=0,NA(),SUMIF(INDIRECT("'"&amp;Assemblies[Assy]&amp;"'!"&amp;"C$5:C1000"), $C394, INDIRECT("'"&amp;Assemblies[Assy]&amp;"'!"&amp;"A$5:A1000")))),"")), " ,", ""))</f>
        <v>, 4x6.9.2,</v>
      </c>
      <c r="AD394" s="141"/>
      <c r="AE394" s="296">
        <v>55722</v>
      </c>
      <c r="AF394" s="156"/>
      <c r="AG394"/>
    </row>
    <row r="395" spans="1:33" x14ac:dyDescent="0.25">
      <c r="A395" s="24" t="s">
        <v>2739</v>
      </c>
      <c r="B395" s="134" t="s">
        <v>54</v>
      </c>
      <c r="C395" t="str">
        <f>_xlfn.CONCAT(A395,".",B395)</f>
        <v>PG10.6.9.3.A</v>
      </c>
      <c r="D395" t="s">
        <v>2740</v>
      </c>
      <c r="E395" s="18">
        <v>465</v>
      </c>
      <c r="F395" s="19" cm="1">
        <f t="array" aca="1" ref="F395" ca="1">SUMPRODUCT(SUMIF(INDIRECT("'"&amp;Assemblies[Assy]&amp;"'!"&amp;"C5:C1000"),C395,(INDIRECT("'"&amp;Assemblies[Assy]&amp;"'!"&amp;"O5:O1000"))))</f>
        <v>0</v>
      </c>
      <c r="G395" s="19">
        <v>2</v>
      </c>
      <c r="H395" s="19" t="str">
        <f ca="1">IF(F395&lt;=G395," ","YES")</f>
        <v xml:space="preserve"> </v>
      </c>
      <c r="I395">
        <v>2</v>
      </c>
      <c r="J395">
        <v>2</v>
      </c>
      <c r="O395" t="s">
        <v>2026</v>
      </c>
      <c r="P395" t="s">
        <v>2027</v>
      </c>
      <c r="Q395" t="s">
        <v>1988</v>
      </c>
      <c r="R395" t="s">
        <v>2047</v>
      </c>
      <c r="T395" s="40">
        <v>45495</v>
      </c>
      <c r="U395" s="40">
        <v>45505</v>
      </c>
      <c r="V395" s="40">
        <v>45540</v>
      </c>
      <c r="W395" s="40">
        <v>45540</v>
      </c>
      <c r="X395" s="157">
        <v>55644</v>
      </c>
      <c r="Y395" s="40" t="str" cm="1">
        <f t="array" aca="1" ref="Y395" ca="1">TRIM(SUBSTITUTE(_xlfn.ARRAYTOTEXT(IFERROR(CONCATENATE(SUMIF(INDIRECT("'"&amp;Assemblies[Assy]&amp;"'!"&amp;"C$5:C1000"), $C395, INDIRECT("'"&amp;Assemblies[Assy]&amp;"'!"&amp;"O$5:O1000")), "x",Assemblies[Assy],".",IF(SUMIF(INDIRECT("'"&amp;Assemblies[Assy]&amp;"'!"&amp;"C$5:C1000"), $C395, INDIRECT("'"&amp;Assemblies[Assy]&amp;"'!"&amp;"A$5:A1000"))=0,NA(),SUMIF(INDIRECT("'"&amp;Assemblies[Assy]&amp;"'!"&amp;"C$5:C1000"), $C395, INDIRECT("'"&amp;Assemblies[Assy]&amp;"'!"&amp;"A$5:A1000")))),"")), " ,", ""))</f>
        <v>,</v>
      </c>
      <c r="AD395" s="141"/>
      <c r="AE395" s="296"/>
      <c r="AF395" s="156"/>
      <c r="AG395"/>
    </row>
    <row r="396" spans="1:33" x14ac:dyDescent="0.25">
      <c r="A396" s="24" t="s">
        <v>2739</v>
      </c>
      <c r="B396" s="134" t="s">
        <v>56</v>
      </c>
      <c r="C396" t="str">
        <f>_xlfn.CONCAT(A396,".",B396)</f>
        <v>PG10.6.9.3.B</v>
      </c>
      <c r="D396" t="s">
        <v>2740</v>
      </c>
      <c r="E396" s="18">
        <v>465</v>
      </c>
      <c r="F396" s="19" cm="1">
        <f t="array" aca="1" ref="F396" ca="1">SUMPRODUCT(SUMIF(INDIRECT("'"&amp;Assemblies[Assy]&amp;"'!"&amp;"C5:C1000"),C396,(INDIRECT("'"&amp;Assemblies[Assy]&amp;"'!"&amp;"O5:O1000"))))</f>
        <v>2</v>
      </c>
      <c r="G396" s="19">
        <v>2</v>
      </c>
      <c r="H396" s="19" t="str">
        <f ca="1">IF(F396&lt;=G396," ","YES")</f>
        <v xml:space="preserve"> </v>
      </c>
      <c r="I396">
        <v>2</v>
      </c>
      <c r="J396">
        <v>2</v>
      </c>
      <c r="K396" s="40">
        <v>45541</v>
      </c>
      <c r="L396">
        <v>2</v>
      </c>
      <c r="N396">
        <v>2</v>
      </c>
      <c r="O396" t="s">
        <v>2026</v>
      </c>
      <c r="P396" t="s">
        <v>2027</v>
      </c>
      <c r="Q396" t="s">
        <v>1988</v>
      </c>
      <c r="S396" t="s">
        <v>2084</v>
      </c>
      <c r="Y396" s="40" t="str" cm="1">
        <f t="array" aca="1" ref="Y396" ca="1">TRIM(SUBSTITUTE(_xlfn.ARRAYTOTEXT(IFERROR(CONCATENATE(SUMIF(INDIRECT("'"&amp;Assemblies[Assy]&amp;"'!"&amp;"C$5:C1000"), $C396, INDIRECT("'"&amp;Assemblies[Assy]&amp;"'!"&amp;"O$5:O1000")), "x",Assemblies[Assy],".",IF(SUMIF(INDIRECT("'"&amp;Assemblies[Assy]&amp;"'!"&amp;"C$5:C1000"), $C396, INDIRECT("'"&amp;Assemblies[Assy]&amp;"'!"&amp;"A$5:A1000"))=0,NA(),SUMIF(INDIRECT("'"&amp;Assemblies[Assy]&amp;"'!"&amp;"C$5:C1000"), $C396, INDIRECT("'"&amp;Assemblies[Assy]&amp;"'!"&amp;"A$5:A1000")))),"")), " ,", ""))</f>
        <v>, 2x6.9.3,</v>
      </c>
      <c r="AD396" s="141"/>
      <c r="AE396" s="296">
        <v>55722</v>
      </c>
      <c r="AF396" s="156"/>
      <c r="AG396"/>
    </row>
    <row r="397" spans="1:33" x14ac:dyDescent="0.25">
      <c r="A397" s="24" t="s">
        <v>2741</v>
      </c>
      <c r="B397" s="134" t="s">
        <v>56</v>
      </c>
      <c r="C397" t="str">
        <f>_xlfn.CONCAT(A397,".",B397)</f>
        <v>PG10.7.1.1.1.B</v>
      </c>
      <c r="D397" t="s">
        <v>2742</v>
      </c>
      <c r="E397" s="18">
        <v>344.5</v>
      </c>
      <c r="F397" s="19" cm="1">
        <f t="array" aca="1" ref="F397" ca="1">SUMPRODUCT(SUMIF(INDIRECT("'"&amp;Assemblies[Assy]&amp;"'!"&amp;"C5:C1000"),C397,(INDIRECT("'"&amp;Assemblies[Assy]&amp;"'!"&amp;"O5:O1000"))))</f>
        <v>1</v>
      </c>
      <c r="G397" s="19">
        <v>1</v>
      </c>
      <c r="H397" s="19" t="str">
        <f ca="1">IF(F397&lt;=G397," ","YES")</f>
        <v xml:space="preserve"> </v>
      </c>
      <c r="I397">
        <v>1</v>
      </c>
      <c r="J397">
        <v>1</v>
      </c>
      <c r="L397">
        <v>1</v>
      </c>
      <c r="N397">
        <v>1</v>
      </c>
      <c r="O397" t="s">
        <v>1986</v>
      </c>
      <c r="P397" t="s">
        <v>1987</v>
      </c>
      <c r="Q397" t="s">
        <v>1988</v>
      </c>
      <c r="R397" t="s">
        <v>2168</v>
      </c>
      <c r="T397" s="40">
        <v>45461</v>
      </c>
      <c r="U397" s="40">
        <v>45462</v>
      </c>
      <c r="V397" s="40">
        <v>45492</v>
      </c>
      <c r="W397" s="40">
        <v>45492</v>
      </c>
      <c r="X397" s="157">
        <v>55559</v>
      </c>
      <c r="Y397" s="40" t="str" cm="1">
        <f t="array" aca="1" ref="Y397" ca="1">TRIM(SUBSTITUTE(_xlfn.ARRAYTOTEXT(IFERROR(CONCATENATE(SUMIF(INDIRECT("'"&amp;Assemblies[Assy]&amp;"'!"&amp;"C$5:C1000"), $C397, INDIRECT("'"&amp;Assemblies[Assy]&amp;"'!"&amp;"O$5:O1000")), "x",Assemblies[Assy],".",IF(SUMIF(INDIRECT("'"&amp;Assemblies[Assy]&amp;"'!"&amp;"C$5:C1000"), $C397, INDIRECT("'"&amp;Assemblies[Assy]&amp;"'!"&amp;"A$5:A1000"))=0,NA(),SUMIF(INDIRECT("'"&amp;Assemblies[Assy]&amp;"'!"&amp;"C$5:C1000"), $C397, INDIRECT("'"&amp;Assemblies[Assy]&amp;"'!"&amp;"A$5:A1000")))),"")), " ,", ""))</f>
        <v>, 1x7.1.1.1,</v>
      </c>
      <c r="Z397" s="141">
        <v>0</v>
      </c>
      <c r="AA397" s="141">
        <v>0</v>
      </c>
      <c r="AB397" s="141">
        <v>0</v>
      </c>
      <c r="AC397" s="39">
        <v>0</v>
      </c>
      <c r="AD397" s="141" t="s">
        <v>1473</v>
      </c>
      <c r="AE397" s="296">
        <v>55616</v>
      </c>
      <c r="AF397" s="141"/>
      <c r="AG397"/>
    </row>
    <row r="398" spans="1:33" x14ac:dyDescent="0.25">
      <c r="A398" s="24" t="s">
        <v>2743</v>
      </c>
      <c r="B398" s="134" t="s">
        <v>54</v>
      </c>
      <c r="C398" t="str">
        <f>_xlfn.CONCAT(A398,".",B398)</f>
        <v>PG10.7.1.1.2.A</v>
      </c>
      <c r="D398" t="s">
        <v>2744</v>
      </c>
      <c r="E398" s="18">
        <v>115.3</v>
      </c>
      <c r="F398" s="19" cm="1">
        <f t="array" aca="1" ref="F398" ca="1">SUMPRODUCT(SUMIF(INDIRECT("'"&amp;Assemblies[Assy]&amp;"'!"&amp;"C5:C1000"),C398,(INDIRECT("'"&amp;Assemblies[Assy]&amp;"'!"&amp;"O5:O1000"))))</f>
        <v>3</v>
      </c>
      <c r="G398" s="19">
        <v>3</v>
      </c>
      <c r="H398" s="19" t="str">
        <f ca="1">IF(F398&lt;=G398," ","YES")</f>
        <v xml:space="preserve"> </v>
      </c>
      <c r="I398">
        <v>3</v>
      </c>
      <c r="J398">
        <v>3</v>
      </c>
      <c r="L398">
        <v>3</v>
      </c>
      <c r="N398">
        <v>3</v>
      </c>
      <c r="O398" t="s">
        <v>2189</v>
      </c>
      <c r="P398" t="s">
        <v>1993</v>
      </c>
      <c r="R398" s="191" t="s">
        <v>1989</v>
      </c>
      <c r="S398" t="s">
        <v>2576</v>
      </c>
      <c r="T398" s="40">
        <v>45524</v>
      </c>
      <c r="U398" s="40">
        <v>45527</v>
      </c>
      <c r="V398" s="40">
        <v>45555</v>
      </c>
      <c r="W398" s="40">
        <v>45527</v>
      </c>
      <c r="X398" s="157">
        <v>55699</v>
      </c>
      <c r="Y398" s="40" t="str" cm="1">
        <f t="array" aca="1" ref="Y398" ca="1">TRIM(SUBSTITUTE(_xlfn.ARRAYTOTEXT(IFERROR(CONCATENATE(SUMIF(INDIRECT("'"&amp;Assemblies[Assy]&amp;"'!"&amp;"C$5:C1000"), $C398, INDIRECT("'"&amp;Assemblies[Assy]&amp;"'!"&amp;"O$5:O1000")), "x",Assemblies[Assy],".",IF(SUMIF(INDIRECT("'"&amp;Assemblies[Assy]&amp;"'!"&amp;"C$5:C1000"), $C398, INDIRECT("'"&amp;Assemblies[Assy]&amp;"'!"&amp;"A$5:A1000"))=0,NA(),SUMIF(INDIRECT("'"&amp;Assemblies[Assy]&amp;"'!"&amp;"C$5:C1000"), $C398, INDIRECT("'"&amp;Assemblies[Assy]&amp;"'!"&amp;"A$5:A1000")))),"")), " ,", ""))</f>
        <v>, 3x7.1.1.2,</v>
      </c>
      <c r="Z398" s="141">
        <v>0</v>
      </c>
      <c r="AA398" s="141">
        <v>0</v>
      </c>
      <c r="AB398" s="141">
        <v>0</v>
      </c>
      <c r="AC398" s="39">
        <v>0</v>
      </c>
      <c r="AD398" s="141" t="s">
        <v>1473</v>
      </c>
      <c r="AE398" s="296"/>
      <c r="AF398" s="141"/>
      <c r="AG398"/>
    </row>
    <row r="399" spans="1:33" x14ac:dyDescent="0.25">
      <c r="A399" s="24" t="s">
        <v>2745</v>
      </c>
      <c r="B399" s="134" t="s">
        <v>54</v>
      </c>
      <c r="C399" t="str">
        <f>_xlfn.CONCAT(A399,".",B399)</f>
        <v>PG10.7.1.1.4.A</v>
      </c>
      <c r="D399" t="s">
        <v>2746</v>
      </c>
      <c r="E399" s="18">
        <f>Z399+AA399+AB399+(65*AC399)</f>
        <v>36.28</v>
      </c>
      <c r="F399" s="19" cm="1">
        <f t="array" aca="1" ref="F399" ca="1">SUMPRODUCT(SUMIF(INDIRECT("'"&amp;Assemblies[Assy]&amp;"'!"&amp;"C5:C1000"),C399,(INDIRECT("'"&amp;Assemblies[Assy]&amp;"'!"&amp;"O5:O1000"))))</f>
        <v>6</v>
      </c>
      <c r="G399" s="19">
        <v>6</v>
      </c>
      <c r="H399" s="19" t="str">
        <f ca="1">IF(F399&lt;=G399," ","YES")</f>
        <v xml:space="preserve"> </v>
      </c>
      <c r="I399">
        <v>6</v>
      </c>
      <c r="J399">
        <v>6</v>
      </c>
      <c r="L399">
        <v>6</v>
      </c>
      <c r="N399">
        <v>6</v>
      </c>
      <c r="O399" t="s">
        <v>2202</v>
      </c>
      <c r="P399" t="s">
        <v>2747</v>
      </c>
      <c r="R399" t="s">
        <v>2052</v>
      </c>
      <c r="T399" s="40">
        <v>45497</v>
      </c>
      <c r="U399" s="40">
        <v>45497</v>
      </c>
      <c r="V399" s="40">
        <v>45499</v>
      </c>
      <c r="W399" s="40">
        <v>45499</v>
      </c>
      <c r="X399" s="157">
        <v>55640</v>
      </c>
      <c r="Y399" s="40" t="str" cm="1">
        <f t="array" aca="1" ref="Y399" ca="1">TRIM(SUBSTITUTE(_xlfn.ARRAYTOTEXT(IFERROR(CONCATENATE(SUMIF(INDIRECT("'"&amp;Assemblies[Assy]&amp;"'!"&amp;"C$5:C1000"), $C399, INDIRECT("'"&amp;Assemblies[Assy]&amp;"'!"&amp;"O$5:O1000")), "x",Assemblies[Assy],".",IF(SUMIF(INDIRECT("'"&amp;Assemblies[Assy]&amp;"'!"&amp;"C$5:C1000"), $C399, INDIRECT("'"&amp;Assemblies[Assy]&amp;"'!"&amp;"A$5:A1000"))=0,NA(),SUMIF(INDIRECT("'"&amp;Assemblies[Assy]&amp;"'!"&amp;"C$5:C1000"), $C399, INDIRECT("'"&amp;Assemblies[Assy]&amp;"'!"&amp;"A$5:A1000")))),"")), " ,", ""))</f>
        <v>, 1x4.5.1.5, 1x5.3.15, 1x6.1.16, 1x8.3.4,</v>
      </c>
      <c r="Z399" s="141">
        <v>20.03</v>
      </c>
      <c r="AA399" s="141">
        <v>0</v>
      </c>
      <c r="AB399" s="141">
        <v>0</v>
      </c>
      <c r="AC399" s="39">
        <v>0.25</v>
      </c>
      <c r="AD399" s="141" t="s">
        <v>1473</v>
      </c>
      <c r="AE399" s="296"/>
      <c r="AF399" s="141"/>
      <c r="AG399"/>
    </row>
    <row r="400" spans="1:33" x14ac:dyDescent="0.25">
      <c r="A400" s="24" t="s">
        <v>2748</v>
      </c>
      <c r="B400" s="134" t="s">
        <v>54</v>
      </c>
      <c r="C400" t="str">
        <f>_xlfn.CONCAT(A400,".",B400)</f>
        <v>PG10.7.1.1.A</v>
      </c>
      <c r="D400" t="s">
        <v>2749</v>
      </c>
      <c r="E400" s="18">
        <v>302.25</v>
      </c>
      <c r="F400" s="19" cm="1">
        <f t="array" aca="1" ref="F400" ca="1">SUMPRODUCT(SUMIF(INDIRECT("'"&amp;Assemblies[Assy]&amp;"'!"&amp;"C5:C1000"),C400,(INDIRECT("'"&amp;Assemblies[Assy]&amp;"'!"&amp;"O5:O1000"))))</f>
        <v>2</v>
      </c>
      <c r="G400" s="19">
        <v>2</v>
      </c>
      <c r="H400" s="19" t="str">
        <f ca="1">IF(F400&lt;=G400," ","YES")</f>
        <v xml:space="preserve"> </v>
      </c>
      <c r="I400">
        <v>2</v>
      </c>
      <c r="J400">
        <v>2</v>
      </c>
      <c r="L400">
        <v>2</v>
      </c>
      <c r="N400">
        <v>2</v>
      </c>
      <c r="O400" t="s">
        <v>2067</v>
      </c>
      <c r="P400" t="s">
        <v>1987</v>
      </c>
      <c r="Q400" t="s">
        <v>1988</v>
      </c>
      <c r="R400" t="s">
        <v>2168</v>
      </c>
      <c r="T400" s="40">
        <v>45461</v>
      </c>
      <c r="U400" s="40">
        <v>45462</v>
      </c>
      <c r="V400" s="40">
        <v>45492</v>
      </c>
      <c r="W400" s="40">
        <v>45492</v>
      </c>
      <c r="X400" s="157">
        <v>55559</v>
      </c>
      <c r="Y400" s="40" t="str" cm="1">
        <f t="array" aca="1" ref="Y400" ca="1">TRIM(SUBSTITUTE(_xlfn.ARRAYTOTEXT(IFERROR(CONCATENATE(SUMIF(INDIRECT("'"&amp;Assemblies[Assy]&amp;"'!"&amp;"C$5:C1000"), $C400, INDIRECT("'"&amp;Assemblies[Assy]&amp;"'!"&amp;"O$5:O1000")), "x",Assemblies[Assy],".",IF(SUMIF(INDIRECT("'"&amp;Assemblies[Assy]&amp;"'!"&amp;"C$5:C1000"), $C400, INDIRECT("'"&amp;Assemblies[Assy]&amp;"'!"&amp;"A$5:A1000"))=0,NA(),SUMIF(INDIRECT("'"&amp;Assemblies[Assy]&amp;"'!"&amp;"C$5:C1000"), $C400, INDIRECT("'"&amp;Assemblies[Assy]&amp;"'!"&amp;"A$5:A1000")))),"")), " ,", ""))</f>
        <v>, 2x7.1.1,</v>
      </c>
      <c r="Z400" s="141">
        <v>0</v>
      </c>
      <c r="AA400" s="141">
        <v>0</v>
      </c>
      <c r="AB400" s="141">
        <v>0</v>
      </c>
      <c r="AC400" s="39">
        <v>0</v>
      </c>
      <c r="AD400" s="141" t="s">
        <v>1473</v>
      </c>
      <c r="AE400" s="296">
        <v>55617</v>
      </c>
      <c r="AF400" s="141"/>
      <c r="AG400"/>
    </row>
    <row r="401" spans="1:33" x14ac:dyDescent="0.25">
      <c r="A401" s="24" t="s">
        <v>2750</v>
      </c>
      <c r="B401" s="134" t="s">
        <v>54</v>
      </c>
      <c r="C401" t="str">
        <f>_xlfn.CONCAT(A401,".",B401)</f>
        <v>PG10.7.1.2.1.A</v>
      </c>
      <c r="D401" t="s">
        <v>2751</v>
      </c>
      <c r="E401" s="18">
        <v>66</v>
      </c>
      <c r="F401" s="19" cm="1">
        <f t="array" aca="1" ref="F401" ca="1">SUMPRODUCT(SUMIF(INDIRECT("'"&amp;Assemblies[Assy]&amp;"'!"&amp;"C5:C1000"),C401,(INDIRECT("'"&amp;Assemblies[Assy]&amp;"'!"&amp;"O5:O1000"))))</f>
        <v>24</v>
      </c>
      <c r="G401" s="19">
        <v>24</v>
      </c>
      <c r="H401" s="19" t="str">
        <f ca="1">IF(F401&lt;=G401," ","YES")</f>
        <v xml:space="preserve"> </v>
      </c>
      <c r="I401">
        <v>24</v>
      </c>
      <c r="J401">
        <v>24</v>
      </c>
      <c r="L401">
        <v>24</v>
      </c>
      <c r="N401">
        <v>24</v>
      </c>
      <c r="O401" t="s">
        <v>2067</v>
      </c>
      <c r="P401" t="s">
        <v>1987</v>
      </c>
      <c r="Q401" t="s">
        <v>1988</v>
      </c>
      <c r="R401" t="s">
        <v>2047</v>
      </c>
      <c r="T401" s="40">
        <v>45461</v>
      </c>
      <c r="U401" s="40">
        <v>45467</v>
      </c>
      <c r="V401" s="40">
        <v>45504</v>
      </c>
      <c r="W401" s="40">
        <v>45504</v>
      </c>
      <c r="X401" s="157">
        <v>55569</v>
      </c>
      <c r="Y401" s="40" t="str" cm="1">
        <f t="array" aca="1" ref="Y401" ca="1">TRIM(SUBSTITUTE(_xlfn.ARRAYTOTEXT(IFERROR(CONCATENATE(SUMIF(INDIRECT("'"&amp;Assemblies[Assy]&amp;"'!"&amp;"C$5:C1000"), $C401, INDIRECT("'"&amp;Assemblies[Assy]&amp;"'!"&amp;"O$5:O1000")), "x",Assemblies[Assy],".",IF(SUMIF(INDIRECT("'"&amp;Assemblies[Assy]&amp;"'!"&amp;"C$5:C1000"), $C401, INDIRECT("'"&amp;Assemblies[Assy]&amp;"'!"&amp;"A$5:A1000"))=0,NA(),SUMIF(INDIRECT("'"&amp;Assemblies[Assy]&amp;"'!"&amp;"C$5:C1000"), $C401, INDIRECT("'"&amp;Assemblies[Assy]&amp;"'!"&amp;"A$5:A1000")))),"")), " ,", ""))</f>
        <v>, 24x7.1.2.1,</v>
      </c>
      <c r="Z401" s="141">
        <v>0</v>
      </c>
      <c r="AA401" s="141">
        <v>0</v>
      </c>
      <c r="AB401" s="141">
        <v>0</v>
      </c>
      <c r="AC401" s="39">
        <v>0</v>
      </c>
      <c r="AD401" s="141" t="s">
        <v>1473</v>
      </c>
      <c r="AE401" s="296">
        <v>55617</v>
      </c>
      <c r="AF401" s="141"/>
      <c r="AG401"/>
    </row>
    <row r="402" spans="1:33" x14ac:dyDescent="0.25">
      <c r="A402" s="24" t="s">
        <v>2752</v>
      </c>
      <c r="B402" s="134" t="s">
        <v>54</v>
      </c>
      <c r="C402" t="str">
        <f>_xlfn.CONCAT(A402,".",B402)</f>
        <v>PG10.7.1.2.A</v>
      </c>
      <c r="D402" t="s">
        <v>2753</v>
      </c>
      <c r="E402" s="18">
        <v>379.5</v>
      </c>
      <c r="F402" s="19" cm="1">
        <f t="array" aca="1" ref="F402" ca="1">SUMPRODUCT(SUMIF(INDIRECT("'"&amp;Assemblies[Assy]&amp;"'!"&amp;"C5:C1000"),C402,(INDIRECT("'"&amp;Assemblies[Assy]&amp;"'!"&amp;"O5:O1000"))))</f>
        <v>1</v>
      </c>
      <c r="G402" s="19">
        <v>1</v>
      </c>
      <c r="H402" s="19" t="str">
        <f ca="1">IF(F402&lt;=G402," ","YES")</f>
        <v xml:space="preserve"> </v>
      </c>
      <c r="I402">
        <v>1</v>
      </c>
      <c r="J402">
        <v>1</v>
      </c>
      <c r="L402">
        <v>1</v>
      </c>
      <c r="N402">
        <v>1</v>
      </c>
      <c r="O402" t="s">
        <v>2067</v>
      </c>
      <c r="P402" t="s">
        <v>1987</v>
      </c>
      <c r="Q402" t="s">
        <v>1988</v>
      </c>
      <c r="R402" t="s">
        <v>2168</v>
      </c>
      <c r="T402" s="40">
        <v>45461</v>
      </c>
      <c r="U402" s="40">
        <v>45462</v>
      </c>
      <c r="V402" s="40">
        <v>45492</v>
      </c>
      <c r="W402" s="40">
        <v>45492</v>
      </c>
      <c r="X402" s="157">
        <v>55559</v>
      </c>
      <c r="Y402" s="40" t="str" cm="1">
        <f t="array" aca="1" ref="Y402" ca="1">TRIM(SUBSTITUTE(_xlfn.ARRAYTOTEXT(IFERROR(CONCATENATE(SUMIF(INDIRECT("'"&amp;Assemblies[Assy]&amp;"'!"&amp;"C$5:C1000"), $C402, INDIRECT("'"&amp;Assemblies[Assy]&amp;"'!"&amp;"O$5:O1000")), "x",Assemblies[Assy],".",IF(SUMIF(INDIRECT("'"&amp;Assemblies[Assy]&amp;"'!"&amp;"C$5:C1000"), $C402, INDIRECT("'"&amp;Assemblies[Assy]&amp;"'!"&amp;"A$5:A1000"))=0,NA(),SUMIF(INDIRECT("'"&amp;Assemblies[Assy]&amp;"'!"&amp;"C$5:C1000"), $C402, INDIRECT("'"&amp;Assemblies[Assy]&amp;"'!"&amp;"A$5:A1000")))),"")), " ,", ""))</f>
        <v>, 1x7.1.2,</v>
      </c>
      <c r="Z402" s="141">
        <v>0</v>
      </c>
      <c r="AA402" s="141">
        <v>0</v>
      </c>
      <c r="AB402" s="141">
        <v>0</v>
      </c>
      <c r="AC402" s="39">
        <v>0</v>
      </c>
      <c r="AD402" s="141" t="s">
        <v>1473</v>
      </c>
      <c r="AE402" s="296">
        <v>55617</v>
      </c>
      <c r="AF402" s="141"/>
      <c r="AG402"/>
    </row>
    <row r="403" spans="1:33" x14ac:dyDescent="0.25">
      <c r="A403" s="24" t="s">
        <v>2754</v>
      </c>
      <c r="B403" s="134" t="s">
        <v>54</v>
      </c>
      <c r="C403" t="str">
        <f>_xlfn.CONCAT(A403,".",B403)</f>
        <v>PG10.7.1.3.1.A</v>
      </c>
      <c r="D403" t="s">
        <v>2755</v>
      </c>
      <c r="E403" s="18">
        <f>Z403+AA403+AB403+(65*AC403)</f>
        <v>109.75</v>
      </c>
      <c r="F403" s="19" cm="1">
        <f t="array" aca="1" ref="F403" ca="1">SUMPRODUCT(SUMIF(INDIRECT("'"&amp;Assemblies[Assy]&amp;"'!"&amp;"C5:C1000"),C403,(INDIRECT("'"&amp;Assemblies[Assy]&amp;"'!"&amp;"O5:O1000"))))</f>
        <v>2</v>
      </c>
      <c r="G403" s="19">
        <v>2</v>
      </c>
      <c r="H403" s="19" t="str">
        <f ca="1">IF(F403&lt;=G403," ","YES")</f>
        <v xml:space="preserve"> </v>
      </c>
      <c r="I403">
        <v>2</v>
      </c>
      <c r="J403">
        <v>2</v>
      </c>
      <c r="L403">
        <v>2</v>
      </c>
      <c r="N403">
        <v>2</v>
      </c>
      <c r="O403" t="s">
        <v>2202</v>
      </c>
      <c r="R403" t="s">
        <v>1988</v>
      </c>
      <c r="T403" s="40">
        <v>45496</v>
      </c>
      <c r="U403" s="40">
        <v>45496</v>
      </c>
      <c r="V403" s="40">
        <v>45504</v>
      </c>
      <c r="W403" s="40">
        <v>45504</v>
      </c>
      <c r="X403" s="157">
        <v>55622</v>
      </c>
      <c r="Y403" s="40" t="str" cm="1">
        <f t="array" aca="1" ref="Y403" ca="1">TRIM(SUBSTITUTE(_xlfn.ARRAYTOTEXT(IFERROR(CONCATENATE(SUMIF(INDIRECT("'"&amp;Assemblies[Assy]&amp;"'!"&amp;"C$5:C1000"), $C403, INDIRECT("'"&amp;Assemblies[Assy]&amp;"'!"&amp;"O$5:O1000")), "x",Assemblies[Assy],".",IF(SUMIF(INDIRECT("'"&amp;Assemblies[Assy]&amp;"'!"&amp;"C$5:C1000"), $C403, INDIRECT("'"&amp;Assemblies[Assy]&amp;"'!"&amp;"A$5:A1000"))=0,NA(),SUMIF(INDIRECT("'"&amp;Assemblies[Assy]&amp;"'!"&amp;"C$5:C1000"), $C403, INDIRECT("'"&amp;Assemblies[Assy]&amp;"'!"&amp;"A$5:A1000")))),"")), " ,", ""))</f>
        <v>, 2x7.1.3.1,</v>
      </c>
      <c r="Z403" s="141">
        <v>61</v>
      </c>
      <c r="AA403" s="141">
        <v>0</v>
      </c>
      <c r="AB403" s="141">
        <v>0</v>
      </c>
      <c r="AC403" s="39">
        <v>0.75</v>
      </c>
      <c r="AD403" s="141" t="s">
        <v>1473</v>
      </c>
      <c r="AE403" s="296"/>
      <c r="AF403" s="141"/>
      <c r="AG403"/>
    </row>
    <row r="404" spans="1:33" x14ac:dyDescent="0.25">
      <c r="A404" s="24" t="s">
        <v>2756</v>
      </c>
      <c r="B404" s="134" t="s">
        <v>54</v>
      </c>
      <c r="C404" t="str">
        <f>_xlfn.CONCAT(A404,".",B404)</f>
        <v>PG10.7.1.3.A</v>
      </c>
      <c r="D404" t="s">
        <v>2749</v>
      </c>
      <c r="E404" s="18">
        <v>173.75</v>
      </c>
      <c r="F404" s="19" cm="1">
        <f t="array" aca="1" ref="F404" ca="1">SUMPRODUCT(SUMIF(INDIRECT("'"&amp;Assemblies[Assy]&amp;"'!"&amp;"C5:C1000"),C404,(INDIRECT("'"&amp;Assemblies[Assy]&amp;"'!"&amp;"O5:O1000"))))</f>
        <v>2</v>
      </c>
      <c r="G404" s="19">
        <v>2</v>
      </c>
      <c r="H404" s="19" t="str">
        <f ca="1">IF(F404&lt;=G404," ","YES")</f>
        <v xml:space="preserve"> </v>
      </c>
      <c r="I404">
        <v>2</v>
      </c>
      <c r="J404">
        <v>2</v>
      </c>
      <c r="L404">
        <v>2</v>
      </c>
      <c r="N404">
        <v>2</v>
      </c>
      <c r="O404" t="s">
        <v>2067</v>
      </c>
      <c r="P404" t="s">
        <v>1987</v>
      </c>
      <c r="Q404" t="s">
        <v>1988</v>
      </c>
      <c r="R404" t="s">
        <v>2168</v>
      </c>
      <c r="T404" s="40">
        <v>45461</v>
      </c>
      <c r="U404" s="40">
        <v>45462</v>
      </c>
      <c r="V404" s="40">
        <v>45492</v>
      </c>
      <c r="W404" s="40">
        <v>45492</v>
      </c>
      <c r="X404" s="157">
        <v>55559</v>
      </c>
      <c r="Y404" s="40" t="str" cm="1">
        <f t="array" aca="1" ref="Y404" ca="1">TRIM(SUBSTITUTE(_xlfn.ARRAYTOTEXT(IFERROR(CONCATENATE(SUMIF(INDIRECT("'"&amp;Assemblies[Assy]&amp;"'!"&amp;"C$5:C1000"), $C404, INDIRECT("'"&amp;Assemblies[Assy]&amp;"'!"&amp;"O$5:O1000")), "x",Assemblies[Assy],".",IF(SUMIF(INDIRECT("'"&amp;Assemblies[Assy]&amp;"'!"&amp;"C$5:C1000"), $C404, INDIRECT("'"&amp;Assemblies[Assy]&amp;"'!"&amp;"A$5:A1000"))=0,NA(),SUMIF(INDIRECT("'"&amp;Assemblies[Assy]&amp;"'!"&amp;"C$5:C1000"), $C404, INDIRECT("'"&amp;Assemblies[Assy]&amp;"'!"&amp;"A$5:A1000")))),"")), " ,", ""))</f>
        <v>, 2x7.1.3,</v>
      </c>
      <c r="Z404" s="141">
        <v>0</v>
      </c>
      <c r="AA404" s="141">
        <v>0</v>
      </c>
      <c r="AB404" s="141">
        <v>0</v>
      </c>
      <c r="AC404" s="39">
        <v>0</v>
      </c>
      <c r="AD404" s="141" t="s">
        <v>1473</v>
      </c>
      <c r="AE404" s="296">
        <v>55617</v>
      </c>
      <c r="AF404" s="141"/>
      <c r="AG404"/>
    </row>
    <row r="405" spans="1:33" x14ac:dyDescent="0.25">
      <c r="A405" s="24" t="s">
        <v>2757</v>
      </c>
      <c r="B405" s="134" t="s">
        <v>54</v>
      </c>
      <c r="C405" t="str">
        <f>_xlfn.CONCAT(A405,".",B405)</f>
        <v>PG10.7.1.4.1.A</v>
      </c>
      <c r="D405" t="s">
        <v>2758</v>
      </c>
      <c r="E405" s="18">
        <f>Z405+AA405+AB405+(65*AC405)</f>
        <v>0</v>
      </c>
      <c r="F405" s="19" cm="1">
        <f t="array" aca="1" ref="F405" ca="1">SUMPRODUCT(SUMIF(INDIRECT("'"&amp;Assemblies[Assy]&amp;"'!"&amp;"C5:C1000"),C405,(INDIRECT("'"&amp;Assemblies[Assy]&amp;"'!"&amp;"O5:O1000"))))</f>
        <v>2</v>
      </c>
      <c r="G405" s="19">
        <v>2</v>
      </c>
      <c r="H405" s="19" t="str">
        <f ca="1">IF(F405&lt;=G405," ","YES")</f>
        <v xml:space="preserve"> </v>
      </c>
      <c r="O405" t="s">
        <v>2189</v>
      </c>
      <c r="P405" t="s">
        <v>1993</v>
      </c>
      <c r="R405" t="s">
        <v>1988</v>
      </c>
      <c r="V405" s="40">
        <v>45520</v>
      </c>
      <c r="X405" s="157">
        <v>55555</v>
      </c>
      <c r="Y405" s="40" t="str" cm="1">
        <f t="array" aca="1" ref="Y405" ca="1">TRIM(SUBSTITUTE(_xlfn.ARRAYTOTEXT(IFERROR(CONCATENATE(SUMIF(INDIRECT("'"&amp;Assemblies[Assy]&amp;"'!"&amp;"C$5:C1000"), $C405, INDIRECT("'"&amp;Assemblies[Assy]&amp;"'!"&amp;"O$5:O1000")), "x",Assemblies[Assy],".",IF(SUMIF(INDIRECT("'"&amp;Assemblies[Assy]&amp;"'!"&amp;"C$5:C1000"), $C405, INDIRECT("'"&amp;Assemblies[Assy]&amp;"'!"&amp;"A$5:A1000"))=0,NA(),SUMIF(INDIRECT("'"&amp;Assemblies[Assy]&amp;"'!"&amp;"C$5:C1000"), $C405, INDIRECT("'"&amp;Assemblies[Assy]&amp;"'!"&amp;"A$5:A1000")))),"")), " ,", ""))</f>
        <v>, 2x7.1.4.1,</v>
      </c>
      <c r="AD405" s="141"/>
      <c r="AE405" s="296"/>
      <c r="AF405" s="141"/>
      <c r="AG405"/>
    </row>
    <row r="406" spans="1:33" x14ac:dyDescent="0.25">
      <c r="A406" s="24" t="s">
        <v>2759</v>
      </c>
      <c r="B406" s="134" t="s">
        <v>54</v>
      </c>
      <c r="C406" t="str">
        <f>_xlfn.CONCAT(A406,".",B406)</f>
        <v>PG10.7.1.5.1.A</v>
      </c>
      <c r="D406" t="s">
        <v>2760</v>
      </c>
      <c r="E406" s="18">
        <f>Z406+AA406+AB406+(65*AC406)</f>
        <v>0</v>
      </c>
      <c r="F406" s="19" cm="1">
        <f t="array" aca="1" ref="F406" ca="1">SUMPRODUCT(SUMIF(INDIRECT("'"&amp;Assemblies[Assy]&amp;"'!"&amp;"C5:C1000"),C406,(INDIRECT("'"&amp;Assemblies[Assy]&amp;"'!"&amp;"O5:O1000"))))</f>
        <v>32</v>
      </c>
      <c r="G406" s="19">
        <v>40</v>
      </c>
      <c r="H406" s="19" t="str">
        <f ca="1">IF(F406&lt;=G406," ","YES")</f>
        <v xml:space="preserve"> </v>
      </c>
      <c r="I406">
        <v>40</v>
      </c>
      <c r="J406">
        <v>40</v>
      </c>
      <c r="L406">
        <v>40</v>
      </c>
      <c r="N406">
        <v>40</v>
      </c>
      <c r="O406" t="s">
        <v>2021</v>
      </c>
      <c r="P406" t="s">
        <v>2030</v>
      </c>
      <c r="R406" t="s">
        <v>2488</v>
      </c>
      <c r="T406" s="40">
        <v>45495</v>
      </c>
      <c r="U406" s="40">
        <v>45510</v>
      </c>
      <c r="V406" s="40">
        <v>45540</v>
      </c>
      <c r="W406" s="40">
        <v>45540</v>
      </c>
      <c r="X406" s="157">
        <v>55658</v>
      </c>
      <c r="Y406" s="40" t="str" cm="1">
        <f t="array" aca="1" ref="Y406" ca="1">TRIM(SUBSTITUTE(_xlfn.ARRAYTOTEXT(IFERROR(CONCATENATE(SUMIF(INDIRECT("'"&amp;Assemblies[Assy]&amp;"'!"&amp;"C$5:C1000"), $C406, INDIRECT("'"&amp;Assemblies[Assy]&amp;"'!"&amp;"O$5:O1000")), "x",Assemblies[Assy],".",IF(SUMIF(INDIRECT("'"&amp;Assemblies[Assy]&amp;"'!"&amp;"C$5:C1000"), $C406, INDIRECT("'"&amp;Assemblies[Assy]&amp;"'!"&amp;"A$5:A1000"))=0,NA(),SUMIF(INDIRECT("'"&amp;Assemblies[Assy]&amp;"'!"&amp;"C$5:C1000"), $C406, INDIRECT("'"&amp;Assemblies[Assy]&amp;"'!"&amp;"A$5:A1000")))),"")), " ,", ""))</f>
        <v>, 12x6.1.1.1, 8x6.1.2.1, 12x7.1.5.1,</v>
      </c>
      <c r="Z406" s="141">
        <v>0</v>
      </c>
      <c r="AA406" s="141">
        <v>0</v>
      </c>
      <c r="AB406" s="141">
        <v>0</v>
      </c>
      <c r="AC406" s="39">
        <v>0</v>
      </c>
      <c r="AD406" s="141" t="s">
        <v>1473</v>
      </c>
      <c r="AE406" s="296"/>
      <c r="AF406" s="141"/>
      <c r="AG406"/>
    </row>
    <row r="407" spans="1:33" x14ac:dyDescent="0.25">
      <c r="A407" s="24" t="s">
        <v>2761</v>
      </c>
      <c r="B407" s="134" t="s">
        <v>54</v>
      </c>
      <c r="C407" t="str">
        <f>_xlfn.CONCAT(A407,".",B407)</f>
        <v>PG10.7.2.1.1.A</v>
      </c>
      <c r="D407" t="s">
        <v>2527</v>
      </c>
      <c r="E407" s="18">
        <v>72.3</v>
      </c>
      <c r="F407" s="19" cm="1">
        <f t="array" aca="1" ref="F407" ca="1">SUMPRODUCT(SUMIF(INDIRECT("'"&amp;Assemblies[Assy]&amp;"'!"&amp;"C5:C1000"),C407,(INDIRECT("'"&amp;Assemblies[Assy]&amp;"'!"&amp;"O5:O1000"))))</f>
        <v>32</v>
      </c>
      <c r="G407" s="19">
        <v>32</v>
      </c>
      <c r="H407" s="19" t="str">
        <f ca="1">IF(F407&lt;=G407," ","YES")</f>
        <v xml:space="preserve"> </v>
      </c>
      <c r="I407">
        <v>32</v>
      </c>
      <c r="J407">
        <v>32</v>
      </c>
      <c r="L407">
        <v>32</v>
      </c>
      <c r="N407">
        <v>32</v>
      </c>
      <c r="O407" t="s">
        <v>1986</v>
      </c>
      <c r="P407" t="s">
        <v>1987</v>
      </c>
      <c r="Q407" t="s">
        <v>1988</v>
      </c>
      <c r="R407" t="s">
        <v>2047</v>
      </c>
      <c r="T407" s="40">
        <v>45461</v>
      </c>
      <c r="U407" s="40">
        <v>45467</v>
      </c>
      <c r="V407" s="40">
        <v>45504</v>
      </c>
      <c r="W407" s="40">
        <v>45504</v>
      </c>
      <c r="X407" s="157">
        <v>55569</v>
      </c>
      <c r="Y407" s="40" t="str" cm="1">
        <f t="array" aca="1" ref="Y407" ca="1">TRIM(SUBSTITUTE(_xlfn.ARRAYTOTEXT(IFERROR(CONCATENATE(SUMIF(INDIRECT("'"&amp;Assemblies[Assy]&amp;"'!"&amp;"C$5:C1000"), $C407, INDIRECT("'"&amp;Assemblies[Assy]&amp;"'!"&amp;"O$5:O1000")), "x",Assemblies[Assy],".",IF(SUMIF(INDIRECT("'"&amp;Assemblies[Assy]&amp;"'!"&amp;"C$5:C1000"), $C407, INDIRECT("'"&amp;Assemblies[Assy]&amp;"'!"&amp;"A$5:A1000"))=0,NA(),SUMIF(INDIRECT("'"&amp;Assemblies[Assy]&amp;"'!"&amp;"C$5:C1000"), $C407, INDIRECT("'"&amp;Assemblies[Assy]&amp;"'!"&amp;"A$5:A1000")))),"")), " ,", ""))</f>
        <v>, 24x7.2.1.1, 8x8.1.1.1,</v>
      </c>
      <c r="Z407" s="141">
        <v>0</v>
      </c>
      <c r="AA407" s="141">
        <v>0</v>
      </c>
      <c r="AB407" s="141">
        <v>0</v>
      </c>
      <c r="AC407" s="39">
        <v>0</v>
      </c>
      <c r="AD407" s="141" t="s">
        <v>1473</v>
      </c>
      <c r="AE407" s="296">
        <v>55616</v>
      </c>
      <c r="AF407" s="141"/>
      <c r="AG407"/>
    </row>
    <row r="408" spans="1:33" x14ac:dyDescent="0.25">
      <c r="A408" s="24" t="s">
        <v>2762</v>
      </c>
      <c r="B408" s="134" t="s">
        <v>54</v>
      </c>
      <c r="C408" t="str">
        <f>_xlfn.CONCAT(A408,".",B408)</f>
        <v>PG10.7.2.1.2.A</v>
      </c>
      <c r="D408" t="s">
        <v>2763</v>
      </c>
      <c r="E408" s="18">
        <v>116</v>
      </c>
      <c r="F408" s="19" cm="1">
        <f t="array" aca="1" ref="F408" ca="1">SUMPRODUCT(SUMIF(INDIRECT("'"&amp;Assemblies[Assy]&amp;"'!"&amp;"C5:C1000"),C408,(INDIRECT("'"&amp;Assemblies[Assy]&amp;"'!"&amp;"O5:O1000"))))</f>
        <v>6</v>
      </c>
      <c r="G408" s="19">
        <v>6</v>
      </c>
      <c r="H408" s="19" t="str">
        <f ca="1">IF(F408&lt;=G408," ","YES")</f>
        <v xml:space="preserve"> </v>
      </c>
      <c r="I408">
        <v>6</v>
      </c>
      <c r="J408">
        <v>6</v>
      </c>
      <c r="L408">
        <v>6</v>
      </c>
      <c r="N408">
        <v>6</v>
      </c>
      <c r="O408" t="s">
        <v>1986</v>
      </c>
      <c r="P408" t="s">
        <v>1987</v>
      </c>
      <c r="Q408" t="s">
        <v>1988</v>
      </c>
      <c r="R408" t="s">
        <v>2047</v>
      </c>
      <c r="T408" s="40">
        <v>45461</v>
      </c>
      <c r="U408" s="40">
        <v>45467</v>
      </c>
      <c r="V408" s="40">
        <v>45504</v>
      </c>
      <c r="W408" s="40">
        <v>45504</v>
      </c>
      <c r="X408" s="157">
        <v>55569</v>
      </c>
      <c r="Y408" s="40" t="str" cm="1">
        <f t="array" aca="1" ref="Y408" ca="1">TRIM(SUBSTITUTE(_xlfn.ARRAYTOTEXT(IFERROR(CONCATENATE(SUMIF(INDIRECT("'"&amp;Assemblies[Assy]&amp;"'!"&amp;"C$5:C1000"), $C408, INDIRECT("'"&amp;Assemblies[Assy]&amp;"'!"&amp;"O$5:O1000")), "x",Assemblies[Assy],".",IF(SUMIF(INDIRECT("'"&amp;Assemblies[Assy]&amp;"'!"&amp;"C$5:C1000"), $C408, INDIRECT("'"&amp;Assemblies[Assy]&amp;"'!"&amp;"A$5:A1000"))=0,NA(),SUMIF(INDIRECT("'"&amp;Assemblies[Assy]&amp;"'!"&amp;"C$5:C1000"), $C408, INDIRECT("'"&amp;Assemblies[Assy]&amp;"'!"&amp;"A$5:A1000")))),"")), " ,", ""))</f>
        <v>, 6x7.2.1.2,</v>
      </c>
      <c r="Z408" s="141">
        <v>0</v>
      </c>
      <c r="AA408" s="141">
        <v>0</v>
      </c>
      <c r="AB408" s="141">
        <v>0</v>
      </c>
      <c r="AC408" s="39">
        <v>0</v>
      </c>
      <c r="AD408" s="141" t="s">
        <v>1473</v>
      </c>
      <c r="AE408" s="296">
        <v>55616</v>
      </c>
      <c r="AF408" s="141"/>
      <c r="AG408"/>
    </row>
    <row r="409" spans="1:33" x14ac:dyDescent="0.25">
      <c r="A409" s="24" t="s">
        <v>2764</v>
      </c>
      <c r="B409" s="134" t="s">
        <v>54</v>
      </c>
      <c r="C409" t="str">
        <f>_xlfn.CONCAT(A409,".",B409)</f>
        <v>PG10.7.2.1.3.A</v>
      </c>
      <c r="D409" t="s">
        <v>2765</v>
      </c>
      <c r="E409" s="18">
        <v>116</v>
      </c>
      <c r="F409" s="19" cm="1">
        <f t="array" aca="1" ref="F409" ca="1">SUMPRODUCT(SUMIF(INDIRECT("'"&amp;Assemblies[Assy]&amp;"'!"&amp;"C5:C1000"),C409,(INDIRECT("'"&amp;Assemblies[Assy]&amp;"'!"&amp;"O5:O1000"))))</f>
        <v>6</v>
      </c>
      <c r="G409" s="19">
        <v>6</v>
      </c>
      <c r="H409" s="19" t="str">
        <f ca="1">IF(F409&lt;=G409," ","YES")</f>
        <v xml:space="preserve"> </v>
      </c>
      <c r="I409">
        <v>6</v>
      </c>
      <c r="J409">
        <v>6</v>
      </c>
      <c r="L409">
        <v>6</v>
      </c>
      <c r="N409">
        <v>6</v>
      </c>
      <c r="O409" t="s">
        <v>1986</v>
      </c>
      <c r="P409" t="s">
        <v>1987</v>
      </c>
      <c r="Q409" t="s">
        <v>1988</v>
      </c>
      <c r="R409" t="s">
        <v>2047</v>
      </c>
      <c r="T409" s="40">
        <v>45461</v>
      </c>
      <c r="U409" s="40">
        <v>45467</v>
      </c>
      <c r="V409" s="40">
        <v>45504</v>
      </c>
      <c r="W409" s="40">
        <v>45504</v>
      </c>
      <c r="X409" s="157">
        <v>55569</v>
      </c>
      <c r="Y409" s="40" t="str" cm="1">
        <f t="array" aca="1" ref="Y409" ca="1">TRIM(SUBSTITUTE(_xlfn.ARRAYTOTEXT(IFERROR(CONCATENATE(SUMIF(INDIRECT("'"&amp;Assemblies[Assy]&amp;"'!"&amp;"C$5:C1000"), $C409, INDIRECT("'"&amp;Assemblies[Assy]&amp;"'!"&amp;"O$5:O1000")), "x",Assemblies[Assy],".",IF(SUMIF(INDIRECT("'"&amp;Assemblies[Assy]&amp;"'!"&amp;"C$5:C1000"), $C409, INDIRECT("'"&amp;Assemblies[Assy]&amp;"'!"&amp;"A$5:A1000"))=0,NA(),SUMIF(INDIRECT("'"&amp;Assemblies[Assy]&amp;"'!"&amp;"C$5:C1000"), $C409, INDIRECT("'"&amp;Assemblies[Assy]&amp;"'!"&amp;"A$5:A1000")))),"")), " ,", ""))</f>
        <v>, 6x7.2.1.3,</v>
      </c>
      <c r="Z409" s="141">
        <v>0</v>
      </c>
      <c r="AA409" s="141">
        <v>0</v>
      </c>
      <c r="AB409" s="141">
        <v>0</v>
      </c>
      <c r="AC409" s="39">
        <v>0</v>
      </c>
      <c r="AD409" s="141" t="s">
        <v>1473</v>
      </c>
      <c r="AE409" s="296">
        <v>55616</v>
      </c>
      <c r="AF409" s="141"/>
      <c r="AG409"/>
    </row>
    <row r="410" spans="1:33" x14ac:dyDescent="0.25">
      <c r="A410" s="24" t="s">
        <v>2766</v>
      </c>
      <c r="B410" s="134" t="s">
        <v>54</v>
      </c>
      <c r="C410" t="str">
        <f>_xlfn.CONCAT(A410,".",B410)</f>
        <v>PG10.7.2.1.4.A</v>
      </c>
      <c r="D410" t="s">
        <v>2767</v>
      </c>
      <c r="E410" s="18">
        <v>85.42</v>
      </c>
      <c r="F410" s="19" cm="1">
        <f t="array" aca="1" ref="F410" ca="1">SUMPRODUCT(SUMIF(INDIRECT("'"&amp;Assemblies[Assy]&amp;"'!"&amp;"C5:C1000"),C410,(INDIRECT("'"&amp;Assemblies[Assy]&amp;"'!"&amp;"O5:O1000"))))</f>
        <v>6</v>
      </c>
      <c r="G410" s="19">
        <v>6</v>
      </c>
      <c r="H410" s="19" t="str">
        <f ca="1">IF(F410&lt;=G410," ","YES")</f>
        <v xml:space="preserve"> </v>
      </c>
      <c r="I410">
        <v>6</v>
      </c>
      <c r="J410">
        <v>6</v>
      </c>
      <c r="L410">
        <v>6</v>
      </c>
      <c r="N410">
        <v>6</v>
      </c>
      <c r="O410" t="s">
        <v>1986</v>
      </c>
      <c r="P410" t="s">
        <v>1987</v>
      </c>
      <c r="Q410" t="s">
        <v>1988</v>
      </c>
      <c r="R410" t="s">
        <v>2168</v>
      </c>
      <c r="S410" t="s">
        <v>2768</v>
      </c>
      <c r="T410" s="40">
        <v>45461</v>
      </c>
      <c r="U410" s="40">
        <v>45462</v>
      </c>
      <c r="V410" s="40">
        <v>45492</v>
      </c>
      <c r="W410" s="40">
        <v>45492</v>
      </c>
      <c r="X410" s="157">
        <v>55559</v>
      </c>
      <c r="Y410" s="40" t="str" cm="1">
        <f t="array" aca="1" ref="Y410" ca="1">TRIM(SUBSTITUTE(_xlfn.ARRAYTOTEXT(IFERROR(CONCATENATE(SUMIF(INDIRECT("'"&amp;Assemblies[Assy]&amp;"'!"&amp;"C$5:C1000"), $C410, INDIRECT("'"&amp;Assemblies[Assy]&amp;"'!"&amp;"O$5:O1000")), "x",Assemblies[Assy],".",IF(SUMIF(INDIRECT("'"&amp;Assemblies[Assy]&amp;"'!"&amp;"C$5:C1000"), $C410, INDIRECT("'"&amp;Assemblies[Assy]&amp;"'!"&amp;"A$5:A1000"))=0,NA(),SUMIF(INDIRECT("'"&amp;Assemblies[Assy]&amp;"'!"&amp;"C$5:C1000"), $C410, INDIRECT("'"&amp;Assemblies[Assy]&amp;"'!"&amp;"A$5:A1000")))),"")), " ,", ""))</f>
        <v>, 6x7.2.1.4,</v>
      </c>
      <c r="Z410" s="141">
        <v>0</v>
      </c>
      <c r="AA410" s="141">
        <v>0</v>
      </c>
      <c r="AB410" s="141">
        <v>0</v>
      </c>
      <c r="AC410" s="39">
        <v>0</v>
      </c>
      <c r="AD410" s="141" t="s">
        <v>1473</v>
      </c>
      <c r="AE410" s="296">
        <v>55616</v>
      </c>
      <c r="AF410" s="141"/>
      <c r="AG410"/>
    </row>
    <row r="411" spans="1:33" x14ac:dyDescent="0.25">
      <c r="A411" s="24" t="s">
        <v>2769</v>
      </c>
      <c r="B411" s="134" t="s">
        <v>54</v>
      </c>
      <c r="C411" t="str">
        <f>_xlfn.CONCAT(A411,".",B411)</f>
        <v>PG10.7.2.10.1.A</v>
      </c>
      <c r="D411" t="s">
        <v>2770</v>
      </c>
      <c r="E411" s="18">
        <v>85</v>
      </c>
      <c r="F411" s="19" cm="1">
        <f t="array" aca="1" ref="F411" ca="1">SUMPRODUCT(SUMIF(INDIRECT("'"&amp;Assemblies[Assy]&amp;"'!"&amp;"C5:C1000"),C411,(INDIRECT("'"&amp;Assemblies[Assy]&amp;"'!"&amp;"O5:O1000"))))</f>
        <v>4</v>
      </c>
      <c r="G411" s="19">
        <v>4</v>
      </c>
      <c r="H411" s="19" t="str">
        <f ca="1">IF(F411&lt;=G411," ","YES")</f>
        <v xml:space="preserve"> </v>
      </c>
      <c r="I411">
        <v>4</v>
      </c>
      <c r="J411">
        <v>4</v>
      </c>
      <c r="K411" s="40">
        <v>45553</v>
      </c>
      <c r="L411">
        <v>4</v>
      </c>
      <c r="M411" s="40">
        <v>45560</v>
      </c>
      <c r="N411">
        <v>4</v>
      </c>
      <c r="O411" t="s">
        <v>1986</v>
      </c>
      <c r="P411" t="s">
        <v>2165</v>
      </c>
      <c r="Q411" t="s">
        <v>1988</v>
      </c>
      <c r="R411" t="s">
        <v>2178</v>
      </c>
      <c r="T411" s="40">
        <v>45503</v>
      </c>
      <c r="U411" s="40">
        <v>45509</v>
      </c>
      <c r="V411" s="40">
        <v>45540</v>
      </c>
      <c r="W411" s="40">
        <v>45540</v>
      </c>
      <c r="X411" s="157">
        <v>55656</v>
      </c>
      <c r="Y411" s="40" t="str" cm="1">
        <f t="array" aca="1" ref="Y411" ca="1">TRIM(SUBSTITUTE(_xlfn.ARRAYTOTEXT(IFERROR(CONCATENATE(SUMIF(INDIRECT("'"&amp;Assemblies[Assy]&amp;"'!"&amp;"C$5:C1000"), $C411, INDIRECT("'"&amp;Assemblies[Assy]&amp;"'!"&amp;"O$5:O1000")), "x",Assemblies[Assy],".",IF(SUMIF(INDIRECT("'"&amp;Assemblies[Assy]&amp;"'!"&amp;"C$5:C1000"), $C411, INDIRECT("'"&amp;Assemblies[Assy]&amp;"'!"&amp;"A$5:A1000"))=0,NA(),SUMIF(INDIRECT("'"&amp;Assemblies[Assy]&amp;"'!"&amp;"C$5:C1000"), $C411, INDIRECT("'"&amp;Assemblies[Assy]&amp;"'!"&amp;"A$5:A1000")))),"")), " ,", ""))</f>
        <v>, 4x7.2.10.1,</v>
      </c>
      <c r="Z411" s="141">
        <v>0</v>
      </c>
      <c r="AA411" s="141">
        <v>0</v>
      </c>
      <c r="AB411" s="141">
        <v>0</v>
      </c>
      <c r="AC411" s="39">
        <v>0</v>
      </c>
      <c r="AD411" s="141"/>
      <c r="AE411" s="297">
        <v>55743</v>
      </c>
      <c r="AF411" s="156"/>
      <c r="AG411"/>
    </row>
    <row r="412" spans="1:33" x14ac:dyDescent="0.25">
      <c r="A412" s="24" t="s">
        <v>2771</v>
      </c>
      <c r="B412" s="134" t="s">
        <v>54</v>
      </c>
      <c r="C412" t="str">
        <f>_xlfn.CONCAT(A412,".",B412)</f>
        <v>PG10.7.2.10.2.A</v>
      </c>
      <c r="D412" t="s">
        <v>2772</v>
      </c>
      <c r="E412" s="18">
        <v>100</v>
      </c>
      <c r="F412" s="19" cm="1">
        <f t="array" aca="1" ref="F412" ca="1">SUMPRODUCT(SUMIF(INDIRECT("'"&amp;Assemblies[Assy]&amp;"'!"&amp;"C5:C1000"),C412,(INDIRECT("'"&amp;Assemblies[Assy]&amp;"'!"&amp;"O5:O1000"))))</f>
        <v>2</v>
      </c>
      <c r="G412" s="19">
        <v>2</v>
      </c>
      <c r="H412" s="19" t="str">
        <f ca="1">IF(F412&lt;=G412," ","YES")</f>
        <v xml:space="preserve"> </v>
      </c>
      <c r="I412">
        <v>2</v>
      </c>
      <c r="J412">
        <v>2</v>
      </c>
      <c r="K412" s="40">
        <v>45553</v>
      </c>
      <c r="L412">
        <v>2</v>
      </c>
      <c r="M412" s="40">
        <v>45560</v>
      </c>
      <c r="N412">
        <v>2</v>
      </c>
      <c r="O412" t="s">
        <v>1986</v>
      </c>
      <c r="P412" t="s">
        <v>2165</v>
      </c>
      <c r="Q412" t="s">
        <v>1988</v>
      </c>
      <c r="R412" t="s">
        <v>2178</v>
      </c>
      <c r="T412" s="40">
        <v>45503</v>
      </c>
      <c r="U412" s="40">
        <v>45509</v>
      </c>
      <c r="V412" s="40">
        <v>45540</v>
      </c>
      <c r="W412" s="40">
        <v>45540</v>
      </c>
      <c r="X412" s="157">
        <v>55656</v>
      </c>
      <c r="Y412" s="40" t="str" cm="1">
        <f t="array" aca="1" ref="Y412" ca="1">TRIM(SUBSTITUTE(_xlfn.ARRAYTOTEXT(IFERROR(CONCATENATE(SUMIF(INDIRECT("'"&amp;Assemblies[Assy]&amp;"'!"&amp;"C$5:C1000"), $C412, INDIRECT("'"&amp;Assemblies[Assy]&amp;"'!"&amp;"O$5:O1000")), "x",Assemblies[Assy],".",IF(SUMIF(INDIRECT("'"&amp;Assemblies[Assy]&amp;"'!"&amp;"C$5:C1000"), $C412, INDIRECT("'"&amp;Assemblies[Assy]&amp;"'!"&amp;"A$5:A1000"))=0,NA(),SUMIF(INDIRECT("'"&amp;Assemblies[Assy]&amp;"'!"&amp;"C$5:C1000"), $C412, INDIRECT("'"&amp;Assemblies[Assy]&amp;"'!"&amp;"A$5:A1000")))),"")), " ,", ""))</f>
        <v>, 2x7.2.10.2,</v>
      </c>
      <c r="Z412" s="141">
        <v>0</v>
      </c>
      <c r="AA412" s="141">
        <v>0</v>
      </c>
      <c r="AB412" s="141">
        <v>0</v>
      </c>
      <c r="AC412" s="39">
        <v>0</v>
      </c>
      <c r="AD412" s="141"/>
      <c r="AE412" s="297">
        <v>55743</v>
      </c>
      <c r="AF412" s="156"/>
      <c r="AG412"/>
    </row>
    <row r="413" spans="1:33" x14ac:dyDescent="0.25">
      <c r="A413" s="24" t="s">
        <v>2773</v>
      </c>
      <c r="B413" s="134" t="s">
        <v>54</v>
      </c>
      <c r="C413" t="str">
        <f>_xlfn.CONCAT(A413,".",B413)</f>
        <v>PG10.7.2.2.1.A</v>
      </c>
      <c r="D413" t="s">
        <v>2774</v>
      </c>
      <c r="E413" s="18">
        <v>72.95</v>
      </c>
      <c r="F413" s="19" cm="1">
        <f t="array" aca="1" ref="F413" ca="1">SUMPRODUCT(SUMIF(INDIRECT("'"&amp;Assemblies[Assy]&amp;"'!"&amp;"C5:C1000"),C413,(INDIRECT("'"&amp;Assemblies[Assy]&amp;"'!"&amp;"O5:O1000"))))</f>
        <v>6</v>
      </c>
      <c r="G413" s="19">
        <v>6</v>
      </c>
      <c r="H413" s="19" t="str">
        <f ca="1">IF(F413&lt;=G413," ","YES")</f>
        <v xml:space="preserve"> </v>
      </c>
      <c r="I413">
        <v>6</v>
      </c>
      <c r="J413">
        <v>6</v>
      </c>
      <c r="L413">
        <v>6</v>
      </c>
      <c r="N413">
        <v>6</v>
      </c>
      <c r="O413" t="s">
        <v>2189</v>
      </c>
      <c r="P413" t="s">
        <v>1993</v>
      </c>
      <c r="R413" t="s">
        <v>1988</v>
      </c>
      <c r="T413" s="40">
        <v>45525</v>
      </c>
      <c r="U413" s="40">
        <v>45527</v>
      </c>
      <c r="V413" s="40">
        <v>45541</v>
      </c>
      <c r="W413" s="40">
        <v>45541</v>
      </c>
      <c r="X413" s="157">
        <v>55700</v>
      </c>
      <c r="Y413" s="40" t="str" cm="1">
        <f t="array" aca="1" ref="Y413" ca="1">TRIM(SUBSTITUTE(_xlfn.ARRAYTOTEXT(IFERROR(CONCATENATE(SUMIF(INDIRECT("'"&amp;Assemblies[Assy]&amp;"'!"&amp;"C$5:C1000"), $C413, INDIRECT("'"&amp;Assemblies[Assy]&amp;"'!"&amp;"O$5:O1000")), "x",Assemblies[Assy],".",IF(SUMIF(INDIRECT("'"&amp;Assemblies[Assy]&amp;"'!"&amp;"C$5:C1000"), $C413, INDIRECT("'"&amp;Assemblies[Assy]&amp;"'!"&amp;"A$5:A1000"))=0,NA(),SUMIF(INDIRECT("'"&amp;Assemblies[Assy]&amp;"'!"&amp;"C$5:C1000"), $C413, INDIRECT("'"&amp;Assemblies[Assy]&amp;"'!"&amp;"A$5:A1000")))),"")), " ,", ""))</f>
        <v>, 3x7.2.2.1, 3x7.3.1.1,</v>
      </c>
      <c r="Z413" s="141">
        <v>0</v>
      </c>
      <c r="AA413" s="141">
        <v>0</v>
      </c>
      <c r="AB413" s="141">
        <v>0</v>
      </c>
      <c r="AC413" s="39">
        <v>0</v>
      </c>
      <c r="AD413" s="141" t="s">
        <v>1473</v>
      </c>
      <c r="AE413" s="296"/>
      <c r="AF413" s="141"/>
      <c r="AG413"/>
    </row>
    <row r="414" spans="1:33" x14ac:dyDescent="0.25">
      <c r="A414" s="24" t="s">
        <v>2775</v>
      </c>
      <c r="B414" s="134" t="s">
        <v>54</v>
      </c>
      <c r="C414" t="str">
        <f>_xlfn.CONCAT(A414,".",B414)</f>
        <v>PG10.7.2.2.2.A</v>
      </c>
      <c r="D414" t="s">
        <v>2776</v>
      </c>
      <c r="E414" s="18">
        <v>70.3</v>
      </c>
      <c r="F414" s="19" cm="1">
        <f t="array" aca="1" ref="F414" ca="1">SUMPRODUCT(SUMIF(INDIRECT("'"&amp;Assemblies[Assy]&amp;"'!"&amp;"C5:C1000"),C414,(INDIRECT("'"&amp;Assemblies[Assy]&amp;"'!"&amp;"O5:O1000"))))</f>
        <v>8</v>
      </c>
      <c r="G414" s="19">
        <v>8</v>
      </c>
      <c r="H414" s="19" t="str">
        <f ca="1">IF(F414&lt;=G414," ","YES")</f>
        <v xml:space="preserve"> </v>
      </c>
      <c r="I414">
        <v>8</v>
      </c>
      <c r="J414">
        <v>8</v>
      </c>
      <c r="L414">
        <v>8</v>
      </c>
      <c r="N414">
        <v>8</v>
      </c>
      <c r="O414" t="s">
        <v>2067</v>
      </c>
      <c r="P414" t="s">
        <v>1987</v>
      </c>
      <c r="Q414" t="s">
        <v>1988</v>
      </c>
      <c r="R414" t="s">
        <v>2047</v>
      </c>
      <c r="T414" s="40">
        <v>45461</v>
      </c>
      <c r="U414" s="40">
        <v>45467</v>
      </c>
      <c r="V414" s="40">
        <v>45504</v>
      </c>
      <c r="W414" s="40">
        <v>45504</v>
      </c>
      <c r="X414" s="157">
        <v>55569</v>
      </c>
      <c r="Y414" s="40" t="str" cm="1">
        <f t="array" aca="1" ref="Y414" ca="1">TRIM(SUBSTITUTE(_xlfn.ARRAYTOTEXT(IFERROR(CONCATENATE(SUMIF(INDIRECT("'"&amp;Assemblies[Assy]&amp;"'!"&amp;"C$5:C1000"), $C414, INDIRECT("'"&amp;Assemblies[Assy]&amp;"'!"&amp;"O$5:O1000")), "x",Assemblies[Assy],".",IF(SUMIF(INDIRECT("'"&amp;Assemblies[Assy]&amp;"'!"&amp;"C$5:C1000"), $C414, INDIRECT("'"&amp;Assemblies[Assy]&amp;"'!"&amp;"A$5:A1000"))=0,NA(),SUMIF(INDIRECT("'"&amp;Assemblies[Assy]&amp;"'!"&amp;"C$5:C1000"), $C414, INDIRECT("'"&amp;Assemblies[Assy]&amp;"'!"&amp;"A$5:A1000")))),"")), " ,", ""))</f>
        <v>, 3x7.2.2.2, 3x7.3.1.2, 1x8.1.2.2, 1x8.2.1.2,</v>
      </c>
      <c r="Z414" s="141">
        <v>0</v>
      </c>
      <c r="AA414" s="141">
        <v>0</v>
      </c>
      <c r="AB414" s="141">
        <v>0</v>
      </c>
      <c r="AC414" s="39">
        <v>0</v>
      </c>
      <c r="AD414" s="141" t="s">
        <v>1473</v>
      </c>
      <c r="AE414" s="296">
        <v>55617</v>
      </c>
      <c r="AF414" s="141"/>
      <c r="AG414"/>
    </row>
    <row r="415" spans="1:33" x14ac:dyDescent="0.25">
      <c r="A415" s="24" t="s">
        <v>2777</v>
      </c>
      <c r="B415" s="134" t="s">
        <v>54</v>
      </c>
      <c r="C415" t="str">
        <f>_xlfn.CONCAT(A415,".",B415)</f>
        <v>PG10.7.2.2.3.A</v>
      </c>
      <c r="D415" t="s">
        <v>3860</v>
      </c>
      <c r="E415" s="18">
        <v>53.4</v>
      </c>
      <c r="F415" s="19" cm="1">
        <f t="array" aca="1" ref="F415" ca="1">SUMPRODUCT(SUMIF(INDIRECT("'"&amp;Assemblies[Assy]&amp;"'!"&amp;"C5:C1000"),C415,(INDIRECT("'"&amp;Assemblies[Assy]&amp;"'!"&amp;"O5:O1000"))))</f>
        <v>16</v>
      </c>
      <c r="G415" s="19">
        <v>16</v>
      </c>
      <c r="H415" s="19" t="str">
        <f ca="1">IF(F415&lt;=G415," ","YES")</f>
        <v xml:space="preserve"> </v>
      </c>
      <c r="I415">
        <v>16</v>
      </c>
      <c r="J415">
        <v>16</v>
      </c>
      <c r="L415">
        <v>16</v>
      </c>
      <c r="N415">
        <v>16</v>
      </c>
      <c r="O415" t="s">
        <v>1986</v>
      </c>
      <c r="P415" t="s">
        <v>1987</v>
      </c>
      <c r="Q415" t="s">
        <v>1988</v>
      </c>
      <c r="R415" t="s">
        <v>2047</v>
      </c>
      <c r="T415" s="40">
        <v>45461</v>
      </c>
      <c r="U415" s="40">
        <v>45467</v>
      </c>
      <c r="V415" s="40">
        <v>45504</v>
      </c>
      <c r="W415" s="40">
        <v>45504</v>
      </c>
      <c r="X415" s="157">
        <v>55569</v>
      </c>
      <c r="Y415" s="40" t="str" cm="1">
        <f t="array" aca="1" ref="Y415" ca="1">TRIM(SUBSTITUTE(_xlfn.ARRAYTOTEXT(IFERROR(CONCATENATE(SUMIF(INDIRECT("'"&amp;Assemblies[Assy]&amp;"'!"&amp;"C$5:C1000"), $C415, INDIRECT("'"&amp;Assemblies[Assy]&amp;"'!"&amp;"O$5:O1000")), "x",Assemblies[Assy],".",IF(SUMIF(INDIRECT("'"&amp;Assemblies[Assy]&amp;"'!"&amp;"C$5:C1000"), $C415, INDIRECT("'"&amp;Assemblies[Assy]&amp;"'!"&amp;"A$5:A1000"))=0,NA(),SUMIF(INDIRECT("'"&amp;Assemblies[Assy]&amp;"'!"&amp;"C$5:C1000"), $C415, INDIRECT("'"&amp;Assemblies[Assy]&amp;"'!"&amp;"A$5:A1000")))),"")), " ,", ""))</f>
        <v>, 6x7.2.2.3, 6x7.3.1.3, 2x8.1.2.3, 2x8.2.1.3,</v>
      </c>
      <c r="Z415" s="141">
        <v>0</v>
      </c>
      <c r="AA415" s="141">
        <v>0</v>
      </c>
      <c r="AB415" s="141">
        <v>0</v>
      </c>
      <c r="AC415" s="39">
        <v>0</v>
      </c>
      <c r="AD415" s="141" t="s">
        <v>1473</v>
      </c>
      <c r="AE415" s="296">
        <v>55616</v>
      </c>
      <c r="AF415" s="141"/>
      <c r="AG415"/>
    </row>
    <row r="416" spans="1:33" x14ac:dyDescent="0.25">
      <c r="A416" s="24" t="s">
        <v>2778</v>
      </c>
      <c r="B416" s="134" t="s">
        <v>54</v>
      </c>
      <c r="C416" t="str">
        <f>_xlfn.CONCAT(A416,".",B416)</f>
        <v>PG10.7.2.2.4.A</v>
      </c>
      <c r="D416" t="s">
        <v>2779</v>
      </c>
      <c r="E416" s="18">
        <v>123.15</v>
      </c>
      <c r="F416" s="19" cm="1">
        <f t="array" aca="1" ref="F416" ca="1">SUMPRODUCT(SUMIF(INDIRECT("'"&amp;Assemblies[Assy]&amp;"'!"&amp;"C5:C1000"),C416,(INDIRECT("'"&amp;Assemblies[Assy]&amp;"'!"&amp;"O5:O1000"))))</f>
        <v>8</v>
      </c>
      <c r="G416" s="19">
        <v>8</v>
      </c>
      <c r="H416" s="19" t="str">
        <f ca="1">IF(F416&lt;=G416," ","YES")</f>
        <v xml:space="preserve"> </v>
      </c>
      <c r="I416">
        <v>8</v>
      </c>
      <c r="J416">
        <v>8</v>
      </c>
      <c r="L416">
        <v>8</v>
      </c>
      <c r="N416">
        <v>8</v>
      </c>
      <c r="O416" t="s">
        <v>1986</v>
      </c>
      <c r="P416" t="s">
        <v>1987</v>
      </c>
      <c r="Q416" t="s">
        <v>1988</v>
      </c>
      <c r="R416" t="s">
        <v>2047</v>
      </c>
      <c r="T416" s="40">
        <v>45461</v>
      </c>
      <c r="U416" s="40">
        <v>45467</v>
      </c>
      <c r="V416" s="40">
        <v>45504</v>
      </c>
      <c r="W416" s="40">
        <v>45504</v>
      </c>
      <c r="X416" s="157">
        <v>55569</v>
      </c>
      <c r="Y416" s="40" t="str" cm="1">
        <f t="array" aca="1" ref="Y416" ca="1">TRIM(SUBSTITUTE(_xlfn.ARRAYTOTEXT(IFERROR(CONCATENATE(SUMIF(INDIRECT("'"&amp;Assemblies[Assy]&amp;"'!"&amp;"C$5:C1000"), $C416, INDIRECT("'"&amp;Assemblies[Assy]&amp;"'!"&amp;"O$5:O1000")), "x",Assemblies[Assy],".",IF(SUMIF(INDIRECT("'"&amp;Assemblies[Assy]&amp;"'!"&amp;"C$5:C1000"), $C416, INDIRECT("'"&amp;Assemblies[Assy]&amp;"'!"&amp;"A$5:A1000"))=0,NA(),SUMIF(INDIRECT("'"&amp;Assemblies[Assy]&amp;"'!"&amp;"C$5:C1000"), $C416, INDIRECT("'"&amp;Assemblies[Assy]&amp;"'!"&amp;"A$5:A1000")))),"")), " ,", ""))</f>
        <v>, 3x7.2.2.4, 3x7.3.1.4, 1x8.1.2.4, 1x8.2.1.4,</v>
      </c>
      <c r="Z416" s="141">
        <v>0</v>
      </c>
      <c r="AA416" s="141">
        <v>0</v>
      </c>
      <c r="AB416" s="141">
        <v>0</v>
      </c>
      <c r="AC416" s="39">
        <v>0</v>
      </c>
      <c r="AD416" s="141" t="s">
        <v>1473</v>
      </c>
      <c r="AE416" s="296">
        <v>55616</v>
      </c>
      <c r="AF416" s="141"/>
      <c r="AG416"/>
    </row>
    <row r="417" spans="1:33" x14ac:dyDescent="0.25">
      <c r="A417" s="24" t="s">
        <v>2780</v>
      </c>
      <c r="B417" s="134" t="s">
        <v>54</v>
      </c>
      <c r="C417" t="str">
        <f>_xlfn.CONCAT(A417,".",B417)</f>
        <v>PG10.7.2.2.5.A</v>
      </c>
      <c r="D417" t="s">
        <v>2781</v>
      </c>
      <c r="E417" s="18">
        <v>66.3</v>
      </c>
      <c r="F417" s="19" cm="1">
        <f t="array" aca="1" ref="F417" ca="1">SUMPRODUCT(SUMIF(INDIRECT("'"&amp;Assemblies[Assy]&amp;"'!"&amp;"C5:C1000"),C417,(INDIRECT("'"&amp;Assemblies[Assy]&amp;"'!"&amp;"O5:O1000"))))</f>
        <v>16</v>
      </c>
      <c r="G417" s="19">
        <v>16</v>
      </c>
      <c r="H417" s="19" t="str">
        <f ca="1">IF(F417&lt;=G417," ","YES")</f>
        <v xml:space="preserve"> </v>
      </c>
      <c r="I417">
        <v>16</v>
      </c>
      <c r="J417">
        <v>16</v>
      </c>
      <c r="L417">
        <v>16</v>
      </c>
      <c r="N417">
        <v>16</v>
      </c>
      <c r="O417" t="s">
        <v>1986</v>
      </c>
      <c r="P417" t="s">
        <v>1987</v>
      </c>
      <c r="Q417" t="s">
        <v>1988</v>
      </c>
      <c r="R417" t="s">
        <v>2047</v>
      </c>
      <c r="T417" s="40">
        <v>45461</v>
      </c>
      <c r="U417" s="40">
        <v>45467</v>
      </c>
      <c r="V417" s="40">
        <v>45504</v>
      </c>
      <c r="W417" s="40">
        <v>45504</v>
      </c>
      <c r="X417" s="157">
        <v>55569</v>
      </c>
      <c r="Y417" s="40" t="str" cm="1">
        <f t="array" aca="1" ref="Y417" ca="1">TRIM(SUBSTITUTE(_xlfn.ARRAYTOTEXT(IFERROR(CONCATENATE(SUMIF(INDIRECT("'"&amp;Assemblies[Assy]&amp;"'!"&amp;"C$5:C1000"), $C417, INDIRECT("'"&amp;Assemblies[Assy]&amp;"'!"&amp;"O$5:O1000")), "x",Assemblies[Assy],".",IF(SUMIF(INDIRECT("'"&amp;Assemblies[Assy]&amp;"'!"&amp;"C$5:C1000"), $C417, INDIRECT("'"&amp;Assemblies[Assy]&amp;"'!"&amp;"A$5:A1000"))=0,NA(),SUMIF(INDIRECT("'"&amp;Assemblies[Assy]&amp;"'!"&amp;"C$5:C1000"), $C417, INDIRECT("'"&amp;Assemblies[Assy]&amp;"'!"&amp;"A$5:A1000")))),"")), " ,", ""))</f>
        <v>, 6x7.2.2.4, 6x7.3.1.4, 2x8.1.2.5, 2x8.2.1.5,</v>
      </c>
      <c r="Z417" s="141">
        <v>0</v>
      </c>
      <c r="AA417" s="141">
        <v>0</v>
      </c>
      <c r="AB417" s="141">
        <v>0</v>
      </c>
      <c r="AC417" s="39">
        <v>0</v>
      </c>
      <c r="AD417" s="141" t="s">
        <v>1473</v>
      </c>
      <c r="AE417" s="296">
        <v>55616</v>
      </c>
      <c r="AF417" s="141"/>
      <c r="AG417"/>
    </row>
    <row r="418" spans="1:33" x14ac:dyDescent="0.25">
      <c r="A418" s="24" t="s">
        <v>2782</v>
      </c>
      <c r="B418" s="134" t="s">
        <v>54</v>
      </c>
      <c r="C418" t="str">
        <f>_xlfn.CONCAT(A418,".",B418)</f>
        <v>PG10.7.2.3.1.A</v>
      </c>
      <c r="D418" t="s">
        <v>2783</v>
      </c>
      <c r="E418" s="18">
        <v>284.5</v>
      </c>
      <c r="F418" s="19" cm="1">
        <f t="array" aca="1" ref="F418" ca="1">SUMPRODUCT(SUMIF(INDIRECT("'"&amp;Assemblies[Assy]&amp;"'!"&amp;"C5:C1000"),C418,(INDIRECT("'"&amp;Assemblies[Assy]&amp;"'!"&amp;"O5:O1000"))))</f>
        <v>1</v>
      </c>
      <c r="G418" s="19">
        <v>1</v>
      </c>
      <c r="H418" s="19" t="str">
        <f ca="1">IF(F418&lt;=G418," ","YES")</f>
        <v xml:space="preserve"> </v>
      </c>
      <c r="I418">
        <v>1</v>
      </c>
      <c r="J418">
        <v>1</v>
      </c>
      <c r="K418" s="40">
        <v>45553</v>
      </c>
      <c r="L418">
        <v>1</v>
      </c>
      <c r="M418" s="40">
        <v>45559</v>
      </c>
      <c r="N418">
        <v>1</v>
      </c>
      <c r="O418" t="s">
        <v>2067</v>
      </c>
      <c r="P418" t="s">
        <v>2013</v>
      </c>
      <c r="Q418" t="s">
        <v>1988</v>
      </c>
      <c r="R418" t="s">
        <v>2168</v>
      </c>
      <c r="T418" s="40">
        <v>45461</v>
      </c>
      <c r="U418" s="40">
        <v>45464</v>
      </c>
      <c r="V418" s="40">
        <v>45495</v>
      </c>
      <c r="W418" s="40">
        <v>45495</v>
      </c>
      <c r="X418" s="157">
        <v>55566</v>
      </c>
      <c r="Y418" s="40" t="str" cm="1">
        <f t="array" aca="1" ref="Y418" ca="1">TRIM(SUBSTITUTE(_xlfn.ARRAYTOTEXT(IFERROR(CONCATENATE(SUMIF(INDIRECT("'"&amp;Assemblies[Assy]&amp;"'!"&amp;"C$5:C1000"), $C418, INDIRECT("'"&amp;Assemblies[Assy]&amp;"'!"&amp;"O$5:O1000")), "x",Assemblies[Assy],".",IF(SUMIF(INDIRECT("'"&amp;Assemblies[Assy]&amp;"'!"&amp;"C$5:C1000"), $C418, INDIRECT("'"&amp;Assemblies[Assy]&amp;"'!"&amp;"A$5:A1000"))=0,NA(),SUMIF(INDIRECT("'"&amp;Assemblies[Assy]&amp;"'!"&amp;"C$5:C1000"), $C418, INDIRECT("'"&amp;Assemblies[Assy]&amp;"'!"&amp;"A$5:A1000")))),"")), " ,", ""))</f>
        <v>, 1x7.6.1.1,</v>
      </c>
      <c r="Z418" s="141">
        <v>0</v>
      </c>
      <c r="AA418" s="141">
        <v>0</v>
      </c>
      <c r="AB418" s="141">
        <v>0</v>
      </c>
      <c r="AC418" s="39">
        <v>0</v>
      </c>
      <c r="AD418" s="141" t="s">
        <v>1473</v>
      </c>
      <c r="AE418" s="296">
        <v>55740</v>
      </c>
      <c r="AF418" s="141"/>
      <c r="AG418"/>
    </row>
    <row r="419" spans="1:33" x14ac:dyDescent="0.25">
      <c r="A419" s="24" t="s">
        <v>2784</v>
      </c>
      <c r="B419" s="134" t="s">
        <v>54</v>
      </c>
      <c r="C419" t="str">
        <f>_xlfn.CONCAT(A419,".",B419)</f>
        <v>PG10.7.2.3.2.A</v>
      </c>
      <c r="D419" t="s">
        <v>2785</v>
      </c>
      <c r="E419" s="18">
        <v>112.42</v>
      </c>
      <c r="F419" s="19" cm="1">
        <f t="array" aca="1" ref="F419" ca="1">SUMPRODUCT(SUMIF(INDIRECT("'"&amp;Assemblies[Assy]&amp;"'!"&amp;"C5:C1000"),C419,(INDIRECT("'"&amp;Assemblies[Assy]&amp;"'!"&amp;"O5:O1000"))))</f>
        <v>6</v>
      </c>
      <c r="G419" s="19">
        <v>6</v>
      </c>
      <c r="H419" s="19" t="str">
        <f ca="1">IF(F419&lt;=G419," ","YES")</f>
        <v xml:space="preserve"> </v>
      </c>
      <c r="I419">
        <v>6</v>
      </c>
      <c r="J419">
        <v>6</v>
      </c>
      <c r="L419">
        <v>6</v>
      </c>
      <c r="M419" s="40">
        <v>45559</v>
      </c>
      <c r="N419">
        <v>6</v>
      </c>
      <c r="O419" t="s">
        <v>2067</v>
      </c>
      <c r="P419" t="s">
        <v>2013</v>
      </c>
      <c r="Q419" t="s">
        <v>1988</v>
      </c>
      <c r="R419" t="s">
        <v>2168</v>
      </c>
      <c r="T419" s="40">
        <v>45461</v>
      </c>
      <c r="U419" s="40">
        <v>45464</v>
      </c>
      <c r="V419" s="40">
        <v>45495</v>
      </c>
      <c r="W419" s="40">
        <v>45495</v>
      </c>
      <c r="X419" s="157">
        <v>55566</v>
      </c>
      <c r="Y419" s="40" t="str" cm="1">
        <f t="array" aca="1" ref="Y419" ca="1">TRIM(SUBSTITUTE(_xlfn.ARRAYTOTEXT(IFERROR(CONCATENATE(SUMIF(INDIRECT("'"&amp;Assemblies[Assy]&amp;"'!"&amp;"C$5:C1000"), $C419, INDIRECT("'"&amp;Assemblies[Assy]&amp;"'!"&amp;"O$5:O1000")), "x",Assemblies[Assy],".",IF(SUMIF(INDIRECT("'"&amp;Assemblies[Assy]&amp;"'!"&amp;"C$5:C1000"), $C419, INDIRECT("'"&amp;Assemblies[Assy]&amp;"'!"&amp;"A$5:A1000"))=0,NA(),SUMIF(INDIRECT("'"&amp;Assemblies[Assy]&amp;"'!"&amp;"C$5:C1000"), $C419, INDIRECT("'"&amp;Assemblies[Assy]&amp;"'!"&amp;"A$5:A1000")))),"")), " ,", ""))</f>
        <v>, 2x7.2.3.2, 2x7.3.2.2, 1x7.6.1.2, 1x7.7.1.2,</v>
      </c>
      <c r="Z419" s="141">
        <v>0</v>
      </c>
      <c r="AA419" s="141">
        <v>0</v>
      </c>
      <c r="AB419" s="141">
        <v>0</v>
      </c>
      <c r="AC419" s="39">
        <v>0</v>
      </c>
      <c r="AD419" s="141" t="s">
        <v>1473</v>
      </c>
      <c r="AE419" s="296"/>
      <c r="AF419" s="141"/>
      <c r="AG419"/>
    </row>
    <row r="420" spans="1:33" x14ac:dyDescent="0.25">
      <c r="A420" s="24" t="s">
        <v>2786</v>
      </c>
      <c r="B420" s="134" t="s">
        <v>54</v>
      </c>
      <c r="C420" t="str">
        <f>_xlfn.CONCAT(A420,".",B420)</f>
        <v>PG10.7.2.3.3.A</v>
      </c>
      <c r="D420" t="s">
        <v>2787</v>
      </c>
      <c r="E420" s="18">
        <v>130.75</v>
      </c>
      <c r="F420" s="19" cm="1">
        <f t="array" aca="1" ref="F420" ca="1">SUMPRODUCT(SUMIF(INDIRECT("'"&amp;Assemblies[Assy]&amp;"'!"&amp;"C5:C1000"),C420,(INDIRECT("'"&amp;Assemblies[Assy]&amp;"'!"&amp;"O5:O1000"))))</f>
        <v>6</v>
      </c>
      <c r="G420" s="19">
        <v>6</v>
      </c>
      <c r="H420" s="19" t="str">
        <f ca="1">IF(F420&lt;=G420," ","YES")</f>
        <v xml:space="preserve"> </v>
      </c>
      <c r="I420">
        <v>6</v>
      </c>
      <c r="J420">
        <v>6</v>
      </c>
      <c r="L420">
        <v>6</v>
      </c>
      <c r="M420" s="40">
        <v>45559</v>
      </c>
      <c r="N420">
        <v>6</v>
      </c>
      <c r="O420" t="s">
        <v>2067</v>
      </c>
      <c r="P420" t="s">
        <v>2013</v>
      </c>
      <c r="Q420" t="s">
        <v>1988</v>
      </c>
      <c r="R420" t="s">
        <v>2168</v>
      </c>
      <c r="T420" s="40">
        <v>45461</v>
      </c>
      <c r="U420" s="40">
        <v>45464</v>
      </c>
      <c r="V420" s="40">
        <v>45495</v>
      </c>
      <c r="W420" s="40">
        <v>45495</v>
      </c>
      <c r="X420" s="157">
        <v>55566</v>
      </c>
      <c r="Y420" s="40" t="str" cm="1">
        <f t="array" aca="1" ref="Y420" ca="1">TRIM(SUBSTITUTE(_xlfn.ARRAYTOTEXT(IFERROR(CONCATENATE(SUMIF(INDIRECT("'"&amp;Assemblies[Assy]&amp;"'!"&amp;"C$5:C1000"), $C420, INDIRECT("'"&amp;Assemblies[Assy]&amp;"'!"&amp;"O$5:O1000")), "x",Assemblies[Assy],".",IF(SUMIF(INDIRECT("'"&amp;Assemblies[Assy]&amp;"'!"&amp;"C$5:C1000"), $C420, INDIRECT("'"&amp;Assemblies[Assy]&amp;"'!"&amp;"A$5:A1000"))=0,NA(),SUMIF(INDIRECT("'"&amp;Assemblies[Assy]&amp;"'!"&amp;"C$5:C1000"), $C420, INDIRECT("'"&amp;Assemblies[Assy]&amp;"'!"&amp;"A$5:A1000")))),"")), " ,", ""))</f>
        <v>, 2x7.2.3.3, 2x7.3.2.3, 1x7.6.1.3, 1x7.7.1.3,</v>
      </c>
      <c r="Z420" s="141">
        <v>0</v>
      </c>
      <c r="AA420" s="141">
        <v>0</v>
      </c>
      <c r="AB420" s="141">
        <v>0</v>
      </c>
      <c r="AC420" s="39">
        <v>0</v>
      </c>
      <c r="AD420" s="141" t="s">
        <v>1473</v>
      </c>
      <c r="AE420" s="296"/>
      <c r="AF420" s="141"/>
      <c r="AG420"/>
    </row>
    <row r="421" spans="1:33" x14ac:dyDescent="0.25">
      <c r="A421" s="24" t="s">
        <v>2788</v>
      </c>
      <c r="B421" s="134" t="s">
        <v>54</v>
      </c>
      <c r="C421" t="str">
        <f>_xlfn.CONCAT(A421,".",B421)</f>
        <v>PG10.7.2.3.4.A</v>
      </c>
      <c r="D421" t="s">
        <v>2789</v>
      </c>
      <c r="E421" s="18">
        <v>173.25</v>
      </c>
      <c r="F421" s="19" cm="1">
        <f t="array" aca="1" ref="F421" ca="1">SUMPRODUCT(SUMIF(INDIRECT("'"&amp;Assemblies[Assy]&amp;"'!"&amp;"C5:C1000"),C421,(INDIRECT("'"&amp;Assemblies[Assy]&amp;"'!"&amp;"O5:O1000"))))</f>
        <v>6</v>
      </c>
      <c r="G421" s="19">
        <v>6</v>
      </c>
      <c r="H421" s="19" t="str">
        <f ca="1">IF(F421&lt;=G421," ","YES")</f>
        <v xml:space="preserve"> </v>
      </c>
      <c r="I421">
        <v>6</v>
      </c>
      <c r="J421">
        <v>6</v>
      </c>
      <c r="L421">
        <v>6</v>
      </c>
      <c r="N421">
        <v>6</v>
      </c>
      <c r="O421" t="s">
        <v>2026</v>
      </c>
      <c r="P421" t="s">
        <v>2027</v>
      </c>
      <c r="Q421" t="s">
        <v>1988</v>
      </c>
      <c r="R421" t="s">
        <v>2168</v>
      </c>
      <c r="T421" s="40">
        <v>45461</v>
      </c>
      <c r="U421" s="40">
        <v>45462</v>
      </c>
      <c r="V421" s="40">
        <v>45492</v>
      </c>
      <c r="W421" s="40">
        <v>45492</v>
      </c>
      <c r="X421" s="157">
        <v>55559</v>
      </c>
      <c r="Y421" s="40" t="str" cm="1">
        <f t="array" aca="1" ref="Y421" ca="1">TRIM(SUBSTITUTE(_xlfn.ARRAYTOTEXT(IFERROR(CONCATENATE(SUMIF(INDIRECT("'"&amp;Assemblies[Assy]&amp;"'!"&amp;"C$5:C1000"), $C421, INDIRECT("'"&amp;Assemblies[Assy]&amp;"'!"&amp;"O$5:O1000")), "x",Assemblies[Assy],".",IF(SUMIF(INDIRECT("'"&amp;Assemblies[Assy]&amp;"'!"&amp;"C$5:C1000"), $C421, INDIRECT("'"&amp;Assemblies[Assy]&amp;"'!"&amp;"A$5:A1000"))=0,NA(),SUMIF(INDIRECT("'"&amp;Assemblies[Assy]&amp;"'!"&amp;"C$5:C1000"), $C421, INDIRECT("'"&amp;Assemblies[Assy]&amp;"'!"&amp;"A$5:A1000")))),"")), " ,", ""))</f>
        <v>, 2x7.2.3.4, 2x7.3.2.4, 1x7.6.1.4, 1x7.7.1.4,</v>
      </c>
      <c r="Z421" s="141">
        <v>0</v>
      </c>
      <c r="AA421" s="141">
        <v>0</v>
      </c>
      <c r="AB421" s="141">
        <v>0</v>
      </c>
      <c r="AC421" s="39">
        <v>0</v>
      </c>
      <c r="AD421" s="141" t="s">
        <v>1473</v>
      </c>
      <c r="AE421" s="296">
        <v>55618</v>
      </c>
      <c r="AF421" s="141"/>
      <c r="AG421"/>
    </row>
    <row r="422" spans="1:33" x14ac:dyDescent="0.25">
      <c r="A422" s="24" t="s">
        <v>2790</v>
      </c>
      <c r="B422" s="134" t="s">
        <v>54</v>
      </c>
      <c r="C422" t="str">
        <f>_xlfn.CONCAT(A422,".",B422)</f>
        <v>PG10.7.2.3.5.A</v>
      </c>
      <c r="D422" t="s">
        <v>2791</v>
      </c>
      <c r="E422" s="18">
        <f>Z422+AA422+AB422+(65*AC422)</f>
        <v>13.71</v>
      </c>
      <c r="F422" s="19" cm="1">
        <f t="array" aca="1" ref="F422" ca="1">SUMPRODUCT(SUMIF(INDIRECT("'"&amp;Assemblies[Assy]&amp;"'!"&amp;"C5:C1000"),C422,(INDIRECT("'"&amp;Assemblies[Assy]&amp;"'!"&amp;"O5:O1000"))))</f>
        <v>1</v>
      </c>
      <c r="G422" s="19">
        <v>1</v>
      </c>
      <c r="H422" s="19" t="str">
        <f ca="1">IF(F422&lt;=G422," ","YES")</f>
        <v xml:space="preserve"> </v>
      </c>
      <c r="I422">
        <v>1</v>
      </c>
      <c r="J422">
        <v>1</v>
      </c>
      <c r="L422">
        <v>1</v>
      </c>
      <c r="N422">
        <v>1</v>
      </c>
      <c r="O422" t="s">
        <v>2792</v>
      </c>
      <c r="P422" t="s">
        <v>1993</v>
      </c>
      <c r="R422" t="s">
        <v>1988</v>
      </c>
      <c r="T422" s="40">
        <v>45490</v>
      </c>
      <c r="U422" s="40">
        <v>45496</v>
      </c>
      <c r="V422" s="40">
        <v>45505</v>
      </c>
      <c r="W422" s="40">
        <v>45505</v>
      </c>
      <c r="X422" s="157">
        <v>55620</v>
      </c>
      <c r="Y422" s="40" t="str" cm="1">
        <f t="array" aca="1" ref="Y422" ca="1">TRIM(SUBSTITUTE(_xlfn.ARRAYTOTEXT(IFERROR(CONCATENATE(SUMIF(INDIRECT("'"&amp;Assemblies[Assy]&amp;"'!"&amp;"C$5:C1000"), $C422, INDIRECT("'"&amp;Assemblies[Assy]&amp;"'!"&amp;"O$5:O1000")), "x",Assemblies[Assy],".",IF(SUMIF(INDIRECT("'"&amp;Assemblies[Assy]&amp;"'!"&amp;"C$5:C1000"), $C422, INDIRECT("'"&amp;Assemblies[Assy]&amp;"'!"&amp;"A$5:A1000"))=0,NA(),SUMIF(INDIRECT("'"&amp;Assemblies[Assy]&amp;"'!"&amp;"C$5:C1000"), $C422, INDIRECT("'"&amp;Assemblies[Assy]&amp;"'!"&amp;"A$5:A1000")))),"")), " ,", ""))</f>
        <v>, 1x7.6.1.5,</v>
      </c>
      <c r="Z422" s="141">
        <v>7.21</v>
      </c>
      <c r="AA422" s="141">
        <v>0</v>
      </c>
      <c r="AB422" s="141">
        <v>0</v>
      </c>
      <c r="AC422" s="39">
        <v>0.1</v>
      </c>
      <c r="AD422" s="141" t="s">
        <v>1473</v>
      </c>
      <c r="AE422" s="296"/>
      <c r="AF422" s="141"/>
    </row>
    <row r="423" spans="1:33" x14ac:dyDescent="0.25">
      <c r="A423" s="24" t="s">
        <v>2793</v>
      </c>
      <c r="B423" s="134" t="s">
        <v>54</v>
      </c>
      <c r="C423" t="str">
        <f>_xlfn.CONCAT(A423,".",B423)</f>
        <v>PG10.7.2.3.6.A</v>
      </c>
      <c r="D423" t="s">
        <v>2794</v>
      </c>
      <c r="E423" s="18">
        <f>Z423+AA423+AB423+(65*AC423)</f>
        <v>89.26</v>
      </c>
      <c r="F423" s="19" cm="1">
        <f t="array" aca="1" ref="F423" ca="1">SUMPRODUCT(SUMIF(INDIRECT("'"&amp;Assemblies[Assy]&amp;"'!"&amp;"C5:C1000"),C423,(INDIRECT("'"&amp;Assemblies[Assy]&amp;"'!"&amp;"O5:O1000"))))</f>
        <v>16</v>
      </c>
      <c r="G423" s="19">
        <v>16</v>
      </c>
      <c r="H423" s="19" t="str">
        <f ca="1">IF(F423&lt;=G423," ","YES")</f>
        <v xml:space="preserve"> </v>
      </c>
      <c r="I423">
        <v>16</v>
      </c>
      <c r="J423">
        <v>16</v>
      </c>
      <c r="K423" s="40">
        <v>45512</v>
      </c>
      <c r="L423">
        <v>16</v>
      </c>
      <c r="M423" s="40">
        <v>45520</v>
      </c>
      <c r="N423">
        <v>16</v>
      </c>
      <c r="O423" t="s">
        <v>2202</v>
      </c>
      <c r="P423" t="s">
        <v>2795</v>
      </c>
      <c r="R423" t="s">
        <v>1988</v>
      </c>
      <c r="S423" t="s">
        <v>2796</v>
      </c>
      <c r="T423" s="40">
        <v>45452</v>
      </c>
      <c r="U423" s="40">
        <v>45456</v>
      </c>
      <c r="V423" s="40">
        <v>45468</v>
      </c>
      <c r="W423" s="40">
        <v>45469</v>
      </c>
      <c r="X423" s="157">
        <v>55553</v>
      </c>
      <c r="Y423" s="40" t="str" cm="1">
        <f t="array" aca="1" ref="Y423" ca="1">TRIM(SUBSTITUTE(_xlfn.ARRAYTOTEXT(IFERROR(CONCATENATE(SUMIF(INDIRECT("'"&amp;Assemblies[Assy]&amp;"'!"&amp;"C$5:C1000"), $C423, INDIRECT("'"&amp;Assemblies[Assy]&amp;"'!"&amp;"O$5:O1000")), "x",Assemblies[Assy],".",IF(SUMIF(INDIRECT("'"&amp;Assemblies[Assy]&amp;"'!"&amp;"C$5:C1000"), $C423, INDIRECT("'"&amp;Assemblies[Assy]&amp;"'!"&amp;"A$5:A1000"))=0,NA(),SUMIF(INDIRECT("'"&amp;Assemblies[Assy]&amp;"'!"&amp;"C$5:C1000"), $C423, INDIRECT("'"&amp;Assemblies[Assy]&amp;"'!"&amp;"A$5:A1000")))),"")), " ,", ""))</f>
        <v>, 4x7.2.3.5, 4x7.3.2.5, 2x7.6.1.6, 2x7.7.1.5, 2x8.1.3.6, 2x8.2.2.6,</v>
      </c>
      <c r="Z423" s="141">
        <v>86.01</v>
      </c>
      <c r="AA423" s="141">
        <v>0</v>
      </c>
      <c r="AB423" s="141">
        <v>0</v>
      </c>
      <c r="AC423" s="39">
        <v>0.05</v>
      </c>
      <c r="AD423" s="141" t="s">
        <v>1473</v>
      </c>
      <c r="AE423" s="296">
        <v>55670</v>
      </c>
      <c r="AF423" s="141"/>
      <c r="AG423"/>
    </row>
    <row r="424" spans="1:33" x14ac:dyDescent="0.25">
      <c r="A424" s="24" t="s">
        <v>2797</v>
      </c>
      <c r="B424" s="134" t="s">
        <v>54</v>
      </c>
      <c r="C424" t="str">
        <f>_xlfn.CONCAT(A424,".",B424)</f>
        <v>PG10.7.2.4.1.A</v>
      </c>
      <c r="D424" t="s">
        <v>2798</v>
      </c>
      <c r="E424" s="18">
        <v>50.45</v>
      </c>
      <c r="F424" s="19" cm="1">
        <f t="array" aca="1" ref="F424" ca="1">SUMPRODUCT(SUMIF(INDIRECT("'"&amp;Assemblies[Assy]&amp;"'!"&amp;"C5:C1000"),C424,(INDIRECT("'"&amp;Assemblies[Assy]&amp;"'!"&amp;"O5:O1000"))))</f>
        <v>12</v>
      </c>
      <c r="G424" s="19">
        <v>12</v>
      </c>
      <c r="H424" s="19" t="str">
        <f ca="1">IF(F424&lt;=G424," ","YES")</f>
        <v xml:space="preserve"> </v>
      </c>
      <c r="I424">
        <v>12</v>
      </c>
      <c r="J424">
        <v>12</v>
      </c>
      <c r="K424" s="40">
        <v>45512</v>
      </c>
      <c r="L424">
        <v>12</v>
      </c>
      <c r="M424" s="40">
        <v>45520</v>
      </c>
      <c r="N424">
        <v>12</v>
      </c>
      <c r="O424" t="s">
        <v>1986</v>
      </c>
      <c r="P424" t="s">
        <v>1987</v>
      </c>
      <c r="Q424" t="s">
        <v>1988</v>
      </c>
      <c r="R424" t="s">
        <v>1989</v>
      </c>
      <c r="T424" s="40">
        <v>45461</v>
      </c>
      <c r="U424" s="40">
        <v>45467</v>
      </c>
      <c r="V424" s="40">
        <v>45504</v>
      </c>
      <c r="W424" s="40">
        <v>45504</v>
      </c>
      <c r="X424" s="157">
        <v>55570</v>
      </c>
      <c r="Y424" s="40" t="str" cm="1">
        <f t="array" aca="1" ref="Y424" ca="1">TRIM(SUBSTITUTE(_xlfn.ARRAYTOTEXT(IFERROR(CONCATENATE(SUMIF(INDIRECT("'"&amp;Assemblies[Assy]&amp;"'!"&amp;"C$5:C1000"), $C424, INDIRECT("'"&amp;Assemblies[Assy]&amp;"'!"&amp;"O$5:O1000")), "x",Assemblies[Assy],".",IF(SUMIF(INDIRECT("'"&amp;Assemblies[Assy]&amp;"'!"&amp;"C$5:C1000"), $C424, INDIRECT("'"&amp;Assemblies[Assy]&amp;"'!"&amp;"A$5:A1000"))=0,NA(),SUMIF(INDIRECT("'"&amp;Assemblies[Assy]&amp;"'!"&amp;"C$5:C1000"), $C424, INDIRECT("'"&amp;Assemblies[Assy]&amp;"'!"&amp;"A$5:A1000")))),"")), " ,", ""))</f>
        <v>, 12x7.2.4.1,</v>
      </c>
      <c r="Z424" s="141">
        <v>0</v>
      </c>
      <c r="AA424" s="141">
        <v>0</v>
      </c>
      <c r="AB424" s="141">
        <v>0</v>
      </c>
      <c r="AC424" s="39">
        <v>0</v>
      </c>
      <c r="AD424" s="141" t="s">
        <v>1473</v>
      </c>
      <c r="AE424" s="296">
        <v>55668</v>
      </c>
      <c r="AF424" s="141"/>
      <c r="AG424"/>
    </row>
    <row r="425" spans="1:33" x14ac:dyDescent="0.25">
      <c r="A425" s="24" t="s">
        <v>2799</v>
      </c>
      <c r="B425" s="134" t="s">
        <v>54</v>
      </c>
      <c r="C425" t="str">
        <f>_xlfn.CONCAT(A425,".",B425)</f>
        <v>PG10.7.2.5.1.A</v>
      </c>
      <c r="D425" t="s">
        <v>2800</v>
      </c>
      <c r="E425" s="18">
        <v>122.4</v>
      </c>
      <c r="F425" s="19" cm="1">
        <f t="array" aca="1" ref="F425" ca="1">SUMPRODUCT(SUMIF(INDIRECT("'"&amp;Assemblies[Assy]&amp;"'!"&amp;"C5:C1000"),C425,(INDIRECT("'"&amp;Assemblies[Assy]&amp;"'!"&amp;"O5:O1000"))))</f>
        <v>16</v>
      </c>
      <c r="G425" s="19">
        <v>16</v>
      </c>
      <c r="H425" s="19" t="str">
        <f ca="1">IF(F425&lt;=G425," ","YES")</f>
        <v xml:space="preserve"> </v>
      </c>
      <c r="I425">
        <v>16</v>
      </c>
      <c r="J425">
        <v>16</v>
      </c>
      <c r="K425" s="40">
        <v>45512</v>
      </c>
      <c r="L425">
        <v>16</v>
      </c>
      <c r="M425" s="40">
        <v>45520</v>
      </c>
      <c r="N425">
        <v>16</v>
      </c>
      <c r="O425" t="s">
        <v>2026</v>
      </c>
      <c r="P425" t="s">
        <v>2027</v>
      </c>
      <c r="Q425" t="s">
        <v>1988</v>
      </c>
      <c r="R425" t="s">
        <v>1989</v>
      </c>
      <c r="T425" s="40">
        <v>45461</v>
      </c>
      <c r="U425" s="40">
        <v>45467</v>
      </c>
      <c r="V425" s="40">
        <v>45504</v>
      </c>
      <c r="W425" s="40">
        <v>45504</v>
      </c>
      <c r="X425" s="157">
        <v>55570</v>
      </c>
      <c r="Y425" s="40" t="str" cm="1">
        <f t="array" aca="1" ref="Y425" ca="1">TRIM(SUBSTITUTE(_xlfn.ARRAYTOTEXT(IFERROR(CONCATENATE(SUMIF(INDIRECT("'"&amp;Assemblies[Assy]&amp;"'!"&amp;"C$5:C1000"), $C425, INDIRECT("'"&amp;Assemblies[Assy]&amp;"'!"&amp;"O$5:O1000")), "x",Assemblies[Assy],".",IF(SUMIF(INDIRECT("'"&amp;Assemblies[Assy]&amp;"'!"&amp;"C$5:C1000"), $C425, INDIRECT("'"&amp;Assemblies[Assy]&amp;"'!"&amp;"A$5:A1000"))=0,NA(),SUMIF(INDIRECT("'"&amp;Assemblies[Assy]&amp;"'!"&amp;"C$5:C1000"), $C425, INDIRECT("'"&amp;Assemblies[Assy]&amp;"'!"&amp;"A$5:A1000")))),"")), " ,", ""))</f>
        <v>, 16x7.2.5.1,</v>
      </c>
      <c r="Z425" s="141">
        <v>0</v>
      </c>
      <c r="AA425" s="141">
        <v>0</v>
      </c>
      <c r="AB425" s="141">
        <v>0</v>
      </c>
      <c r="AC425" s="39">
        <v>0</v>
      </c>
      <c r="AD425" s="141" t="s">
        <v>1473</v>
      </c>
      <c r="AE425" s="296">
        <v>55670</v>
      </c>
      <c r="AF425" s="141"/>
      <c r="AG425"/>
    </row>
    <row r="426" spans="1:33" x14ac:dyDescent="0.25">
      <c r="A426" s="24" t="s">
        <v>2801</v>
      </c>
      <c r="B426" s="134" t="s">
        <v>54</v>
      </c>
      <c r="C426" t="str">
        <f>_xlfn.CONCAT(A426,".",B426)</f>
        <v>PG10.7.2.5.2.A</v>
      </c>
      <c r="D426" t="s">
        <v>2802</v>
      </c>
      <c r="E426" s="18">
        <v>85.05</v>
      </c>
      <c r="F426" s="19" cm="1">
        <f t="array" aca="1" ref="F426" ca="1">SUMPRODUCT(SUMIF(INDIRECT("'"&amp;Assemblies[Assy]&amp;"'!"&amp;"C5:C1000"),C426,(INDIRECT("'"&amp;Assemblies[Assy]&amp;"'!"&amp;"O5:O1000"))))</f>
        <v>16</v>
      </c>
      <c r="G426" s="19">
        <v>16</v>
      </c>
      <c r="H426" s="19" t="str">
        <f ca="1">IF(F426&lt;=G426," ","YES")</f>
        <v xml:space="preserve"> </v>
      </c>
      <c r="I426">
        <v>16</v>
      </c>
      <c r="J426">
        <v>16</v>
      </c>
      <c r="K426" s="40">
        <v>45512</v>
      </c>
      <c r="L426">
        <v>16</v>
      </c>
      <c r="M426" s="40">
        <v>45520</v>
      </c>
      <c r="N426">
        <v>16</v>
      </c>
      <c r="O426" t="s">
        <v>2026</v>
      </c>
      <c r="P426" t="s">
        <v>2027</v>
      </c>
      <c r="Q426" t="s">
        <v>1988</v>
      </c>
      <c r="R426" t="s">
        <v>1989</v>
      </c>
      <c r="T426" s="40">
        <v>45461</v>
      </c>
      <c r="U426" s="40">
        <v>45467</v>
      </c>
      <c r="V426" s="40">
        <v>45504</v>
      </c>
      <c r="W426" s="40">
        <v>45504</v>
      </c>
      <c r="X426" s="157">
        <v>55570</v>
      </c>
      <c r="Y426" s="40" t="str" cm="1">
        <f t="array" aca="1" ref="Y426" ca="1">TRIM(SUBSTITUTE(_xlfn.ARRAYTOTEXT(IFERROR(CONCATENATE(SUMIF(INDIRECT("'"&amp;Assemblies[Assy]&amp;"'!"&amp;"C$5:C1000"), $C426, INDIRECT("'"&amp;Assemblies[Assy]&amp;"'!"&amp;"O$5:O1000")), "x",Assemblies[Assy],".",IF(SUMIF(INDIRECT("'"&amp;Assemblies[Assy]&amp;"'!"&amp;"C$5:C1000"), $C426, INDIRECT("'"&amp;Assemblies[Assy]&amp;"'!"&amp;"A$5:A1000"))=0,NA(),SUMIF(INDIRECT("'"&amp;Assemblies[Assy]&amp;"'!"&amp;"C$5:C1000"), $C426, INDIRECT("'"&amp;Assemblies[Assy]&amp;"'!"&amp;"A$5:A1000")))),"")), " ,", ""))</f>
        <v>, 16x7.2.5.2,</v>
      </c>
      <c r="Z426" s="141">
        <v>0</v>
      </c>
      <c r="AA426" s="141">
        <v>0</v>
      </c>
      <c r="AB426" s="141">
        <v>0</v>
      </c>
      <c r="AC426" s="39">
        <v>0</v>
      </c>
      <c r="AD426" s="141" t="s">
        <v>1473</v>
      </c>
      <c r="AE426" s="296">
        <v>55670</v>
      </c>
      <c r="AF426" s="141"/>
      <c r="AG426"/>
    </row>
    <row r="427" spans="1:33" x14ac:dyDescent="0.25">
      <c r="A427" s="24" t="s">
        <v>2803</v>
      </c>
      <c r="B427" s="134" t="s">
        <v>54</v>
      </c>
      <c r="C427" t="str">
        <f>_xlfn.CONCAT(A427,".",B427)</f>
        <v>PG10.7.2.5.3.A</v>
      </c>
      <c r="D427" t="s">
        <v>2804</v>
      </c>
      <c r="E427" s="18">
        <v>23.5</v>
      </c>
      <c r="F427" s="19" cm="1">
        <f t="array" aca="1" ref="F427" ca="1">SUMPRODUCT(SUMIF(INDIRECT("'"&amp;Assemblies[Assy]&amp;"'!"&amp;"C5:C1000"),C427,(INDIRECT("'"&amp;Assemblies[Assy]&amp;"'!"&amp;"O5:O1000"))))</f>
        <v>32</v>
      </c>
      <c r="G427" s="19">
        <v>32</v>
      </c>
      <c r="H427" s="19" t="str">
        <f ca="1">IF(F427&lt;=G427," ","YES")</f>
        <v xml:space="preserve"> </v>
      </c>
      <c r="I427">
        <v>32</v>
      </c>
      <c r="J427">
        <v>32</v>
      </c>
      <c r="L427">
        <v>32</v>
      </c>
      <c r="N427">
        <v>32</v>
      </c>
      <c r="O427" t="s">
        <v>2202</v>
      </c>
      <c r="P427" t="s">
        <v>1993</v>
      </c>
      <c r="R427" t="s">
        <v>1988</v>
      </c>
      <c r="T427" s="40">
        <v>45460</v>
      </c>
      <c r="U427" s="40">
        <v>45460</v>
      </c>
      <c r="V427" s="40">
        <v>45462</v>
      </c>
      <c r="W427" s="40">
        <v>45490</v>
      </c>
      <c r="X427" s="157">
        <v>55556</v>
      </c>
      <c r="Y427" s="40" t="str" cm="1">
        <f t="array" aca="1" ref="Y427" ca="1">TRIM(SUBSTITUTE(_xlfn.ARRAYTOTEXT(IFERROR(CONCATENATE(SUMIF(INDIRECT("'"&amp;Assemblies[Assy]&amp;"'!"&amp;"C$5:C1000"), $C427, INDIRECT("'"&amp;Assemblies[Assy]&amp;"'!"&amp;"O$5:O1000")), "x",Assemblies[Assy],".",IF(SUMIF(INDIRECT("'"&amp;Assemblies[Assy]&amp;"'!"&amp;"C$5:C1000"), $C427, INDIRECT("'"&amp;Assemblies[Assy]&amp;"'!"&amp;"A$5:A1000"))=0,NA(),SUMIF(INDIRECT("'"&amp;Assemblies[Assy]&amp;"'!"&amp;"C$5:C1000"), $C427, INDIRECT("'"&amp;Assemblies[Assy]&amp;"'!"&amp;"A$5:A1000")))),"")), " ,", ""))</f>
        <v>, 32x7.2.5.3,</v>
      </c>
      <c r="Z427" s="141">
        <v>23.5</v>
      </c>
      <c r="AA427" s="141">
        <v>0</v>
      </c>
      <c r="AB427" s="141">
        <v>0</v>
      </c>
      <c r="AC427" s="39">
        <v>0</v>
      </c>
      <c r="AD427" s="141" t="s">
        <v>1473</v>
      </c>
      <c r="AE427" s="296"/>
      <c r="AF427" s="141"/>
      <c r="AG427"/>
    </row>
    <row r="428" spans="1:33" x14ac:dyDescent="0.25">
      <c r="A428" s="24" t="s">
        <v>2805</v>
      </c>
      <c r="B428" s="134" t="s">
        <v>54</v>
      </c>
      <c r="C428" t="str">
        <f>_xlfn.CONCAT(A428,".",B428)</f>
        <v>PG10.7.2.5.4.A</v>
      </c>
      <c r="D428" t="s">
        <v>2806</v>
      </c>
      <c r="E428" s="18">
        <v>9.32</v>
      </c>
      <c r="F428" s="19" cm="1">
        <f t="array" aca="1" ref="F428" ca="1">SUMPRODUCT(SUMIF(INDIRECT("'"&amp;Assemblies[Assy]&amp;"'!"&amp;"C5:C1000"),C428,(INDIRECT("'"&amp;Assemblies[Assy]&amp;"'!"&amp;"O5:O1000"))))</f>
        <v>16</v>
      </c>
      <c r="G428" s="19">
        <v>16</v>
      </c>
      <c r="H428" s="19" t="str">
        <f ca="1">IF(F428&lt;=G428," ","YES")</f>
        <v xml:space="preserve"> </v>
      </c>
      <c r="I428">
        <v>16</v>
      </c>
      <c r="J428">
        <v>16</v>
      </c>
      <c r="L428">
        <v>16</v>
      </c>
      <c r="N428">
        <v>16</v>
      </c>
      <c r="O428" t="s">
        <v>2202</v>
      </c>
      <c r="P428" t="s">
        <v>2807</v>
      </c>
      <c r="R428" t="s">
        <v>2052</v>
      </c>
      <c r="T428" s="40">
        <v>45460</v>
      </c>
      <c r="U428" s="40">
        <v>45460</v>
      </c>
      <c r="V428" s="40">
        <v>45462</v>
      </c>
      <c r="W428" s="40">
        <v>45490</v>
      </c>
      <c r="X428" s="157">
        <v>55556</v>
      </c>
      <c r="Y428" s="40" t="str" cm="1">
        <f t="array" aca="1" ref="Y428" ca="1">TRIM(SUBSTITUTE(_xlfn.ARRAYTOTEXT(IFERROR(CONCATENATE(SUMIF(INDIRECT("'"&amp;Assemblies[Assy]&amp;"'!"&amp;"C$5:C1000"), $C428, INDIRECT("'"&amp;Assemblies[Assy]&amp;"'!"&amp;"O$5:O1000")), "x",Assemblies[Assy],".",IF(SUMIF(INDIRECT("'"&amp;Assemblies[Assy]&amp;"'!"&amp;"C$5:C1000"), $C428, INDIRECT("'"&amp;Assemblies[Assy]&amp;"'!"&amp;"A$5:A1000"))=0,NA(),SUMIF(INDIRECT("'"&amp;Assemblies[Assy]&amp;"'!"&amp;"C$5:C1000"), $C428, INDIRECT("'"&amp;Assemblies[Assy]&amp;"'!"&amp;"A$5:A1000")))),"")), " ,", ""))</f>
        <v>, 16x7.2.5.4,</v>
      </c>
      <c r="Z428" s="141">
        <v>9.32</v>
      </c>
      <c r="AA428" s="141">
        <v>0</v>
      </c>
      <c r="AB428" s="141">
        <v>0</v>
      </c>
      <c r="AC428" s="39">
        <v>0</v>
      </c>
      <c r="AD428" s="141" t="s">
        <v>1473</v>
      </c>
      <c r="AE428" s="296"/>
      <c r="AF428" s="141"/>
      <c r="AG428"/>
    </row>
    <row r="429" spans="1:33" x14ac:dyDescent="0.25">
      <c r="A429" s="24" t="s">
        <v>2808</v>
      </c>
      <c r="B429" s="134" t="s">
        <v>54</v>
      </c>
      <c r="C429" t="str">
        <f>_xlfn.CONCAT(A429,".",B429)</f>
        <v>PG10.7.2.6.1.A</v>
      </c>
      <c r="D429" t="s">
        <v>2809</v>
      </c>
      <c r="E429" s="18">
        <v>65.05</v>
      </c>
      <c r="F429" s="19" cm="1">
        <f t="array" aca="1" ref="F429" ca="1">SUMPRODUCT(SUMIF(INDIRECT("'"&amp;Assemblies[Assy]&amp;"'!"&amp;"C5:C1000"),C429,(INDIRECT("'"&amp;Assemblies[Assy]&amp;"'!"&amp;"O5:O1000"))))</f>
        <v>12</v>
      </c>
      <c r="G429" s="19">
        <v>12</v>
      </c>
      <c r="H429" s="19" t="str">
        <f ca="1">IF(F429&lt;=G429," ","YES")</f>
        <v xml:space="preserve"> </v>
      </c>
      <c r="I429">
        <v>12</v>
      </c>
      <c r="J429">
        <v>12</v>
      </c>
      <c r="L429">
        <v>12</v>
      </c>
      <c r="N429">
        <v>12</v>
      </c>
      <c r="O429" t="s">
        <v>2189</v>
      </c>
      <c r="P429" t="s">
        <v>1993</v>
      </c>
      <c r="R429" s="191" t="s">
        <v>1989</v>
      </c>
      <c r="S429" t="s">
        <v>2576</v>
      </c>
      <c r="T429" s="40">
        <v>45524</v>
      </c>
      <c r="U429" s="40">
        <v>45527</v>
      </c>
      <c r="V429" s="40">
        <v>45555</v>
      </c>
      <c r="W429" s="40">
        <v>45527</v>
      </c>
      <c r="X429" s="157">
        <v>55699</v>
      </c>
      <c r="Y429" s="40" t="str" cm="1">
        <f t="array" aca="1" ref="Y429" ca="1">TRIM(SUBSTITUTE(_xlfn.ARRAYTOTEXT(IFERROR(CONCATENATE(SUMIF(INDIRECT("'"&amp;Assemblies[Assy]&amp;"'!"&amp;"C$5:C1000"), $C429, INDIRECT("'"&amp;Assemblies[Assy]&amp;"'!"&amp;"O$5:O1000")), "x",Assemblies[Assy],".",IF(SUMIF(INDIRECT("'"&amp;Assemblies[Assy]&amp;"'!"&amp;"C$5:C1000"), $C429, INDIRECT("'"&amp;Assemblies[Assy]&amp;"'!"&amp;"A$5:A1000"))=0,NA(),SUMIF(INDIRECT("'"&amp;Assemblies[Assy]&amp;"'!"&amp;"C$5:C1000"), $C429, INDIRECT("'"&amp;Assemblies[Assy]&amp;"'!"&amp;"A$5:A1000")))),"")), " ,", ""))</f>
        <v>, 8x7.2.6.1, 4x7.6.2.1,</v>
      </c>
      <c r="Z429" s="141">
        <v>0</v>
      </c>
      <c r="AA429" s="141">
        <v>0</v>
      </c>
      <c r="AB429" s="141">
        <v>0</v>
      </c>
      <c r="AC429" s="39">
        <v>0</v>
      </c>
      <c r="AD429" s="141" t="s">
        <v>1473</v>
      </c>
      <c r="AE429" s="296"/>
      <c r="AF429" s="141"/>
      <c r="AG429"/>
    </row>
    <row r="430" spans="1:33" x14ac:dyDescent="0.25">
      <c r="A430" s="24" t="s">
        <v>2810</v>
      </c>
      <c r="B430" s="134" t="s">
        <v>54</v>
      </c>
      <c r="C430" t="str">
        <f>_xlfn.CONCAT(A430,".",B430)</f>
        <v>PG10.7.2.6.2.A</v>
      </c>
      <c r="D430" t="s">
        <v>2811</v>
      </c>
      <c r="E430" s="18">
        <v>57.2</v>
      </c>
      <c r="F430" s="19" cm="1">
        <f t="array" aca="1" ref="F430" ca="1">SUMPRODUCT(SUMIF(INDIRECT("'"&amp;Assemblies[Assy]&amp;"'!"&amp;"C5:C1000"),C430,(INDIRECT("'"&amp;Assemblies[Assy]&amp;"'!"&amp;"O5:O1000"))))</f>
        <v>32</v>
      </c>
      <c r="G430" s="19">
        <v>32</v>
      </c>
      <c r="H430" s="19" t="str">
        <f ca="1">IF(F430&lt;=G430," ","YES")</f>
        <v xml:space="preserve"> </v>
      </c>
      <c r="I430">
        <v>32</v>
      </c>
      <c r="J430">
        <v>32</v>
      </c>
      <c r="K430" s="40">
        <v>45512</v>
      </c>
      <c r="L430">
        <v>32</v>
      </c>
      <c r="M430" s="40">
        <v>45520</v>
      </c>
      <c r="N430">
        <v>32</v>
      </c>
      <c r="O430" t="s">
        <v>2026</v>
      </c>
      <c r="P430" t="s">
        <v>2027</v>
      </c>
      <c r="Q430" t="s">
        <v>1988</v>
      </c>
      <c r="R430" t="s">
        <v>1989</v>
      </c>
      <c r="T430" s="40">
        <v>45461</v>
      </c>
      <c r="U430" s="40">
        <v>45467</v>
      </c>
      <c r="V430" s="40">
        <v>45504</v>
      </c>
      <c r="W430" s="40">
        <v>45504</v>
      </c>
      <c r="X430" s="157">
        <v>55570</v>
      </c>
      <c r="Y430" s="40" t="str" cm="1">
        <f t="array" aca="1" ref="Y430" ca="1">TRIM(SUBSTITUTE(_xlfn.ARRAYTOTEXT(IFERROR(CONCATENATE(SUMIF(INDIRECT("'"&amp;Assemblies[Assy]&amp;"'!"&amp;"C$5:C1000"), $C430, INDIRECT("'"&amp;Assemblies[Assy]&amp;"'!"&amp;"O$5:O1000")), "x",Assemblies[Assy],".",IF(SUMIF(INDIRECT("'"&amp;Assemblies[Assy]&amp;"'!"&amp;"C$5:C1000"), $C430, INDIRECT("'"&amp;Assemblies[Assy]&amp;"'!"&amp;"A$5:A1000"))=0,NA(),SUMIF(INDIRECT("'"&amp;Assemblies[Assy]&amp;"'!"&amp;"C$5:C1000"), $C430, INDIRECT("'"&amp;Assemblies[Assy]&amp;"'!"&amp;"A$5:A1000")))),"")), " ,", ""))</f>
        <v>, 16x7.2.6.2, 8x7.6.2.2, 8x8.1.5.2,</v>
      </c>
      <c r="Z430" s="141">
        <v>0</v>
      </c>
      <c r="AA430" s="141">
        <v>0</v>
      </c>
      <c r="AB430" s="141">
        <v>0</v>
      </c>
      <c r="AC430" s="39">
        <v>0</v>
      </c>
      <c r="AD430" s="141" t="s">
        <v>1473</v>
      </c>
      <c r="AE430" s="296">
        <v>55670</v>
      </c>
      <c r="AF430" s="141"/>
      <c r="AG430"/>
    </row>
    <row r="431" spans="1:33" x14ac:dyDescent="0.25">
      <c r="A431" s="24" t="s">
        <v>2812</v>
      </c>
      <c r="B431" s="134" t="s">
        <v>54</v>
      </c>
      <c r="C431" t="str">
        <f>_xlfn.CONCAT(A431,".",B431)</f>
        <v>PG10.7.2.6.3.A</v>
      </c>
      <c r="D431" t="s">
        <v>2813</v>
      </c>
      <c r="E431" s="18">
        <v>27.6</v>
      </c>
      <c r="F431" s="19" cm="1">
        <f t="array" aca="1" ref="F431" ca="1">SUMPRODUCT(SUMIF(INDIRECT("'"&amp;Assemblies[Assy]&amp;"'!"&amp;"C5:C1000"),C431,(INDIRECT("'"&amp;Assemblies[Assy]&amp;"'!"&amp;"O5:O1000"))))</f>
        <v>32</v>
      </c>
      <c r="G431" s="19">
        <v>32</v>
      </c>
      <c r="H431" s="19" t="str">
        <f ca="1">IF(F431&lt;=G431," ","YES")</f>
        <v xml:space="preserve"> </v>
      </c>
      <c r="I431">
        <v>32</v>
      </c>
      <c r="J431">
        <v>32</v>
      </c>
      <c r="K431" s="40">
        <v>45512</v>
      </c>
      <c r="L431">
        <v>32</v>
      </c>
      <c r="M431" s="40">
        <v>45520</v>
      </c>
      <c r="N431">
        <v>32</v>
      </c>
      <c r="O431" t="s">
        <v>2026</v>
      </c>
      <c r="P431" t="s">
        <v>2027</v>
      </c>
      <c r="Q431" t="s">
        <v>1988</v>
      </c>
      <c r="R431" t="s">
        <v>1989</v>
      </c>
      <c r="T431" s="40">
        <v>45461</v>
      </c>
      <c r="U431" s="40">
        <v>45467</v>
      </c>
      <c r="V431" s="40">
        <v>45504</v>
      </c>
      <c r="W431" s="40">
        <v>45504</v>
      </c>
      <c r="X431" s="157">
        <v>55570</v>
      </c>
      <c r="Y431" s="40" t="str" cm="1">
        <f t="array" aca="1" ref="Y431" ca="1">TRIM(SUBSTITUTE(_xlfn.ARRAYTOTEXT(IFERROR(CONCATENATE(SUMIF(INDIRECT("'"&amp;Assemblies[Assy]&amp;"'!"&amp;"C$5:C1000"), $C431, INDIRECT("'"&amp;Assemblies[Assy]&amp;"'!"&amp;"O$5:O1000")), "x",Assemblies[Assy],".",IF(SUMIF(INDIRECT("'"&amp;Assemblies[Assy]&amp;"'!"&amp;"C$5:C1000"), $C431, INDIRECT("'"&amp;Assemblies[Assy]&amp;"'!"&amp;"A$5:A1000"))=0,NA(),SUMIF(INDIRECT("'"&amp;Assemblies[Assy]&amp;"'!"&amp;"C$5:C1000"), $C431, INDIRECT("'"&amp;Assemblies[Assy]&amp;"'!"&amp;"A$5:A1000")))),"")), " ,", ""))</f>
        <v>, 16x7.2.6.3, 8x7.6.2.3, 8x8.1.5.3,</v>
      </c>
      <c r="Z431" s="141">
        <v>0</v>
      </c>
      <c r="AA431" s="141">
        <v>0</v>
      </c>
      <c r="AB431" s="141">
        <v>0</v>
      </c>
      <c r="AC431" s="39">
        <v>0</v>
      </c>
      <c r="AD431" s="141" t="s">
        <v>1473</v>
      </c>
      <c r="AE431" s="296">
        <v>55670</v>
      </c>
      <c r="AF431" s="141"/>
      <c r="AG431"/>
    </row>
    <row r="432" spans="1:33" x14ac:dyDescent="0.25">
      <c r="A432" s="24" t="s">
        <v>2814</v>
      </c>
      <c r="B432" s="134" t="s">
        <v>54</v>
      </c>
      <c r="C432" t="str">
        <f>_xlfn.CONCAT(A432,".",B432)</f>
        <v>PG10.7.2.6.4.A</v>
      </c>
      <c r="D432" t="s">
        <v>2815</v>
      </c>
      <c r="E432" s="18">
        <v>21.8</v>
      </c>
      <c r="F432" s="19" cm="1">
        <f t="array" aca="1" ref="F432" ca="1">SUMPRODUCT(SUMIF(INDIRECT("'"&amp;Assemblies[Assy]&amp;"'!"&amp;"C5:C1000"),C432,(INDIRECT("'"&amp;Assemblies[Assy]&amp;"'!"&amp;"O5:O1000"))))</f>
        <v>32</v>
      </c>
      <c r="G432" s="19">
        <v>32</v>
      </c>
      <c r="H432" s="19" t="str">
        <f ca="1">IF(F432&lt;=G432," ","YES")</f>
        <v xml:space="preserve"> </v>
      </c>
      <c r="I432">
        <v>32</v>
      </c>
      <c r="J432">
        <v>32</v>
      </c>
      <c r="K432" s="40">
        <v>45512</v>
      </c>
      <c r="L432">
        <v>32</v>
      </c>
      <c r="M432" s="40">
        <v>45520</v>
      </c>
      <c r="N432">
        <v>32</v>
      </c>
      <c r="O432" t="s">
        <v>2026</v>
      </c>
      <c r="P432" t="s">
        <v>2027</v>
      </c>
      <c r="Q432" t="s">
        <v>1988</v>
      </c>
      <c r="R432" t="s">
        <v>1989</v>
      </c>
      <c r="T432" s="40">
        <v>45461</v>
      </c>
      <c r="U432" s="40">
        <v>45467</v>
      </c>
      <c r="V432" s="40">
        <v>45504</v>
      </c>
      <c r="W432" s="40">
        <v>45504</v>
      </c>
      <c r="X432" s="157">
        <v>55570</v>
      </c>
      <c r="Y432" s="40" t="str" cm="1">
        <f t="array" aca="1" ref="Y432" ca="1">TRIM(SUBSTITUTE(_xlfn.ARRAYTOTEXT(IFERROR(CONCATENATE(SUMIF(INDIRECT("'"&amp;Assemblies[Assy]&amp;"'!"&amp;"C$5:C1000"), $C432, INDIRECT("'"&amp;Assemblies[Assy]&amp;"'!"&amp;"O$5:O1000")), "x",Assemblies[Assy],".",IF(SUMIF(INDIRECT("'"&amp;Assemblies[Assy]&amp;"'!"&amp;"C$5:C1000"), $C432, INDIRECT("'"&amp;Assemblies[Assy]&amp;"'!"&amp;"A$5:A1000"))=0,NA(),SUMIF(INDIRECT("'"&amp;Assemblies[Assy]&amp;"'!"&amp;"C$5:C1000"), $C432, INDIRECT("'"&amp;Assemblies[Assy]&amp;"'!"&amp;"A$5:A1000")))),"")), " ,", ""))</f>
        <v>, 16x7.2.6.4, 8x7.6.2.4, 8x8.1.5.4,</v>
      </c>
      <c r="Z432" s="141">
        <v>0</v>
      </c>
      <c r="AA432" s="141">
        <v>0</v>
      </c>
      <c r="AB432" s="141">
        <v>0</v>
      </c>
      <c r="AC432" s="39">
        <v>0</v>
      </c>
      <c r="AD432" s="141" t="s">
        <v>1473</v>
      </c>
      <c r="AE432" s="296">
        <v>55670</v>
      </c>
      <c r="AF432" s="141"/>
      <c r="AG432"/>
    </row>
    <row r="433" spans="1:33" x14ac:dyDescent="0.25">
      <c r="A433" s="24" t="s">
        <v>2816</v>
      </c>
      <c r="B433" s="134" t="s">
        <v>54</v>
      </c>
      <c r="C433" t="str">
        <f>_xlfn.CONCAT(A433,".",B433)</f>
        <v>PG10.7.2.8.1.A</v>
      </c>
      <c r="D433" t="s">
        <v>2817</v>
      </c>
      <c r="E433" s="18">
        <f>Z433+AA433+AB433+(65*AC433)</f>
        <v>9.75</v>
      </c>
      <c r="F433" s="19" cm="1">
        <f t="array" aca="1" ref="F433" ca="1">SUMPRODUCT(SUMIF(INDIRECT("'"&amp;Assemblies[Assy]&amp;"'!"&amp;"C5:C1000"),C433,(INDIRECT("'"&amp;Assemblies[Assy]&amp;"'!"&amp;"O5:O1000"))))</f>
        <v>12</v>
      </c>
      <c r="G433" s="19">
        <v>12</v>
      </c>
      <c r="H433" s="19" t="str">
        <f ca="1">IF(F433&lt;=G433," ","YES")</f>
        <v xml:space="preserve"> </v>
      </c>
      <c r="I433">
        <v>12</v>
      </c>
      <c r="J433">
        <v>12</v>
      </c>
      <c r="L433">
        <v>12</v>
      </c>
      <c r="M433" s="40">
        <v>45540</v>
      </c>
      <c r="N433">
        <v>12</v>
      </c>
      <c r="O433" t="s">
        <v>2202</v>
      </c>
      <c r="P433" t="s">
        <v>2747</v>
      </c>
      <c r="R433" t="s">
        <v>2052</v>
      </c>
      <c r="S433" t="s">
        <v>2244</v>
      </c>
      <c r="T433" s="40">
        <v>45510</v>
      </c>
      <c r="U433" s="40">
        <v>45510</v>
      </c>
      <c r="V433" s="40">
        <v>45545</v>
      </c>
      <c r="X433" s="157">
        <v>55660</v>
      </c>
      <c r="Y433" s="40" t="str" cm="1">
        <f t="array" aca="1" ref="Y433" ca="1">TRIM(SUBSTITUTE(_xlfn.ARRAYTOTEXT(IFERROR(CONCATENATE(SUMIF(INDIRECT("'"&amp;Assemblies[Assy]&amp;"'!"&amp;"C$5:C1000"), $C433, INDIRECT("'"&amp;Assemblies[Assy]&amp;"'!"&amp;"O$5:O1000")), "x",Assemblies[Assy],".",IF(SUMIF(INDIRECT("'"&amp;Assemblies[Assy]&amp;"'!"&amp;"C$5:C1000"), $C433, INDIRECT("'"&amp;Assemblies[Assy]&amp;"'!"&amp;"A$5:A1000"))=0,NA(),SUMIF(INDIRECT("'"&amp;Assemblies[Assy]&amp;"'!"&amp;"C$5:C1000"), $C433, INDIRECT("'"&amp;Assemblies[Assy]&amp;"'!"&amp;"A$5:A1000")))),"")), " ,", ""))</f>
        <v>, 12x7.2.8.1,</v>
      </c>
      <c r="Z433" s="141">
        <v>0</v>
      </c>
      <c r="AA433" s="141">
        <v>0</v>
      </c>
      <c r="AB433" s="141">
        <v>0</v>
      </c>
      <c r="AC433" s="39">
        <v>0.15</v>
      </c>
      <c r="AD433" s="141" t="s">
        <v>1473</v>
      </c>
      <c r="AE433" s="296"/>
      <c r="AF433" s="141"/>
      <c r="AG433"/>
    </row>
    <row r="434" spans="1:33" x14ac:dyDescent="0.25">
      <c r="A434" s="24" t="s">
        <v>2818</v>
      </c>
      <c r="B434" s="134" t="s">
        <v>54</v>
      </c>
      <c r="C434" t="str">
        <f>_xlfn.CONCAT(A434,".",B434)</f>
        <v>PG10.7.2.9.1.A</v>
      </c>
      <c r="D434" t="s">
        <v>2819</v>
      </c>
      <c r="E434" s="18">
        <v>53.65</v>
      </c>
      <c r="F434" s="19" cm="1">
        <f t="array" aca="1" ref="F434" ca="1">SUMPRODUCT(SUMIF(INDIRECT("'"&amp;Assemblies[Assy]&amp;"'!"&amp;"C5:C1000"),C434,(INDIRECT("'"&amp;Assemblies[Assy]&amp;"'!"&amp;"O5:O1000"))))</f>
        <v>12</v>
      </c>
      <c r="G434" s="19">
        <v>12</v>
      </c>
      <c r="H434" s="19" t="str">
        <f ca="1">IF(F434&lt;=G434," ","YES")</f>
        <v xml:space="preserve"> </v>
      </c>
      <c r="I434">
        <v>12</v>
      </c>
      <c r="J434">
        <v>12</v>
      </c>
      <c r="K434" s="40">
        <v>45512</v>
      </c>
      <c r="L434">
        <v>12</v>
      </c>
      <c r="M434" s="40">
        <v>45520</v>
      </c>
      <c r="N434">
        <v>12</v>
      </c>
      <c r="O434" t="s">
        <v>1986</v>
      </c>
      <c r="P434" t="s">
        <v>1987</v>
      </c>
      <c r="Q434" t="s">
        <v>1988</v>
      </c>
      <c r="R434" t="s">
        <v>1989</v>
      </c>
      <c r="T434" s="40">
        <v>45461</v>
      </c>
      <c r="U434" s="40">
        <v>45467</v>
      </c>
      <c r="V434" s="40">
        <v>45504</v>
      </c>
      <c r="W434" s="40">
        <v>45504</v>
      </c>
      <c r="X434" s="157">
        <v>55570</v>
      </c>
      <c r="Y434" s="40" t="str" cm="1">
        <f t="array" aca="1" ref="Y434" ca="1">TRIM(SUBSTITUTE(_xlfn.ARRAYTOTEXT(IFERROR(CONCATENATE(SUMIF(INDIRECT("'"&amp;Assemblies[Assy]&amp;"'!"&amp;"C$5:C1000"), $C434, INDIRECT("'"&amp;Assemblies[Assy]&amp;"'!"&amp;"O$5:O1000")), "x",Assemblies[Assy],".",IF(SUMIF(INDIRECT("'"&amp;Assemblies[Assy]&amp;"'!"&amp;"C$5:C1000"), $C434, INDIRECT("'"&amp;Assemblies[Assy]&amp;"'!"&amp;"A$5:A1000"))=0,NA(),SUMIF(INDIRECT("'"&amp;Assemblies[Assy]&amp;"'!"&amp;"C$5:C1000"), $C434, INDIRECT("'"&amp;Assemblies[Assy]&amp;"'!"&amp;"A$5:A1000")))),"")), " ,", ""))</f>
        <v>, 12x7.2.9.1,</v>
      </c>
      <c r="Z434" s="141">
        <v>0</v>
      </c>
      <c r="AA434" s="141">
        <v>0</v>
      </c>
      <c r="AB434" s="141">
        <v>0</v>
      </c>
      <c r="AC434" s="39">
        <v>0</v>
      </c>
      <c r="AD434" s="141" t="s">
        <v>1473</v>
      </c>
      <c r="AE434" s="296">
        <v>55668</v>
      </c>
      <c r="AF434" s="156"/>
      <c r="AG434"/>
    </row>
    <row r="435" spans="1:33" x14ac:dyDescent="0.25">
      <c r="A435" s="24" t="s">
        <v>2820</v>
      </c>
      <c r="B435" s="134" t="s">
        <v>54</v>
      </c>
      <c r="C435" t="str">
        <f>_xlfn.CONCAT(A435,".",B435)</f>
        <v>PG10.7.3.2.1.A</v>
      </c>
      <c r="D435" t="s">
        <v>2821</v>
      </c>
      <c r="E435" s="18">
        <v>119.63</v>
      </c>
      <c r="F435" s="19" cm="1">
        <f t="array" aca="1" ref="F435" ca="1">SUMPRODUCT(SUMIF(INDIRECT("'"&amp;Assemblies[Assy]&amp;"'!"&amp;"C5:C1000"),C435,(INDIRECT("'"&amp;Assemblies[Assy]&amp;"'!"&amp;"O5:O1000"))))</f>
        <v>4</v>
      </c>
      <c r="G435" s="19">
        <v>4</v>
      </c>
      <c r="H435" s="19" t="str">
        <f ca="1">IF(F435&lt;=G435," ","YES")</f>
        <v xml:space="preserve"> </v>
      </c>
      <c r="I435">
        <v>4</v>
      </c>
      <c r="J435">
        <v>4</v>
      </c>
      <c r="K435" s="40">
        <v>45553</v>
      </c>
      <c r="L435">
        <v>4</v>
      </c>
      <c r="M435" s="40">
        <v>45559</v>
      </c>
      <c r="N435">
        <v>4</v>
      </c>
      <c r="O435" t="s">
        <v>2067</v>
      </c>
      <c r="P435" t="s">
        <v>2013</v>
      </c>
      <c r="Q435" t="s">
        <v>1988</v>
      </c>
      <c r="R435" t="s">
        <v>2168</v>
      </c>
      <c r="T435" s="40">
        <v>45461</v>
      </c>
      <c r="U435" s="40">
        <v>45464</v>
      </c>
      <c r="V435" s="40">
        <v>45495</v>
      </c>
      <c r="W435" s="40">
        <v>45495</v>
      </c>
      <c r="X435" s="157">
        <v>55566</v>
      </c>
      <c r="Y435" s="40" t="str" cm="1">
        <f t="array" aca="1" ref="Y435" ca="1">TRIM(SUBSTITUTE(_xlfn.ARRAYTOTEXT(IFERROR(CONCATENATE(SUMIF(INDIRECT("'"&amp;Assemblies[Assy]&amp;"'!"&amp;"C$5:C1000"), $C435, INDIRECT("'"&amp;Assemblies[Assy]&amp;"'!"&amp;"O$5:O1000")), "x",Assemblies[Assy],".",IF(SUMIF(INDIRECT("'"&amp;Assemblies[Assy]&amp;"'!"&amp;"C$5:C1000"), $C435, INDIRECT("'"&amp;Assemblies[Assy]&amp;"'!"&amp;"A$5:A1000"))=0,NA(),SUMIF(INDIRECT("'"&amp;Assemblies[Assy]&amp;"'!"&amp;"C$5:C1000"), $C435, INDIRECT("'"&amp;Assemblies[Assy]&amp;"'!"&amp;"A$5:A1000")))),"")), " ,", ""))</f>
        <v>, 2x7.2.3.1, 2x7.3.2.1,</v>
      </c>
      <c r="Z435" s="141">
        <v>0</v>
      </c>
      <c r="AA435" s="141">
        <v>0</v>
      </c>
      <c r="AB435" s="141">
        <v>0</v>
      </c>
      <c r="AC435" s="39">
        <v>0</v>
      </c>
      <c r="AD435" s="141" t="s">
        <v>1473</v>
      </c>
      <c r="AE435" s="296">
        <v>55740</v>
      </c>
      <c r="AF435" s="141"/>
      <c r="AG435"/>
    </row>
    <row r="436" spans="1:33" x14ac:dyDescent="0.25">
      <c r="A436" s="24" t="s">
        <v>2822</v>
      </c>
      <c r="B436" s="134" t="s">
        <v>54</v>
      </c>
      <c r="C436" t="str">
        <f>_xlfn.CONCAT(A436,".",B436)</f>
        <v>PG10.7.7.1.1.A</v>
      </c>
      <c r="D436" t="s">
        <v>2823</v>
      </c>
      <c r="E436" s="18">
        <v>284.5</v>
      </c>
      <c r="F436" s="19" cm="1">
        <f t="array" aca="1" ref="F436" ca="1">SUMPRODUCT(SUMIF(INDIRECT("'"&amp;Assemblies[Assy]&amp;"'!"&amp;"C5:C1000"),C436,(INDIRECT("'"&amp;Assemblies[Assy]&amp;"'!"&amp;"O5:O1000"))))</f>
        <v>1</v>
      </c>
      <c r="G436" s="19">
        <v>1</v>
      </c>
      <c r="H436" s="19" t="str">
        <f ca="1">IF(F436&lt;=G436," ","YES")</f>
        <v xml:space="preserve"> </v>
      </c>
      <c r="I436">
        <v>1</v>
      </c>
      <c r="J436">
        <v>1</v>
      </c>
      <c r="O436" t="s">
        <v>2067</v>
      </c>
      <c r="P436" t="s">
        <v>2013</v>
      </c>
      <c r="Q436" t="s">
        <v>1988</v>
      </c>
      <c r="R436" t="s">
        <v>2168</v>
      </c>
      <c r="T436" s="40">
        <v>45461</v>
      </c>
      <c r="U436" s="40">
        <v>45464</v>
      </c>
      <c r="V436" s="40">
        <v>45495</v>
      </c>
      <c r="W436" s="40">
        <v>45495</v>
      </c>
      <c r="X436" s="157">
        <v>55566</v>
      </c>
      <c r="Y436" s="40" t="str" cm="1">
        <f t="array" aca="1" ref="Y436" ca="1">TRIM(SUBSTITUTE(_xlfn.ARRAYTOTEXT(IFERROR(CONCATENATE(SUMIF(INDIRECT("'"&amp;Assemblies[Assy]&amp;"'!"&amp;"C$5:C1000"), $C436, INDIRECT("'"&amp;Assemblies[Assy]&amp;"'!"&amp;"O$5:O1000")), "x",Assemblies[Assy],".",IF(SUMIF(INDIRECT("'"&amp;Assemblies[Assy]&amp;"'!"&amp;"C$5:C1000"), $C436, INDIRECT("'"&amp;Assemblies[Assy]&amp;"'!"&amp;"A$5:A1000"))=0,NA(),SUMIF(INDIRECT("'"&amp;Assemblies[Assy]&amp;"'!"&amp;"C$5:C1000"), $C436, INDIRECT("'"&amp;Assemblies[Assy]&amp;"'!"&amp;"A$5:A1000")))),"")), " ,", ""))</f>
        <v>, 1x7.7.1.1,</v>
      </c>
      <c r="Z436" s="141">
        <v>0</v>
      </c>
      <c r="AA436" s="141">
        <v>0</v>
      </c>
      <c r="AB436" s="141">
        <v>0</v>
      </c>
      <c r="AC436" s="39">
        <v>0</v>
      </c>
      <c r="AD436" s="141" t="s">
        <v>1473</v>
      </c>
      <c r="AE436" s="296"/>
      <c r="AF436" s="141"/>
      <c r="AG436"/>
    </row>
    <row r="437" spans="1:33" x14ac:dyDescent="0.25">
      <c r="A437" s="24" t="s">
        <v>2824</v>
      </c>
      <c r="B437" s="134" t="s">
        <v>54</v>
      </c>
      <c r="C437" t="str">
        <f>_xlfn.CONCAT(A437,".",B437)</f>
        <v>PG10.7.7.1.A</v>
      </c>
      <c r="D437" t="s">
        <v>2825</v>
      </c>
      <c r="E437" s="18">
        <v>226.9</v>
      </c>
      <c r="F437" s="19" cm="1">
        <f t="array" aca="1" ref="F437" ca="1">SUMPRODUCT(SUMIF(INDIRECT("'"&amp;Assemblies[Assy]&amp;"'!"&amp;"C5:C1000"),C437,(INDIRECT("'"&amp;Assemblies[Assy]&amp;"'!"&amp;"O5:O1000"))))</f>
        <v>1</v>
      </c>
      <c r="G437" s="19">
        <v>1</v>
      </c>
      <c r="H437" s="19" t="str">
        <f ca="1">IF(F437&lt;=G437," ","YES")</f>
        <v xml:space="preserve"> </v>
      </c>
      <c r="I437">
        <v>1</v>
      </c>
      <c r="J437">
        <v>1</v>
      </c>
      <c r="L437">
        <v>1</v>
      </c>
      <c r="N437">
        <v>1</v>
      </c>
      <c r="O437" t="s">
        <v>2021</v>
      </c>
      <c r="P437" t="s">
        <v>2606</v>
      </c>
      <c r="R437" t="s">
        <v>2488</v>
      </c>
      <c r="T437" s="40">
        <v>45495</v>
      </c>
      <c r="U437" s="40">
        <v>45510</v>
      </c>
      <c r="V437" s="40">
        <v>45540</v>
      </c>
      <c r="W437" s="40">
        <v>45540</v>
      </c>
      <c r="X437" s="157">
        <v>55658</v>
      </c>
      <c r="Y437" s="40" t="str" cm="1">
        <f t="array" aca="1" ref="Y437" ca="1">TRIM(SUBSTITUTE(_xlfn.ARRAYTOTEXT(IFERROR(CONCATENATE(SUMIF(INDIRECT("'"&amp;Assemblies[Assy]&amp;"'!"&amp;"C$5:C1000"), $C437, INDIRECT("'"&amp;Assemblies[Assy]&amp;"'!"&amp;"O$5:O1000")), "x",Assemblies[Assy],".",IF(SUMIF(INDIRECT("'"&amp;Assemblies[Assy]&amp;"'!"&amp;"C$5:C1000"), $C437, INDIRECT("'"&amp;Assemblies[Assy]&amp;"'!"&amp;"A$5:A1000"))=0,NA(),SUMIF(INDIRECT("'"&amp;Assemblies[Assy]&amp;"'!"&amp;"C$5:C1000"), $C437, INDIRECT("'"&amp;Assemblies[Assy]&amp;"'!"&amp;"A$5:A1000")))),"")), " ,", ""))</f>
        <v>, 1x7.7.1,</v>
      </c>
      <c r="Z437" s="141">
        <v>0</v>
      </c>
      <c r="AA437" s="141">
        <v>0</v>
      </c>
      <c r="AB437" s="141">
        <v>0</v>
      </c>
      <c r="AC437" s="39">
        <v>0</v>
      </c>
      <c r="AD437" s="141"/>
      <c r="AE437" s="296"/>
      <c r="AF437" s="178"/>
      <c r="AG437"/>
    </row>
    <row r="438" spans="1:33" x14ac:dyDescent="0.25">
      <c r="A438" s="24" t="s">
        <v>2826</v>
      </c>
      <c r="B438" s="134" t="s">
        <v>54</v>
      </c>
      <c r="C438" t="str">
        <f>_xlfn.CONCAT(A438,".",B438)</f>
        <v>PG10.8.1.1.1.A</v>
      </c>
      <c r="D438" t="s">
        <v>2827</v>
      </c>
      <c r="E438" s="18">
        <v>225</v>
      </c>
      <c r="F438" s="19" cm="1">
        <f t="array" aca="1" ref="F438" ca="1">SUMPRODUCT(SUMIF(INDIRECT("'"&amp;Assemblies[Assy]&amp;"'!"&amp;"C5:C1000"),C438,(INDIRECT("'"&amp;Assemblies[Assy]&amp;"'!"&amp;"O5:O1000"))))</f>
        <v>2</v>
      </c>
      <c r="G438" s="19">
        <v>2</v>
      </c>
      <c r="H438" s="19" t="str">
        <f ca="1">IF(F438&lt;=G438," ","YES")</f>
        <v xml:space="preserve"> </v>
      </c>
      <c r="I438">
        <v>2</v>
      </c>
      <c r="J438">
        <v>2</v>
      </c>
      <c r="L438">
        <v>2</v>
      </c>
      <c r="N438">
        <v>2</v>
      </c>
      <c r="O438" t="s">
        <v>2067</v>
      </c>
      <c r="P438" t="s">
        <v>1987</v>
      </c>
      <c r="Q438" t="s">
        <v>1988</v>
      </c>
      <c r="R438" t="s">
        <v>2047</v>
      </c>
      <c r="T438" s="40">
        <v>45461</v>
      </c>
      <c r="U438" s="40">
        <v>45467</v>
      </c>
      <c r="V438" s="40">
        <v>45504</v>
      </c>
      <c r="W438" s="40">
        <v>45504</v>
      </c>
      <c r="X438" s="157">
        <v>55569</v>
      </c>
      <c r="Y438" s="40" t="str" cm="1">
        <f t="array" aca="1" ref="Y438" ca="1">TRIM(SUBSTITUTE(_xlfn.ARRAYTOTEXT(IFERROR(CONCATENATE(SUMIF(INDIRECT("'"&amp;Assemblies[Assy]&amp;"'!"&amp;"C$5:C1000"), $C438, INDIRECT("'"&amp;Assemblies[Assy]&amp;"'!"&amp;"O$5:O1000")), "x",Assemblies[Assy],".",IF(SUMIF(INDIRECT("'"&amp;Assemblies[Assy]&amp;"'!"&amp;"C$5:C1000"), $C438, INDIRECT("'"&amp;Assemblies[Assy]&amp;"'!"&amp;"A$5:A1000"))=0,NA(),SUMIF(INDIRECT("'"&amp;Assemblies[Assy]&amp;"'!"&amp;"C$5:C1000"), $C438, INDIRECT("'"&amp;Assemblies[Assy]&amp;"'!"&amp;"A$5:A1000")))),"")), " ,", ""))</f>
        <v>, 2x8.1.1.2,</v>
      </c>
      <c r="Z438" s="141">
        <v>0</v>
      </c>
      <c r="AA438" s="141">
        <v>0</v>
      </c>
      <c r="AB438" s="141">
        <v>0</v>
      </c>
      <c r="AC438" s="39">
        <v>0</v>
      </c>
      <c r="AD438" s="141"/>
      <c r="AE438" s="296">
        <v>55617</v>
      </c>
      <c r="AF438" s="156"/>
      <c r="AG438"/>
    </row>
    <row r="439" spans="1:33" x14ac:dyDescent="0.25">
      <c r="A439" s="24" t="s">
        <v>2828</v>
      </c>
      <c r="B439" s="134" t="s">
        <v>54</v>
      </c>
      <c r="C439" t="str">
        <f>_xlfn.CONCAT(A439,".",B439)</f>
        <v>PG10.8.1.1.2.A</v>
      </c>
      <c r="D439" t="s">
        <v>2829</v>
      </c>
      <c r="E439" s="18">
        <v>225</v>
      </c>
      <c r="F439" s="19" cm="1">
        <f t="array" aca="1" ref="F439" ca="1">SUMPRODUCT(SUMIF(INDIRECT("'"&amp;Assemblies[Assy]&amp;"'!"&amp;"C5:C1000"),C439,(INDIRECT("'"&amp;Assemblies[Assy]&amp;"'!"&amp;"O5:O1000"))))</f>
        <v>2</v>
      </c>
      <c r="G439" s="19">
        <v>2</v>
      </c>
      <c r="H439" s="19" t="str">
        <f ca="1">IF(F439&lt;=G439," ","YES")</f>
        <v xml:space="preserve"> </v>
      </c>
      <c r="I439">
        <v>2</v>
      </c>
      <c r="J439">
        <v>2</v>
      </c>
      <c r="L439">
        <v>2</v>
      </c>
      <c r="N439">
        <v>2</v>
      </c>
      <c r="O439" t="s">
        <v>2067</v>
      </c>
      <c r="P439" t="s">
        <v>1987</v>
      </c>
      <c r="Q439" t="s">
        <v>1988</v>
      </c>
      <c r="R439" t="s">
        <v>2047</v>
      </c>
      <c r="T439" s="40">
        <v>45461</v>
      </c>
      <c r="U439" s="40">
        <v>45461</v>
      </c>
      <c r="V439" s="40">
        <v>45467</v>
      </c>
      <c r="W439" s="40">
        <v>45467</v>
      </c>
      <c r="X439" s="157">
        <v>55569</v>
      </c>
      <c r="Y439" s="40" t="str" cm="1">
        <f t="array" aca="1" ref="Y439" ca="1">TRIM(SUBSTITUTE(_xlfn.ARRAYTOTEXT(IFERROR(CONCATENATE(SUMIF(INDIRECT("'"&amp;Assemblies[Assy]&amp;"'!"&amp;"C$5:C1000"), $C439, INDIRECT("'"&amp;Assemblies[Assy]&amp;"'!"&amp;"O$5:O1000")), "x",Assemblies[Assy],".",IF(SUMIF(INDIRECT("'"&amp;Assemblies[Assy]&amp;"'!"&amp;"C$5:C1000"), $C439, INDIRECT("'"&amp;Assemblies[Assy]&amp;"'!"&amp;"A$5:A1000"))=0,NA(),SUMIF(INDIRECT("'"&amp;Assemblies[Assy]&amp;"'!"&amp;"C$5:C1000"), $C439, INDIRECT("'"&amp;Assemblies[Assy]&amp;"'!"&amp;"A$5:A1000")))),"")), " ,", ""))</f>
        <v>, 2x8.1.1.3,</v>
      </c>
      <c r="Z439" s="141">
        <v>0</v>
      </c>
      <c r="AA439" s="141">
        <v>0</v>
      </c>
      <c r="AB439" s="141">
        <v>0</v>
      </c>
      <c r="AC439" s="39">
        <v>0</v>
      </c>
      <c r="AD439" s="141"/>
      <c r="AE439" s="296">
        <v>55617</v>
      </c>
      <c r="AF439" s="156"/>
      <c r="AG439"/>
    </row>
    <row r="440" spans="1:33" x14ac:dyDescent="0.25">
      <c r="A440" s="24" t="s">
        <v>2830</v>
      </c>
      <c r="B440" s="134" t="s">
        <v>54</v>
      </c>
      <c r="C440" t="str">
        <f>_xlfn.CONCAT(A440,".",B440)</f>
        <v>PG10.8.1.1.3.A</v>
      </c>
      <c r="D440" t="s">
        <v>2831</v>
      </c>
      <c r="E440" s="18">
        <v>197.25</v>
      </c>
      <c r="F440" s="19" cm="1">
        <f t="array" aca="1" ref="F440" ca="1">SUMPRODUCT(SUMIF(INDIRECT("'"&amp;Assemblies[Assy]&amp;"'!"&amp;"C5:C1000"),C440,(INDIRECT("'"&amp;Assemblies[Assy]&amp;"'!"&amp;"O5:O1000"))))</f>
        <v>2</v>
      </c>
      <c r="G440" s="19">
        <v>2</v>
      </c>
      <c r="H440" s="19" t="str">
        <f ca="1">IF(F440&lt;=G440," ","YES")</f>
        <v xml:space="preserve"> </v>
      </c>
      <c r="I440">
        <v>2</v>
      </c>
      <c r="J440">
        <v>2</v>
      </c>
      <c r="L440">
        <v>2</v>
      </c>
      <c r="N440">
        <v>2</v>
      </c>
      <c r="O440" t="s">
        <v>2067</v>
      </c>
      <c r="P440" t="s">
        <v>1987</v>
      </c>
      <c r="Q440" t="s">
        <v>1988</v>
      </c>
      <c r="R440" t="s">
        <v>2168</v>
      </c>
      <c r="T440" s="40">
        <v>45461</v>
      </c>
      <c r="U440" s="40">
        <v>45462</v>
      </c>
      <c r="V440" s="40">
        <v>45492</v>
      </c>
      <c r="W440" s="40">
        <v>45492</v>
      </c>
      <c r="X440" s="157">
        <v>55559</v>
      </c>
      <c r="Y440" s="40" t="str" cm="1">
        <f t="array" aca="1" ref="Y440" ca="1">TRIM(SUBSTITUTE(_xlfn.ARRAYTOTEXT(IFERROR(CONCATENATE(SUMIF(INDIRECT("'"&amp;Assemblies[Assy]&amp;"'!"&amp;"C$5:C1000"), $C440, INDIRECT("'"&amp;Assemblies[Assy]&amp;"'!"&amp;"O$5:O1000")), "x",Assemblies[Assy],".",IF(SUMIF(INDIRECT("'"&amp;Assemblies[Assy]&amp;"'!"&amp;"C$5:C1000"), $C440, INDIRECT("'"&amp;Assemblies[Assy]&amp;"'!"&amp;"A$5:A1000"))=0,NA(),SUMIF(INDIRECT("'"&amp;Assemblies[Assy]&amp;"'!"&amp;"C$5:C1000"), $C440, INDIRECT("'"&amp;Assemblies[Assy]&amp;"'!"&amp;"A$5:A1000")))),"")), " ,", ""))</f>
        <v>, 2x8.1.1.4,</v>
      </c>
      <c r="Z440" s="141">
        <v>0</v>
      </c>
      <c r="AA440" s="141">
        <v>0</v>
      </c>
      <c r="AB440" s="141">
        <v>0</v>
      </c>
      <c r="AC440" s="39">
        <v>0</v>
      </c>
      <c r="AD440" s="141"/>
      <c r="AE440" s="296">
        <v>55617</v>
      </c>
      <c r="AF440" s="156"/>
      <c r="AG440"/>
    </row>
    <row r="441" spans="1:33" x14ac:dyDescent="0.25">
      <c r="A441" s="24" t="s">
        <v>2832</v>
      </c>
      <c r="B441" s="134" t="s">
        <v>54</v>
      </c>
      <c r="C441" t="str">
        <f>_xlfn.CONCAT(A441,".",B441)</f>
        <v>PG10.8.1.2.1.A</v>
      </c>
      <c r="D441" t="s">
        <v>2833</v>
      </c>
      <c r="E441" s="18">
        <v>101.5</v>
      </c>
      <c r="F441" s="19" cm="1">
        <f t="array" aca="1" ref="F441" ca="1">SUMPRODUCT(SUMIF(INDIRECT("'"&amp;Assemblies[Assy]&amp;"'!"&amp;"C5:C1000"),C441,(INDIRECT("'"&amp;Assemblies[Assy]&amp;"'!"&amp;"O5:O1000"))))</f>
        <v>2</v>
      </c>
      <c r="G441" s="19">
        <v>2</v>
      </c>
      <c r="H441" s="19" t="str">
        <f ca="1">IF(F441&lt;=G441," ","YES")</f>
        <v xml:space="preserve"> </v>
      </c>
      <c r="I441">
        <v>2</v>
      </c>
      <c r="J441">
        <v>2</v>
      </c>
      <c r="L441">
        <v>2</v>
      </c>
      <c r="N441">
        <v>2</v>
      </c>
      <c r="O441" t="s">
        <v>2189</v>
      </c>
      <c r="P441" t="s">
        <v>1993</v>
      </c>
      <c r="R441" t="s">
        <v>1988</v>
      </c>
      <c r="S441" s="40" t="s">
        <v>2576</v>
      </c>
      <c r="T441" s="40">
        <v>45525</v>
      </c>
      <c r="U441" s="40">
        <v>45527</v>
      </c>
      <c r="V441" s="40">
        <v>45541</v>
      </c>
      <c r="W441" s="40">
        <v>45527</v>
      </c>
      <c r="X441" s="157">
        <v>55700</v>
      </c>
      <c r="Y441" s="40" t="str" cm="1">
        <f t="array" aca="1" ref="Y441" ca="1">TRIM(SUBSTITUTE(_xlfn.ARRAYTOTEXT(IFERROR(CONCATENATE(SUMIF(INDIRECT("'"&amp;Assemblies[Assy]&amp;"'!"&amp;"C$5:C1000"), $C441, INDIRECT("'"&amp;Assemblies[Assy]&amp;"'!"&amp;"O$5:O1000")), "x",Assemblies[Assy],".",IF(SUMIF(INDIRECT("'"&amp;Assemblies[Assy]&amp;"'!"&amp;"C$5:C1000"), $C441, INDIRECT("'"&amp;Assemblies[Assy]&amp;"'!"&amp;"A$5:A1000"))=0,NA(),SUMIF(INDIRECT("'"&amp;Assemblies[Assy]&amp;"'!"&amp;"C$5:C1000"), $C441, INDIRECT("'"&amp;Assemblies[Assy]&amp;"'!"&amp;"A$5:A1000")))),"")), " ,", ""))</f>
        <v>, 1x8.1.2.1, 1x8.2.1.1,</v>
      </c>
      <c r="Z441" s="141">
        <v>0</v>
      </c>
      <c r="AA441" s="141">
        <v>0</v>
      </c>
      <c r="AB441" s="141">
        <v>0</v>
      </c>
      <c r="AC441" s="39">
        <v>0</v>
      </c>
      <c r="AD441" s="141"/>
      <c r="AE441" s="296"/>
      <c r="AF441" s="156"/>
      <c r="AG441"/>
    </row>
    <row r="442" spans="1:33" x14ac:dyDescent="0.25">
      <c r="A442" s="24" t="s">
        <v>2834</v>
      </c>
      <c r="B442" s="134" t="s">
        <v>54</v>
      </c>
      <c r="C442" t="str">
        <f>_xlfn.CONCAT(A442,".",B442)</f>
        <v>PG10.8.1.3.1.A</v>
      </c>
      <c r="D442" t="s">
        <v>2835</v>
      </c>
      <c r="E442" s="18">
        <v>284.5</v>
      </c>
      <c r="F442" s="19" cm="1">
        <f t="array" aca="1" ref="F442" ca="1">SUMPRODUCT(SUMIF(INDIRECT("'"&amp;Assemblies[Assy]&amp;"'!"&amp;"C5:C1000"),C442,(INDIRECT("'"&amp;Assemblies[Assy]&amp;"'!"&amp;"O5:O1000"))))</f>
        <v>1</v>
      </c>
      <c r="G442" s="19">
        <v>1</v>
      </c>
      <c r="H442" s="19" t="str">
        <f ca="1">IF(F442&lt;=G442," ","YES")</f>
        <v xml:space="preserve"> </v>
      </c>
      <c r="I442">
        <v>1</v>
      </c>
      <c r="J442">
        <v>1</v>
      </c>
      <c r="O442" t="s">
        <v>2067</v>
      </c>
      <c r="P442" t="s">
        <v>2013</v>
      </c>
      <c r="Q442" t="s">
        <v>1988</v>
      </c>
      <c r="R442" t="s">
        <v>2168</v>
      </c>
      <c r="T442" s="40">
        <v>45461</v>
      </c>
      <c r="U442" s="40">
        <v>45464</v>
      </c>
      <c r="V442" s="40">
        <v>45495</v>
      </c>
      <c r="W442" s="40">
        <v>45495</v>
      </c>
      <c r="X442" s="157">
        <v>55566</v>
      </c>
      <c r="Y442" s="40" t="str" cm="1">
        <f t="array" aca="1" ref="Y442" ca="1">TRIM(SUBSTITUTE(_xlfn.ARRAYTOTEXT(IFERROR(CONCATENATE(SUMIF(INDIRECT("'"&amp;Assemblies[Assy]&amp;"'!"&amp;"C$5:C1000"), $C442, INDIRECT("'"&amp;Assemblies[Assy]&amp;"'!"&amp;"O$5:O1000")), "x",Assemblies[Assy],".",IF(SUMIF(INDIRECT("'"&amp;Assemblies[Assy]&amp;"'!"&amp;"C$5:C1000"), $C442, INDIRECT("'"&amp;Assemblies[Assy]&amp;"'!"&amp;"A$5:A1000"))=0,NA(),SUMIF(INDIRECT("'"&amp;Assemblies[Assy]&amp;"'!"&amp;"C$5:C1000"), $C442, INDIRECT("'"&amp;Assemblies[Assy]&amp;"'!"&amp;"A$5:A1000")))),"")), " ,", ""))</f>
        <v>, 1x8.1.3.1,</v>
      </c>
      <c r="Z442" s="141">
        <v>0</v>
      </c>
      <c r="AA442" s="141">
        <v>0</v>
      </c>
      <c r="AB442" s="141">
        <v>0</v>
      </c>
      <c r="AC442" s="39">
        <v>0</v>
      </c>
      <c r="AD442" s="141"/>
      <c r="AE442" s="296"/>
      <c r="AF442" s="156"/>
      <c r="AG442"/>
    </row>
    <row r="443" spans="1:33" x14ac:dyDescent="0.25">
      <c r="A443" s="24" t="s">
        <v>2836</v>
      </c>
      <c r="B443" s="134" t="s">
        <v>54</v>
      </c>
      <c r="C443" t="str">
        <f>_xlfn.CONCAT(A443,".",B443)</f>
        <v>PG10.8.1.3.2.A</v>
      </c>
      <c r="D443" t="s">
        <v>2837</v>
      </c>
      <c r="E443" s="18">
        <v>214.75</v>
      </c>
      <c r="F443" s="19" cm="1">
        <f t="array" aca="1" ref="F443" ca="1">SUMPRODUCT(SUMIF(INDIRECT("'"&amp;Assemblies[Assy]&amp;"'!"&amp;"C5:C1000"),C443,(INDIRECT("'"&amp;Assemblies[Assy]&amp;"'!"&amp;"O5:O1000"))))</f>
        <v>2</v>
      </c>
      <c r="G443" s="19">
        <v>2</v>
      </c>
      <c r="H443" s="19" t="str">
        <f ca="1">IF(F443&lt;=G443," ","YES")</f>
        <v xml:space="preserve"> </v>
      </c>
      <c r="I443">
        <v>2</v>
      </c>
      <c r="J443">
        <v>2</v>
      </c>
      <c r="O443" t="s">
        <v>2067</v>
      </c>
      <c r="P443" t="s">
        <v>2013</v>
      </c>
      <c r="Q443" t="s">
        <v>1988</v>
      </c>
      <c r="R443" t="s">
        <v>2168</v>
      </c>
      <c r="T443" s="40">
        <v>45461</v>
      </c>
      <c r="U443" s="40">
        <v>45464</v>
      </c>
      <c r="V443" s="40">
        <v>45495</v>
      </c>
      <c r="W443" s="40">
        <v>45495</v>
      </c>
      <c r="X443" s="157">
        <v>55566</v>
      </c>
      <c r="Y443" s="40" t="str" cm="1">
        <f t="array" aca="1" ref="Y443" ca="1">TRIM(SUBSTITUTE(_xlfn.ARRAYTOTEXT(IFERROR(CONCATENATE(SUMIF(INDIRECT("'"&amp;Assemblies[Assy]&amp;"'!"&amp;"C$5:C1000"), $C443, INDIRECT("'"&amp;Assemblies[Assy]&amp;"'!"&amp;"O$5:O1000")), "x",Assemblies[Assy],".",IF(SUMIF(INDIRECT("'"&amp;Assemblies[Assy]&amp;"'!"&amp;"C$5:C1000"), $C443, INDIRECT("'"&amp;Assemblies[Assy]&amp;"'!"&amp;"A$5:A1000"))=0,NA(),SUMIF(INDIRECT("'"&amp;Assemblies[Assy]&amp;"'!"&amp;"C$5:C1000"), $C443, INDIRECT("'"&amp;Assemblies[Assy]&amp;"'!"&amp;"A$5:A1000")))),"")), " ,", ""))</f>
        <v>, 1x8.1.3.2, 1x8.2.2.2,</v>
      </c>
      <c r="Z443" s="141">
        <v>0</v>
      </c>
      <c r="AA443" s="141">
        <v>0</v>
      </c>
      <c r="AB443" s="141">
        <v>0</v>
      </c>
      <c r="AC443" s="39">
        <v>0</v>
      </c>
      <c r="AD443" s="141"/>
      <c r="AE443" s="296"/>
      <c r="AF443" s="156"/>
      <c r="AG443"/>
    </row>
    <row r="444" spans="1:33" x14ac:dyDescent="0.25">
      <c r="A444" s="24" t="s">
        <v>2838</v>
      </c>
      <c r="B444" s="134" t="s">
        <v>54</v>
      </c>
      <c r="C444" t="str">
        <f>_xlfn.CONCAT(A444,".",B444)</f>
        <v>PG10.8.1.3.3.A</v>
      </c>
      <c r="D444" t="s">
        <v>2839</v>
      </c>
      <c r="E444" s="18">
        <v>284.75</v>
      </c>
      <c r="F444" s="19" cm="1">
        <f t="array" aca="1" ref="F444" ca="1">SUMPRODUCT(SUMIF(INDIRECT("'"&amp;Assemblies[Assy]&amp;"'!"&amp;"C5:C1000"),C444,(INDIRECT("'"&amp;Assemblies[Assy]&amp;"'!"&amp;"O5:O1000"))))</f>
        <v>2</v>
      </c>
      <c r="G444" s="19">
        <v>2</v>
      </c>
      <c r="H444" s="19" t="str">
        <f ca="1">IF(F444&lt;=G444," ","YES")</f>
        <v xml:space="preserve"> </v>
      </c>
      <c r="I444">
        <v>2</v>
      </c>
      <c r="J444">
        <v>2</v>
      </c>
      <c r="O444" t="s">
        <v>2067</v>
      </c>
      <c r="P444" t="s">
        <v>2013</v>
      </c>
      <c r="Q444" t="s">
        <v>1988</v>
      </c>
      <c r="R444" t="s">
        <v>2168</v>
      </c>
      <c r="T444" s="40">
        <v>45461</v>
      </c>
      <c r="U444" s="40">
        <v>45464</v>
      </c>
      <c r="V444" s="40">
        <v>45495</v>
      </c>
      <c r="W444" s="40">
        <v>45495</v>
      </c>
      <c r="X444" s="157">
        <v>55566</v>
      </c>
      <c r="Y444" s="40" t="str" cm="1">
        <f t="array" aca="1" ref="Y444" ca="1">TRIM(SUBSTITUTE(_xlfn.ARRAYTOTEXT(IFERROR(CONCATENATE(SUMIF(INDIRECT("'"&amp;Assemblies[Assy]&amp;"'!"&amp;"C$5:C1000"), $C444, INDIRECT("'"&amp;Assemblies[Assy]&amp;"'!"&amp;"O$5:O1000")), "x",Assemblies[Assy],".",IF(SUMIF(INDIRECT("'"&amp;Assemblies[Assy]&amp;"'!"&amp;"C$5:C1000"), $C444, INDIRECT("'"&amp;Assemblies[Assy]&amp;"'!"&amp;"A$5:A1000"))=0,NA(),SUMIF(INDIRECT("'"&amp;Assemblies[Assy]&amp;"'!"&amp;"C$5:C1000"), $C444, INDIRECT("'"&amp;Assemblies[Assy]&amp;"'!"&amp;"A$5:A1000")))),"")), " ,", ""))</f>
        <v>, 1x8.1.3.3, 1x8.2.2.3,</v>
      </c>
      <c r="Z444" s="141">
        <v>0</v>
      </c>
      <c r="AA444" s="141">
        <v>0</v>
      </c>
      <c r="AB444" s="141">
        <v>0</v>
      </c>
      <c r="AC444" s="39">
        <v>0</v>
      </c>
      <c r="AD444" s="141"/>
      <c r="AE444" s="296"/>
      <c r="AF444" s="156"/>
      <c r="AG444"/>
    </row>
    <row r="445" spans="1:33" x14ac:dyDescent="0.25">
      <c r="A445" s="24" t="s">
        <v>2840</v>
      </c>
      <c r="B445" s="134" t="s">
        <v>54</v>
      </c>
      <c r="C445" t="str">
        <f>_xlfn.CONCAT(A445,".",B445)</f>
        <v>PG10.8.1.3.4.A</v>
      </c>
      <c r="D445" t="s">
        <v>2841</v>
      </c>
      <c r="E445" s="18">
        <v>324.75</v>
      </c>
      <c r="F445" s="19" cm="1">
        <f t="array" aca="1" ref="F445" ca="1">SUMPRODUCT(SUMIF(INDIRECT("'"&amp;Assemblies[Assy]&amp;"'!"&amp;"C5:C1000"),C445,(INDIRECT("'"&amp;Assemblies[Assy]&amp;"'!"&amp;"O5:O1000"))))</f>
        <v>2</v>
      </c>
      <c r="G445" s="19">
        <v>2</v>
      </c>
      <c r="H445" s="19" t="str">
        <f ca="1">IF(F445&lt;=G445," ","YES")</f>
        <v xml:space="preserve"> </v>
      </c>
      <c r="I445">
        <v>2</v>
      </c>
      <c r="J445">
        <v>2</v>
      </c>
      <c r="L445">
        <v>2</v>
      </c>
      <c r="N445">
        <v>2</v>
      </c>
      <c r="O445" t="s">
        <v>2026</v>
      </c>
      <c r="P445" t="s">
        <v>2027</v>
      </c>
      <c r="Q445" t="s">
        <v>1988</v>
      </c>
      <c r="R445" t="s">
        <v>2168</v>
      </c>
      <c r="T445" s="40">
        <v>45461</v>
      </c>
      <c r="U445" s="40">
        <v>45462</v>
      </c>
      <c r="V445" s="40">
        <v>45492</v>
      </c>
      <c r="W445" s="40">
        <v>45492</v>
      </c>
      <c r="X445" s="157">
        <v>55559</v>
      </c>
      <c r="Y445" s="40" t="str" cm="1">
        <f t="array" aca="1" ref="Y445" ca="1">TRIM(SUBSTITUTE(_xlfn.ARRAYTOTEXT(IFERROR(CONCATENATE(SUMIF(INDIRECT("'"&amp;Assemblies[Assy]&amp;"'!"&amp;"C$5:C1000"), $C445, INDIRECT("'"&amp;Assemblies[Assy]&amp;"'!"&amp;"O$5:O1000")), "x",Assemblies[Assy],".",IF(SUMIF(INDIRECT("'"&amp;Assemblies[Assy]&amp;"'!"&amp;"C$5:C1000"), $C445, INDIRECT("'"&amp;Assemblies[Assy]&amp;"'!"&amp;"A$5:A1000"))=0,NA(),SUMIF(INDIRECT("'"&amp;Assemblies[Assy]&amp;"'!"&amp;"C$5:C1000"), $C445, INDIRECT("'"&amp;Assemblies[Assy]&amp;"'!"&amp;"A$5:A1000")))),"")), " ,", ""))</f>
        <v>, 1x8.1.3.4, 1x8.2.2.4,</v>
      </c>
      <c r="Z445" s="141">
        <v>0</v>
      </c>
      <c r="AA445" s="141">
        <v>0</v>
      </c>
      <c r="AB445" s="141">
        <v>0</v>
      </c>
      <c r="AC445" s="39">
        <v>0</v>
      </c>
      <c r="AD445" s="141"/>
      <c r="AE445" s="296">
        <v>55618</v>
      </c>
      <c r="AF445" s="156"/>
      <c r="AG445"/>
    </row>
    <row r="446" spans="1:33" x14ac:dyDescent="0.25">
      <c r="A446" s="24" t="s">
        <v>2842</v>
      </c>
      <c r="B446" s="134" t="s">
        <v>54</v>
      </c>
      <c r="C446" t="str">
        <f>_xlfn.CONCAT(A446,".",B446)</f>
        <v>PG10.8.1.3.5.A</v>
      </c>
      <c r="D446" t="s">
        <v>2843</v>
      </c>
      <c r="E446" s="18">
        <f>Z446+AA446+AB446+(65*AC446)</f>
        <v>20.5</v>
      </c>
      <c r="F446" s="19" cm="1">
        <f t="array" aca="1" ref="F446" ca="1">SUMPRODUCT(SUMIF(INDIRECT("'"&amp;Assemblies[Assy]&amp;"'!"&amp;"C5:C1000"),C446,(INDIRECT("'"&amp;Assemblies[Assy]&amp;"'!"&amp;"O5:O1000"))))</f>
        <v>2</v>
      </c>
      <c r="G446" s="19">
        <v>2</v>
      </c>
      <c r="H446" s="19" t="str">
        <f ca="1">IF(F446&lt;=G446," ","YES")</f>
        <v xml:space="preserve"> </v>
      </c>
      <c r="I446">
        <v>2</v>
      </c>
      <c r="J446">
        <v>2</v>
      </c>
      <c r="L446">
        <v>2</v>
      </c>
      <c r="N446">
        <v>2</v>
      </c>
      <c r="O446" t="s">
        <v>2792</v>
      </c>
      <c r="P446" t="s">
        <v>1993</v>
      </c>
      <c r="R446" t="s">
        <v>1988</v>
      </c>
      <c r="S446" t="s">
        <v>2844</v>
      </c>
      <c r="T446" s="40">
        <v>45490</v>
      </c>
      <c r="U446" s="40">
        <v>45496</v>
      </c>
      <c r="V446" s="40">
        <v>45505</v>
      </c>
      <c r="W446" s="40">
        <v>45505</v>
      </c>
      <c r="X446" s="157">
        <v>55620</v>
      </c>
      <c r="Y446" s="40" t="str" cm="1">
        <f t="array" aca="1" ref="Y446" ca="1">TRIM(SUBSTITUTE(_xlfn.ARRAYTOTEXT(IFERROR(CONCATENATE(SUMIF(INDIRECT("'"&amp;Assemblies[Assy]&amp;"'!"&amp;"C$5:C1000"), $C446, INDIRECT("'"&amp;Assemblies[Assy]&amp;"'!"&amp;"O$5:O1000")), "x",Assemblies[Assy],".",IF(SUMIF(INDIRECT("'"&amp;Assemblies[Assy]&amp;"'!"&amp;"C$5:C1000"), $C446, INDIRECT("'"&amp;Assemblies[Assy]&amp;"'!"&amp;"A$5:A1000"))=0,NA(),SUMIF(INDIRECT("'"&amp;Assemblies[Assy]&amp;"'!"&amp;"C$5:C1000"), $C446, INDIRECT("'"&amp;Assemblies[Assy]&amp;"'!"&amp;"A$5:A1000")))),"")), " ,", ""))</f>
        <v>, 1x8.1.3.5, 1x8.2.2.5,</v>
      </c>
      <c r="Z446" s="141">
        <v>14</v>
      </c>
      <c r="AA446" s="141">
        <v>0</v>
      </c>
      <c r="AB446" s="141">
        <v>0</v>
      </c>
      <c r="AC446" s="39">
        <v>0.1</v>
      </c>
      <c r="AD446" s="141"/>
      <c r="AE446" s="296"/>
      <c r="AF446" s="156"/>
      <c r="AG446"/>
    </row>
    <row r="447" spans="1:33" x14ac:dyDescent="0.25">
      <c r="A447" s="24" t="s">
        <v>2845</v>
      </c>
      <c r="B447" s="134" t="s">
        <v>54</v>
      </c>
      <c r="C447" t="str">
        <f>_xlfn.CONCAT(A447,".",B447)</f>
        <v>PG10.8.1.4.1.A</v>
      </c>
      <c r="D447" t="s">
        <v>2846</v>
      </c>
      <c r="E447" s="18">
        <f>Z447+AA447+AB447+(65*AC447)</f>
        <v>65.5</v>
      </c>
      <c r="F447" s="19" cm="1">
        <f t="array" aca="1" ref="F447" ca="1">SUMPRODUCT(SUMIF(INDIRECT("'"&amp;Assemblies[Assy]&amp;"'!"&amp;"C5:C1000"),C447,(INDIRECT("'"&amp;Assemblies[Assy]&amp;"'!"&amp;"O5:O1000"))))</f>
        <v>4</v>
      </c>
      <c r="G447" s="19">
        <v>4</v>
      </c>
      <c r="H447" s="19" t="str">
        <f ca="1">IF(F447&lt;=G447," ","YES")</f>
        <v xml:space="preserve"> </v>
      </c>
      <c r="I447">
        <v>4</v>
      </c>
      <c r="J447">
        <v>4</v>
      </c>
      <c r="L447">
        <v>3</v>
      </c>
      <c r="N447">
        <v>3</v>
      </c>
      <c r="O447" t="s">
        <v>2847</v>
      </c>
      <c r="P447" t="s">
        <v>2848</v>
      </c>
      <c r="Q447" t="s">
        <v>1988</v>
      </c>
      <c r="R447" t="s">
        <v>2052</v>
      </c>
      <c r="T447" s="40">
        <v>45496</v>
      </c>
      <c r="U447" s="40">
        <v>45496</v>
      </c>
      <c r="V447" s="40">
        <v>45504</v>
      </c>
      <c r="W447" s="40">
        <v>45504</v>
      </c>
      <c r="X447" s="157">
        <v>55622</v>
      </c>
      <c r="Y447" s="40" t="str" cm="1">
        <f t="array" aca="1" ref="Y447" ca="1">TRIM(SUBSTITUTE(_xlfn.ARRAYTOTEXT(IFERROR(CONCATENATE(SUMIF(INDIRECT("'"&amp;Assemblies[Assy]&amp;"'!"&amp;"C$5:C1000"), $C447, INDIRECT("'"&amp;Assemblies[Assy]&amp;"'!"&amp;"O$5:O1000")), "x",Assemblies[Assy],".",IF(SUMIF(INDIRECT("'"&amp;Assemblies[Assy]&amp;"'!"&amp;"C$5:C1000"), $C447, INDIRECT("'"&amp;Assemblies[Assy]&amp;"'!"&amp;"A$5:A1000"))=0,NA(),SUMIF(INDIRECT("'"&amp;Assemblies[Assy]&amp;"'!"&amp;"C$5:C1000"), $C447, INDIRECT("'"&amp;Assemblies[Assy]&amp;"'!"&amp;"A$5:A1000")))),"")), " ,", ""))</f>
        <v>, 4x8.1.4.1,</v>
      </c>
      <c r="Z447" s="141">
        <v>33</v>
      </c>
      <c r="AA447" s="141">
        <v>0</v>
      </c>
      <c r="AB447" s="141">
        <v>0</v>
      </c>
      <c r="AC447" s="39">
        <v>0.5</v>
      </c>
      <c r="AD447" s="141"/>
      <c r="AE447" s="296"/>
      <c r="AF447" s="156"/>
      <c r="AG447"/>
    </row>
    <row r="448" spans="1:33" x14ac:dyDescent="0.25">
      <c r="A448" s="24" t="s">
        <v>2849</v>
      </c>
      <c r="B448" s="134" t="s">
        <v>54</v>
      </c>
      <c r="C448" t="str">
        <f>_xlfn.CONCAT(A448,".",B448)</f>
        <v>PG10.8.1.5.1.A</v>
      </c>
      <c r="D448" t="s">
        <v>2850</v>
      </c>
      <c r="E448" s="18">
        <v>83.75</v>
      </c>
      <c r="F448" s="19" cm="1">
        <f t="array" aca="1" ref="F448" ca="1">SUMPRODUCT(SUMIF(INDIRECT("'"&amp;Assemblies[Assy]&amp;"'!"&amp;"C5:C1000"),C448,(INDIRECT("'"&amp;Assemblies[Assy]&amp;"'!"&amp;"O5:O1000"))))</f>
        <v>4</v>
      </c>
      <c r="G448" s="19">
        <v>4</v>
      </c>
      <c r="H448" s="19" t="str">
        <f ca="1">IF(F448&lt;=G448," ","YES")</f>
        <v xml:space="preserve"> </v>
      </c>
      <c r="I448">
        <v>4</v>
      </c>
      <c r="J448">
        <v>4</v>
      </c>
      <c r="L448">
        <v>4</v>
      </c>
      <c r="N448">
        <v>4</v>
      </c>
      <c r="O448" t="s">
        <v>2189</v>
      </c>
      <c r="P448" t="s">
        <v>1993</v>
      </c>
      <c r="R448" s="191" t="s">
        <v>1989</v>
      </c>
      <c r="S448" t="s">
        <v>2576</v>
      </c>
      <c r="T448" s="40">
        <v>45524</v>
      </c>
      <c r="U448" s="40">
        <v>45527</v>
      </c>
      <c r="V448" s="40">
        <v>45555</v>
      </c>
      <c r="W448" s="40">
        <v>45527</v>
      </c>
      <c r="X448" s="157">
        <v>55699</v>
      </c>
      <c r="Y448" s="40" t="str" cm="1">
        <f t="array" aca="1" ref="Y448" ca="1">TRIM(SUBSTITUTE(_xlfn.ARRAYTOTEXT(IFERROR(CONCATENATE(SUMIF(INDIRECT("'"&amp;Assemblies[Assy]&amp;"'!"&amp;"C$5:C1000"), $C448, INDIRECT("'"&amp;Assemblies[Assy]&amp;"'!"&amp;"O$5:O1000")), "x",Assemblies[Assy],".",IF(SUMIF(INDIRECT("'"&amp;Assemblies[Assy]&amp;"'!"&amp;"C$5:C1000"), $C448, INDIRECT("'"&amp;Assemblies[Assy]&amp;"'!"&amp;"A$5:A1000"))=0,NA(),SUMIF(INDIRECT("'"&amp;Assemblies[Assy]&amp;"'!"&amp;"C$5:C1000"), $C448, INDIRECT("'"&amp;Assemblies[Assy]&amp;"'!"&amp;"A$5:A1000")))),"")), " ,", ""))</f>
        <v>, 4x8.1.5.1,</v>
      </c>
      <c r="Z448" s="141">
        <v>0</v>
      </c>
      <c r="AA448" s="141">
        <v>0</v>
      </c>
      <c r="AB448" s="141">
        <v>0</v>
      </c>
      <c r="AC448" s="39">
        <v>0</v>
      </c>
      <c r="AD448" s="141"/>
      <c r="AE448" s="296"/>
      <c r="AF448" s="156"/>
      <c r="AG448"/>
    </row>
    <row r="449" spans="1:33" x14ac:dyDescent="0.25">
      <c r="A449" s="24" t="s">
        <v>2851</v>
      </c>
      <c r="B449" s="134" t="s">
        <v>54</v>
      </c>
      <c r="C449" t="str">
        <f>_xlfn.CONCAT(A449,".",B449)</f>
        <v>PG10.8.2.2.1.A</v>
      </c>
      <c r="D449" t="s">
        <v>2852</v>
      </c>
      <c r="E449" s="18">
        <v>326.5</v>
      </c>
      <c r="F449" s="19" cm="1">
        <f t="array" aca="1" ref="F449" ca="1">SUMPRODUCT(SUMIF(INDIRECT("'"&amp;Assemblies[Assy]&amp;"'!"&amp;"C5:C1000"),C449,(INDIRECT("'"&amp;Assemblies[Assy]&amp;"'!"&amp;"O5:O1000"))))</f>
        <v>1</v>
      </c>
      <c r="G449" s="19">
        <v>1</v>
      </c>
      <c r="H449" s="19" t="str">
        <f ca="1">IF(F449&lt;=G449," ","YES")</f>
        <v xml:space="preserve"> </v>
      </c>
      <c r="I449">
        <v>1</v>
      </c>
      <c r="J449">
        <v>1</v>
      </c>
      <c r="O449" t="s">
        <v>2067</v>
      </c>
      <c r="P449" t="s">
        <v>2013</v>
      </c>
      <c r="Q449" t="s">
        <v>1988</v>
      </c>
      <c r="R449" t="s">
        <v>2168</v>
      </c>
      <c r="T449" s="40">
        <v>45461</v>
      </c>
      <c r="U449" s="40">
        <v>45464</v>
      </c>
      <c r="V449" s="40">
        <v>45495</v>
      </c>
      <c r="W449" s="40">
        <v>45495</v>
      </c>
      <c r="X449" s="157">
        <v>55566</v>
      </c>
      <c r="Y449" s="40" t="str" cm="1">
        <f t="array" aca="1" ref="Y449" ca="1">TRIM(SUBSTITUTE(_xlfn.ARRAYTOTEXT(IFERROR(CONCATENATE(SUMIF(INDIRECT("'"&amp;Assemblies[Assy]&amp;"'!"&amp;"C$5:C1000"), $C449, INDIRECT("'"&amp;Assemblies[Assy]&amp;"'!"&amp;"O$5:O1000")), "x",Assemblies[Assy],".",IF(SUMIF(INDIRECT("'"&amp;Assemblies[Assy]&amp;"'!"&amp;"C$5:C1000"), $C449, INDIRECT("'"&amp;Assemblies[Assy]&amp;"'!"&amp;"A$5:A1000"))=0,NA(),SUMIF(INDIRECT("'"&amp;Assemblies[Assy]&amp;"'!"&amp;"C$5:C1000"), $C449, INDIRECT("'"&amp;Assemblies[Assy]&amp;"'!"&amp;"A$5:A1000")))),"")), " ,", ""))</f>
        <v>, 1x8.2.2.1,</v>
      </c>
      <c r="Z449" s="141">
        <v>0</v>
      </c>
      <c r="AA449" s="141">
        <v>0</v>
      </c>
      <c r="AB449" s="141">
        <v>0</v>
      </c>
      <c r="AC449" s="39">
        <v>0</v>
      </c>
      <c r="AD449" s="141"/>
      <c r="AE449" s="296"/>
      <c r="AF449" s="156"/>
      <c r="AG449"/>
    </row>
    <row r="450" spans="1:33" x14ac:dyDescent="0.25">
      <c r="A450" s="24" t="s">
        <v>2853</v>
      </c>
      <c r="B450" s="134" t="s">
        <v>58</v>
      </c>
      <c r="C450" t="str">
        <f>_xlfn.CONCAT(A450,".",B450)</f>
        <v>PG10.8.3.1.C</v>
      </c>
      <c r="D450" t="s">
        <v>2854</v>
      </c>
      <c r="E450" s="18">
        <v>778.5</v>
      </c>
      <c r="F450" s="19" cm="1">
        <f t="array" aca="1" ref="F450" ca="1">SUMPRODUCT(SUMIF(INDIRECT("'"&amp;Assemblies[Assy]&amp;"'!"&amp;"C5:C1000"),C450,(INDIRECT("'"&amp;Assemblies[Assy]&amp;"'!"&amp;"O5:O1000"))))</f>
        <v>2</v>
      </c>
      <c r="G450" s="19">
        <v>2</v>
      </c>
      <c r="H450" s="19" t="str">
        <f ca="1">IF(F450&lt;=G450," ","YES")</f>
        <v xml:space="preserve"> </v>
      </c>
      <c r="I450">
        <v>2</v>
      </c>
      <c r="J450">
        <v>2</v>
      </c>
      <c r="K450" s="40">
        <v>45512</v>
      </c>
      <c r="L450">
        <v>2</v>
      </c>
      <c r="N450">
        <v>2</v>
      </c>
      <c r="O450" t="s">
        <v>2067</v>
      </c>
      <c r="P450" t="s">
        <v>1987</v>
      </c>
      <c r="Q450" t="s">
        <v>1988</v>
      </c>
      <c r="R450" t="s">
        <v>2168</v>
      </c>
      <c r="S450" s="184">
        <v>45469</v>
      </c>
      <c r="T450" s="40">
        <v>45471</v>
      </c>
      <c r="U450" s="40">
        <v>45481</v>
      </c>
      <c r="V450" s="40">
        <v>45519</v>
      </c>
      <c r="W450" s="40">
        <v>45519</v>
      </c>
      <c r="X450" s="157">
        <v>55585</v>
      </c>
      <c r="Y450" s="40" t="str" cm="1">
        <f t="array" aca="1" ref="Y450" ca="1">TRIM(SUBSTITUTE(_xlfn.ARRAYTOTEXT(IFERROR(CONCATENATE(SUMIF(INDIRECT("'"&amp;Assemblies[Assy]&amp;"'!"&amp;"C$5:C1000"), $C450, INDIRECT("'"&amp;Assemblies[Assy]&amp;"'!"&amp;"O$5:O1000")), "x",Assemblies[Assy],".",IF(SUMIF(INDIRECT("'"&amp;Assemblies[Assy]&amp;"'!"&amp;"C$5:C1000"), $C450, INDIRECT("'"&amp;Assemblies[Assy]&amp;"'!"&amp;"A$5:A1000"))=0,NA(),SUMIF(INDIRECT("'"&amp;Assemblies[Assy]&amp;"'!"&amp;"C$5:C1000"), $C450, INDIRECT("'"&amp;Assemblies[Assy]&amp;"'!"&amp;"A$5:A1000")))),"")), " ,", ""))</f>
        <v>, 2x8.3.1,</v>
      </c>
      <c r="Z450" s="141">
        <v>0</v>
      </c>
      <c r="AA450" s="141">
        <v>0</v>
      </c>
      <c r="AB450" s="141">
        <v>0</v>
      </c>
      <c r="AC450" s="39">
        <v>0</v>
      </c>
      <c r="AD450" s="141"/>
      <c r="AE450" s="296">
        <v>55665</v>
      </c>
      <c r="AF450" s="156"/>
      <c r="AG450"/>
    </row>
    <row r="451" spans="1:33" x14ac:dyDescent="0.25">
      <c r="A451" s="24" t="s">
        <v>2855</v>
      </c>
      <c r="B451" s="134" t="s">
        <v>54</v>
      </c>
      <c r="C451" t="str">
        <f>_xlfn.CONCAT(A451,".",B451)</f>
        <v>PG10.8.3.2.A</v>
      </c>
      <c r="D451" t="s">
        <v>2856</v>
      </c>
      <c r="E451" s="18">
        <v>51.1</v>
      </c>
      <c r="F451" s="19" cm="1">
        <f t="array" aca="1" ref="F451" ca="1">SUMPRODUCT(SUMIF(INDIRECT("'"&amp;Assemblies[Assy]&amp;"'!"&amp;"C5:C1000"),C451,(INDIRECT("'"&amp;Assemblies[Assy]&amp;"'!"&amp;"O5:O1000"))))</f>
        <v>0</v>
      </c>
      <c r="G451" s="19">
        <v>2</v>
      </c>
      <c r="H451" s="19" t="str">
        <f ca="1">IF(F451&lt;=G451," ","YES")</f>
        <v xml:space="preserve"> </v>
      </c>
      <c r="I451">
        <v>2</v>
      </c>
      <c r="J451">
        <v>2</v>
      </c>
      <c r="L451">
        <v>2</v>
      </c>
      <c r="N451">
        <v>2</v>
      </c>
      <c r="O451" t="s">
        <v>1986</v>
      </c>
      <c r="P451" t="s">
        <v>1987</v>
      </c>
      <c r="Q451" t="s">
        <v>1988</v>
      </c>
      <c r="R451" t="s">
        <v>1989</v>
      </c>
      <c r="S451" t="s">
        <v>2084</v>
      </c>
      <c r="T451" s="40">
        <v>45461</v>
      </c>
      <c r="U451" s="40">
        <v>45467</v>
      </c>
      <c r="V451" s="40">
        <v>45504</v>
      </c>
      <c r="W451" s="40">
        <v>45504</v>
      </c>
      <c r="X451" s="157">
        <v>55570</v>
      </c>
      <c r="Y451" s="40" t="str" cm="1">
        <f t="array" aca="1" ref="Y451" ca="1">TRIM(SUBSTITUTE(_xlfn.ARRAYTOTEXT(IFERROR(CONCATENATE(SUMIF(INDIRECT("'"&amp;Assemblies[Assy]&amp;"'!"&amp;"C$5:C1000"), $C451, INDIRECT("'"&amp;Assemblies[Assy]&amp;"'!"&amp;"O$5:O1000")), "x",Assemblies[Assy],".",IF(SUMIF(INDIRECT("'"&amp;Assemblies[Assy]&amp;"'!"&amp;"C$5:C1000"), $C451, INDIRECT("'"&amp;Assemblies[Assy]&amp;"'!"&amp;"A$5:A1000"))=0,NA(),SUMIF(INDIRECT("'"&amp;Assemblies[Assy]&amp;"'!"&amp;"C$5:C1000"), $C451, INDIRECT("'"&amp;Assemblies[Assy]&amp;"'!"&amp;"A$5:A1000")))),"")), " ,", ""))</f>
        <v>,</v>
      </c>
      <c r="Z451" s="141">
        <v>0</v>
      </c>
      <c r="AA451" s="141">
        <v>0</v>
      </c>
      <c r="AB451" s="141">
        <v>0</v>
      </c>
      <c r="AC451" s="39">
        <v>0</v>
      </c>
      <c r="AD451" s="141"/>
      <c r="AE451" s="296">
        <v>55668</v>
      </c>
      <c r="AF451" s="156"/>
      <c r="AG451"/>
    </row>
    <row r="452" spans="1:33" x14ac:dyDescent="0.25">
      <c r="A452" s="24" t="s">
        <v>2855</v>
      </c>
      <c r="B452" s="134" t="s">
        <v>56</v>
      </c>
      <c r="C452" t="str">
        <f>_xlfn.CONCAT(A452,".",B452)</f>
        <v>PG10.8.3.2.B</v>
      </c>
      <c r="D452" t="s">
        <v>2856</v>
      </c>
      <c r="E452" s="18">
        <v>0</v>
      </c>
      <c r="F452" s="19" cm="1">
        <f t="array" aca="1" ref="F452" ca="1">SUMPRODUCT(SUMIF(INDIRECT("'"&amp;Assemblies[Assy]&amp;"'!"&amp;"C5:C1000"),C452,(INDIRECT("'"&amp;Assemblies[Assy]&amp;"'!"&amp;"O5:O1000"))))</f>
        <v>2</v>
      </c>
      <c r="G452" s="19">
        <v>2</v>
      </c>
      <c r="H452" s="19" t="str">
        <f ca="1">IF(F452&lt;=G452," ","YES")</f>
        <v xml:space="preserve"> </v>
      </c>
      <c r="I452">
        <v>2</v>
      </c>
      <c r="J452">
        <v>2</v>
      </c>
      <c r="K452" s="40">
        <v>45512</v>
      </c>
      <c r="L452">
        <v>2</v>
      </c>
      <c r="M452" s="40">
        <v>45520</v>
      </c>
      <c r="N452">
        <v>2</v>
      </c>
      <c r="O452" t="s">
        <v>1986</v>
      </c>
      <c r="P452" t="s">
        <v>1987</v>
      </c>
      <c r="Q452" t="s">
        <v>1988</v>
      </c>
      <c r="R452" t="s">
        <v>2052</v>
      </c>
      <c r="S452" t="s">
        <v>2084</v>
      </c>
      <c r="Y452" s="40" t="str" cm="1">
        <f t="array" aca="1" ref="Y452" ca="1">TRIM(SUBSTITUTE(_xlfn.ARRAYTOTEXT(IFERROR(CONCATENATE(SUMIF(INDIRECT("'"&amp;Assemblies[Assy]&amp;"'!"&amp;"C$5:C1000"), $C452, INDIRECT("'"&amp;Assemblies[Assy]&amp;"'!"&amp;"O$5:O1000")), "x",Assemblies[Assy],".",IF(SUMIF(INDIRECT("'"&amp;Assemblies[Assy]&amp;"'!"&amp;"C$5:C1000"), $C452, INDIRECT("'"&amp;Assemblies[Assy]&amp;"'!"&amp;"A$5:A1000"))=0,NA(),SUMIF(INDIRECT("'"&amp;Assemblies[Assy]&amp;"'!"&amp;"C$5:C1000"), $C452, INDIRECT("'"&amp;Assemblies[Assy]&amp;"'!"&amp;"A$5:A1000")))),"")), " ,", ""))</f>
        <v>, 2x8.3.2,</v>
      </c>
      <c r="Z452" s="141">
        <v>0</v>
      </c>
      <c r="AA452" s="141">
        <v>0</v>
      </c>
      <c r="AB452" s="141">
        <v>0</v>
      </c>
      <c r="AC452" s="39">
        <v>0</v>
      </c>
      <c r="AD452" s="141"/>
      <c r="AE452" s="296"/>
      <c r="AF452" s="156"/>
      <c r="AG452"/>
    </row>
    <row r="453" spans="1:33" x14ac:dyDescent="0.25">
      <c r="A453" s="24" t="s">
        <v>2857</v>
      </c>
      <c r="B453" s="134" t="s">
        <v>54</v>
      </c>
      <c r="C453" t="str">
        <f>_xlfn.CONCAT(A453,".",B453)</f>
        <v>PG10.8.3.3.A</v>
      </c>
      <c r="D453" t="s">
        <v>2858</v>
      </c>
      <c r="E453" s="18">
        <v>98.65</v>
      </c>
      <c r="F453" s="19" cm="1">
        <f t="array" aca="1" ref="F453" ca="1">SUMPRODUCT(SUMIF(INDIRECT("'"&amp;Assemblies[Assy]&amp;"'!"&amp;"C5:C1000"),C453,(INDIRECT("'"&amp;Assemblies[Assy]&amp;"'!"&amp;"O5:O1000"))))</f>
        <v>2</v>
      </c>
      <c r="G453" s="19">
        <v>2</v>
      </c>
      <c r="H453" s="19" t="str">
        <f ca="1">IF(F453&lt;=G453," ","YES")</f>
        <v xml:space="preserve"> </v>
      </c>
      <c r="I453">
        <v>2</v>
      </c>
      <c r="J453">
        <v>2</v>
      </c>
      <c r="L453">
        <v>2</v>
      </c>
      <c r="N453">
        <v>2</v>
      </c>
      <c r="O453" t="s">
        <v>2021</v>
      </c>
      <c r="P453" t="s">
        <v>2859</v>
      </c>
      <c r="R453" t="s">
        <v>2488</v>
      </c>
      <c r="T453" s="40">
        <v>45495</v>
      </c>
      <c r="U453" s="40">
        <v>45510</v>
      </c>
      <c r="V453" s="40">
        <v>45540</v>
      </c>
      <c r="W453" s="40">
        <v>45540</v>
      </c>
      <c r="X453" s="157">
        <v>55658</v>
      </c>
      <c r="Y453" s="40" t="str" cm="1">
        <f t="array" aca="1" ref="Y453" ca="1">TRIM(SUBSTITUTE(_xlfn.ARRAYTOTEXT(IFERROR(CONCATENATE(SUMIF(INDIRECT("'"&amp;Assemblies[Assy]&amp;"'!"&amp;"C$5:C1000"), $C453, INDIRECT("'"&amp;Assemblies[Assy]&amp;"'!"&amp;"O$5:O1000")), "x",Assemblies[Assy],".",IF(SUMIF(INDIRECT("'"&amp;Assemblies[Assy]&amp;"'!"&amp;"C$5:C1000"), $C453, INDIRECT("'"&amp;Assemblies[Assy]&amp;"'!"&amp;"A$5:A1000"))=0,NA(),SUMIF(INDIRECT("'"&amp;Assemblies[Assy]&amp;"'!"&amp;"C$5:C1000"), $C453, INDIRECT("'"&amp;Assemblies[Assy]&amp;"'!"&amp;"A$5:A1000")))),"")), " ,", ""))</f>
        <v>, 2x8.3.3,</v>
      </c>
      <c r="Z453" s="141">
        <v>0</v>
      </c>
      <c r="AA453" s="141">
        <v>0</v>
      </c>
      <c r="AB453" s="141">
        <v>0</v>
      </c>
      <c r="AC453" s="39">
        <v>0</v>
      </c>
      <c r="AD453" s="141"/>
      <c r="AE453" s="296"/>
      <c r="AF453" s="156"/>
      <c r="AG453"/>
    </row>
    <row r="454" spans="1:33" x14ac:dyDescent="0.25">
      <c r="A454" s="24" t="s">
        <v>2860</v>
      </c>
      <c r="B454" s="134" t="s">
        <v>54</v>
      </c>
      <c r="C454" t="str">
        <f>_xlfn.CONCAT(A454,".",B454)</f>
        <v>PG10.8.3.4.A</v>
      </c>
      <c r="D454" t="s">
        <v>2861</v>
      </c>
      <c r="E454" s="18">
        <f>Z454+AA454+AB454+(65*AC454)</f>
        <v>0</v>
      </c>
      <c r="F454" s="19" cm="1">
        <f t="array" aca="1" ref="F454" ca="1">SUMPRODUCT(SUMIF(INDIRECT("'"&amp;Assemblies[Assy]&amp;"'!"&amp;"C5:C1000"),C454,(INDIRECT("'"&amp;Assemblies[Assy]&amp;"'!"&amp;"O5:O1000"))))</f>
        <v>1</v>
      </c>
      <c r="G454" s="19">
        <v>1</v>
      </c>
      <c r="H454" s="19" t="str">
        <f ca="1">IF(F454&lt;=G454," ","YES")</f>
        <v xml:space="preserve"> </v>
      </c>
      <c r="I454">
        <v>1</v>
      </c>
      <c r="J454">
        <v>1</v>
      </c>
      <c r="L454">
        <v>1</v>
      </c>
      <c r="N454">
        <v>1</v>
      </c>
      <c r="O454" t="s">
        <v>2021</v>
      </c>
      <c r="P454" t="s">
        <v>2030</v>
      </c>
      <c r="R454" t="s">
        <v>2488</v>
      </c>
      <c r="T454" s="40">
        <v>45526</v>
      </c>
      <c r="U454" s="40">
        <v>45527</v>
      </c>
      <c r="V454" s="40">
        <v>45548</v>
      </c>
      <c r="W454" s="40">
        <v>45548</v>
      </c>
      <c r="X454" s="157">
        <v>55702</v>
      </c>
      <c r="Y454" s="40" t="str" cm="1">
        <f t="array" aca="1" ref="Y454" ca="1">TRIM(SUBSTITUTE(_xlfn.ARRAYTOTEXT(IFERROR(CONCATENATE(SUMIF(INDIRECT("'"&amp;Assemblies[Assy]&amp;"'!"&amp;"C$5:C1000"), $C454, INDIRECT("'"&amp;Assemblies[Assy]&amp;"'!"&amp;"O$5:O1000")), "x",Assemblies[Assy],".",IF(SUMIF(INDIRECT("'"&amp;Assemblies[Assy]&amp;"'!"&amp;"C$5:C1000"), $C454, INDIRECT("'"&amp;Assemblies[Assy]&amp;"'!"&amp;"A$5:A1000"))=0,NA(),SUMIF(INDIRECT("'"&amp;Assemblies[Assy]&amp;"'!"&amp;"C$5:C1000"), $C454, INDIRECT("'"&amp;Assemblies[Assy]&amp;"'!"&amp;"A$5:A1000")))),"")), " ,", ""))</f>
        <v>,</v>
      </c>
      <c r="Z454" s="141">
        <v>0</v>
      </c>
      <c r="AA454" s="141">
        <v>0</v>
      </c>
      <c r="AB454" s="141">
        <v>0</v>
      </c>
      <c r="AC454" s="39">
        <v>0</v>
      </c>
      <c r="AD454" s="141"/>
      <c r="AE454" s="296"/>
      <c r="AF454" s="156"/>
      <c r="AG454"/>
    </row>
    <row r="455" spans="1:33" x14ac:dyDescent="0.25">
      <c r="A455" s="24" t="s">
        <v>2862</v>
      </c>
      <c r="B455" s="134" t="s">
        <v>54</v>
      </c>
      <c r="C455" t="str">
        <f>_xlfn.CONCAT(A455,".",B455)</f>
        <v>PG10.8.3.5.A</v>
      </c>
      <c r="D455" t="s">
        <v>2863</v>
      </c>
      <c r="E455" s="18">
        <f>Z455+AA455+AB455+(65*AC455)</f>
        <v>0</v>
      </c>
      <c r="F455" s="19" cm="1">
        <f t="array" aca="1" ref="F455" ca="1">SUMPRODUCT(SUMIF(INDIRECT("'"&amp;Assemblies[Assy]&amp;"'!"&amp;"C5:C1000"),C455,(INDIRECT("'"&amp;Assemblies[Assy]&amp;"'!"&amp;"O5:O1000"))))</f>
        <v>1</v>
      </c>
      <c r="G455" s="19">
        <v>1</v>
      </c>
      <c r="H455" s="19" t="str">
        <f ca="1">IF(F455&lt;=G455," ","YES")</f>
        <v xml:space="preserve"> </v>
      </c>
      <c r="I455">
        <v>1</v>
      </c>
      <c r="J455">
        <v>1</v>
      </c>
      <c r="L455">
        <v>1</v>
      </c>
      <c r="N455">
        <v>1</v>
      </c>
      <c r="O455" t="s">
        <v>2021</v>
      </c>
      <c r="P455" t="s">
        <v>2030</v>
      </c>
      <c r="R455" t="s">
        <v>2488</v>
      </c>
      <c r="T455" s="40">
        <v>45526</v>
      </c>
      <c r="U455" s="40">
        <v>45527</v>
      </c>
      <c r="V455" s="40">
        <v>45548</v>
      </c>
      <c r="W455" s="40">
        <v>45548</v>
      </c>
      <c r="X455" s="157">
        <v>55702</v>
      </c>
      <c r="Y455" s="40" t="str" cm="1">
        <f t="array" aca="1" ref="Y455" ca="1">TRIM(SUBSTITUTE(_xlfn.ARRAYTOTEXT(IFERROR(CONCATENATE(SUMIF(INDIRECT("'"&amp;Assemblies[Assy]&amp;"'!"&amp;"C$5:C1000"), $C455, INDIRECT("'"&amp;Assemblies[Assy]&amp;"'!"&amp;"O$5:O1000")), "x",Assemblies[Assy],".",IF(SUMIF(INDIRECT("'"&amp;Assemblies[Assy]&amp;"'!"&amp;"C$5:C1000"), $C455, INDIRECT("'"&amp;Assemblies[Assy]&amp;"'!"&amp;"A$5:A1000"))=0,NA(),SUMIF(INDIRECT("'"&amp;Assemblies[Assy]&amp;"'!"&amp;"C$5:C1000"), $C455, INDIRECT("'"&amp;Assemblies[Assy]&amp;"'!"&amp;"A$5:A1000")))),"")), " ,", ""))</f>
        <v>,</v>
      </c>
      <c r="Z455" s="141">
        <v>0</v>
      </c>
      <c r="AA455" s="141">
        <v>0</v>
      </c>
      <c r="AB455" s="141">
        <v>0</v>
      </c>
      <c r="AC455" s="39">
        <v>0</v>
      </c>
      <c r="AD455" s="141"/>
      <c r="AE455" s="296"/>
      <c r="AF455" s="156"/>
      <c r="AG455"/>
    </row>
    <row r="456" spans="1:33" x14ac:dyDescent="0.25">
      <c r="A456" s="24" t="s">
        <v>2864</v>
      </c>
      <c r="B456" s="134" t="s">
        <v>54</v>
      </c>
      <c r="C456" t="str">
        <f>_xlfn.CONCAT(A456,".",B456)</f>
        <v>PG10.8.4.1.A</v>
      </c>
      <c r="D456" t="s">
        <v>2865</v>
      </c>
      <c r="E456" s="18">
        <v>95.25</v>
      </c>
      <c r="F456" s="19" cm="1">
        <f t="array" aca="1" ref="F456" ca="1">SUMPRODUCT(SUMIF(INDIRECT("'"&amp;Assemblies[Assy]&amp;"'!"&amp;"C5:C1000"),C456,(INDIRECT("'"&amp;Assemblies[Assy]&amp;"'!"&amp;"O5:O1000"))))</f>
        <v>4</v>
      </c>
      <c r="G456" s="19">
        <v>4</v>
      </c>
      <c r="H456" s="19" t="str">
        <f ca="1">IF(F456&lt;=G456," ","YES")</f>
        <v xml:space="preserve"> </v>
      </c>
      <c r="I456">
        <v>4</v>
      </c>
      <c r="J456">
        <v>4</v>
      </c>
      <c r="K456" s="40">
        <v>45512</v>
      </c>
      <c r="L456">
        <v>4</v>
      </c>
      <c r="M456" s="40">
        <v>45520</v>
      </c>
      <c r="N456">
        <v>4</v>
      </c>
      <c r="O456" t="s">
        <v>1986</v>
      </c>
      <c r="P456" t="s">
        <v>1987</v>
      </c>
      <c r="Q456" t="s">
        <v>1988</v>
      </c>
      <c r="R456" t="s">
        <v>2178</v>
      </c>
      <c r="T456" s="40">
        <v>45457</v>
      </c>
      <c r="U456" s="40">
        <v>45468</v>
      </c>
      <c r="V456" s="40">
        <v>45491</v>
      </c>
      <c r="W456" s="40">
        <v>45491</v>
      </c>
      <c r="X456" s="157">
        <v>55573</v>
      </c>
      <c r="Y456" s="40" t="str" cm="1">
        <f t="array" aca="1" ref="Y456" ca="1">TRIM(SUBSTITUTE(_xlfn.ARRAYTOTEXT(IFERROR(CONCATENATE(SUMIF(INDIRECT("'"&amp;Assemblies[Assy]&amp;"'!"&amp;"C$5:C1000"), $C456, INDIRECT("'"&amp;Assemblies[Assy]&amp;"'!"&amp;"O$5:O1000")), "x",Assemblies[Assy],".",IF(SUMIF(INDIRECT("'"&amp;Assemblies[Assy]&amp;"'!"&amp;"C$5:C1000"), $C456, INDIRECT("'"&amp;Assemblies[Assy]&amp;"'!"&amp;"A$5:A1000"))=0,NA(),SUMIF(INDIRECT("'"&amp;Assemblies[Assy]&amp;"'!"&amp;"C$5:C1000"), $C456, INDIRECT("'"&amp;Assemblies[Assy]&amp;"'!"&amp;"A$5:A1000")))),"")), " ,", ""))</f>
        <v>, 4x8.4.1,</v>
      </c>
      <c r="Z456" s="141">
        <v>0</v>
      </c>
      <c r="AA456" s="141">
        <v>0</v>
      </c>
      <c r="AB456" s="141">
        <v>0</v>
      </c>
      <c r="AC456" s="39">
        <v>0</v>
      </c>
      <c r="AD456" s="141"/>
      <c r="AE456" s="296">
        <v>55668</v>
      </c>
      <c r="AF456" s="156"/>
      <c r="AG456"/>
    </row>
    <row r="457" spans="1:33" x14ac:dyDescent="0.25">
      <c r="A457" s="24" t="s">
        <v>2866</v>
      </c>
      <c r="B457" s="134" t="s">
        <v>54</v>
      </c>
      <c r="C457" t="str">
        <f>_xlfn.CONCAT(A457,".",B457)</f>
        <v>PG10.8.4.2.A</v>
      </c>
      <c r="D457" t="s">
        <v>2867</v>
      </c>
      <c r="E457" s="18">
        <v>95.25</v>
      </c>
      <c r="F457" s="19" cm="1">
        <f t="array" aca="1" ref="F457" ca="1">SUMPRODUCT(SUMIF(INDIRECT("'"&amp;Assemblies[Assy]&amp;"'!"&amp;"C5:C1000"),C457,(INDIRECT("'"&amp;Assemblies[Assy]&amp;"'!"&amp;"O5:O1000"))))</f>
        <v>4</v>
      </c>
      <c r="G457" s="19">
        <v>4</v>
      </c>
      <c r="H457" s="19" t="str">
        <f ca="1">IF(F457&lt;=G457," ","YES")</f>
        <v xml:space="preserve"> </v>
      </c>
      <c r="I457">
        <v>4</v>
      </c>
      <c r="J457">
        <v>4</v>
      </c>
      <c r="K457" s="40">
        <v>45512</v>
      </c>
      <c r="L457">
        <v>4</v>
      </c>
      <c r="M457" s="40">
        <v>45520</v>
      </c>
      <c r="N457">
        <v>4</v>
      </c>
      <c r="O457" t="s">
        <v>1986</v>
      </c>
      <c r="P457" t="s">
        <v>1987</v>
      </c>
      <c r="Q457" t="s">
        <v>1988</v>
      </c>
      <c r="R457" t="s">
        <v>2178</v>
      </c>
      <c r="T457" s="40">
        <v>45457</v>
      </c>
      <c r="U457" s="40">
        <v>45468</v>
      </c>
      <c r="V457" s="40">
        <v>45491</v>
      </c>
      <c r="W457" s="40">
        <v>45491</v>
      </c>
      <c r="X457" s="157">
        <v>55573</v>
      </c>
      <c r="Y457" s="40" t="str" cm="1">
        <f t="array" aca="1" ref="Y457" ca="1">TRIM(SUBSTITUTE(_xlfn.ARRAYTOTEXT(IFERROR(CONCATENATE(SUMIF(INDIRECT("'"&amp;Assemblies[Assy]&amp;"'!"&amp;"C$5:C1000"), $C457, INDIRECT("'"&amp;Assemblies[Assy]&amp;"'!"&amp;"O$5:O1000")), "x",Assemblies[Assy],".",IF(SUMIF(INDIRECT("'"&amp;Assemblies[Assy]&amp;"'!"&amp;"C$5:C1000"), $C457, INDIRECT("'"&amp;Assemblies[Assy]&amp;"'!"&amp;"A$5:A1000"))=0,NA(),SUMIF(INDIRECT("'"&amp;Assemblies[Assy]&amp;"'!"&amp;"C$5:C1000"), $C457, INDIRECT("'"&amp;Assemblies[Assy]&amp;"'!"&amp;"A$5:A1000")))),"")), " ,", ""))</f>
        <v>, 4x8.4.2,</v>
      </c>
      <c r="Z457" s="141">
        <v>0</v>
      </c>
      <c r="AA457" s="141">
        <v>0</v>
      </c>
      <c r="AB457" s="141">
        <v>0</v>
      </c>
      <c r="AC457" s="39">
        <v>0</v>
      </c>
      <c r="AD457" s="141"/>
      <c r="AE457" s="296">
        <v>55668</v>
      </c>
      <c r="AF457" s="156"/>
      <c r="AG457"/>
    </row>
    <row r="458" spans="1:33" x14ac:dyDescent="0.25">
      <c r="A458" s="24" t="s">
        <v>2868</v>
      </c>
      <c r="B458" s="134" t="s">
        <v>54</v>
      </c>
      <c r="C458" t="str">
        <f>_xlfn.CONCAT(A458,".",B458)</f>
        <v>PG10.8.4.3.A</v>
      </c>
      <c r="D458" t="s">
        <v>2869</v>
      </c>
      <c r="E458" s="18">
        <v>19.75</v>
      </c>
      <c r="F458" s="19" cm="1">
        <f t="array" aca="1" ref="F458" ca="1">SUMPRODUCT(SUMIF(INDIRECT("'"&amp;Assemblies[Assy]&amp;"'!"&amp;"C5:C1000"),C458,(INDIRECT("'"&amp;Assemblies[Assy]&amp;"'!"&amp;"O5:O1000"))))</f>
        <v>8</v>
      </c>
      <c r="G458" s="19">
        <v>8</v>
      </c>
      <c r="H458" s="19" t="str">
        <f ca="1">IF(F458&lt;=G458," ","YES")</f>
        <v xml:space="preserve"> </v>
      </c>
      <c r="I458">
        <v>8</v>
      </c>
      <c r="J458">
        <v>8</v>
      </c>
      <c r="K458" s="40">
        <v>45512</v>
      </c>
      <c r="L458">
        <v>8</v>
      </c>
      <c r="M458" s="40">
        <v>45520</v>
      </c>
      <c r="N458">
        <v>8</v>
      </c>
      <c r="O458" t="s">
        <v>1986</v>
      </c>
      <c r="P458" t="s">
        <v>1987</v>
      </c>
      <c r="Q458" t="s">
        <v>1988</v>
      </c>
      <c r="R458" t="s">
        <v>2178</v>
      </c>
      <c r="T458" s="40">
        <v>45457</v>
      </c>
      <c r="U458" s="40">
        <v>45468</v>
      </c>
      <c r="V458" s="40">
        <v>45491</v>
      </c>
      <c r="W458" s="40">
        <v>45491</v>
      </c>
      <c r="X458" s="157">
        <v>55573</v>
      </c>
      <c r="Y458" s="40" t="str" cm="1">
        <f t="array" aca="1" ref="Y458" ca="1">TRIM(SUBSTITUTE(_xlfn.ARRAYTOTEXT(IFERROR(CONCATENATE(SUMIF(INDIRECT("'"&amp;Assemblies[Assy]&amp;"'!"&amp;"C$5:C1000"), $C458, INDIRECT("'"&amp;Assemblies[Assy]&amp;"'!"&amp;"O$5:O1000")), "x",Assemblies[Assy],".",IF(SUMIF(INDIRECT("'"&amp;Assemblies[Assy]&amp;"'!"&amp;"C$5:C1000"), $C458, INDIRECT("'"&amp;Assemblies[Assy]&amp;"'!"&amp;"A$5:A1000"))=0,NA(),SUMIF(INDIRECT("'"&amp;Assemblies[Assy]&amp;"'!"&amp;"C$5:C1000"), $C458, INDIRECT("'"&amp;Assemblies[Assy]&amp;"'!"&amp;"A$5:A1000")))),"")), " ,", ""))</f>
        <v>, 8x8.4.3,</v>
      </c>
      <c r="Z458" s="141">
        <v>0</v>
      </c>
      <c r="AA458" s="141">
        <v>0</v>
      </c>
      <c r="AB458" s="141">
        <v>0</v>
      </c>
      <c r="AC458" s="39">
        <v>0</v>
      </c>
      <c r="AD458" s="141"/>
      <c r="AE458" s="296">
        <v>55668</v>
      </c>
      <c r="AF458" s="156"/>
      <c r="AG458"/>
    </row>
    <row r="459" spans="1:33" x14ac:dyDescent="0.25">
      <c r="A459" s="24" t="s">
        <v>2870</v>
      </c>
      <c r="B459" s="134" t="s">
        <v>54</v>
      </c>
      <c r="C459" t="str">
        <f>_xlfn.CONCAT(A459,".",B459)</f>
        <v>PG10.8.4.4.A</v>
      </c>
      <c r="D459" t="s">
        <v>2871</v>
      </c>
      <c r="E459" s="18">
        <v>35.840000000000003</v>
      </c>
      <c r="F459" s="19" cm="1">
        <f t="array" aca="1" ref="F459" ca="1">SUMPRODUCT(SUMIF(INDIRECT("'"&amp;Assemblies[Assy]&amp;"'!"&amp;"C5:C1000"),C459,(INDIRECT("'"&amp;Assemblies[Assy]&amp;"'!"&amp;"O5:O1000"))))</f>
        <v>8</v>
      </c>
      <c r="G459" s="19">
        <v>8</v>
      </c>
      <c r="H459" s="19" t="str">
        <f ca="1">IF(F459&lt;=G459," ","YES")</f>
        <v xml:space="preserve"> </v>
      </c>
      <c r="I459">
        <v>8</v>
      </c>
      <c r="J459">
        <v>8</v>
      </c>
      <c r="K459" s="40">
        <v>45512</v>
      </c>
      <c r="L459">
        <v>8</v>
      </c>
      <c r="M459" s="40">
        <v>45520</v>
      </c>
      <c r="N459">
        <v>8</v>
      </c>
      <c r="O459" t="s">
        <v>2026</v>
      </c>
      <c r="P459" t="s">
        <v>2027</v>
      </c>
      <c r="Q459" t="s">
        <v>1988</v>
      </c>
      <c r="R459" t="s">
        <v>2178</v>
      </c>
      <c r="T459" s="40">
        <v>45457</v>
      </c>
      <c r="U459" s="40">
        <v>45468</v>
      </c>
      <c r="V459" s="40">
        <v>45491</v>
      </c>
      <c r="W459" s="40">
        <v>45491</v>
      </c>
      <c r="X459" s="157">
        <v>55573</v>
      </c>
      <c r="Y459" s="40" t="str" cm="1">
        <f t="array" aca="1" ref="Y459" ca="1">TRIM(SUBSTITUTE(_xlfn.ARRAYTOTEXT(IFERROR(CONCATENATE(SUMIF(INDIRECT("'"&amp;Assemblies[Assy]&amp;"'!"&amp;"C$5:C1000"), $C459, INDIRECT("'"&amp;Assemblies[Assy]&amp;"'!"&amp;"O$5:O1000")), "x",Assemblies[Assy],".",IF(SUMIF(INDIRECT("'"&amp;Assemblies[Assy]&amp;"'!"&amp;"C$5:C1000"), $C459, INDIRECT("'"&amp;Assemblies[Assy]&amp;"'!"&amp;"A$5:A1000"))=0,NA(),SUMIF(INDIRECT("'"&amp;Assemblies[Assy]&amp;"'!"&amp;"C$5:C1000"), $C459, INDIRECT("'"&amp;Assemblies[Assy]&amp;"'!"&amp;"A$5:A1000")))),"")), " ,", ""))</f>
        <v>, 8x8.4.4,</v>
      </c>
      <c r="Z459" s="141">
        <v>0</v>
      </c>
      <c r="AA459" s="141">
        <v>0</v>
      </c>
      <c r="AB459" s="141">
        <v>0</v>
      </c>
      <c r="AC459" s="39">
        <v>0</v>
      </c>
      <c r="AD459" s="141"/>
      <c r="AE459" s="296">
        <v>55670</v>
      </c>
      <c r="AF459" s="156"/>
      <c r="AG459"/>
    </row>
    <row r="460" spans="1:33" x14ac:dyDescent="0.25">
      <c r="A460" s="24" t="s">
        <v>2872</v>
      </c>
      <c r="B460" s="134" t="s">
        <v>54</v>
      </c>
      <c r="C460" t="str">
        <f>_xlfn.CONCAT(A460,".",B460)</f>
        <v>PG10.8.4.5.A</v>
      </c>
      <c r="D460" t="s">
        <v>2873</v>
      </c>
      <c r="E460" s="18">
        <v>28.75</v>
      </c>
      <c r="F460" s="19" cm="1">
        <f t="array" aca="1" ref="F460" ca="1">SUMPRODUCT(SUMIF(INDIRECT("'"&amp;Assemblies[Assy]&amp;"'!"&amp;"C5:C1000"),C460,(INDIRECT("'"&amp;Assemblies[Assy]&amp;"'!"&amp;"O5:O1000"))))</f>
        <v>8</v>
      </c>
      <c r="G460" s="19">
        <v>8</v>
      </c>
      <c r="H460" s="19" t="str">
        <f ca="1">IF(F460&lt;=G460," ","YES")</f>
        <v xml:space="preserve"> </v>
      </c>
      <c r="I460">
        <v>8</v>
      </c>
      <c r="J460">
        <v>8</v>
      </c>
      <c r="L460">
        <v>8</v>
      </c>
      <c r="N460">
        <v>8</v>
      </c>
      <c r="O460" t="s">
        <v>2021</v>
      </c>
      <c r="P460" t="s">
        <v>1993</v>
      </c>
      <c r="R460" t="s">
        <v>2178</v>
      </c>
      <c r="T460" s="40">
        <v>45457</v>
      </c>
      <c r="U460" s="40">
        <v>45468</v>
      </c>
      <c r="V460" s="40">
        <v>45491</v>
      </c>
      <c r="W460" s="40">
        <v>45491</v>
      </c>
      <c r="X460" s="157">
        <v>55573</v>
      </c>
      <c r="Y460" s="40" t="str" cm="1">
        <f t="array" aca="1" ref="Y460" ca="1">TRIM(SUBSTITUTE(_xlfn.ARRAYTOTEXT(IFERROR(CONCATENATE(SUMIF(INDIRECT("'"&amp;Assemblies[Assy]&amp;"'!"&amp;"C$5:C1000"), $C460, INDIRECT("'"&amp;Assemblies[Assy]&amp;"'!"&amp;"O$5:O1000")), "x",Assemblies[Assy],".",IF(SUMIF(INDIRECT("'"&amp;Assemblies[Assy]&amp;"'!"&amp;"C$5:C1000"), $C460, INDIRECT("'"&amp;Assemblies[Assy]&amp;"'!"&amp;"A$5:A1000"))=0,NA(),SUMIF(INDIRECT("'"&amp;Assemblies[Assy]&amp;"'!"&amp;"C$5:C1000"), $C460, INDIRECT("'"&amp;Assemblies[Assy]&amp;"'!"&amp;"A$5:A1000")))),"")), " ,", ""))</f>
        <v>, 8x8.4.5,</v>
      </c>
      <c r="Z460" s="141">
        <v>0</v>
      </c>
      <c r="AA460" s="141">
        <v>0</v>
      </c>
      <c r="AB460" s="141">
        <v>0</v>
      </c>
      <c r="AC460" s="39">
        <v>0</v>
      </c>
      <c r="AD460" s="141"/>
      <c r="AE460" s="296"/>
      <c r="AF460" s="156"/>
      <c r="AG460"/>
    </row>
    <row r="461" spans="1:33" x14ac:dyDescent="0.25">
      <c r="A461" s="24" t="s">
        <v>2874</v>
      </c>
      <c r="B461" s="134" t="s">
        <v>54</v>
      </c>
      <c r="C461" t="str">
        <f>_xlfn.CONCAT(A461,".",B461)</f>
        <v>PG10.8.4.6.A</v>
      </c>
      <c r="D461" t="s">
        <v>2875</v>
      </c>
      <c r="E461" s="18">
        <v>30</v>
      </c>
      <c r="F461" s="19" cm="1">
        <f t="array" aca="1" ref="F461" ca="1">SUMPRODUCT(SUMIF(INDIRECT("'"&amp;Assemblies[Assy]&amp;"'!"&amp;"C5:C1000"),C461,(INDIRECT("'"&amp;Assemblies[Assy]&amp;"'!"&amp;"O5:O1000"))))</f>
        <v>8</v>
      </c>
      <c r="G461" s="19">
        <v>8</v>
      </c>
      <c r="H461" s="19" t="str">
        <f ca="1">IF(F461&lt;=G461," ","YES")</f>
        <v xml:space="preserve"> </v>
      </c>
      <c r="I461">
        <v>8</v>
      </c>
      <c r="J461">
        <v>8</v>
      </c>
      <c r="L461">
        <v>8</v>
      </c>
      <c r="N461">
        <v>8</v>
      </c>
      <c r="O461" t="s">
        <v>2189</v>
      </c>
      <c r="P461" t="s">
        <v>1993</v>
      </c>
      <c r="R461" t="s">
        <v>2178</v>
      </c>
      <c r="T461" s="40">
        <v>45457</v>
      </c>
      <c r="U461" s="40">
        <v>45468</v>
      </c>
      <c r="V461" s="40">
        <v>45491</v>
      </c>
      <c r="W461" s="40">
        <v>45491</v>
      </c>
      <c r="X461" s="157">
        <v>55573</v>
      </c>
      <c r="Y461" s="40" t="str" cm="1">
        <f t="array" aca="1" ref="Y461" ca="1">TRIM(SUBSTITUTE(_xlfn.ARRAYTOTEXT(IFERROR(CONCATENATE(SUMIF(INDIRECT("'"&amp;Assemblies[Assy]&amp;"'!"&amp;"C$5:C1000"), $C461, INDIRECT("'"&amp;Assemblies[Assy]&amp;"'!"&amp;"O$5:O1000")), "x",Assemblies[Assy],".",IF(SUMIF(INDIRECT("'"&amp;Assemblies[Assy]&amp;"'!"&amp;"C$5:C1000"), $C461, INDIRECT("'"&amp;Assemblies[Assy]&amp;"'!"&amp;"A$5:A1000"))=0,NA(),SUMIF(INDIRECT("'"&amp;Assemblies[Assy]&amp;"'!"&amp;"C$5:C1000"), $C461, INDIRECT("'"&amp;Assemblies[Assy]&amp;"'!"&amp;"A$5:A1000")))),"")), " ,", ""))</f>
        <v>, 8x8.4.6,</v>
      </c>
      <c r="Z461" s="141">
        <v>0</v>
      </c>
      <c r="AA461" s="141">
        <v>0</v>
      </c>
      <c r="AB461" s="141">
        <v>0</v>
      </c>
      <c r="AC461" s="39">
        <v>0</v>
      </c>
      <c r="AD461" s="141"/>
      <c r="AE461" s="296"/>
      <c r="AF461" s="156"/>
      <c r="AG461"/>
    </row>
    <row r="462" spans="1:33" x14ac:dyDescent="0.25">
      <c r="A462" s="24" t="s">
        <v>2876</v>
      </c>
      <c r="B462" s="134" t="s">
        <v>54</v>
      </c>
      <c r="C462" t="str">
        <f>_xlfn.CONCAT(A462,".",B462)</f>
        <v>PG10.9.1.1.A</v>
      </c>
      <c r="D462" t="s">
        <v>2877</v>
      </c>
      <c r="E462" s="18">
        <v>151</v>
      </c>
      <c r="F462" s="19" cm="1">
        <f t="array" aca="1" ref="F462" ca="1">SUMPRODUCT(SUMIF(INDIRECT("'"&amp;Assemblies[Assy]&amp;"'!"&amp;"C5:C1000"),C462,(INDIRECT("'"&amp;Assemblies[Assy]&amp;"'!"&amp;"O5:O1000"))))</f>
        <v>1</v>
      </c>
      <c r="G462" s="19">
        <v>1</v>
      </c>
      <c r="H462" s="19" t="str">
        <f ca="1">IF(F462&lt;=G462," ","YES")</f>
        <v xml:space="preserve"> </v>
      </c>
      <c r="I462">
        <v>1</v>
      </c>
      <c r="J462">
        <v>1</v>
      </c>
      <c r="K462" s="40">
        <v>45512</v>
      </c>
      <c r="L462">
        <v>1</v>
      </c>
      <c r="N462">
        <v>1</v>
      </c>
      <c r="O462" t="s">
        <v>1986</v>
      </c>
      <c r="P462" t="s">
        <v>1987</v>
      </c>
      <c r="Q462" t="s">
        <v>1988</v>
      </c>
      <c r="R462" t="s">
        <v>2178</v>
      </c>
      <c r="T462" s="40">
        <v>45470</v>
      </c>
      <c r="U462" s="40">
        <v>45474</v>
      </c>
      <c r="V462" s="40">
        <v>45495</v>
      </c>
      <c r="W462" s="40">
        <v>45495</v>
      </c>
      <c r="X462" s="157">
        <v>55580</v>
      </c>
      <c r="Y462" s="40" t="str" cm="1">
        <f t="array" aca="1" ref="Y462" ca="1">TRIM(SUBSTITUTE(_xlfn.ARRAYTOTEXT(IFERROR(CONCATENATE(SUMIF(INDIRECT("'"&amp;Assemblies[Assy]&amp;"'!"&amp;"C$5:C1000"), $C462, INDIRECT("'"&amp;Assemblies[Assy]&amp;"'!"&amp;"O$5:O1000")), "x",Assemblies[Assy],".",IF(SUMIF(INDIRECT("'"&amp;Assemblies[Assy]&amp;"'!"&amp;"C$5:C1000"), $C462, INDIRECT("'"&amp;Assemblies[Assy]&amp;"'!"&amp;"A$5:A1000"))=0,NA(),SUMIF(INDIRECT("'"&amp;Assemblies[Assy]&amp;"'!"&amp;"C$5:C1000"), $C462, INDIRECT("'"&amp;Assemblies[Assy]&amp;"'!"&amp;"A$5:A1000")))),"")), " ,", ""))</f>
        <v>, 1x9.1.1,</v>
      </c>
      <c r="Z462" s="141">
        <v>0</v>
      </c>
      <c r="AA462" s="141">
        <v>0</v>
      </c>
      <c r="AB462" s="141">
        <v>0</v>
      </c>
      <c r="AC462" s="39">
        <v>0</v>
      </c>
      <c r="AD462" s="141"/>
      <c r="AE462" s="296">
        <v>55617</v>
      </c>
      <c r="AF462" s="156"/>
      <c r="AG462"/>
    </row>
    <row r="463" spans="1:33" x14ac:dyDescent="0.25">
      <c r="A463" s="24" t="s">
        <v>2878</v>
      </c>
      <c r="B463" s="134" t="s">
        <v>54</v>
      </c>
      <c r="C463" t="str">
        <f>_xlfn.CONCAT(A463,".",B463)</f>
        <v>PG10.9.1.2.A</v>
      </c>
      <c r="D463" t="s">
        <v>2879</v>
      </c>
      <c r="E463" s="18">
        <v>151</v>
      </c>
      <c r="F463" s="19" cm="1">
        <f t="array" aca="1" ref="F463" ca="1">SUMPRODUCT(SUMIF(INDIRECT("'"&amp;Assemblies[Assy]&amp;"'!"&amp;"C5:C1000"),C463,(INDIRECT("'"&amp;Assemblies[Assy]&amp;"'!"&amp;"O5:O1000"))))</f>
        <v>1</v>
      </c>
      <c r="G463" s="19">
        <v>1</v>
      </c>
      <c r="H463" s="19" t="str">
        <f ca="1">IF(F463&lt;=G463," ","YES")</f>
        <v xml:space="preserve"> </v>
      </c>
      <c r="I463">
        <v>1</v>
      </c>
      <c r="J463">
        <v>1</v>
      </c>
      <c r="K463" s="40">
        <v>45512</v>
      </c>
      <c r="L463">
        <v>1</v>
      </c>
      <c r="N463">
        <v>1</v>
      </c>
      <c r="O463" t="s">
        <v>1986</v>
      </c>
      <c r="P463" t="s">
        <v>1987</v>
      </c>
      <c r="Q463" t="s">
        <v>1988</v>
      </c>
      <c r="R463" t="s">
        <v>2178</v>
      </c>
      <c r="T463" s="40">
        <v>45470</v>
      </c>
      <c r="U463" s="40">
        <v>45474</v>
      </c>
      <c r="V463" s="40">
        <v>45495</v>
      </c>
      <c r="W463" s="40">
        <v>45495</v>
      </c>
      <c r="X463" s="157">
        <v>55580</v>
      </c>
      <c r="Y463" s="40" t="str" cm="1">
        <f t="array" aca="1" ref="Y463" ca="1">TRIM(SUBSTITUTE(_xlfn.ARRAYTOTEXT(IFERROR(CONCATENATE(SUMIF(INDIRECT("'"&amp;Assemblies[Assy]&amp;"'!"&amp;"C$5:C1000"), $C463, INDIRECT("'"&amp;Assemblies[Assy]&amp;"'!"&amp;"O$5:O1000")), "x",Assemblies[Assy],".",IF(SUMIF(INDIRECT("'"&amp;Assemblies[Assy]&amp;"'!"&amp;"C$5:C1000"), $C463, INDIRECT("'"&amp;Assemblies[Assy]&amp;"'!"&amp;"A$5:A1000"))=0,NA(),SUMIF(INDIRECT("'"&amp;Assemblies[Assy]&amp;"'!"&amp;"C$5:C1000"), $C463, INDIRECT("'"&amp;Assemblies[Assy]&amp;"'!"&amp;"A$5:A1000")))),"")), " ,", ""))</f>
        <v>, 1x9.1.2,</v>
      </c>
      <c r="Z463" s="141">
        <v>0</v>
      </c>
      <c r="AA463" s="141">
        <v>0</v>
      </c>
      <c r="AB463" s="141">
        <v>0</v>
      </c>
      <c r="AC463" s="39">
        <v>0</v>
      </c>
      <c r="AD463" s="141"/>
      <c r="AE463" s="296">
        <v>55617</v>
      </c>
      <c r="AF463" s="156"/>
      <c r="AG463"/>
    </row>
    <row r="464" spans="1:33" x14ac:dyDescent="0.25">
      <c r="A464" s="24" t="s">
        <v>2880</v>
      </c>
      <c r="B464" s="134" t="s">
        <v>54</v>
      </c>
      <c r="C464" t="str">
        <f>_xlfn.CONCAT(A464,".",B464)</f>
        <v>PG10.9.1.3.A</v>
      </c>
      <c r="D464" t="s">
        <v>2881</v>
      </c>
      <c r="E464" s="18">
        <v>702</v>
      </c>
      <c r="F464" s="19" cm="1">
        <f t="array" aca="1" ref="F464" ca="1">SUMPRODUCT(SUMIF(INDIRECT("'"&amp;Assemblies[Assy]&amp;"'!"&amp;"C5:C1000"),C464,(INDIRECT("'"&amp;Assemblies[Assy]&amp;"'!"&amp;"O5:O1000"))))</f>
        <v>1</v>
      </c>
      <c r="G464" s="19">
        <v>1</v>
      </c>
      <c r="H464" s="19" t="str">
        <f ca="1">IF(F464&lt;=G464," ","YES")</f>
        <v xml:space="preserve"> </v>
      </c>
      <c r="I464">
        <v>1</v>
      </c>
      <c r="J464">
        <v>1</v>
      </c>
      <c r="K464" s="40">
        <v>45512</v>
      </c>
      <c r="L464">
        <v>1</v>
      </c>
      <c r="M464" s="40">
        <v>45520</v>
      </c>
      <c r="N464">
        <v>1</v>
      </c>
      <c r="O464" t="s">
        <v>1986</v>
      </c>
      <c r="P464" t="s">
        <v>2013</v>
      </c>
      <c r="Q464" t="s">
        <v>1988</v>
      </c>
      <c r="R464" t="s">
        <v>2168</v>
      </c>
      <c r="S464" s="184">
        <v>45469</v>
      </c>
      <c r="T464" s="40">
        <v>45471</v>
      </c>
      <c r="U464" s="40">
        <v>45481</v>
      </c>
      <c r="V464" s="40">
        <v>45519</v>
      </c>
      <c r="W464" s="40">
        <v>45519</v>
      </c>
      <c r="X464" s="157">
        <v>55585</v>
      </c>
      <c r="Y464" s="40" t="str" cm="1">
        <f t="array" aca="1" ref="Y464" ca="1">TRIM(SUBSTITUTE(_xlfn.ARRAYTOTEXT(IFERROR(CONCATENATE(SUMIF(INDIRECT("'"&amp;Assemblies[Assy]&amp;"'!"&amp;"C$5:C1000"), $C464, INDIRECT("'"&amp;Assemblies[Assy]&amp;"'!"&amp;"O$5:O1000")), "x",Assemblies[Assy],".",IF(SUMIF(INDIRECT("'"&amp;Assemblies[Assy]&amp;"'!"&amp;"C$5:C1000"), $C464, INDIRECT("'"&amp;Assemblies[Assy]&amp;"'!"&amp;"A$5:A1000"))=0,NA(),SUMIF(INDIRECT("'"&amp;Assemblies[Assy]&amp;"'!"&amp;"C$5:C1000"), $C464, INDIRECT("'"&amp;Assemblies[Assy]&amp;"'!"&amp;"A$5:A1000")))),"")), " ,", ""))</f>
        <v>, 1x9.1.3,</v>
      </c>
      <c r="Z464" s="141">
        <v>0</v>
      </c>
      <c r="AA464" s="141">
        <v>0</v>
      </c>
      <c r="AB464" s="141">
        <v>0</v>
      </c>
      <c r="AC464" s="39">
        <v>0</v>
      </c>
      <c r="AD464" s="141"/>
      <c r="AE464" s="296">
        <v>55668</v>
      </c>
      <c r="AF464" s="156"/>
      <c r="AG464"/>
    </row>
    <row r="465" spans="1:33" x14ac:dyDescent="0.25">
      <c r="A465" s="24" t="s">
        <v>2882</v>
      </c>
      <c r="B465" s="134" t="s">
        <v>54</v>
      </c>
      <c r="C465" t="str">
        <f>_xlfn.CONCAT(A465,".",B465)</f>
        <v>PG10.9.1.4.A</v>
      </c>
      <c r="D465" t="s">
        <v>2883</v>
      </c>
      <c r="E465" s="18">
        <v>1126.25</v>
      </c>
      <c r="F465" s="19" cm="1">
        <f t="array" aca="1" ref="F465" ca="1">SUMPRODUCT(SUMIF(INDIRECT("'"&amp;Assemblies[Assy]&amp;"'!"&amp;"C5:C1000"),C465,(INDIRECT("'"&amp;Assemblies[Assy]&amp;"'!"&amp;"O5:O1000"))))</f>
        <v>1</v>
      </c>
      <c r="G465" s="19">
        <v>1</v>
      </c>
      <c r="H465" s="19" t="str">
        <f ca="1">IF(F465&lt;=G465," ","YES")</f>
        <v xml:space="preserve"> </v>
      </c>
      <c r="I465">
        <v>1</v>
      </c>
      <c r="J465">
        <v>1</v>
      </c>
      <c r="L465">
        <v>1</v>
      </c>
      <c r="N465">
        <v>1</v>
      </c>
      <c r="O465" t="s">
        <v>2884</v>
      </c>
      <c r="P465" t="s">
        <v>2885</v>
      </c>
      <c r="R465" t="s">
        <v>2886</v>
      </c>
      <c r="T465" s="40">
        <v>45470</v>
      </c>
      <c r="U465" s="40">
        <v>45475</v>
      </c>
      <c r="V465" s="40">
        <v>45505</v>
      </c>
      <c r="W465" s="40">
        <v>45505</v>
      </c>
      <c r="X465" s="157">
        <v>55583</v>
      </c>
      <c r="Y465" s="40" t="str" cm="1">
        <f t="array" aca="1" ref="Y465" ca="1">TRIM(SUBSTITUTE(_xlfn.ARRAYTOTEXT(IFERROR(CONCATENATE(SUMIF(INDIRECT("'"&amp;Assemblies[Assy]&amp;"'!"&amp;"C$5:C1000"), $C465, INDIRECT("'"&amp;Assemblies[Assy]&amp;"'!"&amp;"O$5:O1000")), "x",Assemblies[Assy],".",IF(SUMIF(INDIRECT("'"&amp;Assemblies[Assy]&amp;"'!"&amp;"C$5:C1000"), $C465, INDIRECT("'"&amp;Assemblies[Assy]&amp;"'!"&amp;"A$5:A1000"))=0,NA(),SUMIF(INDIRECT("'"&amp;Assemblies[Assy]&amp;"'!"&amp;"C$5:C1000"), $C465, INDIRECT("'"&amp;Assemblies[Assy]&amp;"'!"&amp;"A$5:A1000")))),"")), " ,", ""))</f>
        <v>, 1x9.1.4,</v>
      </c>
      <c r="Z465" s="141">
        <v>0</v>
      </c>
      <c r="AA465" s="141">
        <v>0</v>
      </c>
      <c r="AB465" s="141">
        <v>0</v>
      </c>
      <c r="AC465" s="39">
        <v>0</v>
      </c>
      <c r="AD465" s="141"/>
      <c r="AE465" s="296"/>
      <c r="AF465" s="156"/>
      <c r="AG465"/>
    </row>
    <row r="466" spans="1:33" x14ac:dyDescent="0.25">
      <c r="A466" s="24" t="s">
        <v>2887</v>
      </c>
      <c r="B466" s="134" t="s">
        <v>54</v>
      </c>
      <c r="C466" t="str">
        <f>_xlfn.CONCAT(A466,".",B466)</f>
        <v>PG10.9.1.5.A</v>
      </c>
      <c r="D466" t="s">
        <v>2888</v>
      </c>
      <c r="E466" s="18">
        <v>202.08</v>
      </c>
      <c r="F466" s="19" cm="1">
        <f t="array" aca="1" ref="F466" ca="1">SUMPRODUCT(SUMIF(INDIRECT("'"&amp;Assemblies[Assy]&amp;"'!"&amp;"C5:C1000"),C466,(INDIRECT("'"&amp;Assemblies[Assy]&amp;"'!"&amp;"O5:O1000"))))</f>
        <v>1</v>
      </c>
      <c r="G466" s="19">
        <v>1</v>
      </c>
      <c r="H466" s="19" t="str">
        <f ca="1">IF(F466&lt;=G466," ","YES")</f>
        <v xml:space="preserve"> </v>
      </c>
      <c r="I466">
        <v>1</v>
      </c>
      <c r="J466">
        <v>1</v>
      </c>
      <c r="L466">
        <v>1</v>
      </c>
      <c r="N466">
        <v>1</v>
      </c>
      <c r="O466" t="s">
        <v>2021</v>
      </c>
      <c r="P466" t="s">
        <v>2606</v>
      </c>
      <c r="R466" t="s">
        <v>2488</v>
      </c>
      <c r="T466" s="40">
        <v>45495</v>
      </c>
      <c r="U466" s="40">
        <v>45510</v>
      </c>
      <c r="V466" s="40">
        <v>45540</v>
      </c>
      <c r="W466" s="40">
        <v>45540</v>
      </c>
      <c r="X466" s="157">
        <v>55658</v>
      </c>
      <c r="Y466" s="40" t="str" cm="1">
        <f t="array" aca="1" ref="Y466" ca="1">TRIM(SUBSTITUTE(_xlfn.ARRAYTOTEXT(IFERROR(CONCATENATE(SUMIF(INDIRECT("'"&amp;Assemblies[Assy]&amp;"'!"&amp;"C$5:C1000"), $C466, INDIRECT("'"&amp;Assemblies[Assy]&amp;"'!"&amp;"O$5:O1000")), "x",Assemblies[Assy],".",IF(SUMIF(INDIRECT("'"&amp;Assemblies[Assy]&amp;"'!"&amp;"C$5:C1000"), $C466, INDIRECT("'"&amp;Assemblies[Assy]&amp;"'!"&amp;"A$5:A1000"))=0,NA(),SUMIF(INDIRECT("'"&amp;Assemblies[Assy]&amp;"'!"&amp;"C$5:C1000"), $C466, INDIRECT("'"&amp;Assemblies[Assy]&amp;"'!"&amp;"A$5:A1000")))),"")), " ,", ""))</f>
        <v>, 1x9.1.5,</v>
      </c>
      <c r="Z466" s="141">
        <v>0</v>
      </c>
      <c r="AA466" s="141">
        <v>0</v>
      </c>
      <c r="AB466" s="141">
        <v>0</v>
      </c>
      <c r="AC466" s="39">
        <v>0</v>
      </c>
      <c r="AD466" s="141"/>
      <c r="AE466" s="296"/>
      <c r="AF466" s="156"/>
      <c r="AG466"/>
    </row>
    <row r="467" spans="1:33" x14ac:dyDescent="0.25">
      <c r="A467" s="24" t="s">
        <v>2889</v>
      </c>
      <c r="B467" s="134" t="s">
        <v>54</v>
      </c>
      <c r="C467" t="str">
        <f>_xlfn.CONCAT(A467,".",B467)</f>
        <v>PG10.9.1.6.A</v>
      </c>
      <c r="D467" t="s">
        <v>2890</v>
      </c>
      <c r="E467" s="18">
        <v>101.34</v>
      </c>
      <c r="F467" s="19" cm="1">
        <f t="array" aca="1" ref="F467" ca="1">SUMPRODUCT(SUMIF(INDIRECT("'"&amp;Assemblies[Assy]&amp;"'!"&amp;"C5:C1000"),C467,(INDIRECT("'"&amp;Assemblies[Assy]&amp;"'!"&amp;"O5:O1000"))))</f>
        <v>2</v>
      </c>
      <c r="G467" s="19">
        <v>2</v>
      </c>
      <c r="H467" s="19" t="str">
        <f ca="1">IF(F467&lt;=G467," ","YES")</f>
        <v xml:space="preserve"> </v>
      </c>
      <c r="I467">
        <v>2</v>
      </c>
      <c r="J467">
        <v>2</v>
      </c>
      <c r="L467">
        <v>2</v>
      </c>
      <c r="N467">
        <v>2</v>
      </c>
      <c r="O467" t="s">
        <v>2021</v>
      </c>
      <c r="P467" t="s">
        <v>2891</v>
      </c>
      <c r="R467" t="s">
        <v>2488</v>
      </c>
      <c r="T467" s="40">
        <v>45495</v>
      </c>
      <c r="U467" s="40">
        <v>45510</v>
      </c>
      <c r="V467" s="40">
        <v>45540</v>
      </c>
      <c r="W467" s="40">
        <v>45540</v>
      </c>
      <c r="X467" s="157">
        <v>55658</v>
      </c>
      <c r="Y467" s="40" t="str" cm="1">
        <f t="array" aca="1" ref="Y467" ca="1">TRIM(SUBSTITUTE(_xlfn.ARRAYTOTEXT(IFERROR(CONCATENATE(SUMIF(INDIRECT("'"&amp;Assemblies[Assy]&amp;"'!"&amp;"C$5:C1000"), $C467, INDIRECT("'"&amp;Assemblies[Assy]&amp;"'!"&amp;"O$5:O1000")), "x",Assemblies[Assy],".",IF(SUMIF(INDIRECT("'"&amp;Assemblies[Assy]&amp;"'!"&amp;"C$5:C1000"), $C467, INDIRECT("'"&amp;Assemblies[Assy]&amp;"'!"&amp;"A$5:A1000"))=0,NA(),SUMIF(INDIRECT("'"&amp;Assemblies[Assy]&amp;"'!"&amp;"C$5:C1000"), $C467, INDIRECT("'"&amp;Assemblies[Assy]&amp;"'!"&amp;"A$5:A1000")))),"")), " ,", ""))</f>
        <v>, 2x9.1.6,</v>
      </c>
      <c r="Z467" s="141">
        <v>0</v>
      </c>
      <c r="AA467" s="141">
        <v>0</v>
      </c>
      <c r="AB467" s="141">
        <v>0</v>
      </c>
      <c r="AC467" s="39">
        <v>0</v>
      </c>
      <c r="AD467" s="141"/>
      <c r="AE467" s="296"/>
      <c r="AF467" s="156"/>
      <c r="AG467"/>
    </row>
    <row r="468" spans="1:33" x14ac:dyDescent="0.25">
      <c r="A468" s="24" t="s">
        <v>2892</v>
      </c>
      <c r="B468" s="134" t="s">
        <v>54</v>
      </c>
      <c r="C468" t="str">
        <f>_xlfn.CONCAT(A468,".",B468)</f>
        <v>PG10.9.2.1.A</v>
      </c>
      <c r="D468" t="s">
        <v>2893</v>
      </c>
      <c r="E468" s="18">
        <v>44.5</v>
      </c>
      <c r="F468" s="19" cm="1">
        <f t="array" aca="1" ref="F468" ca="1">SUMPRODUCT(SUMIF(INDIRECT("'"&amp;Assemblies[Assy]&amp;"'!"&amp;"C5:C1000"),C468,(INDIRECT("'"&amp;Assemblies[Assy]&amp;"'!"&amp;"O5:O1000"))))</f>
        <v>4</v>
      </c>
      <c r="G468" s="19">
        <v>4</v>
      </c>
      <c r="H468" s="19" t="str">
        <f ca="1">IF(F468&lt;=G468," ","YES")</f>
        <v xml:space="preserve"> </v>
      </c>
      <c r="I468">
        <v>4</v>
      </c>
      <c r="J468">
        <v>4</v>
      </c>
      <c r="K468" s="40">
        <v>45512</v>
      </c>
      <c r="L468">
        <v>4</v>
      </c>
      <c r="N468">
        <v>4</v>
      </c>
      <c r="O468" t="s">
        <v>1986</v>
      </c>
      <c r="P468" t="s">
        <v>1987</v>
      </c>
      <c r="Q468" t="s">
        <v>1988</v>
      </c>
      <c r="R468" t="s">
        <v>2178</v>
      </c>
      <c r="T468" s="40">
        <v>45470</v>
      </c>
      <c r="U468" s="40">
        <v>45474</v>
      </c>
      <c r="V468" s="40">
        <v>45495</v>
      </c>
      <c r="W468" s="40">
        <v>45495</v>
      </c>
      <c r="X468" s="157">
        <v>55580</v>
      </c>
      <c r="Y468" s="40" t="str" cm="1">
        <f t="array" aca="1" ref="Y468" ca="1">TRIM(SUBSTITUTE(_xlfn.ARRAYTOTEXT(IFERROR(CONCATENATE(SUMIF(INDIRECT("'"&amp;Assemblies[Assy]&amp;"'!"&amp;"C$5:C1000"), $C468, INDIRECT("'"&amp;Assemblies[Assy]&amp;"'!"&amp;"O$5:O1000")), "x",Assemblies[Assy],".",IF(SUMIF(INDIRECT("'"&amp;Assemblies[Assy]&amp;"'!"&amp;"C$5:C1000"), $C468, INDIRECT("'"&amp;Assemblies[Assy]&amp;"'!"&amp;"A$5:A1000"))=0,NA(),SUMIF(INDIRECT("'"&amp;Assemblies[Assy]&amp;"'!"&amp;"C$5:C1000"), $C468, INDIRECT("'"&amp;Assemblies[Assy]&amp;"'!"&amp;"A$5:A1000")))),"")), " ,", ""))</f>
        <v>,</v>
      </c>
      <c r="Z468" s="141">
        <v>0</v>
      </c>
      <c r="AA468" s="141">
        <v>0</v>
      </c>
      <c r="AB468" s="141">
        <v>0</v>
      </c>
      <c r="AC468" s="39">
        <v>0</v>
      </c>
      <c r="AD468" s="141"/>
      <c r="AE468" s="296">
        <v>55616</v>
      </c>
      <c r="AF468" s="156"/>
      <c r="AG468"/>
    </row>
    <row r="469" spans="1:33" x14ac:dyDescent="0.25">
      <c r="A469" s="24" t="s">
        <v>2894</v>
      </c>
      <c r="B469" s="134" t="s">
        <v>54</v>
      </c>
      <c r="C469" t="str">
        <f>_xlfn.CONCAT(A469,".",B469)</f>
        <v>PG10.9.3.1.A</v>
      </c>
      <c r="D469" t="s">
        <v>2895</v>
      </c>
      <c r="E469" s="18">
        <v>117</v>
      </c>
      <c r="F469" s="19" cm="1">
        <f t="array" aca="1" ref="F469" ca="1">SUMPRODUCT(SUMIF(INDIRECT("'"&amp;Assemblies[Assy]&amp;"'!"&amp;"C5:C1000"),C469,(INDIRECT("'"&amp;Assemblies[Assy]&amp;"'!"&amp;"O5:O1000"))))</f>
        <v>1</v>
      </c>
      <c r="G469" s="19">
        <v>1</v>
      </c>
      <c r="H469" s="19" t="str">
        <f ca="1">IF(F469&lt;=G469," ","YES")</f>
        <v xml:space="preserve"> </v>
      </c>
      <c r="I469">
        <v>1</v>
      </c>
      <c r="J469">
        <v>1</v>
      </c>
      <c r="K469" s="40">
        <v>45512</v>
      </c>
      <c r="L469">
        <v>1</v>
      </c>
      <c r="N469">
        <v>1</v>
      </c>
      <c r="O469" t="s">
        <v>1986</v>
      </c>
      <c r="P469" t="s">
        <v>1987</v>
      </c>
      <c r="Q469" t="s">
        <v>1988</v>
      </c>
      <c r="R469" t="s">
        <v>2178</v>
      </c>
      <c r="T469" s="40">
        <v>45470</v>
      </c>
      <c r="U469" s="40">
        <v>45474</v>
      </c>
      <c r="V469" s="40">
        <v>45495</v>
      </c>
      <c r="W469" s="40">
        <v>45495</v>
      </c>
      <c r="X469" s="157">
        <v>55580</v>
      </c>
      <c r="Y469" s="40" t="str" cm="1">
        <f t="array" aca="1" ref="Y469" ca="1">TRIM(SUBSTITUTE(_xlfn.ARRAYTOTEXT(IFERROR(CONCATENATE(SUMIF(INDIRECT("'"&amp;Assemblies[Assy]&amp;"'!"&amp;"C$5:C1000"), $C469, INDIRECT("'"&amp;Assemblies[Assy]&amp;"'!"&amp;"O$5:O1000")), "x",Assemblies[Assy],".",IF(SUMIF(INDIRECT("'"&amp;Assemblies[Assy]&amp;"'!"&amp;"C$5:C1000"), $C469, INDIRECT("'"&amp;Assemblies[Assy]&amp;"'!"&amp;"A$5:A1000"))=0,NA(),SUMIF(INDIRECT("'"&amp;Assemblies[Assy]&amp;"'!"&amp;"C$5:C1000"), $C469, INDIRECT("'"&amp;Assemblies[Assy]&amp;"'!"&amp;"A$5:A1000")))),"")), " ,", ""))</f>
        <v>, 1x9.3.1,</v>
      </c>
      <c r="Z469" s="141">
        <v>0</v>
      </c>
      <c r="AA469" s="141">
        <v>0</v>
      </c>
      <c r="AB469" s="141">
        <v>0</v>
      </c>
      <c r="AC469" s="39">
        <v>0</v>
      </c>
      <c r="AD469" s="141"/>
      <c r="AE469" s="296">
        <v>55616</v>
      </c>
      <c r="AF469" s="156"/>
      <c r="AG469"/>
    </row>
    <row r="470" spans="1:33" x14ac:dyDescent="0.25">
      <c r="A470" s="24" t="s">
        <v>2896</v>
      </c>
      <c r="B470" s="134" t="s">
        <v>54</v>
      </c>
      <c r="C470" t="str">
        <f>_xlfn.CONCAT(A470,".",B470)</f>
        <v>PG10.9.3.2.A</v>
      </c>
      <c r="D470" t="s">
        <v>2897</v>
      </c>
      <c r="E470" s="18">
        <v>62.5</v>
      </c>
      <c r="F470" s="19" cm="1">
        <f t="array" aca="1" ref="F470" ca="1">SUMPRODUCT(SUMIF(INDIRECT("'"&amp;Assemblies[Assy]&amp;"'!"&amp;"C5:C1000"),C470,(INDIRECT("'"&amp;Assemblies[Assy]&amp;"'!"&amp;"O5:O1000"))))</f>
        <v>1</v>
      </c>
      <c r="G470" s="19">
        <v>1</v>
      </c>
      <c r="H470" s="19" t="str">
        <f ca="1">IF(F470&lt;=G470," ","YES")</f>
        <v xml:space="preserve"> </v>
      </c>
      <c r="I470">
        <v>1</v>
      </c>
      <c r="J470">
        <v>1</v>
      </c>
      <c r="K470" s="40">
        <v>45512</v>
      </c>
      <c r="L470">
        <v>1</v>
      </c>
      <c r="N470">
        <v>1</v>
      </c>
      <c r="O470" t="s">
        <v>2026</v>
      </c>
      <c r="P470" t="s">
        <v>2027</v>
      </c>
      <c r="Q470" t="s">
        <v>1988</v>
      </c>
      <c r="R470" t="s">
        <v>2178</v>
      </c>
      <c r="T470" s="40">
        <v>45470</v>
      </c>
      <c r="U470" s="40">
        <v>45474</v>
      </c>
      <c r="V470" s="40">
        <v>45495</v>
      </c>
      <c r="W470" s="40">
        <v>45495</v>
      </c>
      <c r="X470" s="157">
        <v>55580</v>
      </c>
      <c r="Y470" s="40" t="str" cm="1">
        <f t="array" aca="1" ref="Y470" ca="1">TRIM(SUBSTITUTE(_xlfn.ARRAYTOTEXT(IFERROR(CONCATENATE(SUMIF(INDIRECT("'"&amp;Assemblies[Assy]&amp;"'!"&amp;"C$5:C1000"), $C470, INDIRECT("'"&amp;Assemblies[Assy]&amp;"'!"&amp;"O$5:O1000")), "x",Assemblies[Assy],".",IF(SUMIF(INDIRECT("'"&amp;Assemblies[Assy]&amp;"'!"&amp;"C$5:C1000"), $C470, INDIRECT("'"&amp;Assemblies[Assy]&amp;"'!"&amp;"A$5:A1000"))=0,NA(),SUMIF(INDIRECT("'"&amp;Assemblies[Assy]&amp;"'!"&amp;"C$5:C1000"), $C470, INDIRECT("'"&amp;Assemblies[Assy]&amp;"'!"&amp;"A$5:A1000")))),"")), " ,", ""))</f>
        <v>, 1x9.3.2,</v>
      </c>
      <c r="Z470" s="141">
        <v>0</v>
      </c>
      <c r="AA470" s="141">
        <v>0</v>
      </c>
      <c r="AB470" s="141">
        <v>0</v>
      </c>
      <c r="AC470" s="39">
        <v>0</v>
      </c>
      <c r="AD470" s="141"/>
      <c r="AE470" s="296">
        <v>55618</v>
      </c>
      <c r="AF470" s="156"/>
      <c r="AG470"/>
    </row>
    <row r="471" spans="1:33" x14ac:dyDescent="0.25">
      <c r="A471" s="24" t="s">
        <v>2898</v>
      </c>
      <c r="B471" s="134" t="s">
        <v>54</v>
      </c>
      <c r="C471" t="str">
        <f>_xlfn.CONCAT(A471,".",B471)</f>
        <v>PG10.9.3.3.A</v>
      </c>
      <c r="D471" t="s">
        <v>2899</v>
      </c>
      <c r="E471" s="18">
        <v>119.89</v>
      </c>
      <c r="F471" s="19" cm="1">
        <f t="array" aca="1" ref="F471" ca="1">SUMPRODUCT(SUMIF(INDIRECT("'"&amp;Assemblies[Assy]&amp;"'!"&amp;"C5:C1000"),C471,(INDIRECT("'"&amp;Assemblies[Assy]&amp;"'!"&amp;"O5:O1000"))))</f>
        <v>2</v>
      </c>
      <c r="G471" s="19">
        <v>2</v>
      </c>
      <c r="H471" s="19" t="str">
        <f ca="1">IF(F471&lt;=G471," ","YES")</f>
        <v xml:space="preserve"> </v>
      </c>
      <c r="I471">
        <v>2</v>
      </c>
      <c r="J471">
        <v>2</v>
      </c>
      <c r="L471">
        <v>2</v>
      </c>
      <c r="N471">
        <v>2</v>
      </c>
      <c r="O471" t="s">
        <v>2021</v>
      </c>
      <c r="P471" t="s">
        <v>2175</v>
      </c>
      <c r="R471" t="s">
        <v>2488</v>
      </c>
      <c r="T471" s="40">
        <v>45495</v>
      </c>
      <c r="U471" s="40">
        <v>45510</v>
      </c>
      <c r="V471" s="40">
        <v>45540</v>
      </c>
      <c r="W471" s="40">
        <v>45540</v>
      </c>
      <c r="X471" s="157">
        <v>55658</v>
      </c>
      <c r="Y471" s="40" t="str" cm="1">
        <f t="array" aca="1" ref="Y471" ca="1">TRIM(SUBSTITUTE(_xlfn.ARRAYTOTEXT(IFERROR(CONCATENATE(SUMIF(INDIRECT("'"&amp;Assemblies[Assy]&amp;"'!"&amp;"C$5:C1000"), $C471, INDIRECT("'"&amp;Assemblies[Assy]&amp;"'!"&amp;"O$5:O1000")), "x",Assemblies[Assy],".",IF(SUMIF(INDIRECT("'"&amp;Assemblies[Assy]&amp;"'!"&amp;"C$5:C1000"), $C471, INDIRECT("'"&amp;Assemblies[Assy]&amp;"'!"&amp;"A$5:A1000"))=0,NA(),SUMIF(INDIRECT("'"&amp;Assemblies[Assy]&amp;"'!"&amp;"C$5:C1000"), $C471, INDIRECT("'"&amp;Assemblies[Assy]&amp;"'!"&amp;"A$5:A1000")))),"")), " ,", ""))</f>
        <v>, 2x9.3.3,</v>
      </c>
      <c r="Z471" s="141">
        <v>0</v>
      </c>
      <c r="AA471" s="141">
        <v>0</v>
      </c>
      <c r="AB471" s="141">
        <v>0</v>
      </c>
      <c r="AC471" s="39">
        <v>0</v>
      </c>
      <c r="AD471" s="141"/>
      <c r="AE471" s="296"/>
      <c r="AF471" s="156"/>
      <c r="AG471"/>
    </row>
    <row r="472" spans="1:33" x14ac:dyDescent="0.25">
      <c r="A472" s="24" t="s">
        <v>2900</v>
      </c>
      <c r="B472" s="134" t="s">
        <v>54</v>
      </c>
      <c r="C472" t="str">
        <f>_xlfn.CONCAT(A472,".",B472)</f>
        <v>PG10.9.4.1.A</v>
      </c>
      <c r="D472" t="s">
        <v>2901</v>
      </c>
      <c r="E472" s="18">
        <v>87.74</v>
      </c>
      <c r="F472" s="19" cm="1">
        <f t="array" aca="1" ref="F472" ca="1">SUMPRODUCT(SUMIF(INDIRECT("'"&amp;Assemblies[Assy]&amp;"'!"&amp;"C5:C1000"),C472,(INDIRECT("'"&amp;Assemblies[Assy]&amp;"'!"&amp;"O5:O1000"))))</f>
        <v>4</v>
      </c>
      <c r="G472" s="19">
        <v>4</v>
      </c>
      <c r="H472" s="19" t="str">
        <f ca="1">IF(F472&lt;=G472," ","YES")</f>
        <v xml:space="preserve"> </v>
      </c>
      <c r="I472">
        <v>4</v>
      </c>
      <c r="J472">
        <v>4</v>
      </c>
      <c r="L472">
        <v>4</v>
      </c>
      <c r="N472">
        <v>4</v>
      </c>
      <c r="O472" t="s">
        <v>2021</v>
      </c>
      <c r="P472" t="s">
        <v>2902</v>
      </c>
      <c r="R472" t="s">
        <v>2488</v>
      </c>
      <c r="T472" s="40">
        <v>45495</v>
      </c>
      <c r="U472" s="40">
        <v>45510</v>
      </c>
      <c r="V472" s="40">
        <v>45540</v>
      </c>
      <c r="W472" s="40">
        <v>45540</v>
      </c>
      <c r="X472" s="157">
        <v>55658</v>
      </c>
      <c r="Y472" s="40" t="str" cm="1">
        <f t="array" aca="1" ref="Y472" ca="1">TRIM(SUBSTITUTE(_xlfn.ARRAYTOTEXT(IFERROR(CONCATENATE(SUMIF(INDIRECT("'"&amp;Assemblies[Assy]&amp;"'!"&amp;"C$5:C1000"), $C472, INDIRECT("'"&amp;Assemblies[Assy]&amp;"'!"&amp;"O$5:O1000")), "x",Assemblies[Assy],".",IF(SUMIF(INDIRECT("'"&amp;Assemblies[Assy]&amp;"'!"&amp;"C$5:C1000"), $C472, INDIRECT("'"&amp;Assemblies[Assy]&amp;"'!"&amp;"A$5:A1000"))=0,NA(),SUMIF(INDIRECT("'"&amp;Assemblies[Assy]&amp;"'!"&amp;"C$5:C1000"), $C472, INDIRECT("'"&amp;Assemblies[Assy]&amp;"'!"&amp;"A$5:A1000")))),"")), " ,", ""))</f>
        <v>, 4x9.4.1,</v>
      </c>
      <c r="Z472" s="141">
        <v>0</v>
      </c>
      <c r="AA472" s="141">
        <v>0</v>
      </c>
      <c r="AB472" s="141">
        <v>0</v>
      </c>
      <c r="AC472" s="39">
        <v>0</v>
      </c>
      <c r="AD472" s="141"/>
      <c r="AE472" s="296"/>
      <c r="AF472" s="156"/>
      <c r="AG472"/>
    </row>
    <row r="473" spans="1:33" x14ac:dyDescent="0.25">
      <c r="A473" s="24" t="s">
        <v>2903</v>
      </c>
      <c r="B473" s="134" t="s">
        <v>54</v>
      </c>
      <c r="C473" t="str">
        <f>_xlfn.CONCAT(A473,".",B473)</f>
        <v>PG10.9.4.2.A</v>
      </c>
      <c r="D473" t="s">
        <v>2904</v>
      </c>
      <c r="E473" s="18">
        <v>30</v>
      </c>
      <c r="F473" s="19" cm="1">
        <f t="array" aca="1" ref="F473" ca="1">SUMPRODUCT(SUMIF(INDIRECT("'"&amp;Assemblies[Assy]&amp;"'!"&amp;"C5:C1000"),C473,(INDIRECT("'"&amp;Assemblies[Assy]&amp;"'!"&amp;"O5:O1000"))))</f>
        <v>4</v>
      </c>
      <c r="G473" s="19">
        <v>4</v>
      </c>
      <c r="H473" s="19" t="str">
        <f ca="1">IF(F473&lt;=G473," ","YES")</f>
        <v xml:space="preserve"> </v>
      </c>
      <c r="I473">
        <v>4</v>
      </c>
      <c r="J473">
        <v>4</v>
      </c>
      <c r="K473" s="40">
        <v>45512</v>
      </c>
      <c r="L473">
        <v>4</v>
      </c>
      <c r="N473">
        <v>4</v>
      </c>
      <c r="O473" t="s">
        <v>2905</v>
      </c>
      <c r="P473" t="s">
        <v>2027</v>
      </c>
      <c r="Q473" t="s">
        <v>1988</v>
      </c>
      <c r="R473" t="s">
        <v>2178</v>
      </c>
      <c r="T473" s="40">
        <v>45470</v>
      </c>
      <c r="U473" s="40">
        <v>45474</v>
      </c>
      <c r="V473" s="40">
        <v>45495</v>
      </c>
      <c r="W473" s="40">
        <v>45495</v>
      </c>
      <c r="X473" s="157">
        <v>55580</v>
      </c>
      <c r="Y473" s="40" t="str" cm="1">
        <f t="array" aca="1" ref="Y473" ca="1">TRIM(SUBSTITUTE(_xlfn.ARRAYTOTEXT(IFERROR(CONCATENATE(SUMIF(INDIRECT("'"&amp;Assemblies[Assy]&amp;"'!"&amp;"C$5:C1000"), $C473, INDIRECT("'"&amp;Assemblies[Assy]&amp;"'!"&amp;"O$5:O1000")), "x",Assemblies[Assy],".",IF(SUMIF(INDIRECT("'"&amp;Assemblies[Assy]&amp;"'!"&amp;"C$5:C1000"), $C473, INDIRECT("'"&amp;Assemblies[Assy]&amp;"'!"&amp;"A$5:A1000"))=0,NA(),SUMIF(INDIRECT("'"&amp;Assemblies[Assy]&amp;"'!"&amp;"C$5:C1000"), $C473, INDIRECT("'"&amp;Assemblies[Assy]&amp;"'!"&amp;"A$5:A1000")))),"")), " ,", ""))</f>
        <v>, 4x9.4.2,</v>
      </c>
      <c r="Z473" s="141">
        <v>0</v>
      </c>
      <c r="AA473" s="141">
        <v>0</v>
      </c>
      <c r="AB473" s="141">
        <v>0</v>
      </c>
      <c r="AC473" s="39">
        <v>0</v>
      </c>
      <c r="AD473" s="141"/>
      <c r="AE473" s="296">
        <v>55618</v>
      </c>
      <c r="AF473" s="156"/>
      <c r="AG473"/>
    </row>
    <row r="474" spans="1:33" x14ac:dyDescent="0.25">
      <c r="A474" s="24" t="s">
        <v>2906</v>
      </c>
      <c r="B474" s="134" t="s">
        <v>54</v>
      </c>
      <c r="C474" t="str">
        <f>_xlfn.CONCAT(A474,".",B474)</f>
        <v>PG10.9.4.3.A</v>
      </c>
      <c r="D474" t="s">
        <v>2907</v>
      </c>
      <c r="E474" s="18">
        <f>Z474+AA474+AB474+(65*AC474)</f>
        <v>0</v>
      </c>
      <c r="F474" s="19" cm="1">
        <f t="array" aca="1" ref="F474" ca="1">SUMPRODUCT(SUMIF(INDIRECT("'"&amp;Assemblies[Assy]&amp;"'!"&amp;"C5:C1000"),C474,(INDIRECT("'"&amp;Assemblies[Assy]&amp;"'!"&amp;"O5:O1000"))))</f>
        <v>8</v>
      </c>
      <c r="G474" s="19">
        <v>8</v>
      </c>
      <c r="H474" s="19" t="str">
        <f ca="1">IF(F474&lt;=G474," ","YES")</f>
        <v xml:space="preserve"> </v>
      </c>
      <c r="I474">
        <v>8</v>
      </c>
      <c r="J474">
        <v>8</v>
      </c>
      <c r="L474">
        <v>8</v>
      </c>
      <c r="N474">
        <v>8</v>
      </c>
      <c r="O474" t="s">
        <v>2792</v>
      </c>
      <c r="P474" t="s">
        <v>2908</v>
      </c>
      <c r="R474" t="s">
        <v>2333</v>
      </c>
      <c r="T474" s="40" t="s">
        <v>2747</v>
      </c>
      <c r="U474" s="40" t="s">
        <v>2747</v>
      </c>
      <c r="V474" s="40" t="s">
        <v>2747</v>
      </c>
      <c r="W474" s="40" t="s">
        <v>2747</v>
      </c>
      <c r="X474" s="40" t="s">
        <v>2747</v>
      </c>
      <c r="Y474" s="40" t="str" cm="1">
        <f t="array" aca="1" ref="Y474" ca="1">TRIM(SUBSTITUTE(_xlfn.ARRAYTOTEXT(IFERROR(CONCATENATE(SUMIF(INDIRECT("'"&amp;Assemblies[Assy]&amp;"'!"&amp;"C$5:C1000"), $C474, INDIRECT("'"&amp;Assemblies[Assy]&amp;"'!"&amp;"O$5:O1000")), "x",Assemblies[Assy],".",IF(SUMIF(INDIRECT("'"&amp;Assemblies[Assy]&amp;"'!"&amp;"C$5:C1000"), $C474, INDIRECT("'"&amp;Assemblies[Assy]&amp;"'!"&amp;"A$5:A1000"))=0,NA(),SUMIF(INDIRECT("'"&amp;Assemblies[Assy]&amp;"'!"&amp;"C$5:C1000"), $C474, INDIRECT("'"&amp;Assemblies[Assy]&amp;"'!"&amp;"A$5:A1000")))),"")), " ,", ""))</f>
        <v>, 8x9.4.3,</v>
      </c>
      <c r="Z474" s="141">
        <v>0</v>
      </c>
      <c r="AA474" s="141">
        <v>0</v>
      </c>
      <c r="AB474" s="141">
        <v>0</v>
      </c>
      <c r="AC474" s="39">
        <v>0</v>
      </c>
      <c r="AD474" s="141"/>
      <c r="AE474" s="296"/>
      <c r="AF474" s="156"/>
      <c r="AG474"/>
    </row>
    <row r="475" spans="1:33" x14ac:dyDescent="0.25">
      <c r="A475" s="24" t="s">
        <v>2909</v>
      </c>
      <c r="B475" s="134" t="s">
        <v>54</v>
      </c>
      <c r="C475" t="str">
        <f>_xlfn.CONCAT(A475,".",B475)</f>
        <v>PG10.9.5.1.A</v>
      </c>
      <c r="D475" t="s">
        <v>2910</v>
      </c>
      <c r="E475" s="18">
        <v>70.25</v>
      </c>
      <c r="F475" s="19" cm="1">
        <f t="array" aca="1" ref="F475" ca="1">SUMPRODUCT(SUMIF(INDIRECT("'"&amp;Assemblies[Assy]&amp;"'!"&amp;"C5:C1000"),C475,(INDIRECT("'"&amp;Assemblies[Assy]&amp;"'!"&amp;"O5:O1000"))))</f>
        <v>4</v>
      </c>
      <c r="G475" s="19">
        <v>4</v>
      </c>
      <c r="H475" s="19" t="str">
        <f ca="1">IF(F475&lt;=G475," ","YES")</f>
        <v xml:space="preserve"> </v>
      </c>
      <c r="I475">
        <v>4</v>
      </c>
      <c r="J475">
        <v>4</v>
      </c>
      <c r="K475" s="40">
        <v>45512</v>
      </c>
      <c r="L475">
        <v>4</v>
      </c>
      <c r="N475">
        <v>4</v>
      </c>
      <c r="O475" t="s">
        <v>1986</v>
      </c>
      <c r="P475" t="s">
        <v>1987</v>
      </c>
      <c r="Q475" t="s">
        <v>1988</v>
      </c>
      <c r="R475" t="s">
        <v>2178</v>
      </c>
      <c r="T475" s="40">
        <v>45470</v>
      </c>
      <c r="U475" s="40">
        <v>45474</v>
      </c>
      <c r="V475" s="40">
        <v>45495</v>
      </c>
      <c r="W475" s="40">
        <v>45495</v>
      </c>
      <c r="X475" s="157">
        <v>55580</v>
      </c>
      <c r="Y475" s="40" t="str" cm="1">
        <f t="array" aca="1" ref="Y475" ca="1">TRIM(SUBSTITUTE(_xlfn.ARRAYTOTEXT(IFERROR(CONCATENATE(SUMIF(INDIRECT("'"&amp;Assemblies[Assy]&amp;"'!"&amp;"C$5:C1000"), $C475, INDIRECT("'"&amp;Assemblies[Assy]&amp;"'!"&amp;"O$5:O1000")), "x",Assemblies[Assy],".",IF(SUMIF(INDIRECT("'"&amp;Assemblies[Assy]&amp;"'!"&amp;"C$5:C1000"), $C475, INDIRECT("'"&amp;Assemblies[Assy]&amp;"'!"&amp;"A$5:A1000"))=0,NA(),SUMIF(INDIRECT("'"&amp;Assemblies[Assy]&amp;"'!"&amp;"C$5:C1000"), $C475, INDIRECT("'"&amp;Assemblies[Assy]&amp;"'!"&amp;"A$5:A1000")))),"")), " ,", ""))</f>
        <v>, 4x9.5.1,</v>
      </c>
      <c r="Z475" s="141">
        <v>0</v>
      </c>
      <c r="AA475" s="141">
        <v>0</v>
      </c>
      <c r="AB475" s="141">
        <v>0</v>
      </c>
      <c r="AC475" s="39">
        <v>0</v>
      </c>
      <c r="AD475" s="141"/>
      <c r="AE475" s="296">
        <v>55616</v>
      </c>
      <c r="AF475" s="156"/>
    </row>
    <row r="476" spans="1:33" x14ac:dyDescent="0.25">
      <c r="A476" s="24" t="s">
        <v>2911</v>
      </c>
      <c r="B476" s="134" t="s">
        <v>54</v>
      </c>
      <c r="C476" t="str">
        <f>_xlfn.CONCAT(A476,".",B476)</f>
        <v>PG10.9.5.2.A</v>
      </c>
      <c r="D476" t="s">
        <v>2912</v>
      </c>
      <c r="E476" s="18">
        <v>87.75</v>
      </c>
      <c r="F476" s="19" cm="1">
        <f t="array" aca="1" ref="F476" ca="1">SUMPRODUCT(SUMIF(INDIRECT("'"&amp;Assemblies[Assy]&amp;"'!"&amp;"C5:C1000"),C476,(INDIRECT("'"&amp;Assemblies[Assy]&amp;"'!"&amp;"O5:O1000"))))</f>
        <v>4</v>
      </c>
      <c r="G476" s="19">
        <v>4</v>
      </c>
      <c r="H476" s="19" t="str">
        <f ca="1">IF(F476&lt;=G476," ","YES")</f>
        <v xml:space="preserve"> </v>
      </c>
      <c r="I476">
        <v>4</v>
      </c>
      <c r="J476">
        <v>4</v>
      </c>
      <c r="L476">
        <v>4</v>
      </c>
      <c r="N476">
        <v>4</v>
      </c>
      <c r="O476" t="s">
        <v>2021</v>
      </c>
      <c r="P476" t="s">
        <v>1993</v>
      </c>
      <c r="R476" t="s">
        <v>2178</v>
      </c>
      <c r="T476" s="40">
        <v>45470</v>
      </c>
      <c r="U476" s="40">
        <v>45474</v>
      </c>
      <c r="V476" s="40">
        <v>45495</v>
      </c>
      <c r="W476" s="40">
        <v>45495</v>
      </c>
      <c r="X476" s="157">
        <v>55580</v>
      </c>
      <c r="Y476" s="40" t="str" cm="1">
        <f t="array" aca="1" ref="Y476" ca="1">TRIM(SUBSTITUTE(_xlfn.ARRAYTOTEXT(IFERROR(CONCATENATE(SUMIF(INDIRECT("'"&amp;Assemblies[Assy]&amp;"'!"&amp;"C$5:C1000"), $C476, INDIRECT("'"&amp;Assemblies[Assy]&amp;"'!"&amp;"O$5:O1000")), "x",Assemblies[Assy],".",IF(SUMIF(INDIRECT("'"&amp;Assemblies[Assy]&amp;"'!"&amp;"C$5:C1000"), $C476, INDIRECT("'"&amp;Assemblies[Assy]&amp;"'!"&amp;"A$5:A1000"))=0,NA(),SUMIF(INDIRECT("'"&amp;Assemblies[Assy]&amp;"'!"&amp;"C$5:C1000"), $C476, INDIRECT("'"&amp;Assemblies[Assy]&amp;"'!"&amp;"A$5:A1000")))),"")), " ,", ""))</f>
        <v>, 4x9.5.2,</v>
      </c>
      <c r="Z476" s="141">
        <v>0</v>
      </c>
      <c r="AA476" s="141">
        <v>0</v>
      </c>
      <c r="AB476" s="141">
        <v>0</v>
      </c>
      <c r="AC476" s="39">
        <v>0</v>
      </c>
      <c r="AD476" s="141"/>
      <c r="AE476" s="296"/>
      <c r="AF476" s="156"/>
    </row>
    <row r="477" spans="1:33" x14ac:dyDescent="0.25">
      <c r="A477" s="24" t="s">
        <v>2913</v>
      </c>
      <c r="B477" s="134" t="s">
        <v>54</v>
      </c>
      <c r="C477" t="str">
        <f>_xlfn.CONCAT(A477,".",B477)</f>
        <v>PG10.9.6.1.A</v>
      </c>
      <c r="D477" t="s">
        <v>2914</v>
      </c>
      <c r="E477" s="18">
        <v>72</v>
      </c>
      <c r="F477" s="19" cm="1">
        <f t="array" aca="1" ref="F477" ca="1">SUMPRODUCT(SUMIF(INDIRECT("'"&amp;Assemblies[Assy]&amp;"'!"&amp;"C5:C1000"),C477,(INDIRECT("'"&amp;Assemblies[Assy]&amp;"'!"&amp;"O5:O1000"))))</f>
        <v>1</v>
      </c>
      <c r="G477" s="19">
        <v>1</v>
      </c>
      <c r="H477" s="19" t="str">
        <f ca="1">IF(F477&lt;=G477," ","YES")</f>
        <v xml:space="preserve"> </v>
      </c>
      <c r="I477">
        <v>1</v>
      </c>
      <c r="J477">
        <v>1</v>
      </c>
      <c r="K477" s="40">
        <v>45512</v>
      </c>
      <c r="L477">
        <v>1</v>
      </c>
      <c r="N477">
        <v>1</v>
      </c>
      <c r="O477" t="s">
        <v>1986</v>
      </c>
      <c r="P477" t="s">
        <v>1987</v>
      </c>
      <c r="Q477" t="s">
        <v>1988</v>
      </c>
      <c r="R477" t="s">
        <v>2178</v>
      </c>
      <c r="T477" s="40">
        <v>45470</v>
      </c>
      <c r="U477" s="40">
        <v>45474</v>
      </c>
      <c r="V477" s="40">
        <v>45495</v>
      </c>
      <c r="W477" s="40">
        <v>45495</v>
      </c>
      <c r="X477" s="157">
        <v>55580</v>
      </c>
      <c r="Y477" s="40" t="str" cm="1">
        <f t="array" aca="1" ref="Y477" ca="1">TRIM(SUBSTITUTE(_xlfn.ARRAYTOTEXT(IFERROR(CONCATENATE(SUMIF(INDIRECT("'"&amp;Assemblies[Assy]&amp;"'!"&amp;"C$5:C1000"), $C477, INDIRECT("'"&amp;Assemblies[Assy]&amp;"'!"&amp;"O$5:O1000")), "x",Assemblies[Assy],".",IF(SUMIF(INDIRECT("'"&amp;Assemblies[Assy]&amp;"'!"&amp;"C$5:C1000"), $C477, INDIRECT("'"&amp;Assemblies[Assy]&amp;"'!"&amp;"A$5:A1000"))=0,NA(),SUMIF(INDIRECT("'"&amp;Assemblies[Assy]&amp;"'!"&amp;"C$5:C1000"), $C477, INDIRECT("'"&amp;Assemblies[Assy]&amp;"'!"&amp;"A$5:A1000")))),"")), " ,", ""))</f>
        <v>, 1x4.6.1,</v>
      </c>
      <c r="Z477" s="141">
        <v>0</v>
      </c>
      <c r="AA477" s="141">
        <v>0</v>
      </c>
      <c r="AB477" s="141">
        <v>0</v>
      </c>
      <c r="AC477" s="39">
        <v>0</v>
      </c>
      <c r="AD477" s="141"/>
      <c r="AE477" s="296">
        <v>55616</v>
      </c>
      <c r="AF477" s="156"/>
    </row>
  </sheetData>
  <phoneticPr fontId="8" type="noConversion"/>
  <conditionalFormatting sqref="C475:C1048576 C344:C463 C1:C339">
    <cfRule type="duplicateValues" dxfId="203" priority="71"/>
    <cfRule type="duplicateValues" dxfId="202" priority="73"/>
  </conditionalFormatting>
  <conditionalFormatting sqref="F1:F1048576">
    <cfRule type="cellIs" dxfId="201" priority="74" operator="equal">
      <formula>0</formula>
    </cfRule>
  </conditionalFormatting>
  <conditionalFormatting sqref="W6:W9 W13 W16 W23:W24 W26:W28 W31 W36:W37 W53:W54 W144 W74 W336 W233:W235 W266 W109:W110 W76:W77 W80:W82 W123 W131 W149 W158 W160 W185 W179 W194 W253 W259:W262 W268:W270 W345:W346 W362 W369:W371 W392:W406 W408:W416 W420 W427:W430 W320 W316:W317 W312:W313 W322:W332 W353:W357 W287:W306 W334 W338:W340 W364:W365 W424:W425 W152:W154 W373 W418 W276:W285 W432 W434:W441 W246:W247 W349:W351 W376:W389 W359:W360 W255 W455:W467 W445:W452 W470:W9942 W239:W244 W223:W224">
    <cfRule type="cellIs" dxfId="200" priority="163" operator="greaterThan">
      <formula>#REF!</formula>
    </cfRule>
  </conditionalFormatting>
  <conditionalFormatting sqref="X335">
    <cfRule type="cellIs" dxfId="199" priority="63" operator="greaterThan">
      <formula>#REF!</formula>
    </cfRule>
  </conditionalFormatting>
  <conditionalFormatting sqref="W249">
    <cfRule type="cellIs" dxfId="198" priority="62" operator="greaterThan">
      <formula>#REF!</formula>
    </cfRule>
  </conditionalFormatting>
  <conditionalFormatting sqref="J451:J452 J259:J260 I2:J258 I261:J450 I451:I1027">
    <cfRule type="cellIs" dxfId="197" priority="59" operator="equal">
      <formula>F2</formula>
    </cfRule>
    <cfRule type="cellIs" dxfId="196" priority="60" operator="greaterThan">
      <formula>F2</formula>
    </cfRule>
    <cfRule type="cellIs" dxfId="195" priority="61" operator="lessThan">
      <formula>F2</formula>
    </cfRule>
  </conditionalFormatting>
  <conditionalFormatting sqref="L2:L9 L215:L222 L235:L239 L294:L344 L61:L193 L358:L1027">
    <cfRule type="cellIs" dxfId="194" priority="56" operator="equal">
      <formula>F2</formula>
    </cfRule>
    <cfRule type="cellIs" dxfId="193" priority="57" operator="greaterThan">
      <formula>F2</formula>
    </cfRule>
    <cfRule type="cellIs" dxfId="192" priority="58" operator="lessThan">
      <formula>F2</formula>
    </cfRule>
  </conditionalFormatting>
  <conditionalFormatting sqref="N2:N222 N235:N239 N294:N344 N358:N1027">
    <cfRule type="cellIs" dxfId="191" priority="53" operator="equal">
      <formula>F2</formula>
    </cfRule>
    <cfRule type="cellIs" dxfId="190" priority="54" operator="greaterThan">
      <formula>F2</formula>
    </cfRule>
    <cfRule type="cellIs" dxfId="189" priority="55" operator="lessThan">
      <formula>F2</formula>
    </cfRule>
  </conditionalFormatting>
  <conditionalFormatting sqref="J430:J1027">
    <cfRule type="cellIs" dxfId="188" priority="50" operator="equal">
      <formula>F430</formula>
    </cfRule>
    <cfRule type="cellIs" dxfId="187" priority="51" operator="greaterThan">
      <formula>F430</formula>
    </cfRule>
    <cfRule type="cellIs" dxfId="186" priority="52" operator="lessThan">
      <formula>F430</formula>
    </cfRule>
  </conditionalFormatting>
  <conditionalFormatting sqref="X347">
    <cfRule type="cellIs" dxfId="185" priority="46" operator="greaterThan">
      <formula>#REF!</formula>
    </cfRule>
  </conditionalFormatting>
  <conditionalFormatting sqref="X361">
    <cfRule type="cellIs" dxfId="184" priority="45" operator="greaterThan">
      <formula>#REF!</formula>
    </cfRule>
  </conditionalFormatting>
  <conditionalFormatting sqref="X366">
    <cfRule type="cellIs" dxfId="183" priority="44" operator="greaterThan">
      <formula>#REF!</formula>
    </cfRule>
  </conditionalFormatting>
  <conditionalFormatting sqref="X367:X368">
    <cfRule type="cellIs" dxfId="182" priority="43" operator="greaterThan">
      <formula>#REF!</formula>
    </cfRule>
  </conditionalFormatting>
  <conditionalFormatting sqref="I260">
    <cfRule type="cellIs" dxfId="181" priority="1010" operator="equal">
      <formula>F261</formula>
    </cfRule>
    <cfRule type="cellIs" dxfId="180" priority="1011" operator="greaterThan">
      <formula>F261</formula>
    </cfRule>
    <cfRule type="cellIs" dxfId="179" priority="1012" operator="lessThan">
      <formula>F261</formula>
    </cfRule>
  </conditionalFormatting>
  <conditionalFormatting sqref="I259">
    <cfRule type="cellIs" dxfId="178" priority="40" operator="equal">
      <formula>F259</formula>
    </cfRule>
    <cfRule type="cellIs" dxfId="177" priority="41" operator="greaterThan">
      <formula>F259</formula>
    </cfRule>
    <cfRule type="cellIs" dxfId="176" priority="42" operator="lessThan">
      <formula>F259</formula>
    </cfRule>
  </conditionalFormatting>
  <conditionalFormatting sqref="W106">
    <cfRule type="cellIs" dxfId="175" priority="39" operator="greaterThan">
      <formula>#REF!</formula>
    </cfRule>
  </conditionalFormatting>
  <conditionalFormatting sqref="C340:C343">
    <cfRule type="duplicateValues" dxfId="174" priority="1159"/>
    <cfRule type="duplicateValues" dxfId="173" priority="1160"/>
  </conditionalFormatting>
  <conditionalFormatting sqref="L194:L214">
    <cfRule type="cellIs" dxfId="172" priority="36" operator="equal">
      <formula>I194</formula>
    </cfRule>
    <cfRule type="cellIs" dxfId="171" priority="37" operator="greaterThan">
      <formula>I194</formula>
    </cfRule>
    <cfRule type="cellIs" dxfId="170" priority="38" operator="lessThan">
      <formula>I194</formula>
    </cfRule>
  </conditionalFormatting>
  <conditionalFormatting sqref="L223:L234">
    <cfRule type="cellIs" dxfId="169" priority="33" operator="equal">
      <formula>I223</formula>
    </cfRule>
    <cfRule type="cellIs" dxfId="168" priority="34" operator="greaterThan">
      <formula>I223</formula>
    </cfRule>
    <cfRule type="cellIs" dxfId="167" priority="35" operator="lessThan">
      <formula>I223</formula>
    </cfRule>
  </conditionalFormatting>
  <conditionalFormatting sqref="N223:N234">
    <cfRule type="cellIs" dxfId="166" priority="30" operator="equal">
      <formula>K223</formula>
    </cfRule>
    <cfRule type="cellIs" dxfId="165" priority="31" operator="greaterThan">
      <formula>K223</formula>
    </cfRule>
    <cfRule type="cellIs" dxfId="164" priority="32" operator="lessThan">
      <formula>K223</formula>
    </cfRule>
  </conditionalFormatting>
  <conditionalFormatting sqref="L240:L293">
    <cfRule type="cellIs" dxfId="163" priority="27" operator="equal">
      <formula>I240</formula>
    </cfRule>
    <cfRule type="cellIs" dxfId="162" priority="28" operator="greaterThan">
      <formula>I240</formula>
    </cfRule>
    <cfRule type="cellIs" dxfId="161" priority="29" operator="lessThan">
      <formula>I240</formula>
    </cfRule>
  </conditionalFormatting>
  <conditionalFormatting sqref="N240:N293">
    <cfRule type="cellIs" dxfId="160" priority="24" operator="equal">
      <formula>K240</formula>
    </cfRule>
    <cfRule type="cellIs" dxfId="159" priority="25" operator="greaterThan">
      <formula>K240</formula>
    </cfRule>
    <cfRule type="cellIs" dxfId="158" priority="26" operator="lessThan">
      <formula>K240</formula>
    </cfRule>
  </conditionalFormatting>
  <conditionalFormatting sqref="L345:L357">
    <cfRule type="cellIs" dxfId="157" priority="21" operator="equal">
      <formula>I345</formula>
    </cfRule>
    <cfRule type="cellIs" dxfId="156" priority="22" operator="greaterThan">
      <formula>I345</formula>
    </cfRule>
    <cfRule type="cellIs" dxfId="155" priority="23" operator="lessThan">
      <formula>I345</formula>
    </cfRule>
  </conditionalFormatting>
  <conditionalFormatting sqref="N345:N357">
    <cfRule type="cellIs" dxfId="154" priority="18" operator="equal">
      <formula>K345</formula>
    </cfRule>
    <cfRule type="cellIs" dxfId="153" priority="19" operator="greaterThan">
      <formula>K345</formula>
    </cfRule>
    <cfRule type="cellIs" dxfId="152" priority="20" operator="lessThan">
      <formula>K345</formula>
    </cfRule>
  </conditionalFormatting>
  <conditionalFormatting sqref="L10:L60">
    <cfRule type="cellIs" dxfId="151" priority="12" operator="equal">
      <formula>I10</formula>
    </cfRule>
    <cfRule type="cellIs" dxfId="150" priority="13" operator="greaterThan">
      <formula>I10</formula>
    </cfRule>
    <cfRule type="cellIs" dxfId="149" priority="14" operator="lessThan">
      <formula>I10</formula>
    </cfRule>
  </conditionalFormatting>
  <conditionalFormatting sqref="W254">
    <cfRule type="cellIs" dxfId="148" priority="11" operator="greaterThan">
      <formula>#REF!</formula>
    </cfRule>
  </conditionalFormatting>
  <conditionalFormatting sqref="W263">
    <cfRule type="cellIs" dxfId="147" priority="10" operator="greaterThan">
      <formula>#REF!</formula>
    </cfRule>
  </conditionalFormatting>
  <conditionalFormatting sqref="V477">
    <cfRule type="cellIs" dxfId="146" priority="9" operator="greaterThan">
      <formula>#REF!</formula>
    </cfRule>
  </conditionalFormatting>
  <conditionalFormatting sqref="V468:V469">
    <cfRule type="cellIs" dxfId="145" priority="7" operator="greaterThan">
      <formula>#REF!</formula>
    </cfRule>
  </conditionalFormatting>
  <conditionalFormatting sqref="W468">
    <cfRule type="cellIs" dxfId="144" priority="6" operator="greaterThan">
      <formula>#REF!</formula>
    </cfRule>
  </conditionalFormatting>
  <conditionalFormatting sqref="W469">
    <cfRule type="cellIs" dxfId="143" priority="5" operator="greaterThan">
      <formula>#REF!</formula>
    </cfRule>
  </conditionalFormatting>
  <conditionalFormatting sqref="V442:W442">
    <cfRule type="cellIs" dxfId="142" priority="4" operator="greaterThan">
      <formula>#REF!</formula>
    </cfRule>
  </conditionalFormatting>
  <conditionalFormatting sqref="V443:W443">
    <cfRule type="cellIs" dxfId="141" priority="2" operator="greaterThan">
      <formula>#REF!</formula>
    </cfRule>
  </conditionalFormatting>
  <conditionalFormatting sqref="V444:W444">
    <cfRule type="cellIs" dxfId="140" priority="1" operator="greaterThan">
      <formula>#REF!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BB6D0-20D8-496F-9F0F-09A096353EB4}">
  <sheetPr codeName="Sheet241"/>
  <dimension ref="A1:U507"/>
  <sheetViews>
    <sheetView tabSelected="1" zoomScale="80" zoomScaleNormal="80" workbookViewId="0">
      <selection activeCell="H486" sqref="H486"/>
    </sheetView>
  </sheetViews>
  <sheetFormatPr defaultColWidth="9.140625" defaultRowHeight="15" x14ac:dyDescent="0.25"/>
  <cols>
    <col min="1" max="1" width="38.42578125" customWidth="1"/>
    <col min="2" max="2" width="61" customWidth="1"/>
    <col min="3" max="3" width="10.85546875" style="137" bestFit="1" customWidth="1"/>
    <col min="4" max="4" width="8" customWidth="1"/>
    <col min="5" max="5" width="15.5703125" bestFit="1" customWidth="1"/>
    <col min="6" max="6" width="13" customWidth="1"/>
    <col min="7" max="7" width="12.7109375" bestFit="1" customWidth="1"/>
    <col min="8" max="8" width="9.7109375" customWidth="1"/>
    <col min="9" max="9" width="17.7109375" bestFit="1" customWidth="1"/>
    <col min="10" max="10" width="18.42578125" bestFit="1" customWidth="1"/>
    <col min="11" max="12" width="13.42578125" bestFit="1" customWidth="1"/>
    <col min="13" max="13" width="25.7109375" customWidth="1"/>
    <col min="14" max="14" width="14.28515625" style="40" customWidth="1"/>
    <col min="15" max="15" width="12.28515625" style="40" customWidth="1"/>
    <col min="16" max="16" width="10.7109375" style="40" customWidth="1"/>
    <col min="17" max="17" width="10.5703125" style="40" customWidth="1"/>
    <col min="18" max="18" width="13.5703125" bestFit="1" customWidth="1"/>
    <col min="19" max="19" width="35.28515625" customWidth="1"/>
  </cols>
  <sheetData>
    <row r="1" spans="1:19" s="19" customFormat="1" x14ac:dyDescent="0.25">
      <c r="A1" s="19" t="s">
        <v>2918</v>
      </c>
      <c r="B1" s="19" t="s">
        <v>16</v>
      </c>
      <c r="C1" s="144" t="s">
        <v>44</v>
      </c>
      <c r="D1" s="19" t="s">
        <v>2919</v>
      </c>
      <c r="E1" s="19" t="s">
        <v>2920</v>
      </c>
      <c r="F1" s="19" t="s">
        <v>2921</v>
      </c>
      <c r="G1" s="19" t="s">
        <v>1966</v>
      </c>
      <c r="H1" s="19" t="s">
        <v>2922</v>
      </c>
      <c r="I1" s="19" t="s">
        <v>2923</v>
      </c>
      <c r="J1" s="19" t="s">
        <v>2924</v>
      </c>
      <c r="K1" s="19" t="s">
        <v>17</v>
      </c>
      <c r="L1" s="19" t="s">
        <v>18</v>
      </c>
      <c r="M1" s="19" t="s">
        <v>19</v>
      </c>
      <c r="N1" s="139" t="s">
        <v>51</v>
      </c>
      <c r="O1" s="139" t="s">
        <v>21</v>
      </c>
      <c r="P1" s="139" t="s">
        <v>22</v>
      </c>
      <c r="Q1" s="139" t="s">
        <v>52</v>
      </c>
      <c r="R1" s="19" t="s">
        <v>1976</v>
      </c>
      <c r="S1" s="139" t="s">
        <v>1467</v>
      </c>
    </row>
    <row r="2" spans="1:19" hidden="1" x14ac:dyDescent="0.25">
      <c r="A2" s="160" t="s">
        <v>2934</v>
      </c>
      <c r="B2" s="160" t="s">
        <v>2935</v>
      </c>
      <c r="C2" s="180">
        <v>1233.1842999999999</v>
      </c>
      <c r="D2">
        <v>1</v>
      </c>
      <c r="E2" cm="1">
        <f t="array" aca="1" ref="E2" ca="1">SUMPRODUCT(SUMIF(INDIRECT("'"&amp;Assemblies[Assy]&amp;"'!"&amp;"C:C"),$A2,(INDIRECT("'"&amp;Assemblies[Assy]&amp;"'!"&amp;"O:O"))))</f>
        <v>0</v>
      </c>
      <c r="F2">
        <f ca="1">ROUNDUP(Purchased[[#This Row],[BOM QTY]]/Purchased[[#This Row],[PK QTY]], 0)</f>
        <v>0</v>
      </c>
      <c r="G2">
        <v>1</v>
      </c>
      <c r="H2" t="str">
        <f ca="1">IF(F2&lt;=G2," ","YES")</f>
        <v xml:space="preserve"> </v>
      </c>
      <c r="I2">
        <v>1</v>
      </c>
      <c r="J2">
        <v>1</v>
      </c>
      <c r="K2" t="s">
        <v>2930</v>
      </c>
      <c r="L2" t="s">
        <v>2931</v>
      </c>
      <c r="N2" s="40">
        <v>45426</v>
      </c>
      <c r="O2" s="40">
        <v>45427</v>
      </c>
      <c r="P2" s="40">
        <v>45492</v>
      </c>
      <c r="Q2" s="40">
        <v>45493</v>
      </c>
      <c r="R2">
        <v>55514</v>
      </c>
      <c r="S2" s="40" t="str" cm="1">
        <f t="array" aca="1" ref="S2" ca="1">TRIM(SUBSTITUTE(_xlfn.ARRAYTOTEXT(IFERROR(CONCATENATE(SUMIF(INDIRECT("'"&amp;Assemblies[Assy]&amp;"'!"&amp;"C$5:C1000"), $A2, INDIRECT("'"&amp;Assemblies[Assy]&amp;"'!"&amp;"O$5:O1000")), "x",Assemblies[Assy],".",IF(SUMIF(INDIRECT("'"&amp;Assemblies[Assy]&amp;"'!"&amp;"C$5:C1000"), $A2, INDIRECT("'"&amp;Assemblies[Assy]&amp;"'!"&amp;"A$5:A1000"))=0,NA(),SUMIF(INDIRECT("'"&amp;Assemblies[Assy]&amp;"'!"&amp;"C$5:C1000"), $A2, INDIRECT("'"&amp;Assemblies[Assy]&amp;"'!"&amp;"A$5:A1000")))),"")), " ,", ""))</f>
        <v>,</v>
      </c>
    </row>
    <row r="3" spans="1:19" hidden="1" x14ac:dyDescent="0.25">
      <c r="A3" s="160" t="s">
        <v>2936</v>
      </c>
      <c r="B3" s="160" t="s">
        <v>2937</v>
      </c>
      <c r="C3" s="180">
        <v>4261.5113000000001</v>
      </c>
      <c r="D3">
        <v>1</v>
      </c>
      <c r="E3" cm="1">
        <f t="array" aca="1" ref="E3" ca="1">SUMPRODUCT(SUMIF(INDIRECT("'"&amp;Assemblies[Assy]&amp;"'!"&amp;"C:C"),$A3,(INDIRECT("'"&amp;Assemblies[Assy]&amp;"'!"&amp;"O:O"))))</f>
        <v>0</v>
      </c>
      <c r="F3">
        <f ca="1">ROUNDUP(Purchased[[#This Row],[BOM QTY]]/Purchased[[#This Row],[PK QTY]], 0)</f>
        <v>0</v>
      </c>
      <c r="G3">
        <v>1</v>
      </c>
      <c r="H3" t="str">
        <f ca="1">IF(F3&lt;=G3," ","YES")</f>
        <v xml:space="preserve"> </v>
      </c>
      <c r="I3">
        <v>1</v>
      </c>
      <c r="J3">
        <v>1</v>
      </c>
      <c r="K3" t="s">
        <v>2930</v>
      </c>
      <c r="L3" t="s">
        <v>2931</v>
      </c>
      <c r="N3" s="40">
        <v>45426</v>
      </c>
      <c r="O3" s="40">
        <v>45427</v>
      </c>
      <c r="P3" s="40">
        <v>45492</v>
      </c>
      <c r="Q3" s="40">
        <v>45493</v>
      </c>
      <c r="R3">
        <v>55514</v>
      </c>
      <c r="S3" s="40" t="str" cm="1">
        <f t="array" aca="1" ref="S3" ca="1">TRIM(SUBSTITUTE(_xlfn.ARRAYTOTEXT(IFERROR(CONCATENATE(SUMIF(INDIRECT("'"&amp;Assemblies[Assy]&amp;"'!"&amp;"C$5:C1000"), $A3, INDIRECT("'"&amp;Assemblies[Assy]&amp;"'!"&amp;"O$5:O1000")), "x",Assemblies[Assy],".",IF(SUMIF(INDIRECT("'"&amp;Assemblies[Assy]&amp;"'!"&amp;"C$5:C1000"), $A3, INDIRECT("'"&amp;Assemblies[Assy]&amp;"'!"&amp;"A$5:A1000"))=0,NA(),SUMIF(INDIRECT("'"&amp;Assemblies[Assy]&amp;"'!"&amp;"C$5:C1000"), $A3, INDIRECT("'"&amp;Assemblies[Assy]&amp;"'!"&amp;"A$5:A1000")))),"")), " ,", ""))</f>
        <v>,</v>
      </c>
    </row>
    <row r="4" spans="1:19" hidden="1" x14ac:dyDescent="0.25">
      <c r="A4" s="160" t="s">
        <v>2928</v>
      </c>
      <c r="B4" s="160" t="s">
        <v>2929</v>
      </c>
      <c r="C4" s="180">
        <v>281.98599999999999</v>
      </c>
      <c r="D4">
        <v>1</v>
      </c>
      <c r="E4" cm="1">
        <f t="array" aca="1" ref="E4" ca="1">SUMPRODUCT(SUMIF(INDIRECT("'"&amp;Assemblies[Assy]&amp;"'!"&amp;"C:C"),$A4,(INDIRECT("'"&amp;Assemblies[Assy]&amp;"'!"&amp;"O:O"))))</f>
        <v>0</v>
      </c>
      <c r="F4">
        <f ca="1">ROUNDUP(Purchased[[#This Row],[BOM QTY]]/Purchased[[#This Row],[PK QTY]], 0)</f>
        <v>0</v>
      </c>
      <c r="G4">
        <v>3</v>
      </c>
      <c r="H4" t="str">
        <f ca="1">IF(F4&lt;=G4," ","YES")</f>
        <v xml:space="preserve"> </v>
      </c>
      <c r="I4">
        <v>3</v>
      </c>
      <c r="J4">
        <v>3</v>
      </c>
      <c r="K4" t="s">
        <v>2930</v>
      </c>
      <c r="L4" t="s">
        <v>2931</v>
      </c>
      <c r="N4" s="40">
        <v>45426</v>
      </c>
      <c r="O4" s="40">
        <v>45427</v>
      </c>
      <c r="P4" s="40">
        <v>45492</v>
      </c>
      <c r="Q4" s="40">
        <v>45493</v>
      </c>
      <c r="R4">
        <v>55514</v>
      </c>
      <c r="S4" s="40" t="str" cm="1">
        <f t="array" aca="1" ref="S4" ca="1">TRIM(SUBSTITUTE(_xlfn.ARRAYTOTEXT(IFERROR(CONCATENATE(SUMIF(INDIRECT("'"&amp;Assemblies[Assy]&amp;"'!"&amp;"C$5:C1000"), $A4, INDIRECT("'"&amp;Assemblies[Assy]&amp;"'!"&amp;"O$5:O1000")), "x",Assemblies[Assy],".",IF(SUMIF(INDIRECT("'"&amp;Assemblies[Assy]&amp;"'!"&amp;"C$5:C1000"), $A4, INDIRECT("'"&amp;Assemblies[Assy]&amp;"'!"&amp;"A$5:A1000"))=0,NA(),SUMIF(INDIRECT("'"&amp;Assemblies[Assy]&amp;"'!"&amp;"C$5:C1000"), $A4, INDIRECT("'"&amp;Assemblies[Assy]&amp;"'!"&amp;"A$5:A1000")))),"")), " ,", ""))</f>
        <v>,</v>
      </c>
    </row>
    <row r="5" spans="1:19" hidden="1" x14ac:dyDescent="0.25">
      <c r="A5" s="160" t="s">
        <v>2932</v>
      </c>
      <c r="B5" s="160" t="s">
        <v>2933</v>
      </c>
      <c r="C5" s="180">
        <v>227.96100000000001</v>
      </c>
      <c r="D5">
        <v>1</v>
      </c>
      <c r="E5" cm="1">
        <f t="array" aca="1" ref="E5" ca="1">SUMPRODUCT(SUMIF(INDIRECT("'"&amp;Assemblies[Assy]&amp;"'!"&amp;"C:C"),$A5,(INDIRECT("'"&amp;Assemblies[Assy]&amp;"'!"&amp;"O:O"))))</f>
        <v>0</v>
      </c>
      <c r="F5">
        <f ca="1">ROUNDUP(Purchased[[#This Row],[BOM QTY]]/Purchased[[#This Row],[PK QTY]], 0)</f>
        <v>0</v>
      </c>
      <c r="G5">
        <v>5</v>
      </c>
      <c r="H5" t="str">
        <f ca="1">IF(F5&lt;=G5," ","YES")</f>
        <v xml:space="preserve"> </v>
      </c>
      <c r="I5">
        <v>5</v>
      </c>
      <c r="J5">
        <v>5</v>
      </c>
      <c r="K5" t="s">
        <v>2930</v>
      </c>
      <c r="L5" t="s">
        <v>2931</v>
      </c>
      <c r="N5" s="40">
        <v>45426</v>
      </c>
      <c r="O5" s="40">
        <v>45427</v>
      </c>
      <c r="P5" s="40">
        <v>45492</v>
      </c>
      <c r="Q5" s="40">
        <v>45493</v>
      </c>
      <c r="R5">
        <v>55514</v>
      </c>
      <c r="S5" s="40" t="str" cm="1">
        <f t="array" aca="1" ref="S5" ca="1">TRIM(SUBSTITUTE(_xlfn.ARRAYTOTEXT(IFERROR(CONCATENATE(SUMIF(INDIRECT("'"&amp;Assemblies[Assy]&amp;"'!"&amp;"C$5:C1000"), $A5, INDIRECT("'"&amp;Assemblies[Assy]&amp;"'!"&amp;"O$5:O1000")), "x",Assemblies[Assy],".",IF(SUMIF(INDIRECT("'"&amp;Assemblies[Assy]&amp;"'!"&amp;"C$5:C1000"), $A5, INDIRECT("'"&amp;Assemblies[Assy]&amp;"'!"&amp;"A$5:A1000"))=0,NA(),SUMIF(INDIRECT("'"&amp;Assemblies[Assy]&amp;"'!"&amp;"C$5:C1000"), $A5, INDIRECT("'"&amp;Assemblies[Assy]&amp;"'!"&amp;"A$5:A1000")))),"")), " ,", ""))</f>
        <v>,</v>
      </c>
    </row>
    <row r="6" spans="1:19" hidden="1" x14ac:dyDescent="0.25">
      <c r="A6" s="160" t="s">
        <v>2938</v>
      </c>
      <c r="B6" s="160" t="s">
        <v>2939</v>
      </c>
      <c r="C6" s="180">
        <v>1316.3879999999999</v>
      </c>
      <c r="D6">
        <v>1</v>
      </c>
      <c r="E6" cm="1">
        <f t="array" aca="1" ref="E6" ca="1">SUMPRODUCT(SUMIF(INDIRECT("'"&amp;Assemblies[Assy]&amp;"'!"&amp;"C:C"),$A6,(INDIRECT("'"&amp;Assemblies[Assy]&amp;"'!"&amp;"O:O"))))</f>
        <v>0</v>
      </c>
      <c r="F6">
        <f ca="1">ROUNDUP(Purchased[[#This Row],[BOM QTY]]/Purchased[[#This Row],[PK QTY]], 0)</f>
        <v>0</v>
      </c>
      <c r="G6">
        <v>7</v>
      </c>
      <c r="H6" t="str">
        <f ca="1">IF(F6&lt;=G6," ","YES")</f>
        <v xml:space="preserve"> </v>
      </c>
      <c r="I6">
        <v>7</v>
      </c>
      <c r="J6">
        <v>7</v>
      </c>
      <c r="K6" t="s">
        <v>2930</v>
      </c>
      <c r="L6" t="s">
        <v>2931</v>
      </c>
      <c r="N6" s="40">
        <v>45426</v>
      </c>
      <c r="O6" s="40">
        <v>45427</v>
      </c>
      <c r="P6" s="40">
        <v>45516</v>
      </c>
      <c r="Q6" s="40">
        <v>45517</v>
      </c>
      <c r="R6">
        <v>55516</v>
      </c>
      <c r="S6" s="40" t="str" cm="1">
        <f t="array" aca="1" ref="S6" ca="1">TRIM(SUBSTITUTE(_xlfn.ARRAYTOTEXT(IFERROR(CONCATENATE(SUMIF(INDIRECT("'"&amp;Assemblies[Assy]&amp;"'!"&amp;"C$5:C1000"), $A6, INDIRECT("'"&amp;Assemblies[Assy]&amp;"'!"&amp;"O$5:O1000")), "x",Assemblies[Assy],".",IF(SUMIF(INDIRECT("'"&amp;Assemblies[Assy]&amp;"'!"&amp;"C$5:C1000"), $A6, INDIRECT("'"&amp;Assemblies[Assy]&amp;"'!"&amp;"A$5:A1000"))=0,NA(),SUMIF(INDIRECT("'"&amp;Assemblies[Assy]&amp;"'!"&amp;"C$5:C1000"), $A6, INDIRECT("'"&amp;Assemblies[Assy]&amp;"'!"&amp;"A$5:A1000")))),"")), " ,", ""))</f>
        <v>,</v>
      </c>
    </row>
    <row r="7" spans="1:19" hidden="1" x14ac:dyDescent="0.25">
      <c r="A7" s="160" t="s">
        <v>2940</v>
      </c>
      <c r="B7" s="160" t="s">
        <v>2941</v>
      </c>
      <c r="C7" s="180">
        <v>1399.2402999999999</v>
      </c>
      <c r="D7">
        <v>1</v>
      </c>
      <c r="E7" cm="1">
        <f t="array" aca="1" ref="E7" ca="1">SUMPRODUCT(SUMIF(INDIRECT("'"&amp;Assemblies[Assy]&amp;"'!"&amp;"C:C"),$A7,(INDIRECT("'"&amp;Assemblies[Assy]&amp;"'!"&amp;"O:O"))))</f>
        <v>0</v>
      </c>
      <c r="F7">
        <f ca="1">ROUNDUP(Purchased[[#This Row],[BOM QTY]]/Purchased[[#This Row],[PK QTY]], 0)</f>
        <v>0</v>
      </c>
      <c r="G7">
        <v>7</v>
      </c>
      <c r="H7" t="str">
        <f ca="1">IF(F7&lt;=G7," ","YES")</f>
        <v xml:space="preserve"> </v>
      </c>
      <c r="I7">
        <v>7</v>
      </c>
      <c r="J7">
        <v>7</v>
      </c>
      <c r="K7" t="s">
        <v>2930</v>
      </c>
      <c r="L7" t="s">
        <v>2931</v>
      </c>
      <c r="N7" s="40">
        <v>45426</v>
      </c>
      <c r="O7" s="40">
        <v>45427</v>
      </c>
      <c r="P7" s="40">
        <v>45516</v>
      </c>
      <c r="Q7" s="40">
        <v>45517</v>
      </c>
      <c r="R7">
        <v>55516</v>
      </c>
      <c r="S7" s="40" t="str" cm="1">
        <f t="array" aca="1" ref="S7" ca="1">TRIM(SUBSTITUTE(_xlfn.ARRAYTOTEXT(IFERROR(CONCATENATE(SUMIF(INDIRECT("'"&amp;Assemblies[Assy]&amp;"'!"&amp;"C$5:C1000"), $A7, INDIRECT("'"&amp;Assemblies[Assy]&amp;"'!"&amp;"O$5:O1000")), "x",Assemblies[Assy],".",IF(SUMIF(INDIRECT("'"&amp;Assemblies[Assy]&amp;"'!"&amp;"C$5:C1000"), $A7, INDIRECT("'"&amp;Assemblies[Assy]&amp;"'!"&amp;"A$5:A1000"))=0,NA(),SUMIF(INDIRECT("'"&amp;Assemblies[Assy]&amp;"'!"&amp;"C$5:C1000"), $A7, INDIRECT("'"&amp;Assemblies[Assy]&amp;"'!"&amp;"A$5:A1000")))),"")), " ,", ""))</f>
        <v>,</v>
      </c>
    </row>
    <row r="8" spans="1:19" hidden="1" x14ac:dyDescent="0.25">
      <c r="A8" s="160" t="s">
        <v>2942</v>
      </c>
      <c r="B8" s="160" t="s">
        <v>2943</v>
      </c>
      <c r="C8" s="180">
        <v>1812.0736999999999</v>
      </c>
      <c r="D8">
        <v>1</v>
      </c>
      <c r="E8" cm="1">
        <f t="array" aca="1" ref="E8" ca="1">SUMPRODUCT(SUMIF(INDIRECT("'"&amp;Assemblies[Assy]&amp;"'!"&amp;"C:C"),$A8,(INDIRECT("'"&amp;Assemblies[Assy]&amp;"'!"&amp;"O:O"))))</f>
        <v>0</v>
      </c>
      <c r="F8">
        <f ca="1">ROUNDUP(Purchased[[#This Row],[BOM QTY]]/Purchased[[#This Row],[PK QTY]], 0)</f>
        <v>0</v>
      </c>
      <c r="G8">
        <v>9</v>
      </c>
      <c r="H8" t="str">
        <f ca="1">IF(F8&lt;=G8," ","YES")</f>
        <v xml:space="preserve"> </v>
      </c>
      <c r="I8">
        <v>9</v>
      </c>
      <c r="J8">
        <v>9</v>
      </c>
      <c r="K8" t="s">
        <v>2930</v>
      </c>
      <c r="L8" t="s">
        <v>2931</v>
      </c>
      <c r="N8" s="40">
        <v>45426</v>
      </c>
      <c r="O8" s="40">
        <v>45427</v>
      </c>
      <c r="P8" s="40">
        <v>45516</v>
      </c>
      <c r="Q8" s="40">
        <v>45517</v>
      </c>
      <c r="R8">
        <v>55516</v>
      </c>
      <c r="S8" s="40" t="str" cm="1">
        <f t="array" aca="1" ref="S8" ca="1">TRIM(SUBSTITUTE(_xlfn.ARRAYTOTEXT(IFERROR(CONCATENATE(SUMIF(INDIRECT("'"&amp;Assemblies[Assy]&amp;"'!"&amp;"C$5:C1000"), $A8, INDIRECT("'"&amp;Assemblies[Assy]&amp;"'!"&amp;"O$5:O1000")), "x",Assemblies[Assy],".",IF(SUMIF(INDIRECT("'"&amp;Assemblies[Assy]&amp;"'!"&amp;"C$5:C1000"), $A8, INDIRECT("'"&amp;Assemblies[Assy]&amp;"'!"&amp;"A$5:A1000"))=0,NA(),SUMIF(INDIRECT("'"&amp;Assemblies[Assy]&amp;"'!"&amp;"C$5:C1000"), $A8, INDIRECT("'"&amp;Assemblies[Assy]&amp;"'!"&amp;"A$5:A1000")))),"")), " ,", ""))</f>
        <v>,</v>
      </c>
    </row>
    <row r="9" spans="1:19" hidden="1" x14ac:dyDescent="0.25">
      <c r="A9" s="160" t="s">
        <v>2944</v>
      </c>
      <c r="B9" s="160" t="s">
        <v>2945</v>
      </c>
      <c r="C9" s="180">
        <v>652.15800000000002</v>
      </c>
      <c r="D9">
        <v>1</v>
      </c>
      <c r="E9" cm="1">
        <f t="array" aca="1" ref="E9" ca="1">SUMPRODUCT(SUMIF(INDIRECT("'"&amp;Assemblies[Assy]&amp;"'!"&amp;"C:C"),$A9,(INDIRECT("'"&amp;Assemblies[Assy]&amp;"'!"&amp;"O:O"))))</f>
        <v>0</v>
      </c>
      <c r="F9">
        <f ca="1">ROUNDUP(Purchased[[#This Row],[BOM QTY]]/Purchased[[#This Row],[PK QTY]], 0)</f>
        <v>0</v>
      </c>
      <c r="G9">
        <v>23</v>
      </c>
      <c r="H9" t="str">
        <f ca="1">IF(F9&lt;=G9," ","YES")</f>
        <v xml:space="preserve"> </v>
      </c>
      <c r="I9">
        <v>23</v>
      </c>
      <c r="J9">
        <v>23</v>
      </c>
      <c r="K9" t="s">
        <v>2930</v>
      </c>
      <c r="L9" t="s">
        <v>2931</v>
      </c>
      <c r="N9" s="40">
        <v>45426</v>
      </c>
      <c r="O9" s="40">
        <v>45427</v>
      </c>
      <c r="P9" s="40">
        <v>45516</v>
      </c>
      <c r="Q9" s="40">
        <v>45517</v>
      </c>
      <c r="R9">
        <v>55516</v>
      </c>
      <c r="S9" s="40" t="str" cm="1">
        <f t="array" aca="1" ref="S9" ca="1">TRIM(SUBSTITUTE(_xlfn.ARRAYTOTEXT(IFERROR(CONCATENATE(SUMIF(INDIRECT("'"&amp;Assemblies[Assy]&amp;"'!"&amp;"C$5:C1000"), $A9, INDIRECT("'"&amp;Assemblies[Assy]&amp;"'!"&amp;"O$5:O1000")), "x",Assemblies[Assy],".",IF(SUMIF(INDIRECT("'"&amp;Assemblies[Assy]&amp;"'!"&amp;"C$5:C1000"), $A9, INDIRECT("'"&amp;Assemblies[Assy]&amp;"'!"&amp;"A$5:A1000"))=0,NA(),SUMIF(INDIRECT("'"&amp;Assemblies[Assy]&amp;"'!"&amp;"C$5:C1000"), $A9, INDIRECT("'"&amp;Assemblies[Assy]&amp;"'!"&amp;"A$5:A1000")))),"")), " ,", ""))</f>
        <v>,</v>
      </c>
    </row>
    <row r="10" spans="1:19" hidden="1" x14ac:dyDescent="0.25">
      <c r="A10" s="160" t="s">
        <v>1287</v>
      </c>
      <c r="B10" s="160" t="s">
        <v>2948</v>
      </c>
      <c r="C10" s="180">
        <v>593.10619999999994</v>
      </c>
      <c r="D10">
        <v>1</v>
      </c>
      <c r="E10" cm="1">
        <f t="array" aca="1" ref="E10" ca="1">SUMPRODUCT(SUMIF(INDIRECT("'"&amp;Assemblies[Assy]&amp;"'!"&amp;"C:C"),$A10,(INDIRECT("'"&amp;Assemblies[Assy]&amp;"'!"&amp;"O:O"))))</f>
        <v>1</v>
      </c>
      <c r="F10">
        <f ca="1">ROUNDUP(Purchased[[#This Row],[BOM QTY]]/Purchased[[#This Row],[PK QTY]], 0)</f>
        <v>1</v>
      </c>
      <c r="G10">
        <v>1</v>
      </c>
      <c r="H10" t="str">
        <f ca="1">IF(F10&lt;=G10," ","YES")</f>
        <v xml:space="preserve"> </v>
      </c>
      <c r="I10">
        <v>1</v>
      </c>
      <c r="J10">
        <v>1</v>
      </c>
      <c r="K10" t="s">
        <v>2947</v>
      </c>
      <c r="L10" t="s">
        <v>2931</v>
      </c>
      <c r="N10" s="40" t="s">
        <v>2747</v>
      </c>
      <c r="O10" s="40">
        <v>45460</v>
      </c>
      <c r="P10" s="40">
        <v>45527</v>
      </c>
      <c r="Q10" s="40">
        <v>45527</v>
      </c>
      <c r="R10">
        <v>55557</v>
      </c>
      <c r="S10" s="40" t="str" cm="1">
        <f t="array" aca="1" ref="S10" ca="1">TRIM(SUBSTITUTE(_xlfn.ARRAYTOTEXT(IFERROR(CONCATENATE(SUMIF(INDIRECT("'"&amp;Assemblies[Assy]&amp;"'!"&amp;"C$5:C1000"), $A10, INDIRECT("'"&amp;Assemblies[Assy]&amp;"'!"&amp;"O$5:O1000")), "x",Assemblies[Assy],".",IF(SUMIF(INDIRECT("'"&amp;Assemblies[Assy]&amp;"'!"&amp;"C$5:C1000"), $A10, INDIRECT("'"&amp;Assemblies[Assy]&amp;"'!"&amp;"A$5:A1000"))=0,NA(),SUMIF(INDIRECT("'"&amp;Assemblies[Assy]&amp;"'!"&amp;"C$5:C1000"), $A10, INDIRECT("'"&amp;Assemblies[Assy]&amp;"'!"&amp;"A$5:A1000")))),"")), " ,", ""))</f>
        <v>, 1x9.2.304,</v>
      </c>
    </row>
    <row r="11" spans="1:19" hidden="1" x14ac:dyDescent="0.25">
      <c r="A11" s="160" t="s">
        <v>1288</v>
      </c>
      <c r="B11" s="160" t="s">
        <v>2949</v>
      </c>
      <c r="C11" s="180">
        <v>5254.6607999999997</v>
      </c>
      <c r="D11">
        <v>1</v>
      </c>
      <c r="E11" cm="1">
        <f t="array" aca="1" ref="E11" ca="1">SUMPRODUCT(SUMIF(INDIRECT("'"&amp;Assemblies[Assy]&amp;"'!"&amp;"C:C"),$A11,(INDIRECT("'"&amp;Assemblies[Assy]&amp;"'!"&amp;"O:O"))))</f>
        <v>1</v>
      </c>
      <c r="F11">
        <f ca="1">ROUNDUP(Purchased[[#This Row],[BOM QTY]]/Purchased[[#This Row],[PK QTY]], 0)</f>
        <v>1</v>
      </c>
      <c r="G11">
        <v>1</v>
      </c>
      <c r="H11" t="str">
        <f ca="1">IF(F11&lt;=G11," ","YES")</f>
        <v xml:space="preserve"> </v>
      </c>
      <c r="I11">
        <v>1</v>
      </c>
      <c r="J11">
        <v>1</v>
      </c>
      <c r="K11" t="s">
        <v>2947</v>
      </c>
      <c r="L11" t="s">
        <v>2931</v>
      </c>
      <c r="N11" s="40" t="s">
        <v>2747</v>
      </c>
      <c r="O11" s="40">
        <v>45460</v>
      </c>
      <c r="P11" s="40">
        <v>45527</v>
      </c>
      <c r="Q11" s="40">
        <v>45527</v>
      </c>
      <c r="R11">
        <v>55557</v>
      </c>
      <c r="S11" s="40" t="str" cm="1">
        <f t="array" aca="1" ref="S11" ca="1">TRIM(SUBSTITUTE(_xlfn.ARRAYTOTEXT(IFERROR(CONCATENATE(SUMIF(INDIRECT("'"&amp;Assemblies[Assy]&amp;"'!"&amp;"C$5:C1000"), $A11, INDIRECT("'"&amp;Assemblies[Assy]&amp;"'!"&amp;"O$5:O1000")), "x",Assemblies[Assy],".",IF(SUMIF(INDIRECT("'"&amp;Assemblies[Assy]&amp;"'!"&amp;"C$5:C1000"), $A11, INDIRECT("'"&amp;Assemblies[Assy]&amp;"'!"&amp;"A$5:A1000"))=0,NA(),SUMIF(INDIRECT("'"&amp;Assemblies[Assy]&amp;"'!"&amp;"C$5:C1000"), $A11, INDIRECT("'"&amp;Assemblies[Assy]&amp;"'!"&amp;"A$5:A1000")))),"")), " ,", ""))</f>
        <v>, 1x9.2.305,</v>
      </c>
    </row>
    <row r="12" spans="1:19" hidden="1" x14ac:dyDescent="0.25">
      <c r="A12" s="160" t="s">
        <v>1380</v>
      </c>
      <c r="B12" t="s">
        <v>2953</v>
      </c>
      <c r="C12" s="180">
        <v>446.37400000000002</v>
      </c>
      <c r="D12">
        <v>1</v>
      </c>
      <c r="E12" cm="1">
        <f t="array" aca="1" ref="E12" ca="1">SUMPRODUCT(SUMIF(INDIRECT("'"&amp;Assemblies[Assy]&amp;"'!"&amp;"C:C"),$A12,(INDIRECT("'"&amp;Assemblies[Assy]&amp;"'!"&amp;"O:O"))))</f>
        <v>2</v>
      </c>
      <c r="F12">
        <f ca="1">ROUNDUP(Purchased[[#This Row],[BOM QTY]]/Purchased[[#This Row],[PK QTY]], 0)</f>
        <v>2</v>
      </c>
      <c r="G12">
        <v>2</v>
      </c>
      <c r="H12" t="str">
        <f ca="1">IF(F12&lt;=G12," ","YES")</f>
        <v xml:space="preserve"> </v>
      </c>
      <c r="I12">
        <v>2</v>
      </c>
      <c r="J12">
        <v>2</v>
      </c>
      <c r="K12" t="s">
        <v>2947</v>
      </c>
      <c r="L12" t="s">
        <v>2931</v>
      </c>
      <c r="N12" s="40">
        <v>45502</v>
      </c>
      <c r="O12" s="40">
        <v>45506</v>
      </c>
      <c r="P12" s="40">
        <v>45547</v>
      </c>
      <c r="Q12" s="40">
        <v>45552</v>
      </c>
      <c r="R12">
        <v>55645</v>
      </c>
      <c r="S12" s="40" t="str" cm="1">
        <f t="array" aca="1" ref="S12" ca="1">TRIM(SUBSTITUTE(_xlfn.ARRAYTOTEXT(IFERROR(CONCATENATE(SUMIF(INDIRECT("'"&amp;Assemblies[Assy]&amp;"'!"&amp;"C$5:C1000"), $A12, INDIRECT("'"&amp;Assemblies[Assy]&amp;"'!"&amp;"O$5:O1000")), "x",Assemblies[Assy],".",IF(SUMIF(INDIRECT("'"&amp;Assemblies[Assy]&amp;"'!"&amp;"C$5:C1000"), $A12, INDIRECT("'"&amp;Assemblies[Assy]&amp;"'!"&amp;"A$5:A1000"))=0,NA(),SUMIF(INDIRECT("'"&amp;Assemblies[Assy]&amp;"'!"&amp;"C$5:C1000"), $A12, INDIRECT("'"&amp;Assemblies[Assy]&amp;"'!"&amp;"A$5:A1000")))),"")), " ,", ""))</f>
        <v>, 2x10.2.304,</v>
      </c>
    </row>
    <row r="13" spans="1:19" hidden="1" x14ac:dyDescent="0.25">
      <c r="A13" s="160" t="s">
        <v>685</v>
      </c>
      <c r="B13" t="s">
        <v>2955</v>
      </c>
      <c r="C13" s="180">
        <v>513.07830000000001</v>
      </c>
      <c r="D13">
        <v>1</v>
      </c>
      <c r="E13" cm="1">
        <f t="array" aca="1" ref="E13" ca="1">SUMPRODUCT(SUMIF(INDIRECT("'"&amp;Assemblies[Assy]&amp;"'!"&amp;"C:C"),$A13,(INDIRECT("'"&amp;Assemblies[Assy]&amp;"'!"&amp;"O:O"))))</f>
        <v>2</v>
      </c>
      <c r="F13">
        <f ca="1">ROUNDUP(Purchased[[#This Row],[BOM QTY]]/Purchased[[#This Row],[PK QTY]], 0)</f>
        <v>2</v>
      </c>
      <c r="G13">
        <v>2</v>
      </c>
      <c r="H13" t="str">
        <f ca="1">IF(F13&lt;=G13," ","YES")</f>
        <v xml:space="preserve"> </v>
      </c>
      <c r="I13">
        <v>2</v>
      </c>
      <c r="J13">
        <v>2</v>
      </c>
      <c r="K13" t="s">
        <v>2947</v>
      </c>
      <c r="L13" t="s">
        <v>2931</v>
      </c>
      <c r="N13" s="40">
        <v>45502</v>
      </c>
      <c r="O13" s="40">
        <v>45506</v>
      </c>
      <c r="P13" s="40">
        <v>45547</v>
      </c>
      <c r="Q13" s="40">
        <v>45552</v>
      </c>
      <c r="R13">
        <v>55645</v>
      </c>
      <c r="S13" s="40" t="str" cm="1">
        <f t="array" aca="1" ref="S13" ca="1">TRIM(SUBSTITUTE(_xlfn.ARRAYTOTEXT(IFERROR(CONCATENATE(SUMIF(INDIRECT("'"&amp;Assemblies[Assy]&amp;"'!"&amp;"C$5:C1000"), $A13, INDIRECT("'"&amp;Assemblies[Assy]&amp;"'!"&amp;"O$5:O1000")), "x",Assemblies[Assy],".",IF(SUMIF(INDIRECT("'"&amp;Assemblies[Assy]&amp;"'!"&amp;"C$5:C1000"), $A13, INDIRECT("'"&amp;Assemblies[Assy]&amp;"'!"&amp;"A$5:A1000"))=0,NA(),SUMIF(INDIRECT("'"&amp;Assemblies[Assy]&amp;"'!"&amp;"C$5:C1000"), $A13, INDIRECT("'"&amp;Assemblies[Assy]&amp;"'!"&amp;"A$5:A1000")))),"")), " ,", ""))</f>
        <v>, 2x5.1.301,</v>
      </c>
    </row>
    <row r="14" spans="1:19" hidden="1" x14ac:dyDescent="0.25">
      <c r="A14" s="160" t="s">
        <v>541</v>
      </c>
      <c r="B14" s="160" t="s">
        <v>2956</v>
      </c>
      <c r="C14" s="180">
        <v>444.14679999999998</v>
      </c>
      <c r="D14">
        <v>1</v>
      </c>
      <c r="E14" cm="1">
        <f t="array" aca="1" ref="E14" ca="1">SUMPRODUCT(SUMIF(INDIRECT("'"&amp;Assemblies[Assy]&amp;"'!"&amp;"C:C"),$A14,(INDIRECT("'"&amp;Assemblies[Assy]&amp;"'!"&amp;"O:O"))))</f>
        <v>2</v>
      </c>
      <c r="F14">
        <f ca="1">ROUNDUP(Purchased[[#This Row],[BOM QTY]]/Purchased[[#This Row],[PK QTY]], 0)</f>
        <v>2</v>
      </c>
      <c r="G14">
        <v>2</v>
      </c>
      <c r="H14" t="str">
        <f ca="1">IF(F14&lt;=G14," ","YES")</f>
        <v xml:space="preserve"> </v>
      </c>
      <c r="I14">
        <v>2</v>
      </c>
      <c r="J14">
        <v>2</v>
      </c>
      <c r="K14" t="s">
        <v>2947</v>
      </c>
      <c r="L14" t="s">
        <v>2931</v>
      </c>
      <c r="N14" s="40">
        <v>45502</v>
      </c>
      <c r="O14" s="40">
        <v>45506</v>
      </c>
      <c r="P14" s="40">
        <v>45547</v>
      </c>
      <c r="Q14" s="40">
        <v>45552</v>
      </c>
      <c r="R14">
        <v>55645</v>
      </c>
      <c r="S14" s="40" t="str" cm="1">
        <f t="array" aca="1" ref="S14" ca="1">TRIM(SUBSTITUTE(_xlfn.ARRAYTOTEXT(IFERROR(CONCATENATE(SUMIF(INDIRECT("'"&amp;Assemblies[Assy]&amp;"'!"&amp;"C$5:C1000"), $A14, INDIRECT("'"&amp;Assemblies[Assy]&amp;"'!"&amp;"O$5:O1000")), "x",Assemblies[Assy],".",IF(SUMIF(INDIRECT("'"&amp;Assemblies[Assy]&amp;"'!"&amp;"C$5:C1000"), $A14, INDIRECT("'"&amp;Assemblies[Assy]&amp;"'!"&amp;"A$5:A1000"))=0,NA(),SUMIF(INDIRECT("'"&amp;Assemblies[Assy]&amp;"'!"&amp;"C$5:C1000"), $A14, INDIRECT("'"&amp;Assemblies[Assy]&amp;"'!"&amp;"A$5:A1000")))),"")), " ,", ""))</f>
        <v>, 2x4.1.1.303,</v>
      </c>
    </row>
    <row r="15" spans="1:19" hidden="1" x14ac:dyDescent="0.25">
      <c r="A15" s="160" t="s">
        <v>548</v>
      </c>
      <c r="B15" s="160" t="s">
        <v>2959</v>
      </c>
      <c r="C15" s="180">
        <v>262.12779999999998</v>
      </c>
      <c r="D15">
        <v>1</v>
      </c>
      <c r="E15" cm="1">
        <f t="array" aca="1" ref="E15" ca="1">SUMPRODUCT(SUMIF(INDIRECT("'"&amp;Assemblies[Assy]&amp;"'!"&amp;"C:C"),$A15,(INDIRECT("'"&amp;Assemblies[Assy]&amp;"'!"&amp;"O:O"))))</f>
        <v>2</v>
      </c>
      <c r="F15">
        <f ca="1">ROUNDUP(Purchased[[#This Row],[BOM QTY]]/Purchased[[#This Row],[PK QTY]], 0)</f>
        <v>2</v>
      </c>
      <c r="G15">
        <v>2</v>
      </c>
      <c r="H15" t="str">
        <f ca="1">IF(F15&lt;=G15," ","YES")</f>
        <v xml:space="preserve"> </v>
      </c>
      <c r="I15">
        <v>2</v>
      </c>
      <c r="J15">
        <v>2</v>
      </c>
      <c r="K15" t="s">
        <v>2947</v>
      </c>
      <c r="L15" t="s">
        <v>2931</v>
      </c>
      <c r="N15" s="40">
        <v>45502</v>
      </c>
      <c r="O15" s="40">
        <v>45506</v>
      </c>
      <c r="P15" s="40">
        <v>45547</v>
      </c>
      <c r="Q15" s="40">
        <v>45552</v>
      </c>
      <c r="R15">
        <v>55645</v>
      </c>
      <c r="S15" s="40" t="str" cm="1">
        <f t="array" aca="1" ref="S15" ca="1">TRIM(SUBSTITUTE(_xlfn.ARRAYTOTEXT(IFERROR(CONCATENATE(SUMIF(INDIRECT("'"&amp;Assemblies[Assy]&amp;"'!"&amp;"C$5:C1000"), $A15, INDIRECT("'"&amp;Assemblies[Assy]&amp;"'!"&amp;"O$5:O1000")), "x",Assemblies[Assy],".",IF(SUMIF(INDIRECT("'"&amp;Assemblies[Assy]&amp;"'!"&amp;"C$5:C1000"), $A15, INDIRECT("'"&amp;Assemblies[Assy]&amp;"'!"&amp;"A$5:A1000"))=0,NA(),SUMIF(INDIRECT("'"&amp;Assemblies[Assy]&amp;"'!"&amp;"C$5:C1000"), $A15, INDIRECT("'"&amp;Assemblies[Assy]&amp;"'!"&amp;"A$5:A1000")))),"")), " ,", ""))</f>
        <v>, 2x4.1.6.303,</v>
      </c>
    </row>
    <row r="16" spans="1:19" hidden="1" x14ac:dyDescent="0.25">
      <c r="A16" s="160" t="s">
        <v>1042</v>
      </c>
      <c r="B16" t="s">
        <v>2954</v>
      </c>
      <c r="C16" s="180">
        <v>446.37400000000002</v>
      </c>
      <c r="D16">
        <v>1</v>
      </c>
      <c r="E16" cm="1">
        <f t="array" aca="1" ref="E16" ca="1">SUMPRODUCT(SUMIF(INDIRECT("'"&amp;Assemblies[Assy]&amp;"'!"&amp;"C:C"),$A16,(INDIRECT("'"&amp;Assemblies[Assy]&amp;"'!"&amp;"O:O"))))</f>
        <v>4</v>
      </c>
      <c r="F16">
        <f ca="1">ROUNDUP(Purchased[[#This Row],[BOM QTY]]/Purchased[[#This Row],[PK QTY]], 0)</f>
        <v>4</v>
      </c>
      <c r="G16">
        <v>4</v>
      </c>
      <c r="H16" t="str">
        <f ca="1">IF(F16&lt;=G16," ","YES")</f>
        <v xml:space="preserve"> </v>
      </c>
      <c r="I16">
        <v>4</v>
      </c>
      <c r="J16">
        <v>4</v>
      </c>
      <c r="K16" t="s">
        <v>2947</v>
      </c>
      <c r="L16" t="s">
        <v>2931</v>
      </c>
      <c r="N16" s="40">
        <v>45502</v>
      </c>
      <c r="O16" s="40">
        <v>45506</v>
      </c>
      <c r="P16" s="40">
        <v>45547</v>
      </c>
      <c r="Q16" s="40">
        <v>45552</v>
      </c>
      <c r="R16">
        <v>55645</v>
      </c>
      <c r="S16" s="40" t="str" cm="1">
        <f t="array" aca="1" ref="S16" ca="1">TRIM(SUBSTITUTE(_xlfn.ARRAYTOTEXT(IFERROR(CONCATENATE(SUMIF(INDIRECT("'"&amp;Assemblies[Assy]&amp;"'!"&amp;"C$5:C1000"), $A16, INDIRECT("'"&amp;Assemblies[Assy]&amp;"'!"&amp;"O$5:O1000")), "x",Assemblies[Assy],".",IF(SUMIF(INDIRECT("'"&amp;Assemblies[Assy]&amp;"'!"&amp;"C$5:C1000"), $A16, INDIRECT("'"&amp;Assemblies[Assy]&amp;"'!"&amp;"A$5:A1000"))=0,NA(),SUMIF(INDIRECT("'"&amp;Assemblies[Assy]&amp;"'!"&amp;"C$5:C1000"), $A16, INDIRECT("'"&amp;Assemblies[Assy]&amp;"'!"&amp;"A$5:A1000")))),"")), " ,", ""))</f>
        <v>, 4x6.8.301,</v>
      </c>
    </row>
    <row r="17" spans="1:19" hidden="1" x14ac:dyDescent="0.25">
      <c r="A17" s="160" t="s">
        <v>1052</v>
      </c>
      <c r="B17" s="160" t="s">
        <v>2958</v>
      </c>
      <c r="C17" s="180">
        <v>193.88800000000001</v>
      </c>
      <c r="D17">
        <v>1</v>
      </c>
      <c r="E17" cm="1">
        <f t="array" aca="1" ref="E17" ca="1">SUMPRODUCT(SUMIF(INDIRECT("'"&amp;Assemblies[Assy]&amp;"'!"&amp;"C:C"),$A17,(INDIRECT("'"&amp;Assemblies[Assy]&amp;"'!"&amp;"O:O"))))</f>
        <v>4</v>
      </c>
      <c r="F17">
        <f ca="1">ROUNDUP(Purchased[[#This Row],[BOM QTY]]/Purchased[[#This Row],[PK QTY]], 0)</f>
        <v>4</v>
      </c>
      <c r="G17">
        <v>4</v>
      </c>
      <c r="H17" t="str">
        <f ca="1">IF(F17&lt;=G17," ","YES")</f>
        <v xml:space="preserve"> </v>
      </c>
      <c r="I17">
        <v>4</v>
      </c>
      <c r="J17">
        <v>4</v>
      </c>
      <c r="K17" t="s">
        <v>2947</v>
      </c>
      <c r="L17" t="s">
        <v>2931</v>
      </c>
      <c r="N17" s="40">
        <v>45502</v>
      </c>
      <c r="O17" s="40">
        <v>45506</v>
      </c>
      <c r="P17" s="40">
        <v>45547</v>
      </c>
      <c r="Q17" s="40">
        <v>45552</v>
      </c>
      <c r="R17">
        <v>55645</v>
      </c>
      <c r="S17" s="40" t="str" cm="1">
        <f t="array" aca="1" ref="S17" ca="1">TRIM(SUBSTITUTE(_xlfn.ARRAYTOTEXT(IFERROR(CONCATENATE(SUMIF(INDIRECT("'"&amp;Assemblies[Assy]&amp;"'!"&amp;"C$5:C1000"), $A17, INDIRECT("'"&amp;Assemblies[Assy]&amp;"'!"&amp;"O$5:O1000")), "x",Assemblies[Assy],".",IF(SUMIF(INDIRECT("'"&amp;Assemblies[Assy]&amp;"'!"&amp;"C$5:C1000"), $A17, INDIRECT("'"&amp;Assemblies[Assy]&amp;"'!"&amp;"A$5:A1000"))=0,NA(),SUMIF(INDIRECT("'"&amp;Assemblies[Assy]&amp;"'!"&amp;"C$5:C1000"), $A17, INDIRECT("'"&amp;Assemblies[Assy]&amp;"'!"&amp;"A$5:A1000")))),"")), " ,", ""))</f>
        <v>, 4x6.9.310,</v>
      </c>
    </row>
    <row r="18" spans="1:19" hidden="1" x14ac:dyDescent="0.25">
      <c r="A18" s="160" t="s">
        <v>718</v>
      </c>
      <c r="B18" s="160" t="s">
        <v>2957</v>
      </c>
      <c r="C18" s="180">
        <v>466.8888</v>
      </c>
      <c r="D18">
        <v>1</v>
      </c>
      <c r="E18" cm="1">
        <f t="array" aca="1" ref="E18" ca="1">SUMPRODUCT(SUMIF(INDIRECT("'"&amp;Assemblies[Assy]&amp;"'!"&amp;"C:C"),$A18,(INDIRECT("'"&amp;Assemblies[Assy]&amp;"'!"&amp;"O:O"))))</f>
        <v>6</v>
      </c>
      <c r="F18">
        <f ca="1">ROUNDUP(Purchased[[#This Row],[BOM QTY]]/Purchased[[#This Row],[PK QTY]], 0)</f>
        <v>6</v>
      </c>
      <c r="G18">
        <v>6</v>
      </c>
      <c r="H18" t="str">
        <f ca="1">IF(F18&lt;=G18," ","YES")</f>
        <v xml:space="preserve"> </v>
      </c>
      <c r="I18">
        <v>6</v>
      </c>
      <c r="J18">
        <v>6</v>
      </c>
      <c r="K18" t="s">
        <v>2947</v>
      </c>
      <c r="L18" t="s">
        <v>2931</v>
      </c>
      <c r="N18" s="40">
        <v>45502</v>
      </c>
      <c r="O18" s="40">
        <v>45506</v>
      </c>
      <c r="P18" s="40">
        <v>45547</v>
      </c>
      <c r="Q18" s="40">
        <v>45552</v>
      </c>
      <c r="R18">
        <v>55645</v>
      </c>
      <c r="S18" s="40" t="str" cm="1">
        <f t="array" aca="1" ref="S18" ca="1">TRIM(SUBSTITUTE(_xlfn.ARRAYTOTEXT(IFERROR(CONCATENATE(SUMIF(INDIRECT("'"&amp;Assemblies[Assy]&amp;"'!"&amp;"C$5:C1000"), $A18, INDIRECT("'"&amp;Assemblies[Assy]&amp;"'!"&amp;"O$5:O1000")), "x",Assemblies[Assy],".",IF(SUMIF(INDIRECT("'"&amp;Assemblies[Assy]&amp;"'!"&amp;"C$5:C1000"), $A18, INDIRECT("'"&amp;Assemblies[Assy]&amp;"'!"&amp;"A$5:A1000"))=0,NA(),SUMIF(INDIRECT("'"&amp;Assemblies[Assy]&amp;"'!"&amp;"C$5:C1000"), $A18, INDIRECT("'"&amp;Assemblies[Assy]&amp;"'!"&amp;"A$5:A1000")))),"")), " ,", ""))</f>
        <v>, 4x5.3.307, 2x6.1.305,</v>
      </c>
    </row>
    <row r="19" spans="1:19" hidden="1" x14ac:dyDescent="0.25">
      <c r="A19" s="160" t="s">
        <v>1285</v>
      </c>
      <c r="B19" s="160" t="s">
        <v>2952</v>
      </c>
      <c r="C19" s="180">
        <v>10.45</v>
      </c>
      <c r="D19">
        <v>1</v>
      </c>
      <c r="E19" cm="1">
        <f t="array" aca="1" ref="E19" ca="1">SUMPRODUCT(SUMIF(INDIRECT("'"&amp;Assemblies[Assy]&amp;"'!"&amp;"C:C"),$A19,(INDIRECT("'"&amp;Assemblies[Assy]&amp;"'!"&amp;"O:O"))))</f>
        <v>8</v>
      </c>
      <c r="F19">
        <f ca="1">ROUNDUP(Purchased[[#This Row],[BOM QTY]]/Purchased[[#This Row],[PK QTY]], 0)</f>
        <v>8</v>
      </c>
      <c r="G19">
        <v>8</v>
      </c>
      <c r="H19" t="str">
        <f ca="1">IF(F19&lt;=G19," ","YES")</f>
        <v xml:space="preserve"> </v>
      </c>
      <c r="I19">
        <v>8</v>
      </c>
      <c r="J19">
        <v>8</v>
      </c>
      <c r="K19" t="s">
        <v>2947</v>
      </c>
      <c r="L19" t="s">
        <v>2931</v>
      </c>
      <c r="N19" s="40">
        <v>45502</v>
      </c>
      <c r="O19" s="40">
        <v>45506</v>
      </c>
      <c r="P19" s="40">
        <v>45547</v>
      </c>
      <c r="Q19" s="40">
        <v>45552</v>
      </c>
      <c r="R19">
        <v>55645</v>
      </c>
      <c r="S19" s="40" t="str" cm="1">
        <f t="array" aca="1" ref="S19" ca="1">TRIM(SUBSTITUTE(_xlfn.ARRAYTOTEXT(IFERROR(CONCATENATE(SUMIF(INDIRECT("'"&amp;Assemblies[Assy]&amp;"'!"&amp;"C$5:C1000"), $A19, INDIRECT("'"&amp;Assemblies[Assy]&amp;"'!"&amp;"O$5:O1000")), "x",Assemblies[Assy],".",IF(SUMIF(INDIRECT("'"&amp;Assemblies[Assy]&amp;"'!"&amp;"C$5:C1000"), $A19, INDIRECT("'"&amp;Assemblies[Assy]&amp;"'!"&amp;"A$5:A1000"))=0,NA(),SUMIF(INDIRECT("'"&amp;Assemblies[Assy]&amp;"'!"&amp;"C$5:C1000"), $A19, INDIRECT("'"&amp;Assemblies[Assy]&amp;"'!"&amp;"A$5:A1000")))),"")), " ,", ""))</f>
        <v>, 8x9.2.302,</v>
      </c>
    </row>
    <row r="20" spans="1:19" hidden="1" x14ac:dyDescent="0.25">
      <c r="A20" s="162" t="s">
        <v>295</v>
      </c>
      <c r="B20" s="160" t="s">
        <v>2946</v>
      </c>
      <c r="C20" s="180">
        <v>83.248999999999995</v>
      </c>
      <c r="D20">
        <v>1</v>
      </c>
      <c r="E20" cm="1">
        <f t="array" aca="1" ref="E20" ca="1">SUMPRODUCT(SUMIF(INDIRECT("'"&amp;Assemblies[Assy]&amp;"'!"&amp;"C:C"),$A20,(INDIRECT("'"&amp;Assemblies[Assy]&amp;"'!"&amp;"O:O"))))</f>
        <v>10</v>
      </c>
      <c r="F20">
        <f ca="1">ROUNDUP(Purchased[[#This Row],[BOM QTY]]/Purchased[[#This Row],[PK QTY]], 0)</f>
        <v>10</v>
      </c>
      <c r="G20">
        <v>10</v>
      </c>
      <c r="H20" t="str">
        <f ca="1">IF(F20&lt;=G20," ","YES")</f>
        <v xml:space="preserve"> </v>
      </c>
      <c r="I20">
        <v>10</v>
      </c>
      <c r="J20">
        <v>10</v>
      </c>
      <c r="K20" t="s">
        <v>2947</v>
      </c>
      <c r="L20" t="s">
        <v>2931</v>
      </c>
      <c r="N20" s="40">
        <v>45456</v>
      </c>
      <c r="O20" s="40">
        <v>45456</v>
      </c>
      <c r="P20" s="40">
        <v>45502</v>
      </c>
      <c r="Q20" s="40">
        <v>45509</v>
      </c>
      <c r="R20">
        <v>55551</v>
      </c>
      <c r="S20" s="40" t="str" cm="1">
        <f t="array" aca="1" ref="S20" ca="1">TRIM(SUBSTITUTE(_xlfn.ARRAYTOTEXT(IFERROR(CONCATENATE(SUMIF(INDIRECT("'"&amp;Assemblies[Assy]&amp;"'!"&amp;"C$5:C1000"), $A20, INDIRECT("'"&amp;Assemblies[Assy]&amp;"'!"&amp;"O$5:O1000")), "x",Assemblies[Assy],".",IF(SUMIF(INDIRECT("'"&amp;Assemblies[Assy]&amp;"'!"&amp;"C$5:C1000"), $A20, INDIRECT("'"&amp;Assemblies[Assy]&amp;"'!"&amp;"A$5:A1000"))=0,NA(),SUMIF(INDIRECT("'"&amp;Assemblies[Assy]&amp;"'!"&amp;"C$5:C1000"), $A20, INDIRECT("'"&amp;Assemblies[Assy]&amp;"'!"&amp;"A$5:A1000")))),"")), " ,", ""))</f>
        <v>, 4x1.3.303, 6x2.3.305,</v>
      </c>
    </row>
    <row r="21" spans="1:19" hidden="1" x14ac:dyDescent="0.25">
      <c r="A21" s="160" t="s">
        <v>1126</v>
      </c>
      <c r="B21" s="160" t="s">
        <v>2950</v>
      </c>
      <c r="C21" s="180">
        <v>171.24299999999999</v>
      </c>
      <c r="D21">
        <v>1</v>
      </c>
      <c r="E21" cm="1">
        <f t="array" aca="1" ref="E21" ca="1">SUMPRODUCT(SUMIF(INDIRECT("'"&amp;Assemblies[Assy]&amp;"'!"&amp;"C:C"),$A21,(INDIRECT("'"&amp;Assemblies[Assy]&amp;"'!"&amp;"O:O"))))</f>
        <v>24</v>
      </c>
      <c r="F21">
        <f ca="1">ROUNDUP(Purchased[[#This Row],[BOM QTY]]/Purchased[[#This Row],[PK QTY]], 0)</f>
        <v>24</v>
      </c>
      <c r="G21">
        <v>24</v>
      </c>
      <c r="H21" t="str">
        <f ca="1">IF(F21&lt;=G21," ","YES")</f>
        <v xml:space="preserve"> </v>
      </c>
      <c r="I21">
        <v>24</v>
      </c>
      <c r="J21">
        <v>24</v>
      </c>
      <c r="K21" t="s">
        <v>2947</v>
      </c>
      <c r="L21" t="s">
        <v>2931</v>
      </c>
      <c r="M21" t="s">
        <v>2951</v>
      </c>
      <c r="N21" s="40">
        <v>45461</v>
      </c>
      <c r="O21" s="40">
        <v>45462</v>
      </c>
      <c r="P21" s="40">
        <v>45504</v>
      </c>
      <c r="Q21" s="40">
        <v>45504</v>
      </c>
      <c r="R21">
        <v>55561</v>
      </c>
      <c r="S21" s="40" t="str" cm="1">
        <f t="array" aca="1" ref="S21" ca="1">TRIM(SUBSTITUTE(_xlfn.ARRAYTOTEXT(IFERROR(CONCATENATE(SUMIF(INDIRECT("'"&amp;Assemblies[Assy]&amp;"'!"&amp;"C$5:C1000"), $A21, INDIRECT("'"&amp;Assemblies[Assy]&amp;"'!"&amp;"O$5:O1000")), "x",Assemblies[Assy],".",IF(SUMIF(INDIRECT("'"&amp;Assemblies[Assy]&amp;"'!"&amp;"C$5:C1000"), $A21, INDIRECT("'"&amp;Assemblies[Assy]&amp;"'!"&amp;"A$5:A1000"))=0,NA(),SUMIF(INDIRECT("'"&amp;Assemblies[Assy]&amp;"'!"&amp;"C$5:C1000"), $A21, INDIRECT("'"&amp;Assemblies[Assy]&amp;"'!"&amp;"A$5:A1000")))),"")), " ,", ""))</f>
        <v>, 24x7.1.2.303,</v>
      </c>
    </row>
    <row r="22" spans="1:19" hidden="1" x14ac:dyDescent="0.25">
      <c r="A22" s="162" t="s">
        <v>256</v>
      </c>
      <c r="B22" s="160" t="s">
        <v>2960</v>
      </c>
      <c r="C22" s="180">
        <v>138.68</v>
      </c>
      <c r="D22">
        <v>1</v>
      </c>
      <c r="E22" cm="1">
        <f t="array" aca="1" ref="E22" ca="1">SUMPRODUCT(SUMIF(INDIRECT("'"&amp;Assemblies[Assy]&amp;"'!"&amp;"C:C"),$A22,(INDIRECT("'"&amp;Assemblies[Assy]&amp;"'!"&amp;"O:O"))))</f>
        <v>38</v>
      </c>
      <c r="F22">
        <f ca="1">ROUNDUP(Purchased[[#This Row],[BOM QTY]]/Purchased[[#This Row],[PK QTY]], 0)</f>
        <v>38</v>
      </c>
      <c r="G22">
        <v>38</v>
      </c>
      <c r="H22" t="str">
        <f ca="1">IF(F22&lt;=G22," ","YES")</f>
        <v xml:space="preserve"> </v>
      </c>
      <c r="I22">
        <v>38</v>
      </c>
      <c r="J22">
        <v>38</v>
      </c>
      <c r="K22" t="s">
        <v>2947</v>
      </c>
      <c r="L22" t="s">
        <v>2931</v>
      </c>
      <c r="M22" t="s">
        <v>2961</v>
      </c>
      <c r="N22" s="40">
        <v>45456</v>
      </c>
      <c r="O22" s="40">
        <v>45456</v>
      </c>
      <c r="P22" s="40">
        <v>45502</v>
      </c>
      <c r="Q22" s="40">
        <v>45505</v>
      </c>
      <c r="R22" s="277" t="s">
        <v>2962</v>
      </c>
      <c r="S22" s="40" t="str" cm="1">
        <f t="array" aca="1" ref="S22" ca="1">TRIM(SUBSTITUTE(_xlfn.ARRAYTOTEXT(IFERROR(CONCATENATE(SUMIF(INDIRECT("'"&amp;Assemblies[Assy]&amp;"'!"&amp;"C$5:C1000"), $A22, INDIRECT("'"&amp;Assemblies[Assy]&amp;"'!"&amp;"O$5:O1000")), "x",Assemblies[Assy],".",IF(SUMIF(INDIRECT("'"&amp;Assemblies[Assy]&amp;"'!"&amp;"C$5:C1000"), $A22, INDIRECT("'"&amp;Assemblies[Assy]&amp;"'!"&amp;"A$5:A1000"))=0,NA(),SUMIF(INDIRECT("'"&amp;Assemblies[Assy]&amp;"'!"&amp;"C$5:C1000"), $A22, INDIRECT("'"&amp;Assemblies[Assy]&amp;"'!"&amp;"A$5:A1000")))),"")), " ,", ""))</f>
        <v>, 12x1.2.301, 4x1.3.302, 6x2.3.306, 4x5.2.302, 8x6.9.302, 4x10.2.303,</v>
      </c>
    </row>
    <row r="23" spans="1:19" hidden="1" x14ac:dyDescent="0.25">
      <c r="A23" s="160" t="s">
        <v>629</v>
      </c>
      <c r="B23" s="160" t="s">
        <v>2963</v>
      </c>
      <c r="C23" s="180">
        <v>109.2133</v>
      </c>
      <c r="D23">
        <v>1</v>
      </c>
      <c r="E23" cm="1">
        <f t="array" aca="1" ref="E23" ca="1">SUMPRODUCT(SUMIF(INDIRECT("'"&amp;Assemblies[Assy]&amp;"'!"&amp;"C:C"),$A23,(INDIRECT("'"&amp;Assemblies[Assy]&amp;"'!"&amp;"O:O"))))</f>
        <v>52</v>
      </c>
      <c r="F23">
        <f ca="1">ROUNDUP(Purchased[[#This Row],[BOM QTY]]/Purchased[[#This Row],[PK QTY]], 0)</f>
        <v>52</v>
      </c>
      <c r="G23">
        <v>52</v>
      </c>
      <c r="H23" t="str">
        <f ca="1">IF(F23&lt;=G23," ","YES")</f>
        <v xml:space="preserve"> </v>
      </c>
      <c r="I23">
        <v>52</v>
      </c>
      <c r="J23">
        <v>52</v>
      </c>
      <c r="K23" t="s">
        <v>2947</v>
      </c>
      <c r="L23" t="s">
        <v>2931</v>
      </c>
      <c r="M23" t="s">
        <v>2964</v>
      </c>
      <c r="N23" s="40">
        <v>45461</v>
      </c>
      <c r="O23" s="40">
        <v>45462</v>
      </c>
      <c r="P23" s="40">
        <v>45504</v>
      </c>
      <c r="Q23" s="40">
        <v>45504</v>
      </c>
      <c r="R23" t="s">
        <v>2965</v>
      </c>
      <c r="S23" s="40" t="str" cm="1">
        <f t="array" aca="1" ref="S23" ca="1">TRIM(SUBSTITUTE(_xlfn.ARRAYTOTEXT(IFERROR(CONCATENATE(SUMIF(INDIRECT("'"&amp;Assemblies[Assy]&amp;"'!"&amp;"C$5:C1000"), $A23, INDIRECT("'"&amp;Assemblies[Assy]&amp;"'!"&amp;"O$5:O1000")), "x",Assemblies[Assy],".",IF(SUMIF(INDIRECT("'"&amp;Assemblies[Assy]&amp;"'!"&amp;"C$5:C1000"), $A23, INDIRECT("'"&amp;Assemblies[Assy]&amp;"'!"&amp;"A$5:A1000"))=0,NA(),SUMIF(INDIRECT("'"&amp;Assemblies[Assy]&amp;"'!"&amp;"C$5:C1000"), $A23, INDIRECT("'"&amp;Assemblies[Assy]&amp;"'!"&amp;"A$5:A1000")))),"")), " ,", ""))</f>
        <v>, 4x4.4.302, 4x4.5.302, 4x5.5.301, 4x5.6.301, 4x5.7.301, 2x6.4.307, 2x6.5.307, 2x6.6.301, 2x6.7.301, 12x7.2.4.301, 12x7.2.9.301,</v>
      </c>
    </row>
    <row r="24" spans="1:19" hidden="1" x14ac:dyDescent="0.25">
      <c r="A24" s="161">
        <v>3842523578</v>
      </c>
      <c r="B24" s="160" t="s">
        <v>2975</v>
      </c>
      <c r="C24" s="180">
        <v>16.600000000000001</v>
      </c>
      <c r="D24">
        <v>1</v>
      </c>
      <c r="E24" cm="1">
        <f t="array" aca="1" ref="E24" ca="1">SUMPRODUCT(SUMIF(INDIRECT("'"&amp;Assemblies[Assy]&amp;"'!"&amp;"C:C"),$A24,(INDIRECT("'"&amp;Assemblies[Assy]&amp;"'!"&amp;"O:O"))))</f>
        <v>3</v>
      </c>
      <c r="F24">
        <f ca="1">ROUNDUP(Purchased[[#This Row],[BOM QTY]]/Purchased[[#This Row],[PK QTY]], 0)</f>
        <v>3</v>
      </c>
      <c r="G24">
        <v>3</v>
      </c>
      <c r="H24" t="str">
        <f ca="1">IF(F24&lt;=G24," ","YES")</f>
        <v xml:space="preserve"> </v>
      </c>
      <c r="I24">
        <v>3</v>
      </c>
      <c r="J24">
        <v>3</v>
      </c>
      <c r="K24" t="s">
        <v>2967</v>
      </c>
      <c r="L24" t="s">
        <v>2931</v>
      </c>
      <c r="N24" s="40" t="s">
        <v>2747</v>
      </c>
      <c r="O24" s="40">
        <v>45524</v>
      </c>
      <c r="P24" s="40">
        <v>45547</v>
      </c>
      <c r="R24">
        <v>55690</v>
      </c>
      <c r="S24" s="40" t="str" cm="1">
        <f t="array" aca="1" ref="S24" ca="1">TRIM(SUBSTITUTE(_xlfn.ARRAYTOTEXT(IFERROR(CONCATENATE(SUMIF(INDIRECT("'"&amp;Assemblies[Assy]&amp;"'!"&amp;"C$5:C1000"), $A24, INDIRECT("'"&amp;Assemblies[Assy]&amp;"'!"&amp;"O$5:O1000")), "x",Assemblies[Assy],".",IF(SUMIF(INDIRECT("'"&amp;Assemblies[Assy]&amp;"'!"&amp;"C$5:C1000"), $A24, INDIRECT("'"&amp;Assemblies[Assy]&amp;"'!"&amp;"A$5:A1000"))=0,NA(),SUMIF(INDIRECT("'"&amp;Assemblies[Assy]&amp;"'!"&amp;"C$5:C1000"), $A24, INDIRECT("'"&amp;Assemblies[Assy]&amp;"'!"&amp;"A$5:A1000")))),"")), " ,", ""))</f>
        <v>, 3x5.3.302,</v>
      </c>
    </row>
    <row r="25" spans="1:19" hidden="1" x14ac:dyDescent="0.25">
      <c r="A25" s="161">
        <v>3842551606</v>
      </c>
      <c r="B25" s="160" t="s">
        <v>2977</v>
      </c>
      <c r="C25" s="180">
        <v>5.83</v>
      </c>
      <c r="D25">
        <v>1</v>
      </c>
      <c r="E25" cm="1">
        <f t="array" aca="1" ref="E25" ca="1">SUMPRODUCT(SUMIF(INDIRECT("'"&amp;Assemblies[Assy]&amp;"'!"&amp;"C:C"),$A25,(INDIRECT("'"&amp;Assemblies[Assy]&amp;"'!"&amp;"O:O"))))</f>
        <v>14</v>
      </c>
      <c r="F25">
        <f ca="1">ROUNDUP(Purchased[[#This Row],[BOM QTY]]/Purchased[[#This Row],[PK QTY]], 0)</f>
        <v>14</v>
      </c>
      <c r="G25">
        <v>14</v>
      </c>
      <c r="H25" t="str">
        <f ca="1">IF(F25&lt;=G25," ","YES")</f>
        <v xml:space="preserve"> </v>
      </c>
      <c r="I25">
        <v>12</v>
      </c>
      <c r="J25">
        <v>12</v>
      </c>
      <c r="K25" t="s">
        <v>2967</v>
      </c>
      <c r="L25" t="s">
        <v>2931</v>
      </c>
      <c r="M25" t="s">
        <v>2978</v>
      </c>
      <c r="N25" s="40" t="s">
        <v>2747</v>
      </c>
      <c r="O25" s="40">
        <v>45524</v>
      </c>
      <c r="P25" s="40">
        <v>45547</v>
      </c>
      <c r="R25">
        <v>55690</v>
      </c>
      <c r="S25" s="40" t="str" cm="1">
        <f t="array" aca="1" ref="S25" ca="1">TRIM(SUBSTITUTE(_xlfn.ARRAYTOTEXT(IFERROR(CONCATENATE(SUMIF(INDIRECT("'"&amp;Assemblies[Assy]&amp;"'!"&amp;"C$5:C1000"), $A25, INDIRECT("'"&amp;Assemblies[Assy]&amp;"'!"&amp;"O$5:O1000")), "x",Assemblies[Assy],".",IF(SUMIF(INDIRECT("'"&amp;Assemblies[Assy]&amp;"'!"&amp;"C$5:C1000"), $A25, INDIRECT("'"&amp;Assemblies[Assy]&amp;"'!"&amp;"A$5:A1000"))=0,NA(),SUMIF(INDIRECT("'"&amp;Assemblies[Assy]&amp;"'!"&amp;"C$5:C1000"), $A25, INDIRECT("'"&amp;Assemblies[Assy]&amp;"'!"&amp;"A$5:A1000")))),"")), " ,", ""))</f>
        <v>, 4x2.2.301, 4x3.2.303, 4x4.2.302, 2x12.312</v>
      </c>
    </row>
    <row r="26" spans="1:19" hidden="1" x14ac:dyDescent="0.25">
      <c r="A26" s="160" t="s">
        <v>150</v>
      </c>
      <c r="B26" s="160" t="s">
        <v>2979</v>
      </c>
      <c r="C26" s="180">
        <v>0.9</v>
      </c>
      <c r="D26">
        <v>1</v>
      </c>
      <c r="E26" cm="1">
        <f t="array" aca="1" ref="E26" ca="1">SUMPRODUCT(SUMIF(INDIRECT("'"&amp;Assemblies[Assy]&amp;"'!"&amp;"C:C"),$A26,(INDIRECT("'"&amp;Assemblies[Assy]&amp;"'!"&amp;"O:O"))))</f>
        <v>10</v>
      </c>
      <c r="F26">
        <f ca="1">ROUNDUP(Purchased[[#This Row],[BOM QTY]]/Purchased[[#This Row],[PK QTY]], 0)</f>
        <v>10</v>
      </c>
      <c r="G26">
        <v>10</v>
      </c>
      <c r="H26" t="str">
        <f ca="1">IF(F26&lt;=G26," ","YES")</f>
        <v xml:space="preserve"> </v>
      </c>
      <c r="I26">
        <v>14</v>
      </c>
      <c r="J26">
        <v>14</v>
      </c>
      <c r="K26" s="160" t="s">
        <v>2967</v>
      </c>
      <c r="L26" t="s">
        <v>2931</v>
      </c>
      <c r="N26" s="40" t="s">
        <v>2747</v>
      </c>
      <c r="O26" s="40">
        <v>45524</v>
      </c>
      <c r="P26" s="40">
        <v>45547</v>
      </c>
      <c r="R26">
        <v>55690</v>
      </c>
      <c r="S26" s="40" t="str" cm="1">
        <f t="array" aca="1" ref="S26" ca="1">TRIM(SUBSTITUTE(_xlfn.ARRAYTOTEXT(IFERROR(CONCATENATE(SUMIF(INDIRECT("'"&amp;Assemblies[Assy]&amp;"'!"&amp;"C$5:C1000"), $A26, INDIRECT("'"&amp;Assemblies[Assy]&amp;"'!"&amp;"O$5:O1000")), "x",Assemblies[Assy],".",IF(SUMIF(INDIRECT("'"&amp;Assemblies[Assy]&amp;"'!"&amp;"C$5:C1000"), $A26, INDIRECT("'"&amp;Assemblies[Assy]&amp;"'!"&amp;"A$5:A1000"))=0,NA(),SUMIF(INDIRECT("'"&amp;Assemblies[Assy]&amp;"'!"&amp;"C$5:C1000"), $A26, INDIRECT("'"&amp;Assemblies[Assy]&amp;"'!"&amp;"A$5:A1000")))),"")), " ,", ""))</f>
        <v>, 4x1.1.304, 2x4.4.307, 4x4.7.305,</v>
      </c>
    </row>
    <row r="27" spans="1:19" hidden="1" x14ac:dyDescent="0.25">
      <c r="A27" s="160" t="s">
        <v>528</v>
      </c>
      <c r="B27" s="160" t="s">
        <v>2980</v>
      </c>
      <c r="C27" s="180">
        <v>2.14</v>
      </c>
      <c r="D27">
        <v>1</v>
      </c>
      <c r="E27" cm="1">
        <f t="array" aca="1" ref="E27" ca="1">SUMPRODUCT(SUMIF(INDIRECT("'"&amp;Assemblies[Assy]&amp;"'!"&amp;"C:C"),$A27,(INDIRECT("'"&amp;Assemblies[Assy]&amp;"'!"&amp;"O:O"))))</f>
        <v>12</v>
      </c>
      <c r="F27">
        <f ca="1">ROUNDUP(Purchased[[#This Row],[BOM QTY]]/Purchased[[#This Row],[PK QTY]], 0)</f>
        <v>12</v>
      </c>
      <c r="G27">
        <v>16</v>
      </c>
      <c r="H27" t="str">
        <f ca="1">IF(F27&lt;=G27," ","YES")</f>
        <v xml:space="preserve"> </v>
      </c>
      <c r="I27">
        <v>16</v>
      </c>
      <c r="J27">
        <v>16</v>
      </c>
      <c r="K27" s="160" t="s">
        <v>2967</v>
      </c>
      <c r="L27" t="s">
        <v>2931</v>
      </c>
      <c r="N27" s="40" t="s">
        <v>2747</v>
      </c>
      <c r="O27" s="40">
        <v>45524</v>
      </c>
      <c r="P27" s="40">
        <v>45547</v>
      </c>
      <c r="R27">
        <v>55690</v>
      </c>
      <c r="S27" s="40" t="str" cm="1">
        <f t="array" aca="1" ref="S27" ca="1">TRIM(SUBSTITUTE(_xlfn.ARRAYTOTEXT(IFERROR(CONCATENATE(SUMIF(INDIRECT("'"&amp;Assemblies[Assy]&amp;"'!"&amp;"C$5:C1000"), $A27, INDIRECT("'"&amp;Assemblies[Assy]&amp;"'!"&amp;"O$5:O1000")), "x",Assemblies[Assy],".",IF(SUMIF(INDIRECT("'"&amp;Assemblies[Assy]&amp;"'!"&amp;"C$5:C1000"), $A27, INDIRECT("'"&amp;Assemblies[Assy]&amp;"'!"&amp;"A$5:A1000"))=0,NA(),SUMIF(INDIRECT("'"&amp;Assemblies[Assy]&amp;"'!"&amp;"C$5:C1000"), $A27, INDIRECT("'"&amp;Assemblies[Assy]&amp;"'!"&amp;"A$5:A1000")))),"")), " ,", ""))</f>
        <v>, 4x4.1.304, 2x5.2.303, 4x6.9.303, 2x7.1.319,</v>
      </c>
    </row>
    <row r="28" spans="1:19" hidden="1" x14ac:dyDescent="0.25">
      <c r="A28" s="183">
        <v>3842548758</v>
      </c>
      <c r="B28" s="160" t="s">
        <v>2976</v>
      </c>
      <c r="C28" s="180">
        <v>2.83</v>
      </c>
      <c r="D28">
        <v>1</v>
      </c>
      <c r="E28" cm="1">
        <f t="array" aca="1" ref="E28" ca="1">SUMPRODUCT(SUMIF(INDIRECT("'"&amp;Assemblies[Assy]&amp;"'!"&amp;"C:C"),$A28,(INDIRECT("'"&amp;Assemblies[Assy]&amp;"'!"&amp;"O:O"))))</f>
        <v>99</v>
      </c>
      <c r="F28">
        <f ca="1">ROUNDUP(Purchased[[#This Row],[BOM QTY]]/Purchased[[#This Row],[PK QTY]], 0)</f>
        <v>99</v>
      </c>
      <c r="G28">
        <v>110</v>
      </c>
      <c r="H28" t="str">
        <f ca="1">IF(F28&lt;=G28," ","YES")</f>
        <v xml:space="preserve"> </v>
      </c>
      <c r="I28">
        <v>110</v>
      </c>
      <c r="J28">
        <v>110</v>
      </c>
      <c r="K28" s="160" t="s">
        <v>2967</v>
      </c>
      <c r="L28" t="s">
        <v>2931</v>
      </c>
      <c r="N28" s="40" t="s">
        <v>2747</v>
      </c>
      <c r="O28" s="40">
        <v>45524</v>
      </c>
      <c r="P28" s="40">
        <v>45547</v>
      </c>
      <c r="R28">
        <v>55690</v>
      </c>
      <c r="S28" s="40" t="str" cm="1">
        <f t="array" aca="1" ref="S28" ca="1">TRIM(SUBSTITUTE(_xlfn.ARRAYTOTEXT(IFERROR(CONCATENATE(SUMIF(INDIRECT("'"&amp;Assemblies[Assy]&amp;"'!"&amp;"C$5:C1000"), $A28, INDIRECT("'"&amp;Assemblies[Assy]&amp;"'!"&amp;"O$5:O1000")), "x",Assemblies[Assy],".",IF(SUMIF(INDIRECT("'"&amp;Assemblies[Assy]&amp;"'!"&amp;"C$5:C1000"), $A28, INDIRECT("'"&amp;Assemblies[Assy]&amp;"'!"&amp;"A$5:A1000"))=0,NA(),SUMIF(INDIRECT("'"&amp;Assemblies[Assy]&amp;"'!"&amp;"C$5:C1000"), $A28, INDIRECT("'"&amp;Assemblies[Assy]&amp;"'!"&amp;"A$5:A1000")))),"")), " ,", ""))</f>
        <v>, 10x1.1.303, 4x2.1.301, 6x3.1.303, 25x4.1.303, 2x4.2.303, 2x4.4.306, 6x5.1.305, 6x5.3.303, 8x6.1.304, 12x6.8.305, 8x6.9.311, 2x7.1.320, 8x10.1.303,</v>
      </c>
    </row>
    <row r="29" spans="1:19" hidden="1" x14ac:dyDescent="0.25">
      <c r="A29" s="161">
        <v>3842530281</v>
      </c>
      <c r="B29" s="160" t="s">
        <v>2971</v>
      </c>
      <c r="C29" s="180">
        <v>0.56000000000000005</v>
      </c>
      <c r="D29">
        <v>1</v>
      </c>
      <c r="E29" cm="1">
        <f t="array" aca="1" ref="E29" ca="1">SUMPRODUCT(SUMIF(INDIRECT("'"&amp;Assemblies[Assy]&amp;"'!"&amp;"C:C"),$A29,(INDIRECT("'"&amp;Assemblies[Assy]&amp;"'!"&amp;"O:O"))))</f>
        <v>198</v>
      </c>
      <c r="F29">
        <f ca="1">ROUNDUP(Purchased[[#This Row],[BOM QTY]]/Purchased[[#This Row],[PK QTY]], 0)</f>
        <v>198</v>
      </c>
      <c r="G29">
        <v>300</v>
      </c>
      <c r="H29" t="str">
        <f ca="1">IF(F29&lt;=G29," ","YES")</f>
        <v xml:space="preserve"> </v>
      </c>
      <c r="I29">
        <v>200</v>
      </c>
      <c r="J29">
        <v>200</v>
      </c>
      <c r="K29" s="160" t="s">
        <v>2967</v>
      </c>
      <c r="L29" t="s">
        <v>2931</v>
      </c>
      <c r="M29" t="s">
        <v>2972</v>
      </c>
      <c r="N29" s="40">
        <v>45463</v>
      </c>
      <c r="O29" s="40">
        <v>45463</v>
      </c>
      <c r="P29" s="40">
        <v>45481</v>
      </c>
      <c r="Q29" s="40">
        <v>45481</v>
      </c>
      <c r="R29">
        <v>55564</v>
      </c>
      <c r="S29" s="40" t="str" cm="1">
        <f t="array" aca="1" ref="S29" ca="1">TRIM(SUBSTITUTE(_xlfn.ARRAYTOTEXT(IFERROR(CONCATENATE(SUMIF(INDIRECT("'"&amp;Assemblies[Assy]&amp;"'!"&amp;"C$5:C1000"), $A29, INDIRECT("'"&amp;Assemblies[Assy]&amp;"'!"&amp;"O$5:O1000")), "x",Assemblies[Assy],".",IF(SUMIF(INDIRECT("'"&amp;Assemblies[Assy]&amp;"'!"&amp;"C$5:C1000"), $A29, INDIRECT("'"&amp;Assemblies[Assy]&amp;"'!"&amp;"A$5:A1000"))=0,NA(),SUMIF(INDIRECT("'"&amp;Assemblies[Assy]&amp;"'!"&amp;"C$5:C1000"), $A29, INDIRECT("'"&amp;Assemblies[Assy]&amp;"'!"&amp;"A$5:A1000")))),"")), " ,", ""))</f>
        <v>, 4x1.1.10.301, 8x1.4.301, 32x1.4.1.302, 8x1.5.301, 144x2.2.1.2.301, 2x9.1.303,</v>
      </c>
    </row>
    <row r="30" spans="1:19" hidden="1" x14ac:dyDescent="0.25">
      <c r="A30" s="161">
        <v>3842528718</v>
      </c>
      <c r="B30" s="160" t="s">
        <v>2966</v>
      </c>
      <c r="C30" s="180">
        <v>0.67</v>
      </c>
      <c r="D30">
        <v>1</v>
      </c>
      <c r="E30" cm="1">
        <f t="array" aca="1" ref="E30" ca="1">SUMPRODUCT(SUMIF(INDIRECT("'"&amp;Assemblies[Assy]&amp;"'!"&amp;"C:C"),$A30,(INDIRECT("'"&amp;Assemblies[Assy]&amp;"'!"&amp;"O:O"))))</f>
        <v>480</v>
      </c>
      <c r="F30">
        <f ca="1">ROUNDUP(Purchased[[#This Row],[BOM QTY]]/Purchased[[#This Row],[PK QTY]], 0)</f>
        <v>480</v>
      </c>
      <c r="G30">
        <v>600</v>
      </c>
      <c r="H30" t="str">
        <f ca="1">IF(F30&lt;=G30," ","YES")</f>
        <v xml:space="preserve"> </v>
      </c>
      <c r="I30">
        <v>400</v>
      </c>
      <c r="J30">
        <v>400</v>
      </c>
      <c r="K30" s="160" t="s">
        <v>2967</v>
      </c>
      <c r="L30" t="s">
        <v>2931</v>
      </c>
      <c r="M30" t="s">
        <v>2968</v>
      </c>
      <c r="N30" s="40">
        <v>45463</v>
      </c>
      <c r="O30" s="40">
        <v>45463</v>
      </c>
      <c r="P30" s="40">
        <v>45481</v>
      </c>
      <c r="Q30" s="40">
        <v>45481</v>
      </c>
      <c r="R30">
        <v>55564</v>
      </c>
      <c r="S30" s="40" t="str" cm="1">
        <f t="array" aca="1" ref="S30" ca="1">TRIM(SUBSTITUTE(_xlfn.ARRAYTOTEXT(IFERROR(CONCATENATE(SUMIF(INDIRECT("'"&amp;Assemblies[Assy]&amp;"'!"&amp;"C$5:C1000"), $A30, INDIRECT("'"&amp;Assemblies[Assy]&amp;"'!"&amp;"O$5:O1000")), "x",Assemblies[Assy],".",IF(SUMIF(INDIRECT("'"&amp;Assemblies[Assy]&amp;"'!"&amp;"C$5:C1000"), $A30, INDIRECT("'"&amp;Assemblies[Assy]&amp;"'!"&amp;"A$5:A1000"))=0,NA(),SUMIF(INDIRECT("'"&amp;Assemblies[Assy]&amp;"'!"&amp;"C$5:C1000"), $A30, INDIRECT("'"&amp;Assemblies[Assy]&amp;"'!"&amp;"A$5:A1000")))),"")), " ,", ""))</f>
        <v>, 480x1.1.3.301,</v>
      </c>
    </row>
    <row r="31" spans="1:19" hidden="1" x14ac:dyDescent="0.25">
      <c r="A31" s="160" t="s">
        <v>104</v>
      </c>
      <c r="B31" s="160" t="s">
        <v>2969</v>
      </c>
      <c r="C31" s="180">
        <v>0.56000000000000005</v>
      </c>
      <c r="D31">
        <v>1</v>
      </c>
      <c r="E31" cm="1">
        <f t="array" aca="1" ref="E31" ca="1">SUMPRODUCT(SUMIF(INDIRECT("'"&amp;Assemblies[Assy]&amp;"'!"&amp;"C:C"),$A31,(INDIRECT("'"&amp;Assemblies[Assy]&amp;"'!"&amp;"O:O"))))</f>
        <v>856</v>
      </c>
      <c r="F31">
        <f ca="1">ROUNDUP(Purchased[[#This Row],[BOM QTY]]/Purchased[[#This Row],[PK QTY]], 0)</f>
        <v>856</v>
      </c>
      <c r="G31">
        <v>900</v>
      </c>
      <c r="H31" t="str">
        <f ca="1">IF(F31&lt;=G31," ","YES")</f>
        <v xml:space="preserve"> </v>
      </c>
      <c r="I31">
        <v>600</v>
      </c>
      <c r="J31">
        <v>600</v>
      </c>
      <c r="K31" s="160" t="s">
        <v>2967</v>
      </c>
      <c r="L31" t="s">
        <v>2931</v>
      </c>
      <c r="M31" t="s">
        <v>2970</v>
      </c>
      <c r="N31" s="40">
        <v>45463</v>
      </c>
      <c r="O31" s="40">
        <v>45463</v>
      </c>
      <c r="P31" s="40">
        <v>45481</v>
      </c>
      <c r="Q31" s="40">
        <v>45481</v>
      </c>
      <c r="R31">
        <v>55564</v>
      </c>
      <c r="S31" s="40" t="str" cm="1">
        <f t="array" aca="1" ref="S31" ca="1">TRIM(SUBSTITUTE(_xlfn.ARRAYTOTEXT(IFERROR(CONCATENATE(SUMIF(INDIRECT("'"&amp;Assemblies[Assy]&amp;"'!"&amp;"C$5:C1000"), $A31, INDIRECT("'"&amp;Assemblies[Assy]&amp;"'!"&amp;"O$5:O1000")), "x",Assemblies[Assy],".",IF(SUMIF(INDIRECT("'"&amp;Assemblies[Assy]&amp;"'!"&amp;"C$5:C1000"), $A31, INDIRECT("'"&amp;Assemblies[Assy]&amp;"'!"&amp;"A$5:A1000"))=0,NA(),SUMIF(INDIRECT("'"&amp;Assemblies[Assy]&amp;"'!"&amp;"C$5:C1000"), $A31, INDIRECT("'"&amp;Assemblies[Assy]&amp;"'!"&amp;"A$5:A1000")))),"")), " ,", ""))</f>
        <v>, 8x0.3.310, 8x0.9.307, 8x0.10.307, 152x1.1.1.301, 16x1.1.7.301, 8x1.1.8.301, 32x1.4.1.301, 72x1.4.2.301, 6x1.6.301, 112x2.1.1.301, 16x2.1.3.302, 24x2.3.304, 20x3.1.1.301, 2x3.2.5.303, 2x3.2.6.303, 12x3.4.309, 14x4.3.302, 8x4.4.1.307, 10x4.4.2.310, 12x4.7.302, 4x5.1.302, 32x5.3.301, 8x5.4.301, 44x6.1.302, 8x6.8.302, 16x7.1.301, 48x7.2.2.301, 48x7.3.1.301, 16x8.1.2.301, 16x8.2.1.301, 4x10.2.301, 10x11.2.302, 60x12.311</v>
      </c>
    </row>
    <row r="32" spans="1:19" hidden="1" x14ac:dyDescent="0.25">
      <c r="A32" s="160" t="s">
        <v>172</v>
      </c>
      <c r="B32" s="160" t="s">
        <v>2974</v>
      </c>
      <c r="C32" s="180">
        <v>0.56000000000000005</v>
      </c>
      <c r="D32">
        <v>1</v>
      </c>
      <c r="E32" cm="1">
        <f t="array" aca="1" ref="E32" ca="1">SUMPRODUCT(SUMIF(INDIRECT("'"&amp;Assemblies[Assy]&amp;"'!"&amp;"C:C"),$A32,(INDIRECT("'"&amp;Assemblies[Assy]&amp;"'!"&amp;"O:O"))))</f>
        <v>674</v>
      </c>
      <c r="F32">
        <f ca="1">ROUNDUP(Purchased[[#This Row],[BOM QTY]]/Purchased[[#This Row],[PK QTY]], 0)</f>
        <v>674</v>
      </c>
      <c r="G32">
        <v>800</v>
      </c>
      <c r="H32" t="str">
        <f ca="1">IF(F32&lt;=G32," ","YES")</f>
        <v xml:space="preserve"> </v>
      </c>
      <c r="I32">
        <v>1000</v>
      </c>
      <c r="J32">
        <v>1000</v>
      </c>
      <c r="K32" s="160" t="s">
        <v>2967</v>
      </c>
      <c r="L32" t="s">
        <v>2931</v>
      </c>
      <c r="N32" s="40">
        <v>45463</v>
      </c>
      <c r="O32" s="40">
        <v>45463</v>
      </c>
      <c r="P32" s="40">
        <v>45481</v>
      </c>
      <c r="Q32" s="40">
        <v>45481</v>
      </c>
      <c r="R32">
        <v>55564</v>
      </c>
      <c r="S32" s="40" t="str" cm="1">
        <f t="array" aca="1" ref="S32" ca="1">TRIM(SUBSTITUTE(_xlfn.ARRAYTOTEXT(IFERROR(CONCATENATE(SUMIF(INDIRECT("'"&amp;Assemblies[Assy]&amp;"'!"&amp;"C$5:C1000"), $A32, INDIRECT("'"&amp;Assemblies[Assy]&amp;"'!"&amp;"O$5:O1000")), "x",Assemblies[Assy],".",IF(SUMIF(INDIRECT("'"&amp;Assemblies[Assy]&amp;"'!"&amp;"C$5:C1000"), $A32, INDIRECT("'"&amp;Assemblies[Assy]&amp;"'!"&amp;"A$5:A1000"))=0,NA(),SUMIF(INDIRECT("'"&amp;Assemblies[Assy]&amp;"'!"&amp;"C$5:C1000"), $A32, INDIRECT("'"&amp;Assemblies[Assy]&amp;"'!"&amp;"A$5:A1000")))),"")), " ,", ""))</f>
        <v>, 12x1.1.16.301, 6x1.1.17.301, 56x1.1.2.301, 36x1.1.4.301, 8x1.1.8.302, 18x1.3.7.302, 12x2.1.2.302, 9x2.3.303, 12x3.1.2.301, 2x3.2.5.302, 2x3.2.6.302, 4x4.1.1.302, 10x4.1.2.302, 24x4.1.3.302, 6x4.1.4.302, 6x4.1.5.302, 16x4.1.6.302, 4x4.1.7.301, 4x4.1.8.301, 4x4.4.309, 4x4.6.301, 32x5.1.303, 64x6.8.303, 16x7.1.304, 3x7.1.1.301, 192x7.1.2.301, 8x7.1.3.302, 8x7.1.4.301, 16x8.1.4.301, 6x8.3.301, 45x9.1.301, 8x9.2.301, 2x10.1.9.302, 3x10.1.10.301, 16x10.3.1.302,</v>
      </c>
    </row>
    <row r="33" spans="1:19" hidden="1" x14ac:dyDescent="0.25">
      <c r="A33" s="160" t="s">
        <v>341</v>
      </c>
      <c r="B33" s="160" t="s">
        <v>2986</v>
      </c>
      <c r="C33" s="180">
        <v>22.16</v>
      </c>
      <c r="D33">
        <v>2</v>
      </c>
      <c r="E33" cm="1">
        <f t="array" aca="1" ref="E33" ca="1">SUMPRODUCT(SUMIF(INDIRECT("'"&amp;Assemblies[Assy]&amp;"'!"&amp;"C:C"),$A33,(INDIRECT("'"&amp;Assemblies[Assy]&amp;"'!"&amp;"O:O"))))</f>
        <v>96</v>
      </c>
      <c r="F33">
        <f ca="1">ROUNDUP(Purchased[[#This Row],[BOM QTY]]/Purchased[[#This Row],[PK QTY]], 0)</f>
        <v>48</v>
      </c>
      <c r="G33">
        <v>80</v>
      </c>
      <c r="H33" t="str">
        <f ca="1">IF(F33&lt;=G33," ","YES")</f>
        <v xml:space="preserve"> </v>
      </c>
      <c r="I33">
        <v>10</v>
      </c>
      <c r="J33">
        <v>10</v>
      </c>
      <c r="K33" s="160" t="s">
        <v>2967</v>
      </c>
      <c r="L33" t="s">
        <v>2931</v>
      </c>
      <c r="M33" t="s">
        <v>2987</v>
      </c>
      <c r="N33" s="40" t="s">
        <v>2747</v>
      </c>
      <c r="O33" s="40">
        <v>45532</v>
      </c>
      <c r="P33" s="40">
        <v>45561</v>
      </c>
      <c r="R33">
        <v>55710</v>
      </c>
      <c r="S33" s="40" t="str" cm="1">
        <f t="array" aca="1" ref="S33" ca="1">TRIM(SUBSTITUTE(_xlfn.ARRAYTOTEXT(IFERROR(CONCATENATE(SUMIF(INDIRECT("'"&amp;Assemblies[Assy]&amp;"'!"&amp;"C$5:C1000"), $A33, INDIRECT("'"&amp;Assemblies[Assy]&amp;"'!"&amp;"O$5:O1000")), "x",Assemblies[Assy],".",IF(SUMIF(INDIRECT("'"&amp;Assemblies[Assy]&amp;"'!"&amp;"C$5:C1000"), $A33, INDIRECT("'"&amp;Assemblies[Assy]&amp;"'!"&amp;"A$5:A1000"))=0,NA(),SUMIF(INDIRECT("'"&amp;Assemblies[Assy]&amp;"'!"&amp;"C$5:C1000"), $A33, INDIRECT("'"&amp;Assemblies[Assy]&amp;"'!"&amp;"A$5:A1000")))),"")), " ,", ""))</f>
        <v>, 3x1.4.303, 3x1.5.303, 6x2.2.1.302, 6x2.2.2.302, 3x2.2.3.302, 3x2.2.4.302, 12x3.2.5.305, 12x3.2.6.305, 6x3.2.7.302, 6x3.2.8.302, 3x4.2.4.302, 3x4.2.5.302, 6x4.2.6.302, 6x4.2.7.302, 3x4.2.8.302, 3x4.2.9.302, 12x10.1.1.303,</v>
      </c>
    </row>
    <row r="34" spans="1:19" hidden="1" x14ac:dyDescent="0.25">
      <c r="A34" s="161">
        <v>3842146906</v>
      </c>
      <c r="B34" s="161" t="s">
        <v>2981</v>
      </c>
      <c r="C34" s="180">
        <v>5</v>
      </c>
      <c r="D34">
        <v>2000</v>
      </c>
      <c r="E34" cm="1">
        <f t="array" aca="1" ref="E34" ca="1">SUMPRODUCT(SUMIF(INDIRECT("'"&amp;Assemblies[Assy]&amp;"'!"&amp;"C:C"),$A34,(INDIRECT("'"&amp;Assemblies[Assy]&amp;"'!"&amp;"O:O"))))</f>
        <v>117500</v>
      </c>
      <c r="F34">
        <f ca="1">ROUNDUP(Purchased[[#This Row],[BOM QTY]]/Purchased[[#This Row],[PK QTY]], 0)</f>
        <v>59</v>
      </c>
      <c r="G34">
        <v>80</v>
      </c>
      <c r="H34" t="str">
        <f ca="1">IF(F34&lt;=G34," ","YES")</f>
        <v xml:space="preserve"> </v>
      </c>
      <c r="K34" t="s">
        <v>2967</v>
      </c>
      <c r="L34" t="s">
        <v>2931</v>
      </c>
      <c r="M34" s="191" t="s">
        <v>3729</v>
      </c>
      <c r="N34" s="40" t="s">
        <v>2747</v>
      </c>
      <c r="O34" s="40">
        <v>45532</v>
      </c>
      <c r="P34" s="40">
        <v>45561</v>
      </c>
      <c r="R34">
        <v>55710</v>
      </c>
      <c r="S34" s="40" t="str" cm="1">
        <f t="array" aca="1" ref="S34" ca="1">TRIM(SUBSTITUTE(_xlfn.ARRAYTOTEXT(IFERROR(CONCATENATE(SUMIF(INDIRECT("'"&amp;Assemblies[Assy]&amp;"'!"&amp;"C$5:C1000"), $A34, INDIRECT("'"&amp;Assemblies[Assy]&amp;"'!"&amp;"O$5:O1000")), "x",Assemblies[Assy],".",IF(SUMIF(INDIRECT("'"&amp;Assemblies[Assy]&amp;"'!"&amp;"C$5:C1000"), $A34, INDIRECT("'"&amp;Assemblies[Assy]&amp;"'!"&amp;"A$5:A1000"))=0,NA(),SUMIF(INDIRECT("'"&amp;Assemblies[Assy]&amp;"'!"&amp;"C$5:C1000"), $A34, INDIRECT("'"&amp;Assemblies[Assy]&amp;"'!"&amp;"A$5:A1000")))),"")), " ,", ""))</f>
        <v>, 5500x1.4.304, 5800x1.5.304, 7700x2.2.1.303, 7800x2.2.2.303, 3600x2.2.3.303, 3700x2.2.4.303, 11500x3.2.5.306, 11500x3.2.6.306, 5800x3.2.7.303, 5800x3.2.8.303, 5800x4.2.4.303, 5800x4.2.5.303, 5800x4.2.6.303, 5800x4.2.7.303, 5800x4.2.8.303, 5800x4.2.9.303, 14000x10.1.1.301,</v>
      </c>
    </row>
    <row r="35" spans="1:19" hidden="1" x14ac:dyDescent="0.25">
      <c r="A35" s="161">
        <v>3842528735</v>
      </c>
      <c r="B35" s="160" t="s">
        <v>2982</v>
      </c>
      <c r="C35" s="180">
        <v>0.86</v>
      </c>
      <c r="D35">
        <v>1</v>
      </c>
      <c r="E35" cm="1">
        <f t="array" aca="1" ref="E35" ca="1">SUMPRODUCT(SUMIF(INDIRECT("'"&amp;Assemblies[Assy]&amp;"'!"&amp;"C:C"),$A35,(INDIRECT("'"&amp;Assemblies[Assy]&amp;"'!"&amp;"O:O"))))</f>
        <v>74</v>
      </c>
      <c r="F35">
        <f ca="1">ROUNDUP(Purchased[[#This Row],[BOM QTY]]/Purchased[[#This Row],[PK QTY]], 0)</f>
        <v>74</v>
      </c>
      <c r="G35">
        <v>80</v>
      </c>
      <c r="H35" t="str">
        <f ca="1">IF(F35&lt;=G35," ","YES")</f>
        <v xml:space="preserve"> </v>
      </c>
      <c r="K35" t="s">
        <v>2967</v>
      </c>
      <c r="L35" t="s">
        <v>2931</v>
      </c>
      <c r="N35" s="40" t="s">
        <v>2747</v>
      </c>
      <c r="O35" s="40">
        <v>45532</v>
      </c>
      <c r="P35" s="40">
        <v>45561</v>
      </c>
      <c r="R35">
        <v>55710</v>
      </c>
      <c r="S35" s="40" t="str" cm="1">
        <f t="array" aca="1" ref="S35" ca="1">TRIM(SUBSTITUTE(_xlfn.ARRAYTOTEXT(IFERROR(CONCATENATE(SUMIF(INDIRECT("'"&amp;Assemblies[Assy]&amp;"'!"&amp;"C$5:C1000"), $A35, INDIRECT("'"&amp;Assemblies[Assy]&amp;"'!"&amp;"O$5:O1000")), "x",Assemblies[Assy],".",IF(SUMIF(INDIRECT("'"&amp;Assemblies[Assy]&amp;"'!"&amp;"C$5:C1000"), $A35, INDIRECT("'"&amp;Assemblies[Assy]&amp;"'!"&amp;"A$5:A1000"))=0,NA(),SUMIF(INDIRECT("'"&amp;Assemblies[Assy]&amp;"'!"&amp;"C$5:C1000"), $A35, INDIRECT("'"&amp;Assemblies[Assy]&amp;"'!"&amp;"A$5:A1000")))),"")), " ,", ""))</f>
        <v>, 8x1.1.5.301, 16x1.3.301, 8x6.10.315, 16x8.4.301, 6x9.1.302, 20x10.2.302,</v>
      </c>
    </row>
    <row r="36" spans="1:19" hidden="1" x14ac:dyDescent="0.25">
      <c r="A36" s="161">
        <v>3842529324</v>
      </c>
      <c r="B36" s="160" t="s">
        <v>2983</v>
      </c>
      <c r="C36" s="180">
        <v>0.86</v>
      </c>
      <c r="D36">
        <v>1</v>
      </c>
      <c r="E36" cm="1">
        <f t="array" aca="1" ref="E36" ca="1">SUMPRODUCT(SUMIF(INDIRECT("'"&amp;Assemblies[Assy]&amp;"'!"&amp;"C:C"),$A36,(INDIRECT("'"&amp;Assemblies[Assy]&amp;"'!"&amp;"O:O"))))</f>
        <v>4</v>
      </c>
      <c r="F36">
        <f ca="1">ROUNDUP(Purchased[[#This Row],[BOM QTY]]/Purchased[[#This Row],[PK QTY]], 0)</f>
        <v>4</v>
      </c>
      <c r="G36">
        <v>4</v>
      </c>
      <c r="H36" t="str">
        <f ca="1">IF(F36&lt;=G36," ","YES")</f>
        <v xml:space="preserve"> </v>
      </c>
      <c r="K36" t="s">
        <v>2967</v>
      </c>
      <c r="L36" t="s">
        <v>2931</v>
      </c>
      <c r="N36" s="40" t="s">
        <v>2747</v>
      </c>
      <c r="O36" s="40">
        <v>45532</v>
      </c>
      <c r="P36" s="40">
        <v>45561</v>
      </c>
      <c r="R36">
        <v>55710</v>
      </c>
      <c r="S36" s="40" t="str" cm="1">
        <f t="array" aca="1" ref="S36" ca="1">TRIM(SUBSTITUTE(_xlfn.ARRAYTOTEXT(IFERROR(CONCATENATE(SUMIF(INDIRECT("'"&amp;Assemblies[Assy]&amp;"'!"&amp;"C$5:C1000"), $A36, INDIRECT("'"&amp;Assemblies[Assy]&amp;"'!"&amp;"O$5:O1000")), "x",Assemblies[Assy],".",IF(SUMIF(INDIRECT("'"&amp;Assemblies[Assy]&amp;"'!"&amp;"C$5:C1000"), $A36, INDIRECT("'"&amp;Assemblies[Assy]&amp;"'!"&amp;"A$5:A1000"))=0,NA(),SUMIF(INDIRECT("'"&amp;Assemblies[Assy]&amp;"'!"&amp;"C$5:C1000"), $A36, INDIRECT("'"&amp;Assemblies[Assy]&amp;"'!"&amp;"A$5:A1000")))),"")), " ,", ""))</f>
        <v>, 4x9.5.301,</v>
      </c>
    </row>
    <row r="37" spans="1:19" hidden="1" x14ac:dyDescent="0.25">
      <c r="A37" s="161">
        <v>3842548840</v>
      </c>
      <c r="B37" s="160" t="s">
        <v>2984</v>
      </c>
      <c r="C37" s="180">
        <v>3.56</v>
      </c>
      <c r="D37">
        <v>1</v>
      </c>
      <c r="E37" cm="1">
        <f t="array" aca="1" ref="E37" ca="1">SUMPRODUCT(SUMIF(INDIRECT("'"&amp;Assemblies[Assy]&amp;"'!"&amp;"C:C"),$A37,(INDIRECT("'"&amp;Assemblies[Assy]&amp;"'!"&amp;"O:O"))))</f>
        <v>117</v>
      </c>
      <c r="F37">
        <f ca="1">ROUNDUP(Purchased[[#This Row],[BOM QTY]]/Purchased[[#This Row],[PK QTY]], 0)</f>
        <v>117</v>
      </c>
      <c r="G37">
        <v>120</v>
      </c>
      <c r="H37" t="str">
        <f ca="1">IF(F37&lt;=G37," ","YES")</f>
        <v xml:space="preserve"> </v>
      </c>
      <c r="K37" s="160" t="s">
        <v>2967</v>
      </c>
      <c r="L37" t="s">
        <v>2931</v>
      </c>
      <c r="M37" s="191" t="s">
        <v>3728</v>
      </c>
      <c r="N37" s="40" t="s">
        <v>2747</v>
      </c>
      <c r="O37" s="40">
        <v>45532</v>
      </c>
      <c r="P37" s="40">
        <v>45561</v>
      </c>
      <c r="R37">
        <v>55710</v>
      </c>
      <c r="S37" s="40" t="str" cm="1">
        <f t="array" aca="1" ref="S37" ca="1">TRIM(SUBSTITUTE(_xlfn.ARRAYTOTEXT(IFERROR(CONCATENATE(SUMIF(INDIRECT("'"&amp;Assemblies[Assy]&amp;"'!"&amp;"C$5:C1000"), $A37, INDIRECT("'"&amp;Assemblies[Assy]&amp;"'!"&amp;"O$5:O1000")), "x",Assemblies[Assy],".",IF(SUMIF(INDIRECT("'"&amp;Assemblies[Assy]&amp;"'!"&amp;"C$5:C1000"), $A37, INDIRECT("'"&amp;Assemblies[Assy]&amp;"'!"&amp;"A$5:A1000"))=0,NA(),SUMIF(INDIRECT("'"&amp;Assemblies[Assy]&amp;"'!"&amp;"C$5:C1000"), $A37, INDIRECT("'"&amp;Assemblies[Assy]&amp;"'!"&amp;"A$5:A1000")))),"")), " ,", ""))</f>
        <v>, 93x1.7.1.301, 24x3.2.1.1.301,</v>
      </c>
    </row>
    <row r="38" spans="1:19" hidden="1" x14ac:dyDescent="0.25">
      <c r="A38" s="160" t="s">
        <v>192</v>
      </c>
      <c r="B38" s="160" t="s">
        <v>2985</v>
      </c>
      <c r="C38" s="180">
        <v>0.86</v>
      </c>
      <c r="D38">
        <v>1</v>
      </c>
      <c r="E38" cm="1">
        <f t="array" aca="1" ref="E38" ca="1">SUMPRODUCT(SUMIF(INDIRECT("'"&amp;Assemblies[Assy]&amp;"'!"&amp;"C:C"),$A38,(INDIRECT("'"&amp;Assemblies[Assy]&amp;"'!"&amp;"O:O"))))</f>
        <v>6</v>
      </c>
      <c r="F38">
        <f ca="1">ROUNDUP(Purchased[[#This Row],[BOM QTY]]/Purchased[[#This Row],[PK QTY]], 0)</f>
        <v>6</v>
      </c>
      <c r="G38">
        <v>6</v>
      </c>
      <c r="H38" t="str">
        <f ca="1">IF(F38&lt;=G38," ","YES")</f>
        <v xml:space="preserve"> </v>
      </c>
      <c r="K38" s="160" t="s">
        <v>2967</v>
      </c>
      <c r="L38" t="s">
        <v>2931</v>
      </c>
      <c r="N38" s="40" t="s">
        <v>2747</v>
      </c>
      <c r="O38" s="40">
        <v>45532</v>
      </c>
      <c r="P38" s="40">
        <v>45561</v>
      </c>
      <c r="R38">
        <v>55710</v>
      </c>
      <c r="S38" s="40" t="str" cm="1">
        <f t="array" aca="1" ref="S38" ca="1">TRIM(SUBSTITUTE(_xlfn.ARRAYTOTEXT(IFERROR(CONCATENATE(SUMIF(INDIRECT("'"&amp;Assemblies[Assy]&amp;"'!"&amp;"C$5:C1000"), $A38, INDIRECT("'"&amp;Assemblies[Assy]&amp;"'!"&amp;"O$5:O1000")), "x",Assemblies[Assy],".",IF(SUMIF(INDIRECT("'"&amp;Assemblies[Assy]&amp;"'!"&amp;"C$5:C1000"), $A38, INDIRECT("'"&amp;Assemblies[Assy]&amp;"'!"&amp;"A$5:A1000"))=0,NA(),SUMIF(INDIRECT("'"&amp;Assemblies[Assy]&amp;"'!"&amp;"C$5:C1000"), $A38, INDIRECT("'"&amp;Assemblies[Assy]&amp;"'!"&amp;"A$5:A1000")))),"")), " ,", ""))</f>
        <v>, 2x1.1.6.301, 4x9.4.301,</v>
      </c>
    </row>
    <row r="39" spans="1:19" hidden="1" x14ac:dyDescent="0.25">
      <c r="A39" s="160" t="s">
        <v>794</v>
      </c>
      <c r="B39" s="160" t="s">
        <v>2989</v>
      </c>
      <c r="C39" s="180">
        <v>10.73</v>
      </c>
      <c r="D39">
        <v>1</v>
      </c>
      <c r="E39" cm="1">
        <f t="array" aca="1" ref="E39" ca="1">SUMPRODUCT(SUMIF(INDIRECT("'"&amp;Assemblies[Assy]&amp;"'!"&amp;"C:C"),$A39,(INDIRECT("'"&amp;Assemblies[Assy]&amp;"'!"&amp;"O:O"))))</f>
        <v>4</v>
      </c>
      <c r="F39">
        <f ca="1">ROUNDUP(Purchased[[#This Row],[BOM QTY]]/Purchased[[#This Row],[PK QTY]], 0)</f>
        <v>4</v>
      </c>
      <c r="G39">
        <v>8</v>
      </c>
      <c r="H39" t="str">
        <f ca="1">IF(F39&lt;=G39," ","YES")</f>
        <v xml:space="preserve"> </v>
      </c>
      <c r="I39">
        <v>8</v>
      </c>
      <c r="J39">
        <v>8</v>
      </c>
      <c r="K39" t="s">
        <v>2990</v>
      </c>
      <c r="L39" t="s">
        <v>2931</v>
      </c>
      <c r="M39" t="s">
        <v>2991</v>
      </c>
      <c r="N39" s="40">
        <v>45527</v>
      </c>
      <c r="O39" s="40">
        <v>45527</v>
      </c>
      <c r="P39" s="40">
        <v>45530</v>
      </c>
      <c r="R39">
        <v>55701</v>
      </c>
      <c r="S39" s="40" t="str" cm="1">
        <f t="array" aca="1" ref="S39" ca="1">TRIM(SUBSTITUTE(_xlfn.ARRAYTOTEXT(IFERROR(CONCATENATE(SUMIF(INDIRECT("'"&amp;Assemblies[Assy]&amp;"'!"&amp;"C$5:C1000"), $A39, INDIRECT("'"&amp;Assemblies[Assy]&amp;"'!"&amp;"O$5:O1000")), "x",Assemblies[Assy],".",IF(SUMIF(INDIRECT("'"&amp;Assemblies[Assy]&amp;"'!"&amp;"C$5:C1000"), $A39, INDIRECT("'"&amp;Assemblies[Assy]&amp;"'!"&amp;"A$5:A1000"))=0,NA(),SUMIF(INDIRECT("'"&amp;Assemblies[Assy]&amp;"'!"&amp;"C$5:C1000"), $A39, INDIRECT("'"&amp;Assemblies[Assy]&amp;"'!"&amp;"A$5:A1000")))),"")), " ,", ""))</f>
        <v>, 2x5.5.303, 2x5.6.303,</v>
      </c>
    </row>
    <row r="40" spans="1:19" hidden="1" x14ac:dyDescent="0.25">
      <c r="A40" s="160" t="s">
        <v>793</v>
      </c>
      <c r="B40" s="160" t="s">
        <v>2992</v>
      </c>
      <c r="C40" s="180">
        <v>10.31</v>
      </c>
      <c r="D40">
        <v>1</v>
      </c>
      <c r="E40" cm="1">
        <f t="array" aca="1" ref="E40" ca="1">SUMPRODUCT(SUMIF(INDIRECT("'"&amp;Assemblies[Assy]&amp;"'!"&amp;"C:C"),$A40,(INDIRECT("'"&amp;Assemblies[Assy]&amp;"'!"&amp;"O:O"))))</f>
        <v>4</v>
      </c>
      <c r="F40">
        <f ca="1">ROUNDUP(Purchased[[#This Row],[BOM QTY]]/Purchased[[#This Row],[PK QTY]], 0)</f>
        <v>4</v>
      </c>
      <c r="G40">
        <v>8</v>
      </c>
      <c r="H40" t="str">
        <f ca="1">IF(F40&lt;=G40," ","YES")</f>
        <v xml:space="preserve"> </v>
      </c>
      <c r="I40">
        <v>8</v>
      </c>
      <c r="J40">
        <v>8</v>
      </c>
      <c r="K40" t="s">
        <v>2990</v>
      </c>
      <c r="L40" t="s">
        <v>2931</v>
      </c>
      <c r="M40" t="s">
        <v>2993</v>
      </c>
      <c r="N40" s="40">
        <v>45527</v>
      </c>
      <c r="O40" s="40">
        <v>45527</v>
      </c>
      <c r="P40" s="40">
        <v>45530</v>
      </c>
      <c r="R40">
        <v>55701</v>
      </c>
      <c r="S40" s="40" t="str" cm="1">
        <f t="array" aca="1" ref="S40" ca="1">TRIM(SUBSTITUTE(_xlfn.ARRAYTOTEXT(IFERROR(CONCATENATE(SUMIF(INDIRECT("'"&amp;Assemblies[Assy]&amp;"'!"&amp;"C$5:C1000"), $A40, INDIRECT("'"&amp;Assemblies[Assy]&amp;"'!"&amp;"O$5:O1000")), "x",Assemblies[Assy],".",IF(SUMIF(INDIRECT("'"&amp;Assemblies[Assy]&amp;"'!"&amp;"C$5:C1000"), $A40, INDIRECT("'"&amp;Assemblies[Assy]&amp;"'!"&amp;"A$5:A1000"))=0,NA(),SUMIF(INDIRECT("'"&amp;Assemblies[Assy]&amp;"'!"&amp;"C$5:C1000"), $A40, INDIRECT("'"&amp;Assemblies[Assy]&amp;"'!"&amp;"A$5:A1000")))),"")), " ,", ""))</f>
        <v>, 2x5.5.302, 2x5.6.302,</v>
      </c>
    </row>
    <row r="41" spans="1:19" hidden="1" x14ac:dyDescent="0.25">
      <c r="A41" s="160" t="s">
        <v>760</v>
      </c>
      <c r="B41" s="160" t="s">
        <v>2994</v>
      </c>
      <c r="C41" s="180">
        <v>366</v>
      </c>
      <c r="D41">
        <v>1</v>
      </c>
      <c r="E41" cm="1">
        <f t="array" aca="1" ref="E41" ca="1">SUMPRODUCT(SUMIF(INDIRECT("'"&amp;Assemblies[Assy]&amp;"'!"&amp;"C:C"),$A41,(INDIRECT("'"&amp;Assemblies[Assy]&amp;"'!"&amp;"O:O"))))</f>
        <v>1</v>
      </c>
      <c r="F41">
        <f ca="1">ROUNDUP(Purchased[[#This Row],[BOM QTY]]/Purchased[[#This Row],[PK QTY]], 0)</f>
        <v>1</v>
      </c>
      <c r="G41">
        <v>1</v>
      </c>
      <c r="H41" t="str">
        <f ca="1">IF(F41&lt;=G41," ","YES")</f>
        <v xml:space="preserve"> </v>
      </c>
      <c r="I41">
        <v>1</v>
      </c>
      <c r="J41">
        <v>1</v>
      </c>
      <c r="K41" s="162" t="s">
        <v>2995</v>
      </c>
      <c r="L41" t="s">
        <v>2931</v>
      </c>
      <c r="N41" s="40">
        <v>45491</v>
      </c>
      <c r="O41" s="40">
        <v>45491</v>
      </c>
      <c r="P41" s="40">
        <v>45533</v>
      </c>
      <c r="Q41" s="40">
        <v>45533</v>
      </c>
      <c r="R41">
        <v>55611</v>
      </c>
      <c r="S41" s="40" t="str" cm="1">
        <f t="array" aca="1" ref="S41" ca="1">TRIM(SUBSTITUTE(_xlfn.ARRAYTOTEXT(IFERROR(CONCATENATE(SUMIF(INDIRECT("'"&amp;Assemblies[Assy]&amp;"'!"&amp;"C$5:C1000"), $A41, INDIRECT("'"&amp;Assemblies[Assy]&amp;"'!"&amp;"O$5:O1000")), "x",Assemblies[Assy],".",IF(SUMIF(INDIRECT("'"&amp;Assemblies[Assy]&amp;"'!"&amp;"C$5:C1000"), $A41, INDIRECT("'"&amp;Assemblies[Assy]&amp;"'!"&amp;"A$5:A1000"))=0,NA(),SUMIF(INDIRECT("'"&amp;Assemblies[Assy]&amp;"'!"&amp;"C$5:C1000"), $A41, INDIRECT("'"&amp;Assemblies[Assy]&amp;"'!"&amp;"A$5:A1000")))),"")), " ,", ""))</f>
        <v>, 1x5.4.305,</v>
      </c>
    </row>
    <row r="42" spans="1:19" hidden="1" x14ac:dyDescent="0.25">
      <c r="A42" s="160" t="s">
        <v>759</v>
      </c>
      <c r="B42" s="160" t="s">
        <v>2996</v>
      </c>
      <c r="C42" s="180">
        <v>366</v>
      </c>
      <c r="D42">
        <v>1</v>
      </c>
      <c r="E42" cm="1">
        <f t="array" aca="1" ref="E42" ca="1">SUMPRODUCT(SUMIF(INDIRECT("'"&amp;Assemblies[Assy]&amp;"'!"&amp;"C:C"),$A42,(INDIRECT("'"&amp;Assemblies[Assy]&amp;"'!"&amp;"O:O"))))</f>
        <v>1</v>
      </c>
      <c r="F42">
        <f ca="1">ROUNDUP(Purchased[[#This Row],[BOM QTY]]/Purchased[[#This Row],[PK QTY]], 0)</f>
        <v>1</v>
      </c>
      <c r="G42">
        <v>1</v>
      </c>
      <c r="H42" t="str">
        <f ca="1">IF(F42&lt;=G42," ","YES")</f>
        <v xml:space="preserve"> </v>
      </c>
      <c r="I42">
        <v>1</v>
      </c>
      <c r="J42">
        <v>1</v>
      </c>
      <c r="K42" s="162" t="s">
        <v>2995</v>
      </c>
      <c r="L42" t="s">
        <v>2931</v>
      </c>
      <c r="N42" s="40">
        <v>45491</v>
      </c>
      <c r="O42" s="40">
        <v>45491</v>
      </c>
      <c r="P42" s="40">
        <v>45533</v>
      </c>
      <c r="Q42" s="40">
        <v>45533</v>
      </c>
      <c r="R42">
        <v>55611</v>
      </c>
      <c r="S42" s="40" t="str" cm="1">
        <f t="array" aca="1" ref="S42" ca="1">TRIM(SUBSTITUTE(_xlfn.ARRAYTOTEXT(IFERROR(CONCATENATE(SUMIF(INDIRECT("'"&amp;Assemblies[Assy]&amp;"'!"&amp;"C$5:C1000"), $A42, INDIRECT("'"&amp;Assemblies[Assy]&amp;"'!"&amp;"O$5:O1000")), "x",Assemblies[Assy],".",IF(SUMIF(INDIRECT("'"&amp;Assemblies[Assy]&amp;"'!"&amp;"C$5:C1000"), $A42, INDIRECT("'"&amp;Assemblies[Assy]&amp;"'!"&amp;"A$5:A1000"))=0,NA(),SUMIF(INDIRECT("'"&amp;Assemblies[Assy]&amp;"'!"&amp;"C$5:C1000"), $A42, INDIRECT("'"&amp;Assemblies[Assy]&amp;"'!"&amp;"A$5:A1000")))),"")), " ,", ""))</f>
        <v>, 1x5.4.304,</v>
      </c>
    </row>
    <row r="43" spans="1:19" hidden="1" x14ac:dyDescent="0.25">
      <c r="A43" t="s">
        <v>757</v>
      </c>
      <c r="B43" s="160" t="s">
        <v>2997</v>
      </c>
      <c r="C43" s="180">
        <v>2614</v>
      </c>
      <c r="D43">
        <v>1</v>
      </c>
      <c r="E43" cm="1">
        <f t="array" aca="1" ref="E43" ca="1">SUMPRODUCT(SUMIF(INDIRECT("'"&amp;Assemblies[Assy]&amp;"'!"&amp;"C:C"),$A43,(INDIRECT("'"&amp;Assemblies[Assy]&amp;"'!"&amp;"O:O"))))</f>
        <v>1</v>
      </c>
      <c r="F43">
        <f ca="1">ROUNDUP(Purchased[[#This Row],[BOM QTY]]/Purchased[[#This Row],[PK QTY]], 0)</f>
        <v>1</v>
      </c>
      <c r="G43">
        <v>1</v>
      </c>
      <c r="H43" t="str">
        <f ca="1">IF(F43&lt;=G43," ","YES")</f>
        <v xml:space="preserve"> </v>
      </c>
      <c r="I43">
        <v>1</v>
      </c>
      <c r="J43">
        <v>1</v>
      </c>
      <c r="K43" s="162" t="s">
        <v>2995</v>
      </c>
      <c r="L43" t="s">
        <v>2931</v>
      </c>
      <c r="N43" s="40">
        <v>45491</v>
      </c>
      <c r="O43" s="40">
        <v>45491</v>
      </c>
      <c r="P43" s="40">
        <v>45533</v>
      </c>
      <c r="Q43" s="40">
        <v>45533</v>
      </c>
      <c r="R43">
        <v>55611</v>
      </c>
      <c r="S43" s="40" t="str" cm="1">
        <f t="array" aca="1" ref="S43" ca="1">TRIM(SUBSTITUTE(_xlfn.ARRAYTOTEXT(IFERROR(CONCATENATE(SUMIF(INDIRECT("'"&amp;Assemblies[Assy]&amp;"'!"&amp;"C$5:C1000"), $A43, INDIRECT("'"&amp;Assemblies[Assy]&amp;"'!"&amp;"O$5:O1000")), "x",Assemblies[Assy],".",IF(SUMIF(INDIRECT("'"&amp;Assemblies[Assy]&amp;"'!"&amp;"C$5:C1000"), $A43, INDIRECT("'"&amp;Assemblies[Assy]&amp;"'!"&amp;"A$5:A1000"))=0,NA(),SUMIF(INDIRECT("'"&amp;Assemblies[Assy]&amp;"'!"&amp;"C$5:C1000"), $A43, INDIRECT("'"&amp;Assemblies[Assy]&amp;"'!"&amp;"A$5:A1000")))),"")), " ,", ""))</f>
        <v>, 1x5.4.302,</v>
      </c>
    </row>
    <row r="44" spans="1:19" hidden="1" x14ac:dyDescent="0.25">
      <c r="A44" t="s">
        <v>758</v>
      </c>
      <c r="B44" s="160" t="s">
        <v>2998</v>
      </c>
      <c r="C44" s="180">
        <v>2657</v>
      </c>
      <c r="D44">
        <v>1</v>
      </c>
      <c r="E44" cm="1">
        <f t="array" aca="1" ref="E44" ca="1">SUMPRODUCT(SUMIF(INDIRECT("'"&amp;Assemblies[Assy]&amp;"'!"&amp;"C:C"),$A44,(INDIRECT("'"&amp;Assemblies[Assy]&amp;"'!"&amp;"O:O"))))</f>
        <v>1</v>
      </c>
      <c r="F44">
        <f ca="1">ROUNDUP(Purchased[[#This Row],[BOM QTY]]/Purchased[[#This Row],[PK QTY]], 0)</f>
        <v>1</v>
      </c>
      <c r="G44">
        <v>1</v>
      </c>
      <c r="H44" t="str">
        <f ca="1">IF(F44&lt;=G44," ","YES")</f>
        <v xml:space="preserve"> </v>
      </c>
      <c r="I44">
        <v>1</v>
      </c>
      <c r="J44">
        <v>1</v>
      </c>
      <c r="K44" s="162" t="s">
        <v>2995</v>
      </c>
      <c r="L44" t="s">
        <v>2931</v>
      </c>
      <c r="N44" s="40">
        <v>45491</v>
      </c>
      <c r="O44" s="40">
        <v>45491</v>
      </c>
      <c r="P44" s="40">
        <v>45533</v>
      </c>
      <c r="Q44" s="40">
        <v>45533</v>
      </c>
      <c r="R44">
        <v>55611</v>
      </c>
      <c r="S44" s="40" t="str" cm="1">
        <f t="array" aca="1" ref="S44" ca="1">TRIM(SUBSTITUTE(_xlfn.ARRAYTOTEXT(IFERROR(CONCATENATE(SUMIF(INDIRECT("'"&amp;Assemblies[Assy]&amp;"'!"&amp;"C$5:C1000"), $A44, INDIRECT("'"&amp;Assemblies[Assy]&amp;"'!"&amp;"O$5:O1000")), "x",Assemblies[Assy],".",IF(SUMIF(INDIRECT("'"&amp;Assemblies[Assy]&amp;"'!"&amp;"C$5:C1000"), $A44, INDIRECT("'"&amp;Assemblies[Assy]&amp;"'!"&amp;"A$5:A1000"))=0,NA(),SUMIF(INDIRECT("'"&amp;Assemblies[Assy]&amp;"'!"&amp;"C$5:C1000"), $A44, INDIRECT("'"&amp;Assemblies[Assy]&amp;"'!"&amp;"A$5:A1000")))),"")), " ,", ""))</f>
        <v>, 1x5.4.303,</v>
      </c>
    </row>
    <row r="45" spans="1:19" hidden="1" x14ac:dyDescent="0.25">
      <c r="A45" s="160" t="s">
        <v>1381</v>
      </c>
      <c r="B45" s="160" t="s">
        <v>2999</v>
      </c>
      <c r="C45" s="180">
        <v>4944</v>
      </c>
      <c r="D45">
        <v>1</v>
      </c>
      <c r="E45" cm="1">
        <f t="array" aca="1" ref="E45" ca="1">SUMPRODUCT(SUMIF(INDIRECT("'"&amp;Assemblies[Assy]&amp;"'!"&amp;"C:C"),$A45,(INDIRECT("'"&amp;Assemblies[Assy]&amp;"'!"&amp;"O:O"))))</f>
        <v>1</v>
      </c>
      <c r="F45">
        <f ca="1">ROUNDUP(Purchased[[#This Row],[BOM QTY]]/Purchased[[#This Row],[PK QTY]], 0)</f>
        <v>1</v>
      </c>
      <c r="G45">
        <v>1</v>
      </c>
      <c r="H45" t="str">
        <f ca="1">IF(F45&lt;=G45," ","YES")</f>
        <v xml:space="preserve"> </v>
      </c>
      <c r="I45">
        <v>1</v>
      </c>
      <c r="J45">
        <v>1</v>
      </c>
      <c r="K45" t="s">
        <v>2995</v>
      </c>
      <c r="L45" t="s">
        <v>2931</v>
      </c>
      <c r="N45" s="40">
        <v>45491</v>
      </c>
      <c r="O45" s="40">
        <v>45491</v>
      </c>
      <c r="P45" s="40">
        <v>45533</v>
      </c>
      <c r="Q45" s="40">
        <v>45533</v>
      </c>
      <c r="R45">
        <v>55611</v>
      </c>
      <c r="S45" s="40" t="str" cm="1">
        <f t="array" aca="1" ref="S45" ca="1">TRIM(SUBSTITUTE(_xlfn.ARRAYTOTEXT(IFERROR(CONCATENATE(SUMIF(INDIRECT("'"&amp;Assemblies[Assy]&amp;"'!"&amp;"C$5:C1000"), $A45, INDIRECT("'"&amp;Assemblies[Assy]&amp;"'!"&amp;"O$5:O1000")), "x",Assemblies[Assy],".",IF(SUMIF(INDIRECT("'"&amp;Assemblies[Assy]&amp;"'!"&amp;"C$5:C1000"), $A45, INDIRECT("'"&amp;Assemblies[Assy]&amp;"'!"&amp;"A$5:A1000"))=0,NA(),SUMIF(INDIRECT("'"&amp;Assemblies[Assy]&amp;"'!"&amp;"C$5:C1000"), $A45, INDIRECT("'"&amp;Assemblies[Assy]&amp;"'!"&amp;"A$5:A1000")))),"")), " ,", ""))</f>
        <v>, 1x10.2.305,</v>
      </c>
    </row>
    <row r="46" spans="1:19" hidden="1" x14ac:dyDescent="0.25">
      <c r="A46" s="161" t="s">
        <v>1413</v>
      </c>
      <c r="B46" s="161" t="s">
        <v>3000</v>
      </c>
      <c r="C46" s="180">
        <v>7090.2749999999996</v>
      </c>
      <c r="D46">
        <v>1</v>
      </c>
      <c r="E46" cm="1">
        <f t="array" aca="1" ref="E46" ca="1">SUMPRODUCT(SUMIF(INDIRECT("'"&amp;Assemblies[Assy]&amp;"'!"&amp;"C:C"),$A46,(INDIRECT("'"&amp;Assemblies[Assy]&amp;"'!"&amp;"O:O"))))</f>
        <v>1</v>
      </c>
      <c r="F46">
        <f ca="1">ROUNDUP(Purchased[[#This Row],[BOM QTY]]/Purchased[[#This Row],[PK QTY]], 0)</f>
        <v>1</v>
      </c>
      <c r="G46">
        <v>1</v>
      </c>
      <c r="H46" t="str">
        <f ca="1">IF(F46&lt;=G46," ","YES")</f>
        <v xml:space="preserve"> </v>
      </c>
      <c r="I46">
        <v>1</v>
      </c>
      <c r="J46">
        <v>1</v>
      </c>
      <c r="K46" t="s">
        <v>2995</v>
      </c>
      <c r="L46" t="s">
        <v>2931</v>
      </c>
      <c r="N46" s="40">
        <v>45491</v>
      </c>
      <c r="O46" s="40">
        <v>45491</v>
      </c>
      <c r="P46" s="40">
        <v>45533</v>
      </c>
      <c r="Q46" s="40">
        <v>45533</v>
      </c>
      <c r="R46">
        <v>55611</v>
      </c>
      <c r="S46" s="40" t="str" cm="1">
        <f t="array" aca="1" ref="S46" ca="1">TRIM(SUBSTITUTE(_xlfn.ARRAYTOTEXT(IFERROR(CONCATENATE(SUMIF(INDIRECT("'"&amp;Assemblies[Assy]&amp;"'!"&amp;"C$5:C1000"), $A46, INDIRECT("'"&amp;Assemblies[Assy]&amp;"'!"&amp;"O$5:O1000")), "x",Assemblies[Assy],".",IF(SUMIF(INDIRECT("'"&amp;Assemblies[Assy]&amp;"'!"&amp;"C$5:C1000"), $A46, INDIRECT("'"&amp;Assemblies[Assy]&amp;"'!"&amp;"A$5:A1000"))=0,NA(),SUMIF(INDIRECT("'"&amp;Assemblies[Assy]&amp;"'!"&amp;"C$5:C1000"), $A46, INDIRECT("'"&amp;Assemblies[Assy]&amp;"'!"&amp;"A$5:A1000")))),"")), " ,", ""))</f>
        <v>, 1x10.3.301,</v>
      </c>
    </row>
    <row r="47" spans="1:19" hidden="1" x14ac:dyDescent="0.25">
      <c r="A47" s="160" t="s">
        <v>1414</v>
      </c>
      <c r="B47" s="160" t="s">
        <v>3001</v>
      </c>
      <c r="C47" s="180">
        <v>679.5625</v>
      </c>
      <c r="D47">
        <v>1</v>
      </c>
      <c r="E47" cm="1">
        <f t="array" aca="1" ref="E47" ca="1">SUMPRODUCT(SUMIF(INDIRECT("'"&amp;Assemblies[Assy]&amp;"'!"&amp;"C:C"),$A47,(INDIRECT("'"&amp;Assemblies[Assy]&amp;"'!"&amp;"O:O"))))</f>
        <v>1</v>
      </c>
      <c r="F47">
        <f ca="1">ROUNDUP(Purchased[[#This Row],[BOM QTY]]/Purchased[[#This Row],[PK QTY]], 0)</f>
        <v>1</v>
      </c>
      <c r="G47">
        <v>1</v>
      </c>
      <c r="H47" t="str">
        <f ca="1">IF(F47&lt;=G47," ","YES")</f>
        <v xml:space="preserve"> </v>
      </c>
      <c r="I47">
        <v>1</v>
      </c>
      <c r="J47">
        <v>1</v>
      </c>
      <c r="K47" t="s">
        <v>2995</v>
      </c>
      <c r="L47" t="s">
        <v>2931</v>
      </c>
      <c r="N47" s="40">
        <v>45491</v>
      </c>
      <c r="O47" s="40">
        <v>45491</v>
      </c>
      <c r="P47" s="40">
        <v>45533</v>
      </c>
      <c r="Q47" s="40">
        <v>45533</v>
      </c>
      <c r="R47">
        <v>55611</v>
      </c>
      <c r="S47" s="40" t="str" cm="1">
        <f t="array" aca="1" ref="S47" ca="1">TRIM(SUBSTITUTE(_xlfn.ARRAYTOTEXT(IFERROR(CONCATENATE(SUMIF(INDIRECT("'"&amp;Assemblies[Assy]&amp;"'!"&amp;"C$5:C1000"), $A47, INDIRECT("'"&amp;Assemblies[Assy]&amp;"'!"&amp;"O$5:O1000")), "x",Assemblies[Assy],".",IF(SUMIF(INDIRECT("'"&amp;Assemblies[Assy]&amp;"'!"&amp;"C$5:C1000"), $A47, INDIRECT("'"&amp;Assemblies[Assy]&amp;"'!"&amp;"A$5:A1000"))=0,NA(),SUMIF(INDIRECT("'"&amp;Assemblies[Assy]&amp;"'!"&amp;"C$5:C1000"), $A47, INDIRECT("'"&amp;Assemblies[Assy]&amp;"'!"&amp;"A$5:A1000")))),"")), " ,", ""))</f>
        <v>, 1x10.3.302,</v>
      </c>
    </row>
    <row r="48" spans="1:19" hidden="1" x14ac:dyDescent="0.25">
      <c r="A48" s="160" t="s">
        <v>1031</v>
      </c>
      <c r="B48" s="160" t="s">
        <v>3002</v>
      </c>
      <c r="C48" s="180">
        <v>148.36000000000001</v>
      </c>
      <c r="D48">
        <v>1</v>
      </c>
      <c r="E48" cm="1">
        <f t="array" aca="1" ref="E48" ca="1">SUMPRODUCT(SUMIF(INDIRECT("'"&amp;Assemblies[Assy]&amp;"'!"&amp;"C:C"),$A48,(INDIRECT("'"&amp;Assemblies[Assy]&amp;"'!"&amp;"O:O"))))</f>
        <v>1</v>
      </c>
      <c r="F48">
        <f ca="1">ROUNDUP(Purchased[[#This Row],[BOM QTY]]/Purchased[[#This Row],[PK QTY]], 0)</f>
        <v>1</v>
      </c>
      <c r="G48">
        <v>1</v>
      </c>
      <c r="H48" t="str">
        <f ca="1">IF(F48&lt;=G48," ","YES")</f>
        <v xml:space="preserve"> </v>
      </c>
      <c r="I48">
        <v>1</v>
      </c>
      <c r="J48">
        <v>1</v>
      </c>
      <c r="K48" s="162" t="s">
        <v>2995</v>
      </c>
      <c r="L48" t="s">
        <v>2931</v>
      </c>
      <c r="N48" s="40">
        <v>45491</v>
      </c>
      <c r="O48" s="40">
        <v>45491</v>
      </c>
      <c r="P48" s="40">
        <v>45533</v>
      </c>
      <c r="Q48" s="40">
        <v>45533</v>
      </c>
      <c r="R48">
        <v>55611</v>
      </c>
      <c r="S48" s="40" t="str" cm="1">
        <f t="array" aca="1" ref="S48" ca="1">TRIM(SUBSTITUTE(_xlfn.ARRAYTOTEXT(IFERROR(CONCATENATE(SUMIF(INDIRECT("'"&amp;Assemblies[Assy]&amp;"'!"&amp;"C$5:C1000"), $A48, INDIRECT("'"&amp;Assemblies[Assy]&amp;"'!"&amp;"O$5:O1000")), "x",Assemblies[Assy],".",IF(SUMIF(INDIRECT("'"&amp;Assemblies[Assy]&amp;"'!"&amp;"C$5:C1000"), $A48, INDIRECT("'"&amp;Assemblies[Assy]&amp;"'!"&amp;"A$5:A1000"))=0,NA(),SUMIF(INDIRECT("'"&amp;Assemblies[Assy]&amp;"'!"&amp;"C$5:C1000"), $A48, INDIRECT("'"&amp;Assemblies[Assy]&amp;"'!"&amp;"A$5:A1000")))),"")), " ,", ""))</f>
        <v>, 1x6.6.306,</v>
      </c>
    </row>
    <row r="49" spans="1:19" hidden="1" x14ac:dyDescent="0.25">
      <c r="A49" s="160" t="s">
        <v>3003</v>
      </c>
      <c r="B49" s="160" t="s">
        <v>3004</v>
      </c>
      <c r="C49" s="180">
        <v>148.36000000000001</v>
      </c>
      <c r="D49">
        <v>1</v>
      </c>
      <c r="E49" cm="1">
        <f t="array" aca="1" ref="E49" ca="1">SUMPRODUCT(SUMIF(INDIRECT("'"&amp;Assemblies[Assy]&amp;"'!"&amp;"C:C"),$A49,(INDIRECT("'"&amp;Assemblies[Assy]&amp;"'!"&amp;"O:O"))))</f>
        <v>1</v>
      </c>
      <c r="F49">
        <f ca="1">ROUNDUP(Purchased[[#This Row],[BOM QTY]]/Purchased[[#This Row],[PK QTY]], 0)</f>
        <v>1</v>
      </c>
      <c r="G49">
        <v>1</v>
      </c>
      <c r="H49" t="str">
        <f ca="1">IF(F49&lt;=G49," ","YES")</f>
        <v xml:space="preserve"> </v>
      </c>
      <c r="I49">
        <v>1</v>
      </c>
      <c r="J49">
        <v>1</v>
      </c>
      <c r="K49" s="162" t="s">
        <v>2995</v>
      </c>
      <c r="L49" t="s">
        <v>2931</v>
      </c>
      <c r="N49" s="40">
        <v>45491</v>
      </c>
      <c r="O49" s="40">
        <v>45491</v>
      </c>
      <c r="P49" s="40">
        <v>45533</v>
      </c>
      <c r="Q49" s="40">
        <v>45533</v>
      </c>
      <c r="R49">
        <v>55611</v>
      </c>
      <c r="S49" s="40" t="str" cm="1">
        <f t="array" aca="1" ref="S49" ca="1">TRIM(SUBSTITUTE(_xlfn.ARRAYTOTEXT(IFERROR(CONCATENATE(SUMIF(INDIRECT("'"&amp;Assemblies[Assy]&amp;"'!"&amp;"C$5:C1000"), $A49, INDIRECT("'"&amp;Assemblies[Assy]&amp;"'!"&amp;"O$5:O1000")), "x",Assemblies[Assy],".",IF(SUMIF(INDIRECT("'"&amp;Assemblies[Assy]&amp;"'!"&amp;"C$5:C1000"), $A49, INDIRECT("'"&amp;Assemblies[Assy]&amp;"'!"&amp;"A$5:A1000"))=0,NA(),SUMIF(INDIRECT("'"&amp;Assemblies[Assy]&amp;"'!"&amp;"C$5:C1000"), $A49, INDIRECT("'"&amp;Assemblies[Assy]&amp;"'!"&amp;"A$5:A1000")))),"")), " ,", ""))</f>
        <v>, 1x6.7.306,</v>
      </c>
    </row>
    <row r="50" spans="1:19" hidden="1" x14ac:dyDescent="0.25">
      <c r="A50" s="160" t="s">
        <v>1027</v>
      </c>
      <c r="B50" s="160" t="s">
        <v>3006</v>
      </c>
      <c r="C50" s="180">
        <v>15240.875</v>
      </c>
      <c r="D50">
        <v>1</v>
      </c>
      <c r="E50" cm="1">
        <f t="array" aca="1" ref="E50" ca="1">SUMPRODUCT(SUMIF(INDIRECT("'"&amp;Assemblies[Assy]&amp;"'!"&amp;"C:C"),$A50,(INDIRECT("'"&amp;Assemblies[Assy]&amp;"'!"&amp;"O:O"))))</f>
        <v>1</v>
      </c>
      <c r="F50">
        <f ca="1">ROUNDUP(Purchased[[#This Row],[BOM QTY]]/Purchased[[#This Row],[PK QTY]], 0)</f>
        <v>1</v>
      </c>
      <c r="G50">
        <v>1</v>
      </c>
      <c r="H50" t="str">
        <f ca="1">IF(F50&lt;=G50," ","YES")</f>
        <v xml:space="preserve"> </v>
      </c>
      <c r="I50">
        <v>1</v>
      </c>
      <c r="J50">
        <v>1</v>
      </c>
      <c r="K50" t="s">
        <v>2995</v>
      </c>
      <c r="L50" t="s">
        <v>2931</v>
      </c>
      <c r="N50" s="40">
        <v>45503</v>
      </c>
      <c r="O50" s="40">
        <v>45506</v>
      </c>
      <c r="P50" s="40">
        <v>45541</v>
      </c>
      <c r="Q50" s="40">
        <v>45547</v>
      </c>
      <c r="R50">
        <v>55654</v>
      </c>
      <c r="S50" s="40" t="str" cm="1">
        <f t="array" aca="1" ref="S50" ca="1">TRIM(SUBSTITUTE(_xlfn.ARRAYTOTEXT(IFERROR(CONCATENATE(SUMIF(INDIRECT("'"&amp;Assemblies[Assy]&amp;"'!"&amp;"C$5:C1000"), $A50, INDIRECT("'"&amp;Assemblies[Assy]&amp;"'!"&amp;"O$5:O1000")), "x",Assemblies[Assy],".",IF(SUMIF(INDIRECT("'"&amp;Assemblies[Assy]&amp;"'!"&amp;"C$5:C1000"), $A50, INDIRECT("'"&amp;Assemblies[Assy]&amp;"'!"&amp;"A$5:A1000"))=0,NA(),SUMIF(INDIRECT("'"&amp;Assemblies[Assy]&amp;"'!"&amp;"C$5:C1000"), $A50, INDIRECT("'"&amp;Assemblies[Assy]&amp;"'!"&amp;"A$5:A1000")))),"")), " ,", ""))</f>
        <v>, 1x6.6.302,</v>
      </c>
    </row>
    <row r="51" spans="1:19" hidden="1" x14ac:dyDescent="0.25">
      <c r="A51" s="160" t="s">
        <v>1039</v>
      </c>
      <c r="B51" s="160" t="s">
        <v>3007</v>
      </c>
      <c r="C51" s="180">
        <v>15240.875</v>
      </c>
      <c r="D51">
        <v>1</v>
      </c>
      <c r="E51" cm="1">
        <f t="array" aca="1" ref="E51" ca="1">SUMPRODUCT(SUMIF(INDIRECT("'"&amp;Assemblies[Assy]&amp;"'!"&amp;"C:C"),$A51,(INDIRECT("'"&amp;Assemblies[Assy]&amp;"'!"&amp;"O:O"))))</f>
        <v>1</v>
      </c>
      <c r="F51">
        <f ca="1">ROUNDUP(Purchased[[#This Row],[BOM QTY]]/Purchased[[#This Row],[PK QTY]], 0)</f>
        <v>1</v>
      </c>
      <c r="G51">
        <v>1</v>
      </c>
      <c r="H51" t="str">
        <f ca="1">IF(F51&lt;=G51," ","YES")</f>
        <v xml:space="preserve"> </v>
      </c>
      <c r="I51">
        <v>1</v>
      </c>
      <c r="J51">
        <v>1</v>
      </c>
      <c r="K51" t="s">
        <v>2995</v>
      </c>
      <c r="L51" t="s">
        <v>2931</v>
      </c>
      <c r="N51" s="40">
        <v>45503</v>
      </c>
      <c r="O51" s="40">
        <v>45506</v>
      </c>
      <c r="P51" s="40">
        <v>45541</v>
      </c>
      <c r="Q51" s="40">
        <v>45547</v>
      </c>
      <c r="R51">
        <v>55654</v>
      </c>
      <c r="S51" s="40" t="str" cm="1">
        <f t="array" aca="1" ref="S51" ca="1">TRIM(SUBSTITUTE(_xlfn.ARRAYTOTEXT(IFERROR(CONCATENATE(SUMIF(INDIRECT("'"&amp;Assemblies[Assy]&amp;"'!"&amp;"C$5:C1000"), $A51, INDIRECT("'"&amp;Assemblies[Assy]&amp;"'!"&amp;"O$5:O1000")), "x",Assemblies[Assy],".",IF(SUMIF(INDIRECT("'"&amp;Assemblies[Assy]&amp;"'!"&amp;"C$5:C1000"), $A51, INDIRECT("'"&amp;Assemblies[Assy]&amp;"'!"&amp;"A$5:A1000"))=0,NA(),SUMIF(INDIRECT("'"&amp;Assemblies[Assy]&amp;"'!"&amp;"C$5:C1000"), $A51, INDIRECT("'"&amp;Assemblies[Assy]&amp;"'!"&amp;"A$5:A1000")))),"")), " ,", ""))</f>
        <v>, 1x6.7.302,</v>
      </c>
    </row>
    <row r="52" spans="1:19" hidden="1" x14ac:dyDescent="0.25">
      <c r="A52" s="160" t="s">
        <v>761</v>
      </c>
      <c r="B52" s="160" t="s">
        <v>3005</v>
      </c>
      <c r="C52" s="180">
        <v>688</v>
      </c>
      <c r="D52">
        <v>1</v>
      </c>
      <c r="E52" cm="1">
        <f t="array" aca="1" ref="E52" ca="1">SUMPRODUCT(SUMIF(INDIRECT("'"&amp;Assemblies[Assy]&amp;"'!"&amp;"C:C"),$A52,(INDIRECT("'"&amp;Assemblies[Assy]&amp;"'!"&amp;"O:O"))))</f>
        <v>2</v>
      </c>
      <c r="F52">
        <f ca="1">ROUNDUP(Purchased[[#This Row],[BOM QTY]]/Purchased[[#This Row],[PK QTY]], 0)</f>
        <v>2</v>
      </c>
      <c r="G52">
        <v>2</v>
      </c>
      <c r="H52" t="str">
        <f ca="1">IF(F52&lt;=G52," ","YES")</f>
        <v xml:space="preserve"> </v>
      </c>
      <c r="I52">
        <v>2</v>
      </c>
      <c r="J52">
        <v>2</v>
      </c>
      <c r="K52" s="162" t="s">
        <v>2995</v>
      </c>
      <c r="L52" t="s">
        <v>2931</v>
      </c>
      <c r="N52" s="40">
        <v>45491</v>
      </c>
      <c r="O52" s="40">
        <v>45491</v>
      </c>
      <c r="P52" s="40">
        <v>45533</v>
      </c>
      <c r="Q52" s="40">
        <v>45533</v>
      </c>
      <c r="R52">
        <v>55611</v>
      </c>
      <c r="S52" s="40" t="str" cm="1">
        <f t="array" aca="1" ref="S52" ca="1">TRIM(SUBSTITUTE(_xlfn.ARRAYTOTEXT(IFERROR(CONCATENATE(SUMIF(INDIRECT("'"&amp;Assemblies[Assy]&amp;"'!"&amp;"C$5:C1000"), $A52, INDIRECT("'"&amp;Assemblies[Assy]&amp;"'!"&amp;"O$5:O1000")), "x",Assemblies[Assy],".",IF(SUMIF(INDIRECT("'"&amp;Assemblies[Assy]&amp;"'!"&amp;"C$5:C1000"), $A52, INDIRECT("'"&amp;Assemblies[Assy]&amp;"'!"&amp;"A$5:A1000"))=0,NA(),SUMIF(INDIRECT("'"&amp;Assemblies[Assy]&amp;"'!"&amp;"C$5:C1000"), $A52, INDIRECT("'"&amp;Assemblies[Assy]&amp;"'!"&amp;"A$5:A1000")))),"")), " ,", ""))</f>
        <v>, 2x5.4.306,</v>
      </c>
    </row>
    <row r="53" spans="1:19" hidden="1" x14ac:dyDescent="0.25">
      <c r="A53" s="160" t="s">
        <v>762</v>
      </c>
      <c r="B53" s="160" t="s">
        <v>3008</v>
      </c>
      <c r="C53" s="180">
        <v>82.600999999999999</v>
      </c>
      <c r="D53">
        <v>1</v>
      </c>
      <c r="E53" cm="1">
        <f t="array" aca="1" ref="E53" ca="1">SUMPRODUCT(SUMIF(INDIRECT("'"&amp;Assemblies[Assy]&amp;"'!"&amp;"C:C"),$A53,(INDIRECT("'"&amp;Assemblies[Assy]&amp;"'!"&amp;"O:O"))))</f>
        <v>2</v>
      </c>
      <c r="F53">
        <f ca="1">ROUNDUP(Purchased[[#This Row],[BOM QTY]]/Purchased[[#This Row],[PK QTY]], 0)</f>
        <v>2</v>
      </c>
      <c r="G53">
        <v>2</v>
      </c>
      <c r="H53" t="str">
        <f ca="1">IF(F53&lt;=G53," ","YES")</f>
        <v xml:space="preserve"> </v>
      </c>
      <c r="I53">
        <v>2</v>
      </c>
      <c r="J53">
        <v>2</v>
      </c>
      <c r="K53" s="162" t="s">
        <v>2995</v>
      </c>
      <c r="L53" t="s">
        <v>2931</v>
      </c>
      <c r="N53" s="40">
        <v>45506</v>
      </c>
      <c r="O53" s="40">
        <v>45524</v>
      </c>
      <c r="P53" s="40">
        <v>45547</v>
      </c>
      <c r="R53">
        <v>55691</v>
      </c>
      <c r="S53" s="40" t="str" cm="1">
        <f t="array" aca="1" ref="S53" ca="1">TRIM(SUBSTITUTE(_xlfn.ARRAYTOTEXT(IFERROR(CONCATENATE(SUMIF(INDIRECT("'"&amp;Assemblies[Assy]&amp;"'!"&amp;"C$5:C1000"), $A53, INDIRECT("'"&amp;Assemblies[Assy]&amp;"'!"&amp;"O$5:O1000")), "x",Assemblies[Assy],".",IF(SUMIF(INDIRECT("'"&amp;Assemblies[Assy]&amp;"'!"&amp;"C$5:C1000"), $A53, INDIRECT("'"&amp;Assemblies[Assy]&amp;"'!"&amp;"A$5:A1000"))=0,NA(),SUMIF(INDIRECT("'"&amp;Assemblies[Assy]&amp;"'!"&amp;"C$5:C1000"), $A53, INDIRECT("'"&amp;Assemblies[Assy]&amp;"'!"&amp;"A$5:A1000")))),"")), " ,", ""))</f>
        <v>, 2x5.4.307,</v>
      </c>
    </row>
    <row r="54" spans="1:19" hidden="1" x14ac:dyDescent="0.25">
      <c r="A54" s="161">
        <v>201558</v>
      </c>
      <c r="B54" s="161" t="s">
        <v>2686</v>
      </c>
      <c r="C54" s="180">
        <v>100.6375</v>
      </c>
      <c r="D54">
        <v>2</v>
      </c>
      <c r="E54" cm="1">
        <f t="array" aca="1" ref="E54" ca="1">SUMPRODUCT(SUMIF(INDIRECT("'"&amp;Assemblies[Assy]&amp;"'!"&amp;"C:C"),$A54,(INDIRECT("'"&amp;Assemblies[Assy]&amp;"'!"&amp;"O:O"))))</f>
        <v>4</v>
      </c>
      <c r="F54">
        <f ca="1">ROUNDUP(Purchased[[#This Row],[BOM QTY]]/Purchased[[#This Row],[PK QTY]], 0)</f>
        <v>2</v>
      </c>
      <c r="G54">
        <v>2</v>
      </c>
      <c r="H54" t="str">
        <f ca="1">IF(F54&lt;=G54," ","YES")</f>
        <v xml:space="preserve"> </v>
      </c>
      <c r="I54">
        <v>2</v>
      </c>
      <c r="J54">
        <v>2</v>
      </c>
      <c r="K54" t="s">
        <v>2995</v>
      </c>
      <c r="L54" t="s">
        <v>2931</v>
      </c>
      <c r="M54" t="s">
        <v>3010</v>
      </c>
      <c r="N54" s="40" t="s">
        <v>2747</v>
      </c>
      <c r="O54" s="40" t="s">
        <v>2747</v>
      </c>
      <c r="P54" s="40" t="s">
        <v>2747</v>
      </c>
      <c r="Q54" s="40" t="s">
        <v>2747</v>
      </c>
      <c r="R54" s="40" t="s">
        <v>2747</v>
      </c>
      <c r="S54" s="40" t="str" cm="1">
        <f t="array" aca="1" ref="S54" ca="1">TRIM(SUBSTITUTE(_xlfn.ARRAYTOTEXT(IFERROR(CONCATENATE(SUMIF(INDIRECT("'"&amp;Assemblies[Assy]&amp;"'!"&amp;"C$5:C1000"), $A54, INDIRECT("'"&amp;Assemblies[Assy]&amp;"'!"&amp;"O$5:O1000")), "x",Assemblies[Assy],".",IF(SUMIF(INDIRECT("'"&amp;Assemblies[Assy]&amp;"'!"&amp;"C$5:C1000"), $A54, INDIRECT("'"&amp;Assemblies[Assy]&amp;"'!"&amp;"A$5:A1000"))=0,NA(),SUMIF(INDIRECT("'"&amp;Assemblies[Assy]&amp;"'!"&amp;"C$5:C1000"), $A54, INDIRECT("'"&amp;Assemblies[Assy]&amp;"'!"&amp;"A$5:A1000")))),"")), " ,", ""))</f>
        <v>, 4x10.3.1.301,</v>
      </c>
    </row>
    <row r="55" spans="1:19" hidden="1" x14ac:dyDescent="0.25">
      <c r="A55" s="160" t="s">
        <v>1038</v>
      </c>
      <c r="B55" s="160" t="s">
        <v>3011</v>
      </c>
      <c r="C55" s="180"/>
      <c r="D55">
        <v>1</v>
      </c>
      <c r="E55" cm="1">
        <f t="array" aca="1" ref="E55" ca="1">SUMPRODUCT(SUMIF(INDIRECT("'"&amp;Assemblies[Assy]&amp;"'!"&amp;"C:C"),$A55,(INDIRECT("'"&amp;Assemblies[Assy]&amp;"'!"&amp;"O:O"))))</f>
        <v>2</v>
      </c>
      <c r="F55">
        <f ca="1">ROUNDUP(Purchased[[#This Row],[BOM QTY]]/Purchased[[#This Row],[PK QTY]], 0)</f>
        <v>2</v>
      </c>
      <c r="G55">
        <v>4</v>
      </c>
      <c r="H55" t="str">
        <f ca="1">IF(F55&lt;=G55," ","YES")</f>
        <v xml:space="preserve"> </v>
      </c>
      <c r="I55">
        <v>4</v>
      </c>
      <c r="J55">
        <v>4</v>
      </c>
      <c r="K55" t="s">
        <v>2995</v>
      </c>
      <c r="L55" t="s">
        <v>2931</v>
      </c>
      <c r="M55" t="s">
        <v>3010</v>
      </c>
      <c r="N55" s="40" t="s">
        <v>2747</v>
      </c>
      <c r="O55" s="40" t="s">
        <v>2747</v>
      </c>
      <c r="P55" s="40" t="s">
        <v>2747</v>
      </c>
      <c r="Q55" s="40" t="s">
        <v>2747</v>
      </c>
      <c r="R55" s="40" t="s">
        <v>2747</v>
      </c>
      <c r="S55" s="40" t="str" cm="1">
        <f t="array" aca="1" ref="S55" ca="1">TRIM(SUBSTITUTE(_xlfn.ARRAYTOTEXT(IFERROR(CONCATENATE(SUMIF(INDIRECT("'"&amp;Assemblies[Assy]&amp;"'!"&amp;"C$5:C1000"), $A55, INDIRECT("'"&amp;Assemblies[Assy]&amp;"'!"&amp;"O$5:O1000")), "x",Assemblies[Assy],".",IF(SUMIF(INDIRECT("'"&amp;Assemblies[Assy]&amp;"'!"&amp;"C$5:C1000"), $A55, INDIRECT("'"&amp;Assemblies[Assy]&amp;"'!"&amp;"A$5:A1000"))=0,NA(),SUMIF(INDIRECT("'"&amp;Assemblies[Assy]&amp;"'!"&amp;"C$5:C1000"), $A55, INDIRECT("'"&amp;Assemblies[Assy]&amp;"'!"&amp;"A$5:A1000")))),"")), " ,", ""))</f>
        <v>, 2x6.6.2.305,</v>
      </c>
    </row>
    <row r="56" spans="1:19" hidden="1" x14ac:dyDescent="0.25">
      <c r="A56" s="160" t="s">
        <v>763</v>
      </c>
      <c r="B56" s="160" t="s">
        <v>3009</v>
      </c>
      <c r="C56" s="180">
        <v>3.01</v>
      </c>
      <c r="D56">
        <v>1</v>
      </c>
      <c r="E56" cm="1">
        <f t="array" aca="1" ref="E56" ca="1">SUMPRODUCT(SUMIF(INDIRECT("'"&amp;Assemblies[Assy]&amp;"'!"&amp;"C:C"),$A56,(INDIRECT("'"&amp;Assemblies[Assy]&amp;"'!"&amp;"O:O"))))</f>
        <v>10</v>
      </c>
      <c r="F56">
        <f ca="1">ROUNDUP(Purchased[[#This Row],[BOM QTY]]/Purchased[[#This Row],[PK QTY]], 0)</f>
        <v>10</v>
      </c>
      <c r="G56">
        <v>10</v>
      </c>
      <c r="H56" t="str">
        <f ca="1">IF(F56&lt;=G56," ","YES")</f>
        <v xml:space="preserve"> </v>
      </c>
      <c r="I56">
        <v>30</v>
      </c>
      <c r="J56">
        <v>30</v>
      </c>
      <c r="K56" s="162" t="s">
        <v>2995</v>
      </c>
      <c r="L56" t="s">
        <v>2931</v>
      </c>
      <c r="N56" s="40" t="s">
        <v>2747</v>
      </c>
      <c r="O56" s="40">
        <v>45524</v>
      </c>
      <c r="P56" s="40">
        <v>45547</v>
      </c>
      <c r="R56">
        <v>55691</v>
      </c>
      <c r="S56" s="40" t="str" cm="1">
        <f t="array" aca="1" ref="S56" ca="1">TRIM(SUBSTITUTE(_xlfn.ARRAYTOTEXT(IFERROR(CONCATENATE(SUMIF(INDIRECT("'"&amp;Assemblies[Assy]&amp;"'!"&amp;"C$5:C1000"), $A56, INDIRECT("'"&amp;Assemblies[Assy]&amp;"'!"&amp;"O$5:O1000")), "x",Assemblies[Assy],".",IF(SUMIF(INDIRECT("'"&amp;Assemblies[Assy]&amp;"'!"&amp;"C$5:C1000"), $A56, INDIRECT("'"&amp;Assemblies[Assy]&amp;"'!"&amp;"A$5:A1000"))=0,NA(),SUMIF(INDIRECT("'"&amp;Assemblies[Assy]&amp;"'!"&amp;"C$5:C1000"), $A56, INDIRECT("'"&amp;Assemblies[Assy]&amp;"'!"&amp;"A$5:A1000")))),"")), " ,", ""))</f>
        <v>, 2x5.4.308, 3x5.4.1.306, 4x5.4.2.306, 1x10.3.309,</v>
      </c>
    </row>
    <row r="57" spans="1:19" hidden="1" x14ac:dyDescent="0.25">
      <c r="A57" s="162" t="s">
        <v>88</v>
      </c>
      <c r="B57" s="160" t="s">
        <v>3012</v>
      </c>
      <c r="C57" s="180">
        <v>3259.48</v>
      </c>
      <c r="D57">
        <v>1</v>
      </c>
      <c r="E57" cm="1">
        <f t="array" aca="1" ref="E57" ca="1">SUMPRODUCT(SUMIF(INDIRECT("'"&amp;Assemblies[Assy]&amp;"'!"&amp;"C:C"),$A57,(INDIRECT("'"&amp;Assemblies[Assy]&amp;"'!"&amp;"O:O"))))</f>
        <v>2</v>
      </c>
      <c r="F57">
        <f ca="1">ROUNDUP(Purchased[[#This Row],[BOM QTY]]/Purchased[[#This Row],[PK QTY]], 0)</f>
        <v>2</v>
      </c>
      <c r="G57">
        <v>2</v>
      </c>
      <c r="H57" t="str">
        <f ca="1">IF(F57&lt;=G57," ","YES")</f>
        <v xml:space="preserve"> </v>
      </c>
      <c r="I57">
        <v>2</v>
      </c>
      <c r="J57">
        <v>2</v>
      </c>
      <c r="K57" t="s">
        <v>3013</v>
      </c>
      <c r="L57" t="s">
        <v>2931</v>
      </c>
      <c r="N57" s="40">
        <v>45426</v>
      </c>
      <c r="O57" s="40">
        <v>45427</v>
      </c>
      <c r="P57" s="40">
        <v>45492</v>
      </c>
      <c r="Q57" s="40">
        <v>45493</v>
      </c>
      <c r="R57">
        <v>55514</v>
      </c>
      <c r="S57" s="40" t="str" cm="1">
        <f t="array" aca="1" ref="S57" ca="1">TRIM(SUBSTITUTE(_xlfn.ARRAYTOTEXT(IFERROR(CONCATENATE(SUMIF(INDIRECT("'"&amp;Assemblies[Assy]&amp;"'!"&amp;"C$5:C1000"), $A57, INDIRECT("'"&amp;Assemblies[Assy]&amp;"'!"&amp;"O$5:O1000")), "x",Assemblies[Assy],".",IF(SUMIF(INDIRECT("'"&amp;Assemblies[Assy]&amp;"'!"&amp;"C$5:C1000"), $A57, INDIRECT("'"&amp;Assemblies[Assy]&amp;"'!"&amp;"A$5:A1000"))=0,NA(),SUMIF(INDIRECT("'"&amp;Assemblies[Assy]&amp;"'!"&amp;"C$5:C1000"), $A57, INDIRECT("'"&amp;Assemblies[Assy]&amp;"'!"&amp;"A$5:A1000")))),"")), " ,", ""))</f>
        <v>, 1x0.2.304, 1x0.11.304,</v>
      </c>
    </row>
    <row r="58" spans="1:19" hidden="1" x14ac:dyDescent="0.25">
      <c r="A58" s="162" t="s">
        <v>239</v>
      </c>
      <c r="B58" s="160" t="s">
        <v>3014</v>
      </c>
      <c r="C58" s="180">
        <v>1042.472</v>
      </c>
      <c r="D58">
        <v>1</v>
      </c>
      <c r="E58" cm="1">
        <f t="array" aca="1" ref="E58" ca="1">SUMPRODUCT(SUMIF(INDIRECT("'"&amp;Assemblies[Assy]&amp;"'!"&amp;"C:C"),$A58,(INDIRECT("'"&amp;Assemblies[Assy]&amp;"'!"&amp;"O:O"))))</f>
        <v>6</v>
      </c>
      <c r="F58">
        <f ca="1">ROUNDUP(Purchased[[#This Row],[BOM QTY]]/Purchased[[#This Row],[PK QTY]], 0)</f>
        <v>6</v>
      </c>
      <c r="G58">
        <v>6</v>
      </c>
      <c r="H58" t="str">
        <f ca="1">IF(F58&lt;=G58," ","YES")</f>
        <v xml:space="preserve"> </v>
      </c>
      <c r="I58">
        <v>6</v>
      </c>
      <c r="J58">
        <v>6</v>
      </c>
      <c r="K58" t="s">
        <v>3015</v>
      </c>
      <c r="L58" t="s">
        <v>2931</v>
      </c>
      <c r="N58" s="40">
        <v>45461</v>
      </c>
      <c r="O58" s="40">
        <v>45461</v>
      </c>
      <c r="P58" s="40">
        <v>45491</v>
      </c>
      <c r="Q58" s="40">
        <v>45491</v>
      </c>
      <c r="R58">
        <v>55558</v>
      </c>
      <c r="S58" s="40" t="str" cm="1">
        <f t="array" aca="1" ref="S58" ca="1">TRIM(SUBSTITUTE(_xlfn.ARRAYTOTEXT(IFERROR(CONCATENATE(SUMIF(INDIRECT("'"&amp;Assemblies[Assy]&amp;"'!"&amp;"C$5:C1000"), $A58, INDIRECT("'"&amp;Assemblies[Assy]&amp;"'!"&amp;"O$5:O1000")), "x",Assemblies[Assy],".",IF(SUMIF(INDIRECT("'"&amp;Assemblies[Assy]&amp;"'!"&amp;"C$5:C1000"), $A58, INDIRECT("'"&amp;Assemblies[Assy]&amp;"'!"&amp;"A$5:A1000"))=0,NA(),SUMIF(INDIRECT("'"&amp;Assemblies[Assy]&amp;"'!"&amp;"C$5:C1000"), $A58, INDIRECT("'"&amp;Assemblies[Assy]&amp;"'!"&amp;"A$5:A1000")))),"")), " ,", ""))</f>
        <v>, 6x1.1.16.302,</v>
      </c>
    </row>
    <row r="59" spans="1:19" hidden="1" x14ac:dyDescent="0.25">
      <c r="A59" s="162" t="s">
        <v>240</v>
      </c>
      <c r="B59" s="160" t="s">
        <v>3016</v>
      </c>
      <c r="C59" s="180">
        <v>23.415800000000001</v>
      </c>
      <c r="D59">
        <v>1</v>
      </c>
      <c r="E59" cm="1">
        <f t="array" aca="1" ref="E59" ca="1">SUMPRODUCT(SUMIF(INDIRECT("'"&amp;Assemblies[Assy]&amp;"'!"&amp;"C:C"),$A59,(INDIRECT("'"&amp;Assemblies[Assy]&amp;"'!"&amp;"O:O"))))</f>
        <v>12</v>
      </c>
      <c r="F59">
        <f ca="1">ROUNDUP(Purchased[[#This Row],[BOM QTY]]/Purchased[[#This Row],[PK QTY]], 0)</f>
        <v>12</v>
      </c>
      <c r="G59">
        <v>12</v>
      </c>
      <c r="H59" t="str">
        <f ca="1">IF(F59&lt;=G59," ","YES")</f>
        <v xml:space="preserve"> </v>
      </c>
      <c r="I59">
        <v>12</v>
      </c>
      <c r="J59">
        <v>12</v>
      </c>
      <c r="K59" t="s">
        <v>3015</v>
      </c>
      <c r="L59" t="s">
        <v>2931</v>
      </c>
      <c r="N59" s="40">
        <v>45461</v>
      </c>
      <c r="O59" s="40">
        <v>45461</v>
      </c>
      <c r="P59" s="40">
        <v>45491</v>
      </c>
      <c r="Q59" s="40">
        <v>45491</v>
      </c>
      <c r="R59">
        <v>55558</v>
      </c>
      <c r="S59" s="40" t="str" cm="1">
        <f t="array" aca="1" ref="S59" ca="1">TRIM(SUBSTITUTE(_xlfn.ARRAYTOTEXT(IFERROR(CONCATENATE(SUMIF(INDIRECT("'"&amp;Assemblies[Assy]&amp;"'!"&amp;"C$5:C1000"), $A59, INDIRECT("'"&amp;Assemblies[Assy]&amp;"'!"&amp;"O$5:O1000")), "x",Assemblies[Assy],".",IF(SUMIF(INDIRECT("'"&amp;Assemblies[Assy]&amp;"'!"&amp;"C$5:C1000"), $A59, INDIRECT("'"&amp;Assemblies[Assy]&amp;"'!"&amp;"A$5:A1000"))=0,NA(),SUMIF(INDIRECT("'"&amp;Assemblies[Assy]&amp;"'!"&amp;"C$5:C1000"), $A59, INDIRECT("'"&amp;Assemblies[Assy]&amp;"'!"&amp;"A$5:A1000")))),"")), " ,", ""))</f>
        <v>, 12x1.1.16.303,</v>
      </c>
    </row>
    <row r="60" spans="1:19" hidden="1" x14ac:dyDescent="0.25">
      <c r="A60" t="s">
        <v>3840</v>
      </c>
      <c r="B60" s="160" t="s">
        <v>3017</v>
      </c>
      <c r="C60" s="180">
        <v>113.184</v>
      </c>
      <c r="D60">
        <v>1</v>
      </c>
      <c r="E60" cm="1">
        <f t="array" aca="1" ref="E60" ca="1">SUMPRODUCT(SUMIF(INDIRECT("'"&amp;Assemblies[Assy]&amp;"'!"&amp;"C:C"),$A60,(INDIRECT("'"&amp;Assemblies[Assy]&amp;"'!"&amp;"O:O"))))</f>
        <v>12</v>
      </c>
      <c r="F60">
        <f ca="1">ROUNDUP(Purchased[[#This Row],[BOM QTY]]/Purchased[[#This Row],[PK QTY]], 0)</f>
        <v>12</v>
      </c>
      <c r="G60">
        <v>12</v>
      </c>
      <c r="H60" t="str">
        <f ca="1">IF(F60&lt;=G60," ","YES")</f>
        <v xml:space="preserve"> </v>
      </c>
      <c r="I60">
        <v>12</v>
      </c>
      <c r="J60">
        <v>12</v>
      </c>
      <c r="K60" s="160" t="s">
        <v>3018</v>
      </c>
      <c r="L60" t="s">
        <v>2931</v>
      </c>
      <c r="M60" t="s">
        <v>3019</v>
      </c>
      <c r="N60" s="40">
        <v>45456</v>
      </c>
      <c r="O60" s="40">
        <v>45456</v>
      </c>
      <c r="P60" s="40">
        <v>45502</v>
      </c>
      <c r="Q60" s="40">
        <v>45505</v>
      </c>
      <c r="R60">
        <v>55551</v>
      </c>
      <c r="S60" s="40" t="str" cm="1">
        <f t="array" aca="1" ref="S60" ca="1">TRIM(SUBSTITUTE(_xlfn.ARRAYTOTEXT(IFERROR(CONCATENATE(SUMIF(INDIRECT("'"&amp;Assemblies[Assy]&amp;"'!"&amp;"C$5:C1000"), $A60, INDIRECT("'"&amp;Assemblies[Assy]&amp;"'!"&amp;"O$5:O1000")), "x",Assemblies[Assy],".",IF(SUMIF(INDIRECT("'"&amp;Assemblies[Assy]&amp;"'!"&amp;"C$5:C1000"), $A60, INDIRECT("'"&amp;Assemblies[Assy]&amp;"'!"&amp;"A$5:A1000"))=0,NA(),SUMIF(INDIRECT("'"&amp;Assemblies[Assy]&amp;"'!"&amp;"C$5:C1000"), $A60, INDIRECT("'"&amp;Assemblies[Assy]&amp;"'!"&amp;"A$5:A1000")))),"")), " ,", ""))</f>
        <v>, 12x1.1.4.302,</v>
      </c>
    </row>
    <row r="61" spans="1:19" hidden="1" x14ac:dyDescent="0.25">
      <c r="A61" s="162">
        <v>1059450</v>
      </c>
      <c r="B61" s="160" t="s">
        <v>3020</v>
      </c>
      <c r="C61" s="180">
        <v>464</v>
      </c>
      <c r="D61">
        <v>1</v>
      </c>
      <c r="E61" cm="1">
        <f t="array" aca="1" ref="E61" ca="1">SUMPRODUCT(SUMIF(INDIRECT("'"&amp;Assemblies[Assy]&amp;"'!"&amp;"C:C"),$A61,(INDIRECT("'"&amp;Assemblies[Assy]&amp;"'!"&amp;"O:O"))))</f>
        <v>2</v>
      </c>
      <c r="F61">
        <f ca="1">ROUNDUP(Purchased[[#This Row],[BOM QTY]]/Purchased[[#This Row],[PK QTY]], 0)</f>
        <v>2</v>
      </c>
      <c r="G61">
        <v>2</v>
      </c>
      <c r="H61" t="str">
        <f ca="1">IF(F61&lt;=G61," ","YES")</f>
        <v xml:space="preserve"> </v>
      </c>
      <c r="I61">
        <v>2</v>
      </c>
      <c r="J61">
        <v>2</v>
      </c>
      <c r="K61" t="s">
        <v>3021</v>
      </c>
      <c r="L61" t="s">
        <v>2931</v>
      </c>
      <c r="N61" s="40">
        <v>45456</v>
      </c>
      <c r="O61" s="40">
        <v>45456</v>
      </c>
      <c r="P61" s="40">
        <v>45502</v>
      </c>
      <c r="Q61" s="40">
        <v>45505</v>
      </c>
      <c r="R61">
        <v>55551</v>
      </c>
      <c r="S61" s="40" t="str" cm="1">
        <f t="array" aca="1" ref="S61" ca="1">TRIM(SUBSTITUTE(_xlfn.ARRAYTOTEXT(IFERROR(CONCATENATE(SUMIF(INDIRECT("'"&amp;Assemblies[Assy]&amp;"'!"&amp;"C$5:C1000"), $A61, INDIRECT("'"&amp;Assemblies[Assy]&amp;"'!"&amp;"O$5:O1000")), "x",Assemblies[Assy],".",IF(SUMIF(INDIRECT("'"&amp;Assemblies[Assy]&amp;"'!"&amp;"C$5:C1000"), $A61, INDIRECT("'"&amp;Assemblies[Assy]&amp;"'!"&amp;"A$5:A1000"))=0,NA(),SUMIF(INDIRECT("'"&amp;Assemblies[Assy]&amp;"'!"&amp;"C$5:C1000"), $A61, INDIRECT("'"&amp;Assemblies[Assy]&amp;"'!"&amp;"A$5:A1000")))),"")), " ,", ""))</f>
        <v>, 2x1.1.8.310,</v>
      </c>
    </row>
    <row r="62" spans="1:19" hidden="1" x14ac:dyDescent="0.25">
      <c r="A62" s="160" t="s">
        <v>110</v>
      </c>
      <c r="B62" s="160" t="s">
        <v>3084</v>
      </c>
      <c r="C62" s="180">
        <v>527.35329999999999</v>
      </c>
      <c r="D62">
        <v>1</v>
      </c>
      <c r="E62" cm="1">
        <f t="array" aca="1" ref="E62" ca="1">SUMPRODUCT(SUMIF(INDIRECT("'"&amp;Assemblies[Assy]&amp;"'!"&amp;"C:C"),$A62,(INDIRECT("'"&amp;Assemblies[Assy]&amp;"'!"&amp;"O:O"))))</f>
        <v>1</v>
      </c>
      <c r="F62">
        <f ca="1">ROUNDUP(Purchased[[#This Row],[BOM QTY]]/Purchased[[#This Row],[PK QTY]], 0)</f>
        <v>1</v>
      </c>
      <c r="G62">
        <v>1</v>
      </c>
      <c r="H62" t="str">
        <f ca="1">IF(F62&lt;=G62," ","YES")</f>
        <v xml:space="preserve"> </v>
      </c>
      <c r="I62">
        <v>1</v>
      </c>
      <c r="J62">
        <v>1</v>
      </c>
      <c r="K62" t="s">
        <v>2926</v>
      </c>
      <c r="L62" t="s">
        <v>2931</v>
      </c>
      <c r="N62" s="40">
        <v>45495</v>
      </c>
      <c r="O62" s="40">
        <v>45497</v>
      </c>
      <c r="P62" s="40">
        <v>45526</v>
      </c>
      <c r="Q62" s="40">
        <v>45526</v>
      </c>
      <c r="R62">
        <v>55614</v>
      </c>
      <c r="S62" s="40" t="str" cm="1">
        <f t="array" aca="1" ref="S62" ca="1">TRIM(SUBSTITUTE(_xlfn.ARRAYTOTEXT(IFERROR(CONCATENATE(SUMIF(INDIRECT("'"&amp;Assemblies[Assy]&amp;"'!"&amp;"C$5:C1000"), $A62, INDIRECT("'"&amp;Assemblies[Assy]&amp;"'!"&amp;"O$5:O1000")), "x",Assemblies[Assy],".",IF(SUMIF(INDIRECT("'"&amp;Assemblies[Assy]&amp;"'!"&amp;"C$5:C1000"), $A62, INDIRECT("'"&amp;Assemblies[Assy]&amp;"'!"&amp;"A$5:A1000"))=0,NA(),SUMIF(INDIRECT("'"&amp;Assemblies[Assy]&amp;"'!"&amp;"C$5:C1000"), $A62, INDIRECT("'"&amp;Assemblies[Assy]&amp;"'!"&amp;"A$5:A1000")))),"")), " ,", ""))</f>
        <v>, 1x0.3.1.301,</v>
      </c>
    </row>
    <row r="63" spans="1:19" hidden="1" x14ac:dyDescent="0.25">
      <c r="A63" s="160" t="s">
        <v>670</v>
      </c>
      <c r="B63" s="160" t="s">
        <v>3085</v>
      </c>
      <c r="C63" s="180">
        <v>692.90629999999999</v>
      </c>
      <c r="D63">
        <v>1</v>
      </c>
      <c r="E63" cm="1">
        <f t="array" aca="1" ref="E63" ca="1">SUMPRODUCT(SUMIF(INDIRECT("'"&amp;Assemblies[Assy]&amp;"'!"&amp;"C:C"),$A63,(INDIRECT("'"&amp;Assemblies[Assy]&amp;"'!"&amp;"O:O"))))</f>
        <v>1</v>
      </c>
      <c r="F63">
        <f ca="1">ROUNDUP(Purchased[[#This Row],[BOM QTY]]/Purchased[[#This Row],[PK QTY]], 0)</f>
        <v>1</v>
      </c>
      <c r="G63">
        <v>1</v>
      </c>
      <c r="H63" t="str">
        <f ca="1">IF(F63&lt;=G63," ","YES")</f>
        <v xml:space="preserve"> </v>
      </c>
      <c r="I63">
        <v>1</v>
      </c>
      <c r="J63">
        <v>1</v>
      </c>
      <c r="K63" t="s">
        <v>2926</v>
      </c>
      <c r="L63" t="s">
        <v>2931</v>
      </c>
      <c r="N63" s="40">
        <v>45495</v>
      </c>
      <c r="O63" s="40">
        <v>45497</v>
      </c>
      <c r="P63" s="40">
        <v>45526</v>
      </c>
      <c r="Q63" s="40">
        <v>45526</v>
      </c>
      <c r="R63">
        <v>55614</v>
      </c>
      <c r="S63" s="40" t="str" cm="1">
        <f t="array" aca="1" ref="S63" ca="1">TRIM(SUBSTITUTE(_xlfn.ARRAYTOTEXT(IFERROR(CONCATENATE(SUMIF(INDIRECT("'"&amp;Assemblies[Assy]&amp;"'!"&amp;"C$5:C1000"), $A63, INDIRECT("'"&amp;Assemblies[Assy]&amp;"'!"&amp;"O$5:O1000")), "x",Assemblies[Assy],".",IF(SUMIF(INDIRECT("'"&amp;Assemblies[Assy]&amp;"'!"&amp;"C$5:C1000"), $A63, INDIRECT("'"&amp;Assemblies[Assy]&amp;"'!"&amp;"A$5:A1000"))=0,NA(),SUMIF(INDIRECT("'"&amp;Assemblies[Assy]&amp;"'!"&amp;"C$5:C1000"), $A63, INDIRECT("'"&amp;Assemblies[Assy]&amp;"'!"&amp;"A$5:A1000")))),"")), " ,", ""))</f>
        <v>, 1x4.6.302,</v>
      </c>
    </row>
    <row r="64" spans="1:19" hidden="1" x14ac:dyDescent="0.25">
      <c r="A64" s="161" t="s">
        <v>1299</v>
      </c>
      <c r="B64" s="160" t="s">
        <v>3102</v>
      </c>
      <c r="C64" s="180">
        <v>19.690000000000001</v>
      </c>
      <c r="D64">
        <v>5</v>
      </c>
      <c r="E64" cm="1">
        <f t="array" aca="1" ref="E64" ca="1">SUMPRODUCT(SUMIF(INDIRECT("'"&amp;Assemblies[Assy]&amp;"'!"&amp;"C:C"),$A64,(INDIRECT("'"&amp;Assemblies[Assy]&amp;"'!"&amp;"O:O"))))</f>
        <v>4</v>
      </c>
      <c r="F64">
        <f ca="1">ROUNDUP(Purchased[[#This Row],[BOM QTY]]/Purchased[[#This Row],[PK QTY]], 0)</f>
        <v>1</v>
      </c>
      <c r="G64">
        <v>1</v>
      </c>
      <c r="H64" t="str">
        <f ca="1">IF(F64&lt;=G64," ","YES")</f>
        <v xml:space="preserve"> </v>
      </c>
      <c r="I64">
        <v>1</v>
      </c>
      <c r="J64">
        <v>1</v>
      </c>
      <c r="K64" t="s">
        <v>2926</v>
      </c>
      <c r="L64" t="s">
        <v>2931</v>
      </c>
      <c r="N64" s="40" t="s">
        <v>2747</v>
      </c>
      <c r="O64" s="40">
        <v>45524</v>
      </c>
      <c r="P64" s="40">
        <v>45547</v>
      </c>
      <c r="Q64" s="40">
        <v>45530</v>
      </c>
      <c r="R64">
        <v>55692</v>
      </c>
      <c r="S64" s="40" t="str" cm="1">
        <f t="array" aca="1" ref="S64" ca="1">TRIM(SUBSTITUTE(_xlfn.ARRAYTOTEXT(IFERROR(CONCATENATE(SUMIF(INDIRECT("'"&amp;Assemblies[Assy]&amp;"'!"&amp;"C$5:C1000"), $A64, INDIRECT("'"&amp;Assemblies[Assy]&amp;"'!"&amp;"O$5:O1000")), "x",Assemblies[Assy],".",IF(SUMIF(INDIRECT("'"&amp;Assemblies[Assy]&amp;"'!"&amp;"C$5:C1000"), $A64, INDIRECT("'"&amp;Assemblies[Assy]&amp;"'!"&amp;"A$5:A1000"))=0,NA(),SUMIF(INDIRECT("'"&amp;Assemblies[Assy]&amp;"'!"&amp;"C$5:C1000"), $A64, INDIRECT("'"&amp;Assemblies[Assy]&amp;"'!"&amp;"A$5:A1000")))),"")), " ,", ""))</f>
        <v>, 4x9.4.307,</v>
      </c>
    </row>
    <row r="65" spans="1:19" hidden="1" x14ac:dyDescent="0.25">
      <c r="A65" s="160" t="s">
        <v>934</v>
      </c>
      <c r="B65" s="160" t="s">
        <v>3103</v>
      </c>
      <c r="C65" s="180">
        <v>25.92</v>
      </c>
      <c r="D65">
        <v>5</v>
      </c>
      <c r="E65" cm="1">
        <f t="array" aca="1" ref="E65" ca="1">SUMPRODUCT(SUMIF(INDIRECT("'"&amp;Assemblies[Assy]&amp;"'!"&amp;"C:C"),$A65,(INDIRECT("'"&amp;Assemblies[Assy]&amp;"'!"&amp;"O:O"))))</f>
        <v>2</v>
      </c>
      <c r="F65">
        <f ca="1">ROUNDUP(Purchased[[#This Row],[BOM QTY]]/Purchased[[#This Row],[PK QTY]], 0)</f>
        <v>1</v>
      </c>
      <c r="G65">
        <v>1</v>
      </c>
      <c r="H65" t="str">
        <f ca="1">IF(F65&lt;=G65," ","YES")</f>
        <v xml:space="preserve"> </v>
      </c>
      <c r="I65">
        <v>1</v>
      </c>
      <c r="J65">
        <v>1</v>
      </c>
      <c r="K65" t="s">
        <v>2926</v>
      </c>
      <c r="L65" t="s">
        <v>2931</v>
      </c>
      <c r="N65" s="40" t="s">
        <v>2747</v>
      </c>
      <c r="O65" s="40">
        <v>45524</v>
      </c>
      <c r="P65" s="40">
        <v>45547</v>
      </c>
      <c r="Q65" s="40">
        <v>45530</v>
      </c>
      <c r="R65">
        <v>55692</v>
      </c>
      <c r="S65" s="40" t="str" cm="1">
        <f t="array" aca="1" ref="S65" ca="1">TRIM(SUBSTITUTE(_xlfn.ARRAYTOTEXT(IFERROR(CONCATENATE(SUMIF(INDIRECT("'"&amp;Assemblies[Assy]&amp;"'!"&amp;"C$5:C1000"), $A65, INDIRECT("'"&amp;Assemblies[Assy]&amp;"'!"&amp;"O$5:O1000")), "x",Assemblies[Assy],".",IF(SUMIF(INDIRECT("'"&amp;Assemblies[Assy]&amp;"'!"&amp;"C$5:C1000"), $A65, INDIRECT("'"&amp;Assemblies[Assy]&amp;"'!"&amp;"A$5:A1000"))=0,NA(),SUMIF(INDIRECT("'"&amp;Assemblies[Assy]&amp;"'!"&amp;"C$5:C1000"), $A65, INDIRECT("'"&amp;Assemblies[Assy]&amp;"'!"&amp;"A$5:A1000")))),"")), " ,", ""))</f>
        <v>, 1x6.2.1.309, 1x6.3.1.309,</v>
      </c>
    </row>
    <row r="66" spans="1:19" hidden="1" x14ac:dyDescent="0.25">
      <c r="A66" s="160" t="s">
        <v>1429</v>
      </c>
      <c r="B66" s="160" t="s">
        <v>3105</v>
      </c>
      <c r="C66" s="180">
        <v>5.19</v>
      </c>
      <c r="D66">
        <v>1</v>
      </c>
      <c r="E66" cm="1">
        <f t="array" aca="1" ref="E66" ca="1">SUMPRODUCT(SUMIF(INDIRECT("'"&amp;Assemblies[Assy]&amp;"'!"&amp;"C:C"),$A66,(INDIRECT("'"&amp;Assemblies[Assy]&amp;"'!"&amp;"O:O"))))</f>
        <v>1</v>
      </c>
      <c r="F66">
        <f ca="1">ROUNDUP(Purchased[[#This Row],[BOM QTY]]/Purchased[[#This Row],[PK QTY]], 0)</f>
        <v>1</v>
      </c>
      <c r="G66">
        <v>1</v>
      </c>
      <c r="H66" t="str">
        <f ca="1">IF(F66&lt;=G66," ","YES")</f>
        <v xml:space="preserve"> </v>
      </c>
      <c r="I66">
        <v>1</v>
      </c>
      <c r="J66">
        <v>1</v>
      </c>
      <c r="K66" t="s">
        <v>2926</v>
      </c>
      <c r="L66" t="s">
        <v>2931</v>
      </c>
      <c r="N66" s="40">
        <v>45530</v>
      </c>
      <c r="O66" s="40">
        <v>45531</v>
      </c>
      <c r="P66" s="40">
        <v>45541</v>
      </c>
      <c r="Q66" s="40">
        <v>45541</v>
      </c>
      <c r="R66">
        <v>55709</v>
      </c>
      <c r="S66" s="40" t="str" cm="1">
        <f t="array" aca="1" ref="S66" ca="1">TRIM(SUBSTITUTE(_xlfn.ARRAYTOTEXT(IFERROR(CONCATENATE(SUMIF(INDIRECT("'"&amp;Assemblies[Assy]&amp;"'!"&amp;"C$5:C1000"), $A66, INDIRECT("'"&amp;Assemblies[Assy]&amp;"'!"&amp;"O$5:O1000")), "x",Assemblies[Assy],".",IF(SUMIF(INDIRECT("'"&amp;Assemblies[Assy]&amp;"'!"&amp;"C$5:C1000"), $A66, INDIRECT("'"&amp;Assemblies[Assy]&amp;"'!"&amp;"A$5:A1000"))=0,NA(),SUMIF(INDIRECT("'"&amp;Assemblies[Assy]&amp;"'!"&amp;"C$5:C1000"), $A66, INDIRECT("'"&amp;Assemblies[Assy]&amp;"'!"&amp;"A$5:A1000")))),"")), " ,", ""))</f>
        <v>, 1x11.1.301,</v>
      </c>
    </row>
    <row r="67" spans="1:19" hidden="1" x14ac:dyDescent="0.25">
      <c r="A67" s="160" t="s">
        <v>1434</v>
      </c>
      <c r="B67" s="160" t="s">
        <v>3106</v>
      </c>
      <c r="C67" s="180">
        <v>295.85610000000003</v>
      </c>
      <c r="D67">
        <v>1</v>
      </c>
      <c r="E67" cm="1">
        <f t="array" aca="1" ref="E67" ca="1">SUMPRODUCT(SUMIF(INDIRECT("'"&amp;Assemblies[Assy]&amp;"'!"&amp;"C:C"),$A67,(INDIRECT("'"&amp;Assemblies[Assy]&amp;"'!"&amp;"O:O"))))</f>
        <v>1</v>
      </c>
      <c r="F67">
        <f ca="1">ROUNDUP(Purchased[[#This Row],[BOM QTY]]/Purchased[[#This Row],[PK QTY]], 0)</f>
        <v>1</v>
      </c>
      <c r="G67">
        <v>1</v>
      </c>
      <c r="H67" t="str">
        <f ca="1">IF(F67&lt;=G67," ","YES")</f>
        <v xml:space="preserve"> </v>
      </c>
      <c r="I67">
        <v>1</v>
      </c>
      <c r="J67">
        <v>1</v>
      </c>
      <c r="K67" t="s">
        <v>2926</v>
      </c>
      <c r="L67" t="s">
        <v>2931</v>
      </c>
      <c r="N67" s="40">
        <v>45530</v>
      </c>
      <c r="O67" s="40">
        <v>45531</v>
      </c>
      <c r="P67" s="40">
        <v>45541</v>
      </c>
      <c r="Q67" s="40">
        <v>45541</v>
      </c>
      <c r="R67">
        <v>55709</v>
      </c>
      <c r="S67" s="40" t="str" cm="1">
        <f t="array" aca="1" ref="S67" ca="1">TRIM(SUBSTITUTE(_xlfn.ARRAYTOTEXT(IFERROR(CONCATENATE(SUMIF(INDIRECT("'"&amp;Assemblies[Assy]&amp;"'!"&amp;"C$5:C1000"), $A67, INDIRECT("'"&amp;Assemblies[Assy]&amp;"'!"&amp;"O$5:O1000")), "x",Assemblies[Assy],".",IF(SUMIF(INDIRECT("'"&amp;Assemblies[Assy]&amp;"'!"&amp;"C$5:C1000"), $A67, INDIRECT("'"&amp;Assemblies[Assy]&amp;"'!"&amp;"A$5:A1000"))=0,NA(),SUMIF(INDIRECT("'"&amp;Assemblies[Assy]&amp;"'!"&amp;"C$5:C1000"), $A67, INDIRECT("'"&amp;Assemblies[Assy]&amp;"'!"&amp;"A$5:A1000")))),"")), " ,", ""))</f>
        <v>, 1x11.1.306,</v>
      </c>
    </row>
    <row r="68" spans="1:19" hidden="1" x14ac:dyDescent="0.25">
      <c r="A68" s="160" t="s">
        <v>1435</v>
      </c>
      <c r="B68" s="160" t="s">
        <v>3107</v>
      </c>
      <c r="C68" s="180">
        <v>109.88</v>
      </c>
      <c r="D68">
        <v>1</v>
      </c>
      <c r="E68" cm="1">
        <f t="array" aca="1" ref="E68" ca="1">SUMPRODUCT(SUMIF(INDIRECT("'"&amp;Assemblies[Assy]&amp;"'!"&amp;"C:C"),$A68,(INDIRECT("'"&amp;Assemblies[Assy]&amp;"'!"&amp;"O:O"))))</f>
        <v>1</v>
      </c>
      <c r="F68">
        <f ca="1">ROUNDUP(Purchased[[#This Row],[BOM QTY]]/Purchased[[#This Row],[PK QTY]], 0)</f>
        <v>1</v>
      </c>
      <c r="G68">
        <v>1</v>
      </c>
      <c r="H68" t="str">
        <f ca="1">IF(F68&lt;=G68," ","YES")</f>
        <v xml:space="preserve"> </v>
      </c>
      <c r="I68">
        <v>1</v>
      </c>
      <c r="J68">
        <v>1</v>
      </c>
      <c r="K68" t="s">
        <v>2926</v>
      </c>
      <c r="L68" t="s">
        <v>2931</v>
      </c>
      <c r="N68" s="40">
        <v>45530</v>
      </c>
      <c r="O68" s="40">
        <v>45531</v>
      </c>
      <c r="P68" s="40">
        <v>45541</v>
      </c>
      <c r="Q68" s="40">
        <v>45541</v>
      </c>
      <c r="R68">
        <v>55709</v>
      </c>
      <c r="S68" s="40" t="str" cm="1">
        <f t="array" aca="1" ref="S68" ca="1">TRIM(SUBSTITUTE(_xlfn.ARRAYTOTEXT(IFERROR(CONCATENATE(SUMIF(INDIRECT("'"&amp;Assemblies[Assy]&amp;"'!"&amp;"C$5:C1000"), $A68, INDIRECT("'"&amp;Assemblies[Assy]&amp;"'!"&amp;"O$5:O1000")), "x",Assemblies[Assy],".",IF(SUMIF(INDIRECT("'"&amp;Assemblies[Assy]&amp;"'!"&amp;"C$5:C1000"), $A68, INDIRECT("'"&amp;Assemblies[Assy]&amp;"'!"&amp;"A$5:A1000"))=0,NA(),SUMIF(INDIRECT("'"&amp;Assemblies[Assy]&amp;"'!"&amp;"C$5:C1000"), $A68, INDIRECT("'"&amp;Assemblies[Assy]&amp;"'!"&amp;"A$5:A1000")))),"")), " ,", ""))</f>
        <v>, 1x11.1.307,</v>
      </c>
    </row>
    <row r="69" spans="1:19" hidden="1" x14ac:dyDescent="0.25">
      <c r="A69" s="160" t="s">
        <v>1433</v>
      </c>
      <c r="B69" s="160" t="s">
        <v>3108</v>
      </c>
      <c r="C69" s="180">
        <v>59.8812</v>
      </c>
      <c r="D69">
        <v>1</v>
      </c>
      <c r="E69" cm="1">
        <f t="array" aca="1" ref="E69" ca="1">SUMPRODUCT(SUMIF(INDIRECT("'"&amp;Assemblies[Assy]&amp;"'!"&amp;"C:C"),$A69,(INDIRECT("'"&amp;Assemblies[Assy]&amp;"'!"&amp;"O:O"))))</f>
        <v>1</v>
      </c>
      <c r="F69">
        <f ca="1">ROUNDUP(Purchased[[#This Row],[BOM QTY]]/Purchased[[#This Row],[PK QTY]], 0)</f>
        <v>1</v>
      </c>
      <c r="G69">
        <v>1</v>
      </c>
      <c r="H69" t="str">
        <f ca="1">IF(F69&lt;=G69," ","YES")</f>
        <v xml:space="preserve"> </v>
      </c>
      <c r="I69">
        <v>1</v>
      </c>
      <c r="J69">
        <v>1</v>
      </c>
      <c r="K69" t="s">
        <v>2926</v>
      </c>
      <c r="L69" t="s">
        <v>2931</v>
      </c>
      <c r="N69" s="40">
        <v>45530</v>
      </c>
      <c r="O69" s="40">
        <v>45531</v>
      </c>
      <c r="P69" s="40">
        <v>45541</v>
      </c>
      <c r="Q69" s="40">
        <v>45541</v>
      </c>
      <c r="R69">
        <v>55709</v>
      </c>
      <c r="S69" s="40" t="str" cm="1">
        <f t="array" aca="1" ref="S69" ca="1">TRIM(SUBSTITUTE(_xlfn.ARRAYTOTEXT(IFERROR(CONCATENATE(SUMIF(INDIRECT("'"&amp;Assemblies[Assy]&amp;"'!"&amp;"C$5:C1000"), $A69, INDIRECT("'"&amp;Assemblies[Assy]&amp;"'!"&amp;"O$5:O1000")), "x",Assemblies[Assy],".",IF(SUMIF(INDIRECT("'"&amp;Assemblies[Assy]&amp;"'!"&amp;"C$5:C1000"), $A69, INDIRECT("'"&amp;Assemblies[Assy]&amp;"'!"&amp;"A$5:A1000"))=0,NA(),SUMIF(INDIRECT("'"&amp;Assemblies[Assy]&amp;"'!"&amp;"C$5:C1000"), $A69, INDIRECT("'"&amp;Assemblies[Assy]&amp;"'!"&amp;"A$5:A1000")))),"")), " ,", ""))</f>
        <v>, 1x11.1.305,</v>
      </c>
    </row>
    <row r="70" spans="1:19" hidden="1" x14ac:dyDescent="0.25">
      <c r="A70" s="160" t="s">
        <v>1432</v>
      </c>
      <c r="B70" s="160" t="s">
        <v>3109</v>
      </c>
      <c r="C70" s="180">
        <v>66.343199999999996</v>
      </c>
      <c r="D70">
        <v>1</v>
      </c>
      <c r="E70" cm="1">
        <f t="array" aca="1" ref="E70" ca="1">SUMPRODUCT(SUMIF(INDIRECT("'"&amp;Assemblies[Assy]&amp;"'!"&amp;"C:C"),$A70,(INDIRECT("'"&amp;Assemblies[Assy]&amp;"'!"&amp;"O:O"))))</f>
        <v>1</v>
      </c>
      <c r="F70">
        <f ca="1">ROUNDUP(Purchased[[#This Row],[BOM QTY]]/Purchased[[#This Row],[PK QTY]], 0)</f>
        <v>1</v>
      </c>
      <c r="G70">
        <v>1</v>
      </c>
      <c r="H70" t="str">
        <f ca="1">IF(F70&lt;=G70," ","YES")</f>
        <v xml:space="preserve"> </v>
      </c>
      <c r="I70">
        <v>1</v>
      </c>
      <c r="J70">
        <v>1</v>
      </c>
      <c r="K70" t="s">
        <v>2926</v>
      </c>
      <c r="L70" t="s">
        <v>2931</v>
      </c>
      <c r="N70" s="40">
        <v>45530</v>
      </c>
      <c r="O70" s="40">
        <v>45531</v>
      </c>
      <c r="P70" s="40">
        <v>45541</v>
      </c>
      <c r="Q70" s="40">
        <v>45541</v>
      </c>
      <c r="R70">
        <v>55709</v>
      </c>
      <c r="S70" s="40" t="str" cm="1">
        <f t="array" aca="1" ref="S70" ca="1">TRIM(SUBSTITUTE(_xlfn.ARRAYTOTEXT(IFERROR(CONCATENATE(SUMIF(INDIRECT("'"&amp;Assemblies[Assy]&amp;"'!"&amp;"C$5:C1000"), $A70, INDIRECT("'"&amp;Assemblies[Assy]&amp;"'!"&amp;"O$5:O1000")), "x",Assemblies[Assy],".",IF(SUMIF(INDIRECT("'"&amp;Assemblies[Assy]&amp;"'!"&amp;"C$5:C1000"), $A70, INDIRECT("'"&amp;Assemblies[Assy]&amp;"'!"&amp;"A$5:A1000"))=0,NA(),SUMIF(INDIRECT("'"&amp;Assemblies[Assy]&amp;"'!"&amp;"C$5:C1000"), $A70, INDIRECT("'"&amp;Assemblies[Assy]&amp;"'!"&amp;"A$5:A1000")))),"")), " ,", ""))</f>
        <v>, 1x11.1.304,</v>
      </c>
    </row>
    <row r="71" spans="1:19" hidden="1" x14ac:dyDescent="0.25">
      <c r="A71" s="160" t="s">
        <v>1431</v>
      </c>
      <c r="B71" s="160" t="s">
        <v>3110</v>
      </c>
      <c r="C71" s="180">
        <v>6.52</v>
      </c>
      <c r="D71">
        <v>1</v>
      </c>
      <c r="E71" cm="1">
        <f t="array" aca="1" ref="E71" ca="1">SUMPRODUCT(SUMIF(INDIRECT("'"&amp;Assemblies[Assy]&amp;"'!"&amp;"C:C"),$A71,(INDIRECT("'"&amp;Assemblies[Assy]&amp;"'!"&amp;"O:O"))))</f>
        <v>1</v>
      </c>
      <c r="F71">
        <f ca="1">ROUNDUP(Purchased[[#This Row],[BOM QTY]]/Purchased[[#This Row],[PK QTY]], 0)</f>
        <v>1</v>
      </c>
      <c r="G71">
        <v>1</v>
      </c>
      <c r="H71" t="str">
        <f ca="1">IF(F71&lt;=G71," ","YES")</f>
        <v xml:space="preserve"> </v>
      </c>
      <c r="I71">
        <v>1</v>
      </c>
      <c r="J71">
        <v>1</v>
      </c>
      <c r="K71" t="s">
        <v>2926</v>
      </c>
      <c r="L71" t="s">
        <v>2931</v>
      </c>
      <c r="N71" s="40">
        <v>45530</v>
      </c>
      <c r="O71" s="40">
        <v>45531</v>
      </c>
      <c r="P71" s="40">
        <v>45541</v>
      </c>
      <c r="Q71" s="40">
        <v>45541</v>
      </c>
      <c r="R71">
        <v>55709</v>
      </c>
      <c r="S71" s="40" t="str" cm="1">
        <f t="array" aca="1" ref="S71" ca="1">TRIM(SUBSTITUTE(_xlfn.ARRAYTOTEXT(IFERROR(CONCATENATE(SUMIF(INDIRECT("'"&amp;Assemblies[Assy]&amp;"'!"&amp;"C$5:C1000"), $A71, INDIRECT("'"&amp;Assemblies[Assy]&amp;"'!"&amp;"O$5:O1000")), "x",Assemblies[Assy],".",IF(SUMIF(INDIRECT("'"&amp;Assemblies[Assy]&amp;"'!"&amp;"C$5:C1000"), $A71, INDIRECT("'"&amp;Assemblies[Assy]&amp;"'!"&amp;"A$5:A1000"))=0,NA(),SUMIF(INDIRECT("'"&amp;Assemblies[Assy]&amp;"'!"&amp;"C$5:C1000"), $A71, INDIRECT("'"&amp;Assemblies[Assy]&amp;"'!"&amp;"A$5:A1000")))),"")), " ,", ""))</f>
        <v>, 1x11.1.303,</v>
      </c>
    </row>
    <row r="72" spans="1:19" hidden="1" x14ac:dyDescent="0.25">
      <c r="A72" s="160" t="s">
        <v>1436</v>
      </c>
      <c r="B72" s="160" t="s">
        <v>3112</v>
      </c>
      <c r="C72" s="180">
        <v>10.2966</v>
      </c>
      <c r="D72">
        <v>1</v>
      </c>
      <c r="E72" cm="1">
        <f t="array" aca="1" ref="E72" ca="1">SUMPRODUCT(SUMIF(INDIRECT("'"&amp;Assemblies[Assy]&amp;"'!"&amp;"C:C"),$A72,(INDIRECT("'"&amp;Assemblies[Assy]&amp;"'!"&amp;"O:O"))))</f>
        <v>1</v>
      </c>
      <c r="F72">
        <f ca="1">ROUNDUP(Purchased[[#This Row],[BOM QTY]]/Purchased[[#This Row],[PK QTY]], 0)</f>
        <v>1</v>
      </c>
      <c r="G72">
        <v>1</v>
      </c>
      <c r="H72" t="str">
        <f ca="1">IF(F72&lt;=G72," ","YES")</f>
        <v xml:space="preserve"> </v>
      </c>
      <c r="I72">
        <v>1</v>
      </c>
      <c r="J72">
        <v>1</v>
      </c>
      <c r="K72" t="s">
        <v>2926</v>
      </c>
      <c r="L72" t="s">
        <v>2931</v>
      </c>
      <c r="N72" s="40">
        <v>45530</v>
      </c>
      <c r="O72" s="40">
        <v>45531</v>
      </c>
      <c r="P72" s="40">
        <v>45541</v>
      </c>
      <c r="Q72" s="40">
        <v>45541</v>
      </c>
      <c r="R72">
        <v>55709</v>
      </c>
      <c r="S72" s="40" t="str" cm="1">
        <f t="array" aca="1" ref="S72" ca="1">TRIM(SUBSTITUTE(_xlfn.ARRAYTOTEXT(IFERROR(CONCATENATE(SUMIF(INDIRECT("'"&amp;Assemblies[Assy]&amp;"'!"&amp;"C$5:C1000"), $A72, INDIRECT("'"&amp;Assemblies[Assy]&amp;"'!"&amp;"O$5:O1000")), "x",Assemblies[Assy],".",IF(SUMIF(INDIRECT("'"&amp;Assemblies[Assy]&amp;"'!"&amp;"C$5:C1000"), $A72, INDIRECT("'"&amp;Assemblies[Assy]&amp;"'!"&amp;"A$5:A1000"))=0,NA(),SUMIF(INDIRECT("'"&amp;Assemblies[Assy]&amp;"'!"&amp;"C$5:C1000"), $A72, INDIRECT("'"&amp;Assemblies[Assy]&amp;"'!"&amp;"A$5:A1000")))),"")), " ,", ""))</f>
        <v>, 1x11.1.308,</v>
      </c>
    </row>
    <row r="73" spans="1:19" hidden="1" x14ac:dyDescent="0.25">
      <c r="A73" s="160" t="s">
        <v>1437</v>
      </c>
      <c r="B73" s="160" t="s">
        <v>3113</v>
      </c>
      <c r="C73" s="180">
        <v>13.277799999999999</v>
      </c>
      <c r="D73">
        <v>1</v>
      </c>
      <c r="E73" cm="1">
        <f t="array" aca="1" ref="E73" ca="1">SUMPRODUCT(SUMIF(INDIRECT("'"&amp;Assemblies[Assy]&amp;"'!"&amp;"C:C"),$A73,(INDIRECT("'"&amp;Assemblies[Assy]&amp;"'!"&amp;"O:O"))))</f>
        <v>1</v>
      </c>
      <c r="F73">
        <f ca="1">ROUNDUP(Purchased[[#This Row],[BOM QTY]]/Purchased[[#This Row],[PK QTY]], 0)</f>
        <v>1</v>
      </c>
      <c r="G73">
        <v>1</v>
      </c>
      <c r="H73" t="str">
        <f ca="1">IF(F73&lt;=G73," ","YES")</f>
        <v xml:space="preserve"> </v>
      </c>
      <c r="I73">
        <v>1</v>
      </c>
      <c r="J73">
        <v>1</v>
      </c>
      <c r="K73" t="s">
        <v>2926</v>
      </c>
      <c r="L73" t="s">
        <v>2931</v>
      </c>
      <c r="N73" s="40">
        <v>45530</v>
      </c>
      <c r="O73" s="40">
        <v>45531</v>
      </c>
      <c r="P73" s="40">
        <v>45541</v>
      </c>
      <c r="Q73" s="40">
        <v>45541</v>
      </c>
      <c r="R73">
        <v>55709</v>
      </c>
      <c r="S73" s="40" t="str" cm="1">
        <f t="array" aca="1" ref="S73" ca="1">TRIM(SUBSTITUTE(_xlfn.ARRAYTOTEXT(IFERROR(CONCATENATE(SUMIF(INDIRECT("'"&amp;Assemblies[Assy]&amp;"'!"&amp;"C$5:C1000"), $A73, INDIRECT("'"&amp;Assemblies[Assy]&amp;"'!"&amp;"O$5:O1000")), "x",Assemblies[Assy],".",IF(SUMIF(INDIRECT("'"&amp;Assemblies[Assy]&amp;"'!"&amp;"C$5:C1000"), $A73, INDIRECT("'"&amp;Assemblies[Assy]&amp;"'!"&amp;"A$5:A1000"))=0,NA(),SUMIF(INDIRECT("'"&amp;Assemblies[Assy]&amp;"'!"&amp;"C$5:C1000"), $A73, INDIRECT("'"&amp;Assemblies[Assy]&amp;"'!"&amp;"A$5:A1000")))),"")), " ,", ""))</f>
        <v>, 1x11.1.309,</v>
      </c>
    </row>
    <row r="74" spans="1:19" hidden="1" x14ac:dyDescent="0.25">
      <c r="A74" s="160" t="s">
        <v>615</v>
      </c>
      <c r="B74" s="160" t="s">
        <v>3030</v>
      </c>
      <c r="C74" s="180">
        <v>83.63</v>
      </c>
      <c r="D74">
        <v>1</v>
      </c>
      <c r="E74" cm="1">
        <f t="array" aca="1" ref="E74" ca="1">SUMPRODUCT(SUMIF(INDIRECT("'"&amp;Assemblies[Assy]&amp;"'!"&amp;"C:C"),$A74,(INDIRECT("'"&amp;Assemblies[Assy]&amp;"'!"&amp;"O:O"))))</f>
        <v>1</v>
      </c>
      <c r="F74">
        <f ca="1">ROUNDUP(Purchased[[#This Row],[BOM QTY]]/Purchased[[#This Row],[PK QTY]], 0)</f>
        <v>1</v>
      </c>
      <c r="G74">
        <v>1</v>
      </c>
      <c r="H74" t="str">
        <f ca="1">IF(F74&lt;=G74," ","YES")</f>
        <v xml:space="preserve"> </v>
      </c>
      <c r="I74">
        <v>1</v>
      </c>
      <c r="J74">
        <v>1</v>
      </c>
      <c r="K74" t="s">
        <v>2926</v>
      </c>
      <c r="L74" t="s">
        <v>2931</v>
      </c>
      <c r="N74" s="40">
        <v>45489</v>
      </c>
      <c r="O74" s="40">
        <v>45489</v>
      </c>
      <c r="P74" s="40">
        <v>45510</v>
      </c>
      <c r="Q74" s="40">
        <v>45513</v>
      </c>
      <c r="R74">
        <v>55596</v>
      </c>
      <c r="S74" s="40" t="str" cm="1">
        <f t="array" aca="1" ref="S74" ca="1">TRIM(SUBSTITUTE(_xlfn.ARRAYTOTEXT(IFERROR(CONCATENATE(SUMIF(INDIRECT("'"&amp;Assemblies[Assy]&amp;"'!"&amp;"C$5:C1000"), $A74, INDIRECT("'"&amp;Assemblies[Assy]&amp;"'!"&amp;"O$5:O1000")), "x",Assemblies[Assy],".",IF(SUMIF(INDIRECT("'"&amp;Assemblies[Assy]&amp;"'!"&amp;"C$5:C1000"), $A74, INDIRECT("'"&amp;Assemblies[Assy]&amp;"'!"&amp;"A$5:A1000"))=0,NA(),SUMIF(INDIRECT("'"&amp;Assemblies[Assy]&amp;"'!"&amp;"C$5:C1000"), $A74, INDIRECT("'"&amp;Assemblies[Assy]&amp;"'!"&amp;"A$5:A1000")))),"")), " ,", ""))</f>
        <v>, 1x4.3.318,</v>
      </c>
    </row>
    <row r="75" spans="1:19" hidden="1" x14ac:dyDescent="0.25">
      <c r="A75" s="162" t="s">
        <v>101</v>
      </c>
      <c r="B75" s="160" t="s">
        <v>2925</v>
      </c>
      <c r="C75" s="180">
        <v>348.48</v>
      </c>
      <c r="D75">
        <v>1</v>
      </c>
      <c r="E75" cm="1">
        <f t="array" aca="1" ref="E75" ca="1">SUMPRODUCT(SUMIF(INDIRECT("'"&amp;Assemblies[Assy]&amp;"'!"&amp;"C:C"),$A75,(INDIRECT("'"&amp;Assemblies[Assy]&amp;"'!"&amp;"O:O"))))</f>
        <v>4</v>
      </c>
      <c r="F75">
        <f ca="1">ROUNDUP(Purchased[[#This Row],[BOM QTY]]/Purchased[[#This Row],[PK QTY]], 0)</f>
        <v>4</v>
      </c>
      <c r="G75">
        <v>4</v>
      </c>
      <c r="H75" t="str">
        <f ca="1">IF(F75&lt;=G75," ","YES")</f>
        <v xml:space="preserve"> </v>
      </c>
      <c r="I75">
        <v>2</v>
      </c>
      <c r="J75">
        <v>2</v>
      </c>
      <c r="K75" t="s">
        <v>2926</v>
      </c>
      <c r="L75" t="s">
        <v>2931</v>
      </c>
      <c r="M75" s="191" t="s">
        <v>2927</v>
      </c>
      <c r="N75" s="40">
        <v>45489</v>
      </c>
      <c r="O75" s="40">
        <v>45489</v>
      </c>
      <c r="P75" s="40">
        <v>45510</v>
      </c>
      <c r="Q75" s="40">
        <v>45513</v>
      </c>
      <c r="R75">
        <v>55596</v>
      </c>
      <c r="S75" s="40" t="str" cm="1">
        <f t="array" aca="1" ref="S75" ca="1">TRIM(SUBSTITUTE(_xlfn.ARRAYTOTEXT(IFERROR(CONCATENATE(SUMIF(INDIRECT("'"&amp;Assemblies[Assy]&amp;"'!"&amp;"C$5:C1000"), $A75, INDIRECT("'"&amp;Assemblies[Assy]&amp;"'!"&amp;"O$5:O1000")), "x",Assemblies[Assy],".",IF(SUMIF(INDIRECT("'"&amp;Assemblies[Assy]&amp;"'!"&amp;"C$5:C1000"), $A75, INDIRECT("'"&amp;Assemblies[Assy]&amp;"'!"&amp;"A$5:A1000"))=0,NA(),SUMIF(INDIRECT("'"&amp;Assemblies[Assy]&amp;"'!"&amp;"C$5:C1000"), $A75, INDIRECT("'"&amp;Assemblies[Assy]&amp;"'!"&amp;"A$5:A1000")))),"")), " ,", ""))</f>
        <v>, 2x0.3.307, 2x0.4.310,</v>
      </c>
    </row>
    <row r="76" spans="1:19" hidden="1" x14ac:dyDescent="0.25">
      <c r="A76" s="160" t="s">
        <v>985</v>
      </c>
      <c r="B76" s="160" t="s">
        <v>3026</v>
      </c>
      <c r="C76" s="180">
        <v>35.74</v>
      </c>
      <c r="D76">
        <v>1</v>
      </c>
      <c r="E76" cm="1">
        <f t="array" aca="1" ref="E76" ca="1">SUMPRODUCT(SUMIF(INDIRECT("'"&amp;Assemblies[Assy]&amp;"'!"&amp;"C:C"),$A76,(INDIRECT("'"&amp;Assemblies[Assy]&amp;"'!"&amp;"O:O"))))</f>
        <v>2</v>
      </c>
      <c r="F76">
        <f ca="1">ROUNDUP(Purchased[[#This Row],[BOM QTY]]/Purchased[[#This Row],[PK QTY]], 0)</f>
        <v>2</v>
      </c>
      <c r="G76">
        <v>2</v>
      </c>
      <c r="H76" t="str">
        <f ca="1">IF(F76&lt;=G76," ","YES")</f>
        <v xml:space="preserve"> </v>
      </c>
      <c r="I76">
        <v>2</v>
      </c>
      <c r="J76">
        <v>2</v>
      </c>
      <c r="K76" s="181" t="s">
        <v>2926</v>
      </c>
      <c r="L76" t="s">
        <v>2931</v>
      </c>
      <c r="N76" s="40">
        <v>45489</v>
      </c>
      <c r="O76" s="40">
        <v>45489</v>
      </c>
      <c r="P76" s="40">
        <v>45510</v>
      </c>
      <c r="Q76" s="40">
        <v>45513</v>
      </c>
      <c r="R76">
        <v>55596</v>
      </c>
      <c r="S76" s="40" t="str" cm="1">
        <f t="array" aca="1" ref="S76" ca="1">TRIM(SUBSTITUTE(_xlfn.ARRAYTOTEXT(IFERROR(CONCATENATE(SUMIF(INDIRECT("'"&amp;Assemblies[Assy]&amp;"'!"&amp;"C$5:C1000"), $A76, INDIRECT("'"&amp;Assemblies[Assy]&amp;"'!"&amp;"O$5:O1000")), "x",Assemblies[Assy],".",IF(SUMIF(INDIRECT("'"&amp;Assemblies[Assy]&amp;"'!"&amp;"C$5:C1000"), $A76, INDIRECT("'"&amp;Assemblies[Assy]&amp;"'!"&amp;"A$5:A1000"))=0,NA(),SUMIF(INDIRECT("'"&amp;Assemblies[Assy]&amp;"'!"&amp;"C$5:C1000"), $A76, INDIRECT("'"&amp;Assemblies[Assy]&amp;"'!"&amp;"A$5:A1000")))),"")), " ,", ""))</f>
        <v>, 1x6.2.2.310, 1x6.3.2.310,</v>
      </c>
    </row>
    <row r="77" spans="1:19" hidden="1" x14ac:dyDescent="0.25">
      <c r="A77" s="160" t="s">
        <v>954</v>
      </c>
      <c r="B77" s="160" t="s">
        <v>3027</v>
      </c>
      <c r="C77" s="180">
        <v>114.5463</v>
      </c>
      <c r="D77">
        <v>1</v>
      </c>
      <c r="E77" cm="1">
        <f t="array" aca="1" ref="E77" ca="1">SUMPRODUCT(SUMIF(INDIRECT("'"&amp;Assemblies[Assy]&amp;"'!"&amp;"C:C"),$A77,(INDIRECT("'"&amp;Assemblies[Assy]&amp;"'!"&amp;"O:O"))))</f>
        <v>2</v>
      </c>
      <c r="F77">
        <f ca="1">ROUNDUP(Purchased[[#This Row],[BOM QTY]]/Purchased[[#This Row],[PK QTY]], 0)</f>
        <v>2</v>
      </c>
      <c r="G77">
        <v>2</v>
      </c>
      <c r="H77" t="str">
        <f ca="1">IF(F77&lt;=G77," ","YES")</f>
        <v xml:space="preserve"> </v>
      </c>
      <c r="I77">
        <v>2</v>
      </c>
      <c r="J77">
        <v>2</v>
      </c>
      <c r="K77" t="s">
        <v>2926</v>
      </c>
      <c r="L77" t="s">
        <v>2931</v>
      </c>
      <c r="N77" s="40">
        <v>45489</v>
      </c>
      <c r="O77" s="40">
        <v>45489</v>
      </c>
      <c r="P77" s="40">
        <v>45510</v>
      </c>
      <c r="Q77" s="40">
        <v>45513</v>
      </c>
      <c r="R77">
        <v>55596</v>
      </c>
      <c r="S77" s="40" t="str" cm="1">
        <f t="array" aca="1" ref="S77" ca="1">TRIM(SUBSTITUTE(_xlfn.ARRAYTOTEXT(IFERROR(CONCATENATE(SUMIF(INDIRECT("'"&amp;Assemblies[Assy]&amp;"'!"&amp;"C$5:C1000"), $A77, INDIRECT("'"&amp;Assemblies[Assy]&amp;"'!"&amp;"O$5:O1000")), "x",Assemblies[Assy],".",IF(SUMIF(INDIRECT("'"&amp;Assemblies[Assy]&amp;"'!"&amp;"C$5:C1000"), $A77, INDIRECT("'"&amp;Assemblies[Assy]&amp;"'!"&amp;"A$5:A1000"))=0,NA(),SUMIF(INDIRECT("'"&amp;Assemblies[Assy]&amp;"'!"&amp;"C$5:C1000"), $A77, INDIRECT("'"&amp;Assemblies[Assy]&amp;"'!"&amp;"A$5:A1000")))),"")), " ,", ""))</f>
        <v>, 1x6.2.1.3.305, 1x6.3.1.3.305,</v>
      </c>
    </row>
    <row r="78" spans="1:19" hidden="1" x14ac:dyDescent="0.25">
      <c r="A78" s="160" t="s">
        <v>870</v>
      </c>
      <c r="B78" s="160" t="s">
        <v>3029</v>
      </c>
      <c r="C78" s="180">
        <v>112.45</v>
      </c>
      <c r="D78">
        <v>1</v>
      </c>
      <c r="E78" cm="1">
        <f t="array" aca="1" ref="E78" ca="1">SUMPRODUCT(SUMIF(INDIRECT("'"&amp;Assemblies[Assy]&amp;"'!"&amp;"C:C"),$A78,(INDIRECT("'"&amp;Assemblies[Assy]&amp;"'!"&amp;"O:O"))))</f>
        <v>2</v>
      </c>
      <c r="F78">
        <f ca="1">ROUNDUP(Purchased[[#This Row],[BOM QTY]]/Purchased[[#This Row],[PK QTY]], 0)</f>
        <v>2</v>
      </c>
      <c r="G78">
        <v>2</v>
      </c>
      <c r="H78" t="str">
        <f ca="1">IF(F78&lt;=G78," ","YES")</f>
        <v xml:space="preserve"> </v>
      </c>
      <c r="I78">
        <v>2</v>
      </c>
      <c r="J78">
        <v>2</v>
      </c>
      <c r="K78" s="186" t="s">
        <v>2926</v>
      </c>
      <c r="L78" s="134" t="s">
        <v>2931</v>
      </c>
      <c r="N78" s="40">
        <v>45489</v>
      </c>
      <c r="O78" s="40">
        <v>45489</v>
      </c>
      <c r="P78" s="40">
        <v>45510</v>
      </c>
      <c r="Q78" s="40">
        <v>45513</v>
      </c>
      <c r="R78">
        <v>55596</v>
      </c>
      <c r="S78" s="40" t="str" cm="1">
        <f t="array" aca="1" ref="S78" ca="1">TRIM(SUBSTITUTE(_xlfn.ARRAYTOTEXT(IFERROR(CONCATENATE(SUMIF(INDIRECT("'"&amp;Assemblies[Assy]&amp;"'!"&amp;"C$5:C1000"), $A78, INDIRECT("'"&amp;Assemblies[Assy]&amp;"'!"&amp;"O$5:O1000")), "x",Assemblies[Assy],".",IF(SUMIF(INDIRECT("'"&amp;Assemblies[Assy]&amp;"'!"&amp;"C$5:C1000"), $A78, INDIRECT("'"&amp;Assemblies[Assy]&amp;"'!"&amp;"A$5:A1000"))=0,NA(),SUMIF(INDIRECT("'"&amp;Assemblies[Assy]&amp;"'!"&amp;"C$5:C1000"), $A78, INDIRECT("'"&amp;Assemblies[Assy]&amp;"'!"&amp;"A$5:A1000")))),"")), " ,", ""))</f>
        <v>, 2x5.7.308,</v>
      </c>
    </row>
    <row r="79" spans="1:19" hidden="1" x14ac:dyDescent="0.25">
      <c r="A79" s="160" t="s">
        <v>1021</v>
      </c>
      <c r="B79" s="160" t="s">
        <v>3031</v>
      </c>
      <c r="C79" s="180">
        <v>92.04</v>
      </c>
      <c r="D79">
        <v>1</v>
      </c>
      <c r="E79" cm="1">
        <f t="array" aca="1" ref="E79" ca="1">SUMPRODUCT(SUMIF(INDIRECT("'"&amp;Assemblies[Assy]&amp;"'!"&amp;"C:C"),$A79,(INDIRECT("'"&amp;Assemblies[Assy]&amp;"'!"&amp;"O:O"))))</f>
        <v>2</v>
      </c>
      <c r="F79">
        <f ca="1">ROUNDUP(Purchased[[#This Row],[BOM QTY]]/Purchased[[#This Row],[PK QTY]], 0)</f>
        <v>2</v>
      </c>
      <c r="G79">
        <v>2</v>
      </c>
      <c r="H79" t="str">
        <f ca="1">IF(F79&lt;=G79," ","YES")</f>
        <v xml:space="preserve"> </v>
      </c>
      <c r="I79">
        <v>2</v>
      </c>
      <c r="J79">
        <v>2</v>
      </c>
      <c r="K79" s="181" t="s">
        <v>2926</v>
      </c>
      <c r="L79" t="s">
        <v>2931</v>
      </c>
      <c r="N79" s="40">
        <v>45489</v>
      </c>
      <c r="O79" s="40">
        <v>45489</v>
      </c>
      <c r="P79" s="40">
        <v>45510</v>
      </c>
      <c r="Q79" s="40">
        <v>45513</v>
      </c>
      <c r="R79">
        <v>55596</v>
      </c>
      <c r="S79" s="40" t="str" cm="1">
        <f t="array" aca="1" ref="S79" ca="1">TRIM(SUBSTITUTE(_xlfn.ARRAYTOTEXT(IFERROR(CONCATENATE(SUMIF(INDIRECT("'"&amp;Assemblies[Assy]&amp;"'!"&amp;"C$5:C1000"), $A79, INDIRECT("'"&amp;Assemblies[Assy]&amp;"'!"&amp;"O$5:O1000")), "x",Assemblies[Assy],".",IF(SUMIF(INDIRECT("'"&amp;Assemblies[Assy]&amp;"'!"&amp;"C$5:C1000"), $A79, INDIRECT("'"&amp;Assemblies[Assy]&amp;"'!"&amp;"A$5:A1000"))=0,NA(),SUMIF(INDIRECT("'"&amp;Assemblies[Assy]&amp;"'!"&amp;"C$5:C1000"), $A79, INDIRECT("'"&amp;Assemblies[Assy]&amp;"'!"&amp;"A$5:A1000")))),"")), " ,", ""))</f>
        <v>, 1x6.4.305, 1x6.5.305,</v>
      </c>
    </row>
    <row r="80" spans="1:19" hidden="1" x14ac:dyDescent="0.25">
      <c r="A80" s="160" t="s">
        <v>955</v>
      </c>
      <c r="B80" s="160" t="s">
        <v>3034</v>
      </c>
      <c r="C80" s="180">
        <v>31.07</v>
      </c>
      <c r="D80">
        <v>1</v>
      </c>
      <c r="E80" cm="1">
        <f t="array" aca="1" ref="E80" ca="1">SUMPRODUCT(SUMIF(INDIRECT("'"&amp;Assemblies[Assy]&amp;"'!"&amp;"C:C"),$A80,(INDIRECT("'"&amp;Assemblies[Assy]&amp;"'!"&amp;"O:O"))))</f>
        <v>2</v>
      </c>
      <c r="F80">
        <f ca="1">ROUNDUP(Purchased[[#This Row],[BOM QTY]]/Purchased[[#This Row],[PK QTY]], 0)</f>
        <v>2</v>
      </c>
      <c r="G80">
        <v>2</v>
      </c>
      <c r="H80" t="str">
        <f ca="1">IF(F80&lt;=G80," ","YES")</f>
        <v xml:space="preserve"> </v>
      </c>
      <c r="I80">
        <v>2</v>
      </c>
      <c r="J80">
        <v>2</v>
      </c>
      <c r="K80" t="s">
        <v>2926</v>
      </c>
      <c r="L80" t="s">
        <v>2931</v>
      </c>
      <c r="N80" s="40">
        <v>45489</v>
      </c>
      <c r="O80" s="40">
        <v>45489</v>
      </c>
      <c r="P80" s="40">
        <v>45510</v>
      </c>
      <c r="Q80" s="40">
        <v>45513</v>
      </c>
      <c r="R80">
        <v>55596</v>
      </c>
      <c r="S80" s="40" t="str" cm="1">
        <f t="array" aca="1" ref="S80" ca="1">TRIM(SUBSTITUTE(_xlfn.ARRAYTOTEXT(IFERROR(CONCATENATE(SUMIF(INDIRECT("'"&amp;Assemblies[Assy]&amp;"'!"&amp;"C$5:C1000"), $A80, INDIRECT("'"&amp;Assemblies[Assy]&amp;"'!"&amp;"O$5:O1000")), "x",Assemblies[Assy],".",IF(SUMIF(INDIRECT("'"&amp;Assemblies[Assy]&amp;"'!"&amp;"C$5:C1000"), $A80, INDIRECT("'"&amp;Assemblies[Assy]&amp;"'!"&amp;"A$5:A1000"))=0,NA(),SUMIF(INDIRECT("'"&amp;Assemblies[Assy]&amp;"'!"&amp;"C$5:C1000"), $A80, INDIRECT("'"&amp;Assemblies[Assy]&amp;"'!"&amp;"A$5:A1000")))),"")), " ,", ""))</f>
        <v>, 1x6.2.1.3.306, 1x6.3.1.3.306,</v>
      </c>
    </row>
    <row r="81" spans="1:19" hidden="1" x14ac:dyDescent="0.25">
      <c r="A81" s="160" t="s">
        <v>822</v>
      </c>
      <c r="B81" s="160" t="s">
        <v>3035</v>
      </c>
      <c r="C81" s="180">
        <v>220.66</v>
      </c>
      <c r="D81">
        <v>1</v>
      </c>
      <c r="E81" cm="1">
        <f t="array" aca="1" ref="E81" ca="1">SUMPRODUCT(SUMIF(INDIRECT("'"&amp;Assemblies[Assy]&amp;"'!"&amp;"C:C"),$A81,(INDIRECT("'"&amp;Assemblies[Assy]&amp;"'!"&amp;"O:O"))))</f>
        <v>2</v>
      </c>
      <c r="F81">
        <f ca="1">ROUNDUP(Purchased[[#This Row],[BOM QTY]]/Purchased[[#This Row],[PK QTY]], 0)</f>
        <v>2</v>
      </c>
      <c r="G81">
        <v>2</v>
      </c>
      <c r="H81" t="str">
        <f ca="1">IF(F81&lt;=G81," ","YES")</f>
        <v xml:space="preserve"> </v>
      </c>
      <c r="I81">
        <v>2</v>
      </c>
      <c r="J81">
        <v>2</v>
      </c>
      <c r="K81" t="s">
        <v>2926</v>
      </c>
      <c r="L81" s="134" t="s">
        <v>2931</v>
      </c>
      <c r="N81" s="40">
        <v>45489</v>
      </c>
      <c r="O81" s="40">
        <v>45489</v>
      </c>
      <c r="P81" s="40">
        <v>45510</v>
      </c>
      <c r="Q81" s="40">
        <v>45513</v>
      </c>
      <c r="R81">
        <v>55596</v>
      </c>
      <c r="S81" s="40" t="str" cm="1">
        <f t="array" aca="1" ref="S81" ca="1">TRIM(SUBSTITUTE(_xlfn.ARRAYTOTEXT(IFERROR(CONCATENATE(SUMIF(INDIRECT("'"&amp;Assemblies[Assy]&amp;"'!"&amp;"C$5:C1000"), $A81, INDIRECT("'"&amp;Assemblies[Assy]&amp;"'!"&amp;"O$5:O1000")), "x",Assemblies[Assy],".",IF(SUMIF(INDIRECT("'"&amp;Assemblies[Assy]&amp;"'!"&amp;"C$5:C1000"), $A81, INDIRECT("'"&amp;Assemblies[Assy]&amp;"'!"&amp;"A$5:A1000"))=0,NA(),SUMIF(INDIRECT("'"&amp;Assemblies[Assy]&amp;"'!"&amp;"C$5:C1000"), $A81, INDIRECT("'"&amp;Assemblies[Assy]&amp;"'!"&amp;"A$5:A1000")))),"")), " ,", ""))</f>
        <v>, 1x5.5.1.306, 1x5.6.1.306,</v>
      </c>
    </row>
    <row r="82" spans="1:19" hidden="1" x14ac:dyDescent="0.25">
      <c r="A82" s="160" t="s">
        <v>984</v>
      </c>
      <c r="B82" s="160" t="s">
        <v>3036</v>
      </c>
      <c r="C82" s="180">
        <v>671.16</v>
      </c>
      <c r="D82">
        <v>1</v>
      </c>
      <c r="E82" cm="1">
        <f t="array" aca="1" ref="E82" ca="1">SUMPRODUCT(SUMIF(INDIRECT("'"&amp;Assemblies[Assy]&amp;"'!"&amp;"C:C"),$A82,(INDIRECT("'"&amp;Assemblies[Assy]&amp;"'!"&amp;"O:O"))))</f>
        <v>2</v>
      </c>
      <c r="F82">
        <f ca="1">ROUNDUP(Purchased[[#This Row],[BOM QTY]]/Purchased[[#This Row],[PK QTY]], 0)</f>
        <v>2</v>
      </c>
      <c r="G82">
        <v>2</v>
      </c>
      <c r="H82" t="str">
        <f ca="1">IF(F82&lt;=G82," ","YES")</f>
        <v xml:space="preserve"> </v>
      </c>
      <c r="I82">
        <v>2</v>
      </c>
      <c r="J82">
        <v>2</v>
      </c>
      <c r="K82" s="181" t="s">
        <v>2926</v>
      </c>
      <c r="L82" t="s">
        <v>2931</v>
      </c>
      <c r="N82" s="40">
        <v>45489</v>
      </c>
      <c r="O82" s="40">
        <v>45489</v>
      </c>
      <c r="P82" s="40">
        <v>45510</v>
      </c>
      <c r="Q82" s="40">
        <v>45513</v>
      </c>
      <c r="R82">
        <v>55596</v>
      </c>
      <c r="S82" s="40" t="str" cm="1">
        <f t="array" aca="1" ref="S82" ca="1">TRIM(SUBSTITUTE(_xlfn.ARRAYTOTEXT(IFERROR(CONCATENATE(SUMIF(INDIRECT("'"&amp;Assemblies[Assy]&amp;"'!"&amp;"C$5:C1000"), $A82, INDIRECT("'"&amp;Assemblies[Assy]&amp;"'!"&amp;"O$5:O1000")), "x",Assemblies[Assy],".",IF(SUMIF(INDIRECT("'"&amp;Assemblies[Assy]&amp;"'!"&amp;"C$5:C1000"), $A82, INDIRECT("'"&amp;Assemblies[Assy]&amp;"'!"&amp;"A$5:A1000"))=0,NA(),SUMIF(INDIRECT("'"&amp;Assemblies[Assy]&amp;"'!"&amp;"C$5:C1000"), $A82, INDIRECT("'"&amp;Assemblies[Assy]&amp;"'!"&amp;"A$5:A1000")))),"")), " ,", ""))</f>
        <v>, 1x6.2.2.309, 1x6.3.2.309,</v>
      </c>
    </row>
    <row r="83" spans="1:19" hidden="1" x14ac:dyDescent="0.25">
      <c r="A83" s="160" t="s">
        <v>827</v>
      </c>
      <c r="B83" s="160" t="s">
        <v>3037</v>
      </c>
      <c r="C83" s="180">
        <v>410.38</v>
      </c>
      <c r="D83">
        <v>1</v>
      </c>
      <c r="E83" cm="1">
        <f t="array" aca="1" ref="E83" ca="1">SUMPRODUCT(SUMIF(INDIRECT("'"&amp;Assemblies[Assy]&amp;"'!"&amp;"C:C"),$A83,(INDIRECT("'"&amp;Assemblies[Assy]&amp;"'!"&amp;"O:O"))))</f>
        <v>2</v>
      </c>
      <c r="F83">
        <f ca="1">ROUNDUP(Purchased[[#This Row],[BOM QTY]]/Purchased[[#This Row],[PK QTY]], 0)</f>
        <v>2</v>
      </c>
      <c r="G83">
        <v>2</v>
      </c>
      <c r="H83" t="str">
        <f ca="1">IF(F83&lt;=G83," ","YES")</f>
        <v xml:space="preserve"> </v>
      </c>
      <c r="I83">
        <v>2</v>
      </c>
      <c r="J83">
        <v>2</v>
      </c>
      <c r="K83" t="s">
        <v>2926</v>
      </c>
      <c r="L83" t="s">
        <v>2931</v>
      </c>
      <c r="N83" s="40">
        <v>45489</v>
      </c>
      <c r="O83" s="40">
        <v>45489</v>
      </c>
      <c r="P83" s="40">
        <v>45510</v>
      </c>
      <c r="Q83" s="40">
        <v>45541</v>
      </c>
      <c r="R83">
        <v>55596</v>
      </c>
      <c r="S83" s="40" t="str" cm="1">
        <f t="array" aca="1" ref="S83" ca="1">TRIM(SUBSTITUTE(_xlfn.ARRAYTOTEXT(IFERROR(CONCATENATE(SUMIF(INDIRECT("'"&amp;Assemblies[Assy]&amp;"'!"&amp;"C$5:C1000"), $A83, INDIRECT("'"&amp;Assemblies[Assy]&amp;"'!"&amp;"O$5:O1000")), "x",Assemblies[Assy],".",IF(SUMIF(INDIRECT("'"&amp;Assemblies[Assy]&amp;"'!"&amp;"C$5:C1000"), $A83, INDIRECT("'"&amp;Assemblies[Assy]&amp;"'!"&amp;"A$5:A1000"))=0,NA(),SUMIF(INDIRECT("'"&amp;Assemblies[Assy]&amp;"'!"&amp;"C$5:C1000"), $A83, INDIRECT("'"&amp;Assemblies[Assy]&amp;"'!"&amp;"A$5:A1000")))),"")), " ,", ""))</f>
        <v>, 1x5.5.2.303, 1x5.6.2.304,</v>
      </c>
    </row>
    <row r="84" spans="1:19" hidden="1" x14ac:dyDescent="0.25">
      <c r="A84" s="160" t="s">
        <v>1003</v>
      </c>
      <c r="B84" s="160" t="s">
        <v>3038</v>
      </c>
      <c r="C84" s="180">
        <v>262.23</v>
      </c>
      <c r="D84">
        <v>1</v>
      </c>
      <c r="E84" cm="1">
        <f t="array" aca="1" ref="E84" ca="1">SUMPRODUCT(SUMIF(INDIRECT("'"&amp;Assemblies[Assy]&amp;"'!"&amp;"C:C"),$A84,(INDIRECT("'"&amp;Assemblies[Assy]&amp;"'!"&amp;"O:O"))))</f>
        <v>2</v>
      </c>
      <c r="F84">
        <f ca="1">ROUNDUP(Purchased[[#This Row],[BOM QTY]]/Purchased[[#This Row],[PK QTY]], 0)</f>
        <v>2</v>
      </c>
      <c r="G84">
        <v>2</v>
      </c>
      <c r="H84" t="str">
        <f ca="1">IF(F84&lt;=G84," ","YES")</f>
        <v xml:space="preserve"> </v>
      </c>
      <c r="I84">
        <v>2</v>
      </c>
      <c r="J84">
        <v>2</v>
      </c>
      <c r="K84" s="181" t="s">
        <v>2926</v>
      </c>
      <c r="L84" t="s">
        <v>2931</v>
      </c>
      <c r="N84" s="40">
        <v>45489</v>
      </c>
      <c r="O84" s="40">
        <v>45489</v>
      </c>
      <c r="P84" s="40">
        <v>45510</v>
      </c>
      <c r="Q84" s="40">
        <v>45541</v>
      </c>
      <c r="R84">
        <v>55596</v>
      </c>
      <c r="S84" s="40" t="str" cm="1">
        <f t="array" aca="1" ref="S84" ca="1">TRIM(SUBSTITUTE(_xlfn.ARRAYTOTEXT(IFERROR(CONCATENATE(SUMIF(INDIRECT("'"&amp;Assemblies[Assy]&amp;"'!"&amp;"C$5:C1000"), $A84, INDIRECT("'"&amp;Assemblies[Assy]&amp;"'!"&amp;"O$5:O1000")), "x",Assemblies[Assy],".",IF(SUMIF(INDIRECT("'"&amp;Assemblies[Assy]&amp;"'!"&amp;"C$5:C1000"), $A84, INDIRECT("'"&amp;Assemblies[Assy]&amp;"'!"&amp;"A$5:A1000"))=0,NA(),SUMIF(INDIRECT("'"&amp;Assemblies[Assy]&amp;"'!"&amp;"C$5:C1000"), $A84, INDIRECT("'"&amp;Assemblies[Assy]&amp;"'!"&amp;"A$5:A1000")))),"")), " ,", ""))</f>
        <v>, 1x6.2.3.305, 1x6.3.3.305,</v>
      </c>
    </row>
    <row r="85" spans="1:19" hidden="1" x14ac:dyDescent="0.25">
      <c r="A85" s="160" t="s">
        <v>933</v>
      </c>
      <c r="B85" s="160" t="s">
        <v>3039</v>
      </c>
      <c r="C85" s="180">
        <v>308.31</v>
      </c>
      <c r="D85">
        <v>1</v>
      </c>
      <c r="E85" cm="1">
        <f t="array" aca="1" ref="E85" ca="1">SUMPRODUCT(SUMIF(INDIRECT("'"&amp;Assemblies[Assy]&amp;"'!"&amp;"C:C"),$A85,(INDIRECT("'"&amp;Assemblies[Assy]&amp;"'!"&amp;"O:O"))))</f>
        <v>2</v>
      </c>
      <c r="F85">
        <f ca="1">ROUNDUP(Purchased[[#This Row],[BOM QTY]]/Purchased[[#This Row],[PK QTY]], 0)</f>
        <v>2</v>
      </c>
      <c r="G85">
        <v>2</v>
      </c>
      <c r="H85" t="str">
        <f ca="1">IF(F85&lt;=G85," ","YES")</f>
        <v xml:space="preserve"> </v>
      </c>
      <c r="I85">
        <v>2</v>
      </c>
      <c r="J85">
        <v>2</v>
      </c>
      <c r="K85" t="s">
        <v>2926</v>
      </c>
      <c r="L85" t="s">
        <v>2931</v>
      </c>
      <c r="N85" s="40">
        <v>45489</v>
      </c>
      <c r="O85" s="40">
        <v>45489</v>
      </c>
      <c r="P85" s="40">
        <v>45510</v>
      </c>
      <c r="Q85" s="40">
        <v>45541</v>
      </c>
      <c r="R85">
        <v>55596</v>
      </c>
      <c r="S85" s="40" t="str" cm="1">
        <f t="array" aca="1" ref="S85" ca="1">TRIM(SUBSTITUTE(_xlfn.ARRAYTOTEXT(IFERROR(CONCATENATE(SUMIF(INDIRECT("'"&amp;Assemblies[Assy]&amp;"'!"&amp;"C$5:C1000"), $A85, INDIRECT("'"&amp;Assemblies[Assy]&amp;"'!"&amp;"O$5:O1000")), "x",Assemblies[Assy],".",IF(SUMIF(INDIRECT("'"&amp;Assemblies[Assy]&amp;"'!"&amp;"C$5:C1000"), $A85, INDIRECT("'"&amp;Assemblies[Assy]&amp;"'!"&amp;"A$5:A1000"))=0,NA(),SUMIF(INDIRECT("'"&amp;Assemblies[Assy]&amp;"'!"&amp;"C$5:C1000"), $A85, INDIRECT("'"&amp;Assemblies[Assy]&amp;"'!"&amp;"A$5:A1000")))),"")), " ,", ""))</f>
        <v>, 1x6.2.1.308, 1x6.3.1.308,</v>
      </c>
    </row>
    <row r="86" spans="1:19" hidden="1" x14ac:dyDescent="0.25">
      <c r="A86" s="160" t="s">
        <v>112</v>
      </c>
      <c r="B86" s="160" t="s">
        <v>3087</v>
      </c>
      <c r="C86" s="180">
        <v>914.19709999999998</v>
      </c>
      <c r="D86">
        <v>1</v>
      </c>
      <c r="E86" cm="1">
        <f t="array" aca="1" ref="E86" ca="1">SUMPRODUCT(SUMIF(INDIRECT("'"&amp;Assemblies[Assy]&amp;"'!"&amp;"C:C"),$A86,(INDIRECT("'"&amp;Assemblies[Assy]&amp;"'!"&amp;"O:O"))))</f>
        <v>2</v>
      </c>
      <c r="F86">
        <f ca="1">ROUNDUP(Purchased[[#This Row],[BOM QTY]]/Purchased[[#This Row],[PK QTY]], 0)</f>
        <v>2</v>
      </c>
      <c r="G86">
        <v>2</v>
      </c>
      <c r="H86" t="str">
        <f ca="1">IF(F86&lt;=G86," ","YES")</f>
        <v xml:space="preserve"> </v>
      </c>
      <c r="I86">
        <v>2</v>
      </c>
      <c r="J86">
        <v>2</v>
      </c>
      <c r="K86" t="s">
        <v>2926</v>
      </c>
      <c r="L86" t="s">
        <v>2931</v>
      </c>
      <c r="N86" s="40">
        <v>45495</v>
      </c>
      <c r="O86" s="40">
        <v>45497</v>
      </c>
      <c r="P86" s="40">
        <v>45526</v>
      </c>
      <c r="Q86" s="40">
        <v>45526</v>
      </c>
      <c r="R86">
        <v>55614</v>
      </c>
      <c r="S86" s="40" t="str" cm="1">
        <f t="array" aca="1" ref="S86" ca="1">TRIM(SUBSTITUTE(_xlfn.ARRAYTOTEXT(IFERROR(CONCATENATE(SUMIF(INDIRECT("'"&amp;Assemblies[Assy]&amp;"'!"&amp;"C$5:C1000"), $A86, INDIRECT("'"&amp;Assemblies[Assy]&amp;"'!"&amp;"O$5:O1000")), "x",Assemblies[Assy],".",IF(SUMIF(INDIRECT("'"&amp;Assemblies[Assy]&amp;"'!"&amp;"C$5:C1000"), $A86, INDIRECT("'"&amp;Assemblies[Assy]&amp;"'!"&amp;"A$5:A1000"))=0,NA(),SUMIF(INDIRECT("'"&amp;Assemblies[Assy]&amp;"'!"&amp;"C$5:C1000"), $A86, INDIRECT("'"&amp;Assemblies[Assy]&amp;"'!"&amp;"A$5:A1000")))),"")), " ,", ""))</f>
        <v>, 2x0.4.1.301,</v>
      </c>
    </row>
    <row r="87" spans="1:19" hidden="1" x14ac:dyDescent="0.25">
      <c r="A87" s="160" t="s">
        <v>116</v>
      </c>
      <c r="B87" s="160" t="s">
        <v>3088</v>
      </c>
      <c r="C87" s="180">
        <v>1228.4159999999999</v>
      </c>
      <c r="D87">
        <v>1</v>
      </c>
      <c r="E87" cm="1">
        <f t="array" aca="1" ref="E87" ca="1">SUMPRODUCT(SUMIF(INDIRECT("'"&amp;Assemblies[Assy]&amp;"'!"&amp;"C:C"),$A87,(INDIRECT("'"&amp;Assemblies[Assy]&amp;"'!"&amp;"O:O"))))</f>
        <v>2</v>
      </c>
      <c r="F87">
        <f ca="1">ROUNDUP(Purchased[[#This Row],[BOM QTY]]/Purchased[[#This Row],[PK QTY]], 0)</f>
        <v>2</v>
      </c>
      <c r="G87">
        <v>2</v>
      </c>
      <c r="H87" t="str">
        <f ca="1">IF(F87&lt;=G87," ","YES")</f>
        <v xml:space="preserve"> </v>
      </c>
      <c r="I87">
        <v>2</v>
      </c>
      <c r="J87">
        <v>2</v>
      </c>
      <c r="K87" t="s">
        <v>2926</v>
      </c>
      <c r="L87" t="s">
        <v>2931</v>
      </c>
      <c r="N87" s="40">
        <v>45495</v>
      </c>
      <c r="O87" s="40">
        <v>45497</v>
      </c>
      <c r="P87" s="40">
        <v>45526</v>
      </c>
      <c r="Q87" s="40">
        <v>45526</v>
      </c>
      <c r="R87">
        <v>55614</v>
      </c>
      <c r="S87" s="40" t="str" cm="1">
        <f t="array" aca="1" ref="S87" ca="1">TRIM(SUBSTITUTE(_xlfn.ARRAYTOTEXT(IFERROR(CONCATENATE(SUMIF(INDIRECT("'"&amp;Assemblies[Assy]&amp;"'!"&amp;"C$5:C1000"), $A87, INDIRECT("'"&amp;Assemblies[Assy]&amp;"'!"&amp;"O$5:O1000")), "x",Assemblies[Assy],".",IF(SUMIF(INDIRECT("'"&amp;Assemblies[Assy]&amp;"'!"&amp;"C$5:C1000"), $A87, INDIRECT("'"&amp;Assemblies[Assy]&amp;"'!"&amp;"A$5:A1000"))=0,NA(),SUMIF(INDIRECT("'"&amp;Assemblies[Assy]&amp;"'!"&amp;"C$5:C1000"), $A87, INDIRECT("'"&amp;Assemblies[Assy]&amp;"'!"&amp;"A$5:A1000")))),"")), " ,", ""))</f>
        <v>, 2x0.6.1.301,</v>
      </c>
    </row>
    <row r="88" spans="1:19" hidden="1" x14ac:dyDescent="0.25">
      <c r="A88" s="160" t="s">
        <v>3091</v>
      </c>
      <c r="B88" s="160" t="s">
        <v>3092</v>
      </c>
      <c r="C88" s="180">
        <v>80.967600000000004</v>
      </c>
      <c r="D88">
        <v>1</v>
      </c>
      <c r="E88" cm="1">
        <f t="array" aca="1" ref="E88" ca="1">SUMPRODUCT(SUMIF(INDIRECT("'"&amp;Assemblies[Assy]&amp;"'!"&amp;"C:C"),$A88,(INDIRECT("'"&amp;Assemblies[Assy]&amp;"'!"&amp;"O:O"))))</f>
        <v>0</v>
      </c>
      <c r="F88">
        <f ca="1">ROUNDUP(Purchased[[#This Row],[BOM QTY]]/Purchased[[#This Row],[PK QTY]], 0)</f>
        <v>0</v>
      </c>
      <c r="G88">
        <v>2</v>
      </c>
      <c r="H88" t="str">
        <f ca="1">IF(F88&lt;=G88," ","YES")</f>
        <v xml:space="preserve"> </v>
      </c>
      <c r="I88">
        <v>2</v>
      </c>
      <c r="J88">
        <v>2</v>
      </c>
      <c r="K88" t="s">
        <v>2926</v>
      </c>
      <c r="L88" t="s">
        <v>2931</v>
      </c>
      <c r="N88" s="40">
        <v>45495</v>
      </c>
      <c r="O88" s="40">
        <v>45497</v>
      </c>
      <c r="P88" s="40">
        <v>45526</v>
      </c>
      <c r="Q88" s="40">
        <v>45526</v>
      </c>
      <c r="R88">
        <v>55614</v>
      </c>
      <c r="S88" s="40" t="str" cm="1">
        <f t="array" aca="1" ref="S88" ca="1">TRIM(SUBSTITUTE(_xlfn.ARRAYTOTEXT(IFERROR(CONCATENATE(SUMIF(INDIRECT("'"&amp;Assemblies[Assy]&amp;"'!"&amp;"C$5:C1000"), $A88, INDIRECT("'"&amp;Assemblies[Assy]&amp;"'!"&amp;"O$5:O1000")), "x",Assemblies[Assy],".",IF(SUMIF(INDIRECT("'"&amp;Assemblies[Assy]&amp;"'!"&amp;"C$5:C1000"), $A88, INDIRECT("'"&amp;Assemblies[Assy]&amp;"'!"&amp;"A$5:A1000"))=0,NA(),SUMIF(INDIRECT("'"&amp;Assemblies[Assy]&amp;"'!"&amp;"C$5:C1000"), $A88, INDIRECT("'"&amp;Assemblies[Assy]&amp;"'!"&amp;"A$5:A1000")))),"")), " ,", ""))</f>
        <v>,</v>
      </c>
    </row>
    <row r="89" spans="1:19" hidden="1" x14ac:dyDescent="0.25">
      <c r="A89" s="160" t="s">
        <v>850</v>
      </c>
      <c r="B89" s="160" t="s">
        <v>3100</v>
      </c>
      <c r="C89" s="180">
        <v>40.08</v>
      </c>
      <c r="D89">
        <v>1</v>
      </c>
      <c r="E89" cm="1">
        <f t="array" aca="1" ref="E89" ca="1">SUMPRODUCT(SUMIF(INDIRECT("'"&amp;Assemblies[Assy]&amp;"'!"&amp;"C:C"),$A89,(INDIRECT("'"&amp;Assemblies[Assy]&amp;"'!"&amp;"O:O"))))</f>
        <v>2</v>
      </c>
      <c r="F89">
        <f ca="1">ROUNDUP(Purchased[[#This Row],[BOM QTY]]/Purchased[[#This Row],[PK QTY]], 0)</f>
        <v>2</v>
      </c>
      <c r="G89">
        <v>2</v>
      </c>
      <c r="H89" t="str">
        <f ca="1">IF(F89&lt;=G89," ","YES")</f>
        <v xml:space="preserve"> </v>
      </c>
      <c r="I89">
        <v>2</v>
      </c>
      <c r="J89">
        <v>2</v>
      </c>
      <c r="K89" t="s">
        <v>2926</v>
      </c>
      <c r="L89" t="s">
        <v>2931</v>
      </c>
      <c r="N89" s="40" t="s">
        <v>2747</v>
      </c>
      <c r="O89" s="40">
        <v>45524</v>
      </c>
      <c r="P89" s="40">
        <v>45547</v>
      </c>
      <c r="Q89" s="40">
        <v>45530</v>
      </c>
      <c r="R89">
        <v>55692</v>
      </c>
      <c r="S89" s="40" t="str" cm="1">
        <f t="array" aca="1" ref="S89" ca="1">TRIM(SUBSTITUTE(_xlfn.ARRAYTOTEXT(IFERROR(CONCATENATE(SUMIF(INDIRECT("'"&amp;Assemblies[Assy]&amp;"'!"&amp;"C$5:C1000"), $A89, INDIRECT("'"&amp;Assemblies[Assy]&amp;"'!"&amp;"O$5:O1000")), "x",Assemblies[Assy],".",IF(SUMIF(INDIRECT("'"&amp;Assemblies[Assy]&amp;"'!"&amp;"C$5:C1000"), $A89, INDIRECT("'"&amp;Assemblies[Assy]&amp;"'!"&amp;"A$5:A1000"))=0,NA(),SUMIF(INDIRECT("'"&amp;Assemblies[Assy]&amp;"'!"&amp;"C$5:C1000"), $A89, INDIRECT("'"&amp;Assemblies[Assy]&amp;"'!"&amp;"A$5:A1000")))),"")), " ,", ""))</f>
        <v>, 2x5.5.4.308,</v>
      </c>
    </row>
    <row r="90" spans="1:19" hidden="1" x14ac:dyDescent="0.25">
      <c r="A90" s="160" t="s">
        <v>1430</v>
      </c>
      <c r="B90" s="160" t="s">
        <v>3111</v>
      </c>
      <c r="C90" s="180">
        <v>9</v>
      </c>
      <c r="D90">
        <v>1</v>
      </c>
      <c r="E90" cm="1">
        <f t="array" aca="1" ref="E90" ca="1">SUMPRODUCT(SUMIF(INDIRECT("'"&amp;Assemblies[Assy]&amp;"'!"&amp;"C:C"),$A90,(INDIRECT("'"&amp;Assemblies[Assy]&amp;"'!"&amp;"O:O"))))</f>
        <v>2</v>
      </c>
      <c r="F90">
        <f ca="1">ROUNDUP(Purchased[[#This Row],[BOM QTY]]/Purchased[[#This Row],[PK QTY]], 0)</f>
        <v>2</v>
      </c>
      <c r="G90">
        <v>2</v>
      </c>
      <c r="H90" t="str">
        <f ca="1">IF(F90&lt;=G90," ","YES")</f>
        <v xml:space="preserve"> </v>
      </c>
      <c r="I90">
        <v>2</v>
      </c>
      <c r="J90">
        <v>2</v>
      </c>
      <c r="K90" t="s">
        <v>2926</v>
      </c>
      <c r="L90" t="s">
        <v>2931</v>
      </c>
      <c r="N90" s="40">
        <v>45530</v>
      </c>
      <c r="O90" s="40">
        <v>45531</v>
      </c>
      <c r="P90" s="40">
        <v>45541</v>
      </c>
      <c r="Q90" s="40">
        <v>45541</v>
      </c>
      <c r="R90">
        <v>55709</v>
      </c>
      <c r="S90" s="40" t="str" cm="1">
        <f t="array" aca="1" ref="S90" ca="1">TRIM(SUBSTITUTE(_xlfn.ARRAYTOTEXT(IFERROR(CONCATENATE(SUMIF(INDIRECT("'"&amp;Assemblies[Assy]&amp;"'!"&amp;"C$5:C1000"), $A90, INDIRECT("'"&amp;Assemblies[Assy]&amp;"'!"&amp;"O$5:O1000")), "x",Assemblies[Assy],".",IF(SUMIF(INDIRECT("'"&amp;Assemblies[Assy]&amp;"'!"&amp;"C$5:C1000"), $A90, INDIRECT("'"&amp;Assemblies[Assy]&amp;"'!"&amp;"A$5:A1000"))=0,NA(),SUMIF(INDIRECT("'"&amp;Assemblies[Assy]&amp;"'!"&amp;"C$5:C1000"), $A90, INDIRECT("'"&amp;Assemblies[Assy]&amp;"'!"&amp;"A$5:A1000")))),"")), " ,", ""))</f>
        <v>, 2x11.1.302,</v>
      </c>
    </row>
    <row r="91" spans="1:19" hidden="1" x14ac:dyDescent="0.25">
      <c r="A91" s="160" t="s">
        <v>956</v>
      </c>
      <c r="B91" s="160" t="s">
        <v>3052</v>
      </c>
      <c r="C91" s="180">
        <v>4.87</v>
      </c>
      <c r="D91">
        <v>1</v>
      </c>
      <c r="E91" cm="1">
        <f t="array" aca="1" ref="E91" ca="1">SUMPRODUCT(SUMIF(INDIRECT("'"&amp;Assemblies[Assy]&amp;"'!"&amp;"C:C"),$A91,(INDIRECT("'"&amp;Assemblies[Assy]&amp;"'!"&amp;"O:O"))))</f>
        <v>2</v>
      </c>
      <c r="F91">
        <f ca="1">ROUNDUP(Purchased[[#This Row],[BOM QTY]]/Purchased[[#This Row],[PK QTY]], 0)</f>
        <v>2</v>
      </c>
      <c r="G91">
        <v>2</v>
      </c>
      <c r="H91" t="str">
        <f ca="1">IF(F91&lt;=G91," ","YES")</f>
        <v xml:space="preserve"> </v>
      </c>
      <c r="I91">
        <v>2</v>
      </c>
      <c r="J91">
        <v>2</v>
      </c>
      <c r="K91" t="s">
        <v>2926</v>
      </c>
      <c r="L91" t="s">
        <v>2931</v>
      </c>
      <c r="N91" s="40">
        <v>45489</v>
      </c>
      <c r="O91" s="40">
        <v>45491</v>
      </c>
      <c r="P91" s="40">
        <v>45520</v>
      </c>
      <c r="Q91" s="40">
        <v>45511</v>
      </c>
      <c r="R91">
        <v>55603</v>
      </c>
      <c r="S91" s="40" t="str" cm="1">
        <f t="array" aca="1" ref="S91" ca="1">TRIM(SUBSTITUTE(_xlfn.ARRAYTOTEXT(IFERROR(CONCATENATE(SUMIF(INDIRECT("'"&amp;Assemblies[Assy]&amp;"'!"&amp;"C$5:C1000"), $A91, INDIRECT("'"&amp;Assemblies[Assy]&amp;"'!"&amp;"O$5:O1000")), "x",Assemblies[Assy],".",IF(SUMIF(INDIRECT("'"&amp;Assemblies[Assy]&amp;"'!"&amp;"C$5:C1000"), $A91, INDIRECT("'"&amp;Assemblies[Assy]&amp;"'!"&amp;"A$5:A1000"))=0,NA(),SUMIF(INDIRECT("'"&amp;Assemblies[Assy]&amp;"'!"&amp;"C$5:C1000"), $A91, INDIRECT("'"&amp;Assemblies[Assy]&amp;"'!"&amp;"A$5:A1000")))),"")), " ,", ""))</f>
        <v>, 1x6.2.1.3.308, 1x6.3.1.3.308,</v>
      </c>
    </row>
    <row r="92" spans="1:19" hidden="1" x14ac:dyDescent="0.25">
      <c r="A92" s="160" t="s">
        <v>430</v>
      </c>
      <c r="B92" s="160" t="s">
        <v>3086</v>
      </c>
      <c r="C92" s="180">
        <v>465.21499999999997</v>
      </c>
      <c r="D92">
        <v>1</v>
      </c>
      <c r="E92" cm="1">
        <f t="array" aca="1" ref="E92" ca="1">SUMPRODUCT(SUMIF(INDIRECT("'"&amp;Assemblies[Assy]&amp;"'!"&amp;"C:C"),$A92,(INDIRECT("'"&amp;Assemblies[Assy]&amp;"'!"&amp;"O:O"))))</f>
        <v>3</v>
      </c>
      <c r="F92">
        <f ca="1">ROUNDUP(Purchased[[#This Row],[BOM QTY]]/Purchased[[#This Row],[PK QTY]], 0)</f>
        <v>3</v>
      </c>
      <c r="G92">
        <v>3</v>
      </c>
      <c r="H92" t="str">
        <f ca="1">IF(F92&lt;=G92," ","YES")</f>
        <v xml:space="preserve"> </v>
      </c>
      <c r="I92">
        <v>3</v>
      </c>
      <c r="J92">
        <v>3</v>
      </c>
      <c r="K92" t="s">
        <v>2926</v>
      </c>
      <c r="L92" t="s">
        <v>2931</v>
      </c>
      <c r="N92" s="40">
        <v>45495</v>
      </c>
      <c r="O92" s="40">
        <v>45497</v>
      </c>
      <c r="P92" s="40">
        <v>45526</v>
      </c>
      <c r="Q92" s="40">
        <v>45526</v>
      </c>
      <c r="R92">
        <v>55614</v>
      </c>
      <c r="S92" s="40" t="str" cm="1">
        <f t="array" aca="1" ref="S92" ca="1">TRIM(SUBSTITUTE(_xlfn.ARRAYTOTEXT(IFERROR(CONCATENATE(SUMIF(INDIRECT("'"&amp;Assemblies[Assy]&amp;"'!"&amp;"C$5:C1000"), $A92, INDIRECT("'"&amp;Assemblies[Assy]&amp;"'!"&amp;"O$5:O1000")), "x",Assemblies[Assy],".",IF(SUMIF(INDIRECT("'"&amp;Assemblies[Assy]&amp;"'!"&amp;"C$5:C1000"), $A92, INDIRECT("'"&amp;Assemblies[Assy]&amp;"'!"&amp;"A$5:A1000"))=0,NA(),SUMIF(INDIRECT("'"&amp;Assemblies[Assy]&amp;"'!"&amp;"C$5:C1000"), $A92, INDIRECT("'"&amp;Assemblies[Assy]&amp;"'!"&amp;"A$5:A1000")))),"")), " ,", ""))</f>
        <v>, 3x2.3.1.301,</v>
      </c>
    </row>
    <row r="93" spans="1:19" hidden="1" x14ac:dyDescent="0.25">
      <c r="A93" s="160" t="s">
        <v>434</v>
      </c>
      <c r="B93" s="160" t="s">
        <v>3083</v>
      </c>
      <c r="C93" s="180">
        <v>0</v>
      </c>
      <c r="D93">
        <v>1</v>
      </c>
      <c r="E93" cm="1">
        <f t="array" aca="1" ref="E93" ca="1">SUMPRODUCT(SUMIF(INDIRECT("'"&amp;Assemblies[Assy]&amp;"'!"&amp;"C:C"),$A93,(INDIRECT("'"&amp;Assemblies[Assy]&amp;"'!"&amp;"O:O"))))</f>
        <v>3</v>
      </c>
      <c r="F93">
        <f ca="1">ROUNDUP(Purchased[[#This Row],[BOM QTY]]/Purchased[[#This Row],[PK QTY]], 0)</f>
        <v>3</v>
      </c>
      <c r="G93">
        <v>3</v>
      </c>
      <c r="H93" t="str">
        <f ca="1">IF(F93&lt;=G93," ","YES")</f>
        <v xml:space="preserve"> </v>
      </c>
      <c r="I93">
        <v>3</v>
      </c>
      <c r="J93">
        <v>3</v>
      </c>
      <c r="K93" t="s">
        <v>2926</v>
      </c>
      <c r="L93" t="s">
        <v>2931</v>
      </c>
      <c r="N93" s="40">
        <v>45489</v>
      </c>
      <c r="O93" s="40">
        <v>45491</v>
      </c>
      <c r="P93" s="40">
        <v>45520</v>
      </c>
      <c r="Q93" s="40">
        <v>45511</v>
      </c>
      <c r="R93">
        <v>55603</v>
      </c>
      <c r="S93" s="40" t="str" cm="1">
        <f t="array" aca="1" ref="S93" ca="1">TRIM(SUBSTITUTE(_xlfn.ARRAYTOTEXT(IFERROR(CONCATENATE(SUMIF(INDIRECT("'"&amp;Assemblies[Assy]&amp;"'!"&amp;"C$5:C1000"), $A93, INDIRECT("'"&amp;Assemblies[Assy]&amp;"'!"&amp;"O$5:O1000")), "x",Assemblies[Assy],".",IF(SUMIF(INDIRECT("'"&amp;Assemblies[Assy]&amp;"'!"&amp;"C$5:C1000"), $A93, INDIRECT("'"&amp;Assemblies[Assy]&amp;"'!"&amp;"A$5:A1000"))=0,NA(),SUMIF(INDIRECT("'"&amp;Assemblies[Assy]&amp;"'!"&amp;"C$5:C1000"), $A93, INDIRECT("'"&amp;Assemblies[Assy]&amp;"'!"&amp;"A$5:A1000")))),"")), " ,", ""))</f>
        <v>, 3x2.3.4.302,</v>
      </c>
    </row>
    <row r="94" spans="1:19" hidden="1" x14ac:dyDescent="0.25">
      <c r="A94" s="162" t="s">
        <v>218</v>
      </c>
      <c r="B94" s="160" t="s">
        <v>3022</v>
      </c>
      <c r="C94" s="180">
        <v>69.099999999999994</v>
      </c>
      <c r="D94">
        <v>1</v>
      </c>
      <c r="E94" cm="1">
        <f t="array" aca="1" ref="E94" ca="1">SUMPRODUCT(SUMIF(INDIRECT("'"&amp;Assemblies[Assy]&amp;"'!"&amp;"C:C"),$A94,(INDIRECT("'"&amp;Assemblies[Assy]&amp;"'!"&amp;"O:O"))))</f>
        <v>4</v>
      </c>
      <c r="F94">
        <f ca="1">ROUNDUP(Purchased[[#This Row],[BOM QTY]]/Purchased[[#This Row],[PK QTY]], 0)</f>
        <v>4</v>
      </c>
      <c r="G94">
        <v>4</v>
      </c>
      <c r="H94" t="str">
        <f ca="1">IF(F94&lt;=G94," ","YES")</f>
        <v xml:space="preserve"> </v>
      </c>
      <c r="I94">
        <v>4</v>
      </c>
      <c r="J94">
        <v>4</v>
      </c>
      <c r="K94" t="s">
        <v>2926</v>
      </c>
      <c r="L94" t="s">
        <v>2931</v>
      </c>
      <c r="N94" s="40">
        <v>45456</v>
      </c>
      <c r="O94" s="40">
        <v>45456</v>
      </c>
      <c r="P94" s="40">
        <v>45502</v>
      </c>
      <c r="Q94" s="40">
        <v>45527</v>
      </c>
      <c r="R94">
        <v>55551</v>
      </c>
      <c r="S94" s="40" t="str" cm="1">
        <f t="array" aca="1" ref="S94" ca="1">TRIM(SUBSTITUTE(_xlfn.ARRAYTOTEXT(IFERROR(CONCATENATE(SUMIF(INDIRECT("'"&amp;Assemblies[Assy]&amp;"'!"&amp;"C$5:C1000"), $A94, INDIRECT("'"&amp;Assemblies[Assy]&amp;"'!"&amp;"O$5:O1000")), "x",Assemblies[Assy],".",IF(SUMIF(INDIRECT("'"&amp;Assemblies[Assy]&amp;"'!"&amp;"C$5:C1000"), $A94, INDIRECT("'"&amp;Assemblies[Assy]&amp;"'!"&amp;"A$5:A1000"))=0,NA(),SUMIF(INDIRECT("'"&amp;Assemblies[Assy]&amp;"'!"&amp;"C$5:C1000"), $A94, INDIRECT("'"&amp;Assemblies[Assy]&amp;"'!"&amp;"A$5:A1000")))),"")), " ,", ""))</f>
        <v>, 4x1.1.8.311,</v>
      </c>
    </row>
    <row r="95" spans="1:19" hidden="1" x14ac:dyDescent="0.25">
      <c r="A95" s="161" t="s">
        <v>1298</v>
      </c>
      <c r="B95" s="160" t="s">
        <v>3028</v>
      </c>
      <c r="C95" s="180">
        <v>30.58</v>
      </c>
      <c r="D95">
        <v>1</v>
      </c>
      <c r="E95" cm="1">
        <f t="array" aca="1" ref="E95" ca="1">SUMPRODUCT(SUMIF(INDIRECT("'"&amp;Assemblies[Assy]&amp;"'!"&amp;"C:C"),$A95,(INDIRECT("'"&amp;Assemblies[Assy]&amp;"'!"&amp;"O:O"))))</f>
        <v>4</v>
      </c>
      <c r="F95">
        <f ca="1">ROUNDUP(Purchased[[#This Row],[BOM QTY]]/Purchased[[#This Row],[PK QTY]], 0)</f>
        <v>4</v>
      </c>
      <c r="G95">
        <v>4</v>
      </c>
      <c r="H95" t="str">
        <f ca="1">IF(F95&lt;=G95," ","YES")</f>
        <v xml:space="preserve"> </v>
      </c>
      <c r="I95">
        <v>4</v>
      </c>
      <c r="J95">
        <v>4</v>
      </c>
      <c r="K95" t="s">
        <v>2926</v>
      </c>
      <c r="L95" t="s">
        <v>2931</v>
      </c>
      <c r="N95" s="40">
        <v>45489</v>
      </c>
      <c r="O95" s="40">
        <v>45489</v>
      </c>
      <c r="P95" s="40">
        <v>45510</v>
      </c>
      <c r="Q95" s="40">
        <v>45513</v>
      </c>
      <c r="R95">
        <v>55596</v>
      </c>
      <c r="S95" s="40" t="str" cm="1">
        <f t="array" aca="1" ref="S95" ca="1">TRIM(SUBSTITUTE(_xlfn.ARRAYTOTEXT(IFERROR(CONCATENATE(SUMIF(INDIRECT("'"&amp;Assemblies[Assy]&amp;"'!"&amp;"C$5:C1000"), $A95, INDIRECT("'"&amp;Assemblies[Assy]&amp;"'!"&amp;"O$5:O1000")), "x",Assemblies[Assy],".",IF(SUMIF(INDIRECT("'"&amp;Assemblies[Assy]&amp;"'!"&amp;"C$5:C1000"), $A95, INDIRECT("'"&amp;Assemblies[Assy]&amp;"'!"&amp;"A$5:A1000"))=0,NA(),SUMIF(INDIRECT("'"&amp;Assemblies[Assy]&amp;"'!"&amp;"C$5:C1000"), $A95, INDIRECT("'"&amp;Assemblies[Assy]&amp;"'!"&amp;"A$5:A1000")))),"")), " ,", ""))</f>
        <v>, 4x9.4.306,</v>
      </c>
    </row>
    <row r="96" spans="1:19" hidden="1" x14ac:dyDescent="0.25">
      <c r="A96" s="160" t="s">
        <v>932</v>
      </c>
      <c r="B96" s="160" t="s">
        <v>3040</v>
      </c>
      <c r="C96" s="180">
        <v>31.94</v>
      </c>
      <c r="D96">
        <v>1</v>
      </c>
      <c r="E96" cm="1">
        <f t="array" aca="1" ref="E96" ca="1">SUMPRODUCT(SUMIF(INDIRECT("'"&amp;Assemblies[Assy]&amp;"'!"&amp;"C:C"),$A96,(INDIRECT("'"&amp;Assemblies[Assy]&amp;"'!"&amp;"O:O"))))</f>
        <v>4</v>
      </c>
      <c r="F96">
        <f ca="1">ROUNDUP(Purchased[[#This Row],[BOM QTY]]/Purchased[[#This Row],[PK QTY]], 0)</f>
        <v>4</v>
      </c>
      <c r="G96">
        <v>4</v>
      </c>
      <c r="H96" t="str">
        <f ca="1">IF(F96&lt;=G96," ","YES")</f>
        <v xml:space="preserve"> </v>
      </c>
      <c r="I96">
        <v>4</v>
      </c>
      <c r="J96">
        <v>4</v>
      </c>
      <c r="K96" t="s">
        <v>2926</v>
      </c>
      <c r="L96" t="s">
        <v>2931</v>
      </c>
      <c r="N96" s="40">
        <v>45489</v>
      </c>
      <c r="O96" s="40">
        <v>45489</v>
      </c>
      <c r="P96" s="40">
        <v>45510</v>
      </c>
      <c r="Q96" s="40">
        <v>45513</v>
      </c>
      <c r="R96">
        <v>55596</v>
      </c>
      <c r="S96" s="40" t="str" cm="1">
        <f t="array" aca="1" ref="S96" ca="1">TRIM(SUBSTITUTE(_xlfn.ARRAYTOTEXT(IFERROR(CONCATENATE(SUMIF(INDIRECT("'"&amp;Assemblies[Assy]&amp;"'!"&amp;"C$5:C1000"), $A96, INDIRECT("'"&amp;Assemblies[Assy]&amp;"'!"&amp;"O$5:O1000")), "x",Assemblies[Assy],".",IF(SUMIF(INDIRECT("'"&amp;Assemblies[Assy]&amp;"'!"&amp;"C$5:C1000"), $A96, INDIRECT("'"&amp;Assemblies[Assy]&amp;"'!"&amp;"A$5:A1000"))=0,NA(),SUMIF(INDIRECT("'"&amp;Assemblies[Assy]&amp;"'!"&amp;"C$5:C1000"), $A96, INDIRECT("'"&amp;Assemblies[Assy]&amp;"'!"&amp;"A$5:A1000")))),"")), " ,", ""))</f>
        <v>, 2x6.2.1.307, 2x6.3.1.307,</v>
      </c>
    </row>
    <row r="97" spans="1:19" hidden="1" x14ac:dyDescent="0.25">
      <c r="A97" s="162" t="s">
        <v>3093</v>
      </c>
      <c r="B97" s="160" t="s">
        <v>3094</v>
      </c>
      <c r="C97" s="180">
        <v>85.441999999999993</v>
      </c>
      <c r="D97">
        <v>1</v>
      </c>
      <c r="E97" cm="1">
        <f t="array" aca="1" ref="E97" ca="1">SUMPRODUCT(SUMIF(INDIRECT("'"&amp;Assemblies[Assy]&amp;"'!"&amp;"C:C"),$A97,(INDIRECT("'"&amp;Assemblies[Assy]&amp;"'!"&amp;"O:O"))))</f>
        <v>0</v>
      </c>
      <c r="F97">
        <f ca="1">ROUNDUP(Purchased[[#This Row],[BOM QTY]]/Purchased[[#This Row],[PK QTY]], 0)</f>
        <v>0</v>
      </c>
      <c r="G97">
        <v>4</v>
      </c>
      <c r="H97" t="str">
        <f ca="1">IF(F97&lt;=G97," ","YES")</f>
        <v xml:space="preserve"> </v>
      </c>
      <c r="I97">
        <v>4</v>
      </c>
      <c r="J97">
        <v>4</v>
      </c>
      <c r="K97" t="s">
        <v>2926</v>
      </c>
      <c r="L97" t="s">
        <v>2931</v>
      </c>
      <c r="N97" s="40">
        <v>45495</v>
      </c>
      <c r="O97" s="40">
        <v>45497</v>
      </c>
      <c r="P97" s="40">
        <v>45526</v>
      </c>
      <c r="Q97" s="40">
        <v>45526</v>
      </c>
      <c r="R97">
        <v>55614</v>
      </c>
      <c r="S97" s="40" t="str" cm="1">
        <f t="array" aca="1" ref="S97" ca="1">TRIM(SUBSTITUTE(_xlfn.ARRAYTOTEXT(IFERROR(CONCATENATE(SUMIF(INDIRECT("'"&amp;Assemblies[Assy]&amp;"'!"&amp;"C$5:C1000"), $A97, INDIRECT("'"&amp;Assemblies[Assy]&amp;"'!"&amp;"O$5:O1000")), "x",Assemblies[Assy],".",IF(SUMIF(INDIRECT("'"&amp;Assemblies[Assy]&amp;"'!"&amp;"C$5:C1000"), $A97, INDIRECT("'"&amp;Assemblies[Assy]&amp;"'!"&amp;"A$5:A1000"))=0,NA(),SUMIF(INDIRECT("'"&amp;Assemblies[Assy]&amp;"'!"&amp;"C$5:C1000"), $A97, INDIRECT("'"&amp;Assemblies[Assy]&amp;"'!"&amp;"A$5:A1000")))),"")), " ,", ""))</f>
        <v>,</v>
      </c>
    </row>
    <row r="98" spans="1:19" hidden="1" x14ac:dyDescent="0.25">
      <c r="A98" s="160" t="s">
        <v>3095</v>
      </c>
      <c r="B98" s="160" t="s">
        <v>3096</v>
      </c>
      <c r="C98" s="180">
        <v>85.441999999999993</v>
      </c>
      <c r="D98">
        <v>1</v>
      </c>
      <c r="E98" cm="1">
        <f t="array" aca="1" ref="E98" ca="1">SUMPRODUCT(SUMIF(INDIRECT("'"&amp;Assemblies[Assy]&amp;"'!"&amp;"C:C"),$A98,(INDIRECT("'"&amp;Assemblies[Assy]&amp;"'!"&amp;"O:O"))))</f>
        <v>0</v>
      </c>
      <c r="F98">
        <f ca="1">ROUNDUP(Purchased[[#This Row],[BOM QTY]]/Purchased[[#This Row],[PK QTY]], 0)</f>
        <v>0</v>
      </c>
      <c r="G98">
        <v>4</v>
      </c>
      <c r="H98" t="str">
        <f ca="1">IF(F98&lt;=G98," ","YES")</f>
        <v xml:space="preserve"> </v>
      </c>
      <c r="I98">
        <v>4</v>
      </c>
      <c r="J98">
        <v>4</v>
      </c>
      <c r="K98" t="s">
        <v>2926</v>
      </c>
      <c r="L98" t="s">
        <v>2931</v>
      </c>
      <c r="N98" s="40">
        <v>45495</v>
      </c>
      <c r="O98" s="40">
        <v>45497</v>
      </c>
      <c r="P98" s="40">
        <v>45526</v>
      </c>
      <c r="Q98" s="40">
        <v>45526</v>
      </c>
      <c r="R98">
        <v>55614</v>
      </c>
      <c r="S98" s="40" t="str" cm="1">
        <f t="array" aca="1" ref="S98" ca="1">TRIM(SUBSTITUTE(_xlfn.ARRAYTOTEXT(IFERROR(CONCATENATE(SUMIF(INDIRECT("'"&amp;Assemblies[Assy]&amp;"'!"&amp;"C$5:C1000"), $A98, INDIRECT("'"&amp;Assemblies[Assy]&amp;"'!"&amp;"O$5:O1000")), "x",Assemblies[Assy],".",IF(SUMIF(INDIRECT("'"&amp;Assemblies[Assy]&amp;"'!"&amp;"C$5:C1000"), $A98, INDIRECT("'"&amp;Assemblies[Assy]&amp;"'!"&amp;"A$5:A1000"))=0,NA(),SUMIF(INDIRECT("'"&amp;Assemblies[Assy]&amp;"'!"&amp;"C$5:C1000"), $A98, INDIRECT("'"&amp;Assemblies[Assy]&amp;"'!"&amp;"A$5:A1000")))),"")), " ,", ""))</f>
        <v>,</v>
      </c>
    </row>
    <row r="99" spans="1:19" hidden="1" x14ac:dyDescent="0.25">
      <c r="A99" s="160" t="s">
        <v>945</v>
      </c>
      <c r="B99" s="160" t="s">
        <v>3047</v>
      </c>
      <c r="C99" s="180">
        <v>9.3800000000000008</v>
      </c>
      <c r="D99">
        <v>1</v>
      </c>
      <c r="E99" cm="1">
        <f t="array" aca="1" ref="E99" ca="1">SUMPRODUCT(SUMIF(INDIRECT("'"&amp;Assemblies[Assy]&amp;"'!"&amp;"C:C"),$A99,(INDIRECT("'"&amp;Assemblies[Assy]&amp;"'!"&amp;"O:O"))))</f>
        <v>4</v>
      </c>
      <c r="F99">
        <f ca="1">ROUNDUP(Purchased[[#This Row],[BOM QTY]]/Purchased[[#This Row],[PK QTY]], 0)</f>
        <v>4</v>
      </c>
      <c r="G99">
        <v>4</v>
      </c>
      <c r="H99" t="str">
        <f ca="1">IF(F99&lt;=G99," ","YES")</f>
        <v xml:space="preserve"> </v>
      </c>
      <c r="I99">
        <v>4</v>
      </c>
      <c r="J99">
        <v>4</v>
      </c>
      <c r="K99" t="s">
        <v>2926</v>
      </c>
      <c r="L99" t="s">
        <v>2931</v>
      </c>
      <c r="N99" s="40">
        <v>45489</v>
      </c>
      <c r="O99" s="40">
        <v>45491</v>
      </c>
      <c r="P99" s="40">
        <v>45520</v>
      </c>
      <c r="Q99" s="40">
        <v>45511</v>
      </c>
      <c r="R99">
        <v>55603</v>
      </c>
      <c r="S99" s="40" t="str" cm="1">
        <f t="array" aca="1" ref="S99" ca="1">TRIM(SUBSTITUTE(_xlfn.ARRAYTOTEXT(IFERROR(CONCATENATE(SUMIF(INDIRECT("'"&amp;Assemblies[Assy]&amp;"'!"&amp;"C$5:C1000"), $A99, INDIRECT("'"&amp;Assemblies[Assy]&amp;"'!"&amp;"O$5:O1000")), "x",Assemblies[Assy],".",IF(SUMIF(INDIRECT("'"&amp;Assemblies[Assy]&amp;"'!"&amp;"C$5:C1000"), $A99, INDIRECT("'"&amp;Assemblies[Assy]&amp;"'!"&amp;"A$5:A1000"))=0,NA(),SUMIF(INDIRECT("'"&amp;Assemblies[Assy]&amp;"'!"&amp;"C$5:C1000"), $A99, INDIRECT("'"&amp;Assemblies[Assy]&amp;"'!"&amp;"A$5:A1000")))),"")), " ,", ""))</f>
        <v>, 2x6.2.1.2.301, 2x6.3.1.2.301,</v>
      </c>
    </row>
    <row r="100" spans="1:19" hidden="1" x14ac:dyDescent="0.25">
      <c r="A100" s="160" t="s">
        <v>983</v>
      </c>
      <c r="B100" s="160" t="s">
        <v>3051</v>
      </c>
      <c r="C100" s="180">
        <v>6.02</v>
      </c>
      <c r="D100">
        <v>1</v>
      </c>
      <c r="E100" cm="1">
        <f t="array" aca="1" ref="E100" ca="1">SUMPRODUCT(SUMIF(INDIRECT("'"&amp;Assemblies[Assy]&amp;"'!"&amp;"C:C"),$A100,(INDIRECT("'"&amp;Assemblies[Assy]&amp;"'!"&amp;"O:O"))))</f>
        <v>4</v>
      </c>
      <c r="F100">
        <f ca="1">ROUNDUP(Purchased[[#This Row],[BOM QTY]]/Purchased[[#This Row],[PK QTY]], 0)</f>
        <v>4</v>
      </c>
      <c r="G100">
        <v>4</v>
      </c>
      <c r="H100" t="str">
        <f ca="1">IF(F100&lt;=G100," ","YES")</f>
        <v xml:space="preserve"> </v>
      </c>
      <c r="I100">
        <v>4</v>
      </c>
      <c r="J100">
        <v>4</v>
      </c>
      <c r="K100" s="181" t="s">
        <v>2926</v>
      </c>
      <c r="L100" t="s">
        <v>2931</v>
      </c>
      <c r="N100" s="40">
        <v>45489</v>
      </c>
      <c r="O100" s="40">
        <v>45491</v>
      </c>
      <c r="P100" s="40">
        <v>45520</v>
      </c>
      <c r="Q100" s="40">
        <v>45511</v>
      </c>
      <c r="R100">
        <v>55603</v>
      </c>
      <c r="S100" s="40" t="str" cm="1">
        <f t="array" aca="1" ref="S100" ca="1">TRIM(SUBSTITUTE(_xlfn.ARRAYTOTEXT(IFERROR(CONCATENATE(SUMIF(INDIRECT("'"&amp;Assemblies[Assy]&amp;"'!"&amp;"C$5:C1000"), $A100, INDIRECT("'"&amp;Assemblies[Assy]&amp;"'!"&amp;"O$5:O1000")), "x",Assemblies[Assy],".",IF(SUMIF(INDIRECT("'"&amp;Assemblies[Assy]&amp;"'!"&amp;"C$5:C1000"), $A100, INDIRECT("'"&amp;Assemblies[Assy]&amp;"'!"&amp;"A$5:A1000"))=0,NA(),SUMIF(INDIRECT("'"&amp;Assemblies[Assy]&amp;"'!"&amp;"C$5:C1000"), $A100, INDIRECT("'"&amp;Assemblies[Assy]&amp;"'!"&amp;"A$5:A1000")))),"")), " ,", ""))</f>
        <v>, 2x6.2.2.301, 2x6.3.2.301,</v>
      </c>
    </row>
    <row r="101" spans="1:19" hidden="1" x14ac:dyDescent="0.25">
      <c r="A101" s="162" t="s">
        <v>331</v>
      </c>
      <c r="B101" s="160" t="s">
        <v>3041</v>
      </c>
      <c r="C101" s="180">
        <v>21.65</v>
      </c>
      <c r="D101">
        <v>1</v>
      </c>
      <c r="E101" cm="1">
        <f t="array" aca="1" ref="E101" ca="1">SUMPRODUCT(SUMIF(INDIRECT("'"&amp;Assemblies[Assy]&amp;"'!"&amp;"C:C"),$A101,(INDIRECT("'"&amp;Assemblies[Assy]&amp;"'!"&amp;"O:O"))))</f>
        <v>6</v>
      </c>
      <c r="F101">
        <f ca="1">ROUNDUP(Purchased[[#This Row],[BOM QTY]]/Purchased[[#This Row],[PK QTY]], 0)</f>
        <v>6</v>
      </c>
      <c r="G101">
        <v>7</v>
      </c>
      <c r="H101" t="str">
        <f ca="1">IF(F101&lt;=G101," ","YES")</f>
        <v xml:space="preserve"> </v>
      </c>
      <c r="I101">
        <v>7</v>
      </c>
      <c r="J101">
        <v>7</v>
      </c>
      <c r="K101" t="s">
        <v>2926</v>
      </c>
      <c r="L101" t="s">
        <v>2931</v>
      </c>
      <c r="N101" s="40">
        <v>45489</v>
      </c>
      <c r="O101" s="40">
        <v>45491</v>
      </c>
      <c r="P101" s="40">
        <v>45520</v>
      </c>
      <c r="Q101" s="40">
        <v>45511</v>
      </c>
      <c r="R101">
        <v>55603</v>
      </c>
      <c r="S101" s="40" t="str" cm="1">
        <f t="array" aca="1" ref="S101" ca="1">TRIM(SUBSTITUTE(_xlfn.ARRAYTOTEXT(IFERROR(CONCATENATE(SUMIF(INDIRECT("'"&amp;Assemblies[Assy]&amp;"'!"&amp;"C$5:C1000"), $A101, INDIRECT("'"&amp;Assemblies[Assy]&amp;"'!"&amp;"O$5:O1000")), "x",Assemblies[Assy],".",IF(SUMIF(INDIRECT("'"&amp;Assemblies[Assy]&amp;"'!"&amp;"C$5:C1000"), $A101, INDIRECT("'"&amp;Assemblies[Assy]&amp;"'!"&amp;"A$5:A1000"))=0,NA(),SUMIF(INDIRECT("'"&amp;Assemblies[Assy]&amp;"'!"&amp;"C$5:C1000"), $A101, INDIRECT("'"&amp;Assemblies[Assy]&amp;"'!"&amp;"A$5:A1000")))),"")), " ,", ""))</f>
        <v>, 5x1.3.6.302, 1x4.6.316,</v>
      </c>
    </row>
    <row r="102" spans="1:19" hidden="1" x14ac:dyDescent="0.25">
      <c r="A102" s="160" t="s">
        <v>1078</v>
      </c>
      <c r="B102" s="160" t="s">
        <v>3099</v>
      </c>
      <c r="C102" s="180">
        <v>34.04</v>
      </c>
      <c r="D102">
        <v>1</v>
      </c>
      <c r="E102" cm="1">
        <f t="array" aca="1" ref="E102" ca="1">SUMPRODUCT(SUMIF(INDIRECT("'"&amp;Assemblies[Assy]&amp;"'!"&amp;"C:C"),$A102,(INDIRECT("'"&amp;Assemblies[Assy]&amp;"'!"&amp;"O:O"))))</f>
        <v>8</v>
      </c>
      <c r="F102">
        <f ca="1">ROUNDUP(Purchased[[#This Row],[BOM QTY]]/Purchased[[#This Row],[PK QTY]], 0)</f>
        <v>8</v>
      </c>
      <c r="G102">
        <v>8</v>
      </c>
      <c r="H102" t="str">
        <f ca="1">IF(F102&lt;=G102," ","YES")</f>
        <v xml:space="preserve"> </v>
      </c>
      <c r="I102">
        <v>8</v>
      </c>
      <c r="J102">
        <v>8</v>
      </c>
      <c r="K102" t="s">
        <v>2926</v>
      </c>
      <c r="L102" t="s">
        <v>2931</v>
      </c>
      <c r="O102" s="40">
        <v>45524</v>
      </c>
      <c r="Q102" s="40">
        <v>45530</v>
      </c>
      <c r="R102">
        <v>55692</v>
      </c>
      <c r="S102" s="40" t="str" cm="1">
        <f t="array" aca="1" ref="S102" ca="1">TRIM(SUBSTITUTE(_xlfn.ARRAYTOTEXT(IFERROR(CONCATENATE(SUMIF(INDIRECT("'"&amp;Assemblies[Assy]&amp;"'!"&amp;"C$5:C1000"), $A102, INDIRECT("'"&amp;Assemblies[Assy]&amp;"'!"&amp;"O$5:O1000")), "x",Assemblies[Assy],".",IF(SUMIF(INDIRECT("'"&amp;Assemblies[Assy]&amp;"'!"&amp;"C$5:C1000"), $A102, INDIRECT("'"&amp;Assemblies[Assy]&amp;"'!"&amp;"A$5:A1000"))=0,NA(),SUMIF(INDIRECT("'"&amp;Assemblies[Assy]&amp;"'!"&amp;"C$5:C1000"), $A102, INDIRECT("'"&amp;Assemblies[Assy]&amp;"'!"&amp;"A$5:A1000")))),"")), " ,", ""))</f>
        <v>, 8x6.10.312,</v>
      </c>
    </row>
    <row r="103" spans="1:19" hidden="1" x14ac:dyDescent="0.25">
      <c r="A103" s="160" t="s">
        <v>798</v>
      </c>
      <c r="B103" s="160" t="s">
        <v>3043</v>
      </c>
      <c r="C103" s="180">
        <v>1.65</v>
      </c>
      <c r="D103">
        <v>1</v>
      </c>
      <c r="E103" cm="1">
        <f t="array" aca="1" ref="E103" ca="1">SUMPRODUCT(SUMIF(INDIRECT("'"&amp;Assemblies[Assy]&amp;"'!"&amp;"C:C"),$A103,(INDIRECT("'"&amp;Assemblies[Assy]&amp;"'!"&amp;"O:O"))))</f>
        <v>8</v>
      </c>
      <c r="F103">
        <f ca="1">ROUNDUP(Purchased[[#This Row],[BOM QTY]]/Purchased[[#This Row],[PK QTY]], 0)</f>
        <v>8</v>
      </c>
      <c r="G103">
        <v>8</v>
      </c>
      <c r="H103" t="str">
        <f ca="1">IF(F103&lt;=G103," ","YES")</f>
        <v xml:space="preserve"> </v>
      </c>
      <c r="I103">
        <v>8</v>
      </c>
      <c r="J103">
        <v>8</v>
      </c>
      <c r="K103" s="181" t="s">
        <v>2926</v>
      </c>
      <c r="L103" t="s">
        <v>2931</v>
      </c>
      <c r="N103" s="40">
        <v>45489</v>
      </c>
      <c r="O103" s="40">
        <v>45491</v>
      </c>
      <c r="P103" s="40">
        <v>45520</v>
      </c>
      <c r="Q103" s="40">
        <v>45511</v>
      </c>
      <c r="R103">
        <v>55603</v>
      </c>
      <c r="S103" s="40" t="str" cm="1">
        <f t="array" aca="1" ref="S103" ca="1">TRIM(SUBSTITUTE(_xlfn.ARRAYTOTEXT(IFERROR(CONCATENATE(SUMIF(INDIRECT("'"&amp;Assemblies[Assy]&amp;"'!"&amp;"C$5:C1000"), $A103, INDIRECT("'"&amp;Assemblies[Assy]&amp;"'!"&amp;"O$5:O1000")), "x",Assemblies[Assy],".",IF(SUMIF(INDIRECT("'"&amp;Assemblies[Assy]&amp;"'!"&amp;"C$5:C1000"), $A103, INDIRECT("'"&amp;Assemblies[Assy]&amp;"'!"&amp;"A$5:A1000"))=0,NA(),SUMIF(INDIRECT("'"&amp;Assemblies[Assy]&amp;"'!"&amp;"C$5:C1000"), $A103, INDIRECT("'"&amp;Assemblies[Assy]&amp;"'!"&amp;"A$5:A1000")))),"")), " ,", ""))</f>
        <v>, 1x5.5.308, 2x5.5.2.1.306, 1x5.6.308, 2x6.2.2.304, 2x6.3.2.304,</v>
      </c>
    </row>
    <row r="104" spans="1:19" hidden="1" x14ac:dyDescent="0.25">
      <c r="A104" s="160" t="s">
        <v>805</v>
      </c>
      <c r="B104" s="160" t="s">
        <v>3050</v>
      </c>
      <c r="C104" s="180">
        <v>2.4700000000000002</v>
      </c>
      <c r="D104">
        <v>1</v>
      </c>
      <c r="E104" cm="1">
        <f t="array" aca="1" ref="E104" ca="1">SUMPRODUCT(SUMIF(INDIRECT("'"&amp;Assemblies[Assy]&amp;"'!"&amp;"C:C"),$A104,(INDIRECT("'"&amp;Assemblies[Assy]&amp;"'!"&amp;"O:O"))))</f>
        <v>8</v>
      </c>
      <c r="F104">
        <f ca="1">ROUNDUP(Purchased[[#This Row],[BOM QTY]]/Purchased[[#This Row],[PK QTY]], 0)</f>
        <v>8</v>
      </c>
      <c r="G104">
        <v>8</v>
      </c>
      <c r="H104" t="str">
        <f ca="1">IF(F104&lt;=G104," ","YES")</f>
        <v xml:space="preserve"> </v>
      </c>
      <c r="I104">
        <v>8</v>
      </c>
      <c r="J104">
        <v>8</v>
      </c>
      <c r="K104" s="186" t="s">
        <v>2926</v>
      </c>
      <c r="L104" s="134" t="s">
        <v>2931</v>
      </c>
      <c r="N104" s="40">
        <v>45489</v>
      </c>
      <c r="O104" s="40">
        <v>45491</v>
      </c>
      <c r="P104" s="40">
        <v>45520</v>
      </c>
      <c r="Q104" s="40">
        <v>45511</v>
      </c>
      <c r="R104">
        <v>55603</v>
      </c>
      <c r="S104" s="40" t="str" cm="1">
        <f t="array" aca="1" ref="S104" ca="1">TRIM(SUBSTITUTE(_xlfn.ARRAYTOTEXT(IFERROR(CONCATENATE(SUMIF(INDIRECT("'"&amp;Assemblies[Assy]&amp;"'!"&amp;"C$5:C1000"), $A104, INDIRECT("'"&amp;Assemblies[Assy]&amp;"'!"&amp;"O$5:O1000")), "x",Assemblies[Assy],".",IF(SUMIF(INDIRECT("'"&amp;Assemblies[Assy]&amp;"'!"&amp;"C$5:C1000"), $A104, INDIRECT("'"&amp;Assemblies[Assy]&amp;"'!"&amp;"A$5:A1000"))=0,NA(),SUMIF(INDIRECT("'"&amp;Assemblies[Assy]&amp;"'!"&amp;"C$5:C1000"), $A104, INDIRECT("'"&amp;Assemblies[Assy]&amp;"'!"&amp;"A$5:A1000")))),"")), " ,", ""))</f>
        <v>, 2x5.5.317, 2x5.6.317, 4x5.7.311,</v>
      </c>
    </row>
    <row r="105" spans="1:19" hidden="1" x14ac:dyDescent="0.25">
      <c r="A105" s="162" t="s">
        <v>303</v>
      </c>
      <c r="B105" s="160" t="s">
        <v>3023</v>
      </c>
      <c r="C105" s="180">
        <v>91.17</v>
      </c>
      <c r="D105">
        <v>1</v>
      </c>
      <c r="E105" cm="1">
        <f t="array" aca="1" ref="E105" ca="1">SUMPRODUCT(SUMIF(INDIRECT("'"&amp;Assemblies[Assy]&amp;"'!"&amp;"C:C"),$A105,(INDIRECT("'"&amp;Assemblies[Assy]&amp;"'!"&amp;"O:O"))))</f>
        <v>10</v>
      </c>
      <c r="F105">
        <f ca="1">ROUNDUP(Purchased[[#This Row],[BOM QTY]]/Purchased[[#This Row],[PK QTY]], 0)</f>
        <v>10</v>
      </c>
      <c r="G105">
        <v>10</v>
      </c>
      <c r="H105" t="str">
        <f ca="1">IF(F105&lt;=G105," ","YES")</f>
        <v xml:space="preserve"> </v>
      </c>
      <c r="I105">
        <v>10</v>
      </c>
      <c r="J105">
        <v>10</v>
      </c>
      <c r="K105" t="s">
        <v>2926</v>
      </c>
      <c r="L105" t="s">
        <v>2931</v>
      </c>
      <c r="N105" s="40">
        <v>45456</v>
      </c>
      <c r="O105" s="40">
        <v>45456</v>
      </c>
      <c r="P105" s="40">
        <v>45502</v>
      </c>
      <c r="Q105" s="40">
        <v>45505</v>
      </c>
      <c r="R105">
        <v>55551</v>
      </c>
      <c r="S105" s="40" t="str" cm="1">
        <f t="array" aca="1" ref="S105" ca="1">TRIM(SUBSTITUTE(_xlfn.ARRAYTOTEXT(IFERROR(CONCATENATE(SUMIF(INDIRECT("'"&amp;Assemblies[Assy]&amp;"'!"&amp;"C$5:C1000"), $A105, INDIRECT("'"&amp;Assemblies[Assy]&amp;"'!"&amp;"O$5:O1000")), "x",Assemblies[Assy],".",IF(SUMIF(INDIRECT("'"&amp;Assemblies[Assy]&amp;"'!"&amp;"C$5:C1000"), $A105, INDIRECT("'"&amp;Assemblies[Assy]&amp;"'!"&amp;"A$5:A1000"))=0,NA(),SUMIF(INDIRECT("'"&amp;Assemblies[Assy]&amp;"'!"&amp;"C$5:C1000"), $A105, INDIRECT("'"&amp;Assemblies[Assy]&amp;"'!"&amp;"A$5:A1000")))),"")), " ,", ""))</f>
        <v>, 4x1.3.312, 6x2.3.314,</v>
      </c>
    </row>
    <row r="106" spans="1:19" hidden="1" x14ac:dyDescent="0.25">
      <c r="A106" s="160" t="s">
        <v>1077</v>
      </c>
      <c r="B106" s="160" t="s">
        <v>3101</v>
      </c>
      <c r="C106" s="180">
        <v>2.39</v>
      </c>
      <c r="D106">
        <v>1</v>
      </c>
      <c r="E106" cm="1">
        <f t="array" aca="1" ref="E106" ca="1">SUMPRODUCT(SUMIF(INDIRECT("'"&amp;Assemblies[Assy]&amp;"'!"&amp;"C:C"),$A106,(INDIRECT("'"&amp;Assemblies[Assy]&amp;"'!"&amp;"O:O"))))</f>
        <v>8</v>
      </c>
      <c r="F106">
        <f ca="1">ROUNDUP(Purchased[[#This Row],[BOM QTY]]/Purchased[[#This Row],[PK QTY]], 0)</f>
        <v>8</v>
      </c>
      <c r="G106">
        <v>10</v>
      </c>
      <c r="H106" t="str">
        <f ca="1">IF(F106&lt;=G106," ","YES")</f>
        <v xml:space="preserve"> </v>
      </c>
      <c r="I106">
        <v>10</v>
      </c>
      <c r="J106">
        <v>10</v>
      </c>
      <c r="K106" t="s">
        <v>2926</v>
      </c>
      <c r="L106" t="s">
        <v>2931</v>
      </c>
      <c r="O106" s="40">
        <v>45524</v>
      </c>
      <c r="P106" s="40">
        <v>45547</v>
      </c>
      <c r="Q106" s="40">
        <v>45530</v>
      </c>
      <c r="R106">
        <v>55692</v>
      </c>
      <c r="S106" s="40" t="str" cm="1">
        <f t="array" aca="1" ref="S106" ca="1">TRIM(SUBSTITUTE(_xlfn.ARRAYTOTEXT(IFERROR(CONCATENATE(SUMIF(INDIRECT("'"&amp;Assemblies[Assy]&amp;"'!"&amp;"C$5:C1000"), $A106, INDIRECT("'"&amp;Assemblies[Assy]&amp;"'!"&amp;"O$5:O1000")), "x",Assemblies[Assy],".",IF(SUMIF(INDIRECT("'"&amp;Assemblies[Assy]&amp;"'!"&amp;"C$5:C1000"), $A106, INDIRECT("'"&amp;Assemblies[Assy]&amp;"'!"&amp;"A$5:A1000"))=0,NA(),SUMIF(INDIRECT("'"&amp;Assemblies[Assy]&amp;"'!"&amp;"C$5:C1000"), $A106, INDIRECT("'"&amp;Assemblies[Assy]&amp;"'!"&amp;"A$5:A1000")))),"")), " ,", ""))</f>
        <v>, 8x6.10.309,</v>
      </c>
    </row>
    <row r="107" spans="1:19" hidden="1" x14ac:dyDescent="0.25">
      <c r="A107" s="162" t="s">
        <v>328</v>
      </c>
      <c r="B107" s="160" t="s">
        <v>3045</v>
      </c>
      <c r="C107" s="180">
        <v>22.46</v>
      </c>
      <c r="D107">
        <v>1</v>
      </c>
      <c r="E107" cm="1">
        <f t="array" aca="1" ref="E107" ca="1">SUMPRODUCT(SUMIF(INDIRECT("'"&amp;Assemblies[Assy]&amp;"'!"&amp;"C:C"),$A107,(INDIRECT("'"&amp;Assemblies[Assy]&amp;"'!"&amp;"O:O"))))</f>
        <v>10</v>
      </c>
      <c r="F107">
        <f ca="1">ROUNDUP(Purchased[[#This Row],[BOM QTY]]/Purchased[[#This Row],[PK QTY]], 0)</f>
        <v>10</v>
      </c>
      <c r="G107">
        <v>10</v>
      </c>
      <c r="H107" t="str">
        <f ca="1">IF(F107&lt;=G107," ","YES")</f>
        <v xml:space="preserve"> </v>
      </c>
      <c r="I107">
        <v>10</v>
      </c>
      <c r="J107">
        <v>10</v>
      </c>
      <c r="K107" t="s">
        <v>2926</v>
      </c>
      <c r="L107" t="s">
        <v>2931</v>
      </c>
      <c r="N107" s="40">
        <v>45489</v>
      </c>
      <c r="O107" s="40">
        <v>45491</v>
      </c>
      <c r="P107" s="40">
        <v>45520</v>
      </c>
      <c r="Q107" s="40">
        <v>45511</v>
      </c>
      <c r="R107">
        <v>55603</v>
      </c>
      <c r="S107" s="40" t="str" cm="1">
        <f t="array" aca="1" ref="S107" ca="1">TRIM(SUBSTITUTE(_xlfn.ARRAYTOTEXT(IFERROR(CONCATENATE(SUMIF(INDIRECT("'"&amp;Assemblies[Assy]&amp;"'!"&amp;"C$5:C1000"), $A107, INDIRECT("'"&amp;Assemblies[Assy]&amp;"'!"&amp;"O$5:O1000")), "x",Assemblies[Assy],".",IF(SUMIF(INDIRECT("'"&amp;Assemblies[Assy]&amp;"'!"&amp;"C$5:C1000"), $A107, INDIRECT("'"&amp;Assemblies[Assy]&amp;"'!"&amp;"A$5:A1000"))=0,NA(),SUMIF(INDIRECT("'"&amp;Assemblies[Assy]&amp;"'!"&amp;"C$5:C1000"), $A107, INDIRECT("'"&amp;Assemblies[Assy]&amp;"'!"&amp;"A$5:A1000")))),"")), " ,", ""))</f>
        <v>, 10x1.3.5.302,</v>
      </c>
    </row>
    <row r="108" spans="1:19" hidden="1" x14ac:dyDescent="0.25">
      <c r="A108" s="162" t="s">
        <v>327</v>
      </c>
      <c r="B108" s="160" t="s">
        <v>3048</v>
      </c>
      <c r="C108" s="180">
        <v>2.4700000000000002</v>
      </c>
      <c r="D108">
        <v>1</v>
      </c>
      <c r="E108" cm="1">
        <f t="array" aca="1" ref="E108" ca="1">SUMPRODUCT(SUMIF(INDIRECT("'"&amp;Assemblies[Assy]&amp;"'!"&amp;"C:C"),$A108,(INDIRECT("'"&amp;Assemblies[Assy]&amp;"'!"&amp;"O:O"))))</f>
        <v>10</v>
      </c>
      <c r="F108">
        <f ca="1">ROUNDUP(Purchased[[#This Row],[BOM QTY]]/Purchased[[#This Row],[PK QTY]], 0)</f>
        <v>10</v>
      </c>
      <c r="G108">
        <v>10</v>
      </c>
      <c r="H108" t="str">
        <f ca="1">IF(F108&lt;=G108," ","YES")</f>
        <v xml:space="preserve"> </v>
      </c>
      <c r="I108">
        <v>10</v>
      </c>
      <c r="J108">
        <v>10</v>
      </c>
      <c r="K108" t="s">
        <v>2926</v>
      </c>
      <c r="L108" t="s">
        <v>2931</v>
      </c>
      <c r="N108" s="40">
        <v>45489</v>
      </c>
      <c r="O108" s="40">
        <v>45491</v>
      </c>
      <c r="P108" s="40">
        <v>45520</v>
      </c>
      <c r="Q108" s="40">
        <v>45511</v>
      </c>
      <c r="R108">
        <v>55603</v>
      </c>
      <c r="S108" s="40" t="str" cm="1">
        <f t="array" aca="1" ref="S108" ca="1">TRIM(SUBSTITUTE(_xlfn.ARRAYTOTEXT(IFERROR(CONCATENATE(SUMIF(INDIRECT("'"&amp;Assemblies[Assy]&amp;"'!"&amp;"C$5:C1000"), $A108, INDIRECT("'"&amp;Assemblies[Assy]&amp;"'!"&amp;"O$5:O1000")), "x",Assemblies[Assy],".",IF(SUMIF(INDIRECT("'"&amp;Assemblies[Assy]&amp;"'!"&amp;"C$5:C1000"), $A108, INDIRECT("'"&amp;Assemblies[Assy]&amp;"'!"&amp;"A$5:A1000"))=0,NA(),SUMIF(INDIRECT("'"&amp;Assemblies[Assy]&amp;"'!"&amp;"C$5:C1000"), $A108, INDIRECT("'"&amp;Assemblies[Assy]&amp;"'!"&amp;"A$5:A1000")))),"")), " ,", ""))</f>
        <v>, 10x1.3.5.301,</v>
      </c>
    </row>
    <row r="109" spans="1:19" hidden="1" x14ac:dyDescent="0.25">
      <c r="A109" s="160" t="s">
        <v>965</v>
      </c>
      <c r="B109" s="160" t="s">
        <v>3053</v>
      </c>
      <c r="C109" s="180">
        <v>3.48</v>
      </c>
      <c r="D109">
        <v>1</v>
      </c>
      <c r="E109" cm="1">
        <f t="array" aca="1" ref="E109" ca="1">SUMPRODUCT(SUMIF(INDIRECT("'"&amp;Assemblies[Assy]&amp;"'!"&amp;"C:C"),$A109,(INDIRECT("'"&amp;Assemblies[Assy]&amp;"'!"&amp;"O:O"))))</f>
        <v>4</v>
      </c>
      <c r="F109">
        <f ca="1">ROUNDUP(Purchased[[#This Row],[BOM QTY]]/Purchased[[#This Row],[PK QTY]], 0)</f>
        <v>4</v>
      </c>
      <c r="G109">
        <v>10</v>
      </c>
      <c r="H109" t="str">
        <f ca="1">IF(F109&lt;=G109," ","YES")</f>
        <v xml:space="preserve"> </v>
      </c>
      <c r="I109">
        <v>10</v>
      </c>
      <c r="J109">
        <v>10</v>
      </c>
      <c r="K109" t="s">
        <v>2926</v>
      </c>
      <c r="L109" t="s">
        <v>2931</v>
      </c>
      <c r="N109" s="40">
        <v>45489</v>
      </c>
      <c r="O109" s="40">
        <v>45491</v>
      </c>
      <c r="P109" s="40">
        <v>45520</v>
      </c>
      <c r="Q109" s="40">
        <v>45511</v>
      </c>
      <c r="R109">
        <v>55603</v>
      </c>
      <c r="S109" s="40" t="str" cm="1">
        <f t="array" aca="1" ref="S109" ca="1">TRIM(SUBSTITUTE(_xlfn.ARRAYTOTEXT(IFERROR(CONCATENATE(SUMIF(INDIRECT("'"&amp;Assemblies[Assy]&amp;"'!"&amp;"C$5:C1000"), $A109, INDIRECT("'"&amp;Assemblies[Assy]&amp;"'!"&amp;"O$5:O1000")), "x",Assemblies[Assy],".",IF(SUMIF(INDIRECT("'"&amp;Assemblies[Assy]&amp;"'!"&amp;"C$5:C1000"), $A109, INDIRECT("'"&amp;Assemblies[Assy]&amp;"'!"&amp;"A$5:A1000"))=0,NA(),SUMIF(INDIRECT("'"&amp;Assemblies[Assy]&amp;"'!"&amp;"C$5:C1000"), $A109, INDIRECT("'"&amp;Assemblies[Assy]&amp;"'!"&amp;"A$5:A1000")))),"")), " ,", ""))</f>
        <v>, 2x6.2.1.4.304, 2x6.3.1.4.304,</v>
      </c>
    </row>
    <row r="110" spans="1:19" hidden="1" x14ac:dyDescent="0.25">
      <c r="A110" s="160" t="s">
        <v>946</v>
      </c>
      <c r="B110" s="160" t="s">
        <v>3054</v>
      </c>
      <c r="C110" s="180">
        <v>3.78</v>
      </c>
      <c r="D110">
        <v>1</v>
      </c>
      <c r="E110" cm="1">
        <f t="array" aca="1" ref="E110" ca="1">SUMPRODUCT(SUMIF(INDIRECT("'"&amp;Assemblies[Assy]&amp;"'!"&amp;"C:C"),$A110,(INDIRECT("'"&amp;Assemblies[Assy]&amp;"'!"&amp;"O:O"))))</f>
        <v>4</v>
      </c>
      <c r="F110">
        <f ca="1">ROUNDUP(Purchased[[#This Row],[BOM QTY]]/Purchased[[#This Row],[PK QTY]], 0)</f>
        <v>4</v>
      </c>
      <c r="G110">
        <v>10</v>
      </c>
      <c r="H110" t="str">
        <f ca="1">IF(F110&lt;=G110," ","YES")</f>
        <v xml:space="preserve"> </v>
      </c>
      <c r="I110">
        <v>10</v>
      </c>
      <c r="J110">
        <v>10</v>
      </c>
      <c r="K110" t="s">
        <v>2926</v>
      </c>
      <c r="L110" t="s">
        <v>2931</v>
      </c>
      <c r="N110" s="40">
        <v>45489</v>
      </c>
      <c r="O110" s="40">
        <v>45491</v>
      </c>
      <c r="P110" s="40">
        <v>45520</v>
      </c>
      <c r="Q110" s="40">
        <v>45511</v>
      </c>
      <c r="R110">
        <v>55603</v>
      </c>
      <c r="S110" s="40" t="str" cm="1">
        <f t="array" aca="1" ref="S110" ca="1">TRIM(SUBSTITUTE(_xlfn.ARRAYTOTEXT(IFERROR(CONCATENATE(SUMIF(INDIRECT("'"&amp;Assemblies[Assy]&amp;"'!"&amp;"C$5:C1000"), $A110, INDIRECT("'"&amp;Assemblies[Assy]&amp;"'!"&amp;"O$5:O1000")), "x",Assemblies[Assy],".",IF(SUMIF(INDIRECT("'"&amp;Assemblies[Assy]&amp;"'!"&amp;"C$5:C1000"), $A110, INDIRECT("'"&amp;Assemblies[Assy]&amp;"'!"&amp;"A$5:A1000"))=0,NA(),SUMIF(INDIRECT("'"&amp;Assemblies[Assy]&amp;"'!"&amp;"C$5:C1000"), $A110, INDIRECT("'"&amp;Assemblies[Assy]&amp;"'!"&amp;"A$5:A1000")))),"")), " ,", ""))</f>
        <v>, 2x6.2.1.2.302, 2x6.3.1.2.302,</v>
      </c>
    </row>
    <row r="111" spans="1:19" hidden="1" x14ac:dyDescent="0.25">
      <c r="A111" s="160" t="s">
        <v>1113</v>
      </c>
      <c r="B111" s="160" t="s">
        <v>3055</v>
      </c>
      <c r="C111" s="180">
        <v>1.84</v>
      </c>
      <c r="D111">
        <v>1</v>
      </c>
      <c r="E111" cm="1">
        <f t="array" aca="1" ref="E111" ca="1">SUMPRODUCT(SUMIF(INDIRECT("'"&amp;Assemblies[Assy]&amp;"'!"&amp;"C:C"),$A111,(INDIRECT("'"&amp;Assemblies[Assy]&amp;"'!"&amp;"O:O"))))</f>
        <v>1</v>
      </c>
      <c r="F111">
        <f ca="1">ROUNDUP(Purchased[[#This Row],[BOM QTY]]/Purchased[[#This Row],[PK QTY]], 0)</f>
        <v>1</v>
      </c>
      <c r="G111">
        <v>10</v>
      </c>
      <c r="H111" t="str">
        <f ca="1">IF(F111&lt;=G111," ","YES")</f>
        <v xml:space="preserve"> </v>
      </c>
      <c r="I111">
        <v>10</v>
      </c>
      <c r="J111">
        <v>10</v>
      </c>
      <c r="K111" t="s">
        <v>2926</v>
      </c>
      <c r="L111" t="s">
        <v>2931</v>
      </c>
      <c r="N111" s="40">
        <v>45489</v>
      </c>
      <c r="O111" s="40">
        <v>45491</v>
      </c>
      <c r="P111" s="40">
        <v>45520</v>
      </c>
      <c r="Q111" s="40">
        <v>45511</v>
      </c>
      <c r="R111">
        <v>55603</v>
      </c>
      <c r="S111" s="40" t="str" cm="1">
        <f t="array" aca="1" ref="S111" ca="1">TRIM(SUBSTITUTE(_xlfn.ARRAYTOTEXT(IFERROR(CONCATENATE(SUMIF(INDIRECT("'"&amp;Assemblies[Assy]&amp;"'!"&amp;"C$5:C1000"), $A111, INDIRECT("'"&amp;Assemblies[Assy]&amp;"'!"&amp;"O$5:O1000")), "x",Assemblies[Assy],".",IF(SUMIF(INDIRECT("'"&amp;Assemblies[Assy]&amp;"'!"&amp;"C$5:C1000"), $A111, INDIRECT("'"&amp;Assemblies[Assy]&amp;"'!"&amp;"A$5:A1000"))=0,NA(),SUMIF(INDIRECT("'"&amp;Assemblies[Assy]&amp;"'!"&amp;"C$5:C1000"), $A111, INDIRECT("'"&amp;Assemblies[Assy]&amp;"'!"&amp;"A$5:A1000")))),"")), " ,", ""))</f>
        <v>, 1x7.1.318,</v>
      </c>
    </row>
    <row r="112" spans="1:19" hidden="1" x14ac:dyDescent="0.25">
      <c r="A112" s="161" t="s">
        <v>1280</v>
      </c>
      <c r="B112" s="160" t="s">
        <v>3057</v>
      </c>
      <c r="C112" s="180">
        <v>1</v>
      </c>
      <c r="D112">
        <v>1</v>
      </c>
      <c r="E112" cm="1">
        <f t="array" aca="1" ref="E112" ca="1">SUMPRODUCT(SUMIF(INDIRECT("'"&amp;Assemblies[Assy]&amp;"'!"&amp;"C:C"),$A112,(INDIRECT("'"&amp;Assemblies[Assy]&amp;"'!"&amp;"O:O"))))</f>
        <v>8</v>
      </c>
      <c r="F112">
        <f ca="1">ROUNDUP(Purchased[[#This Row],[BOM QTY]]/Purchased[[#This Row],[PK QTY]], 0)</f>
        <v>8</v>
      </c>
      <c r="G112">
        <v>10</v>
      </c>
      <c r="H112" t="str">
        <f ca="1">IF(F112&lt;=G112," ","YES")</f>
        <v xml:space="preserve"> </v>
      </c>
      <c r="I112">
        <v>10</v>
      </c>
      <c r="J112">
        <v>10</v>
      </c>
      <c r="K112" t="s">
        <v>2926</v>
      </c>
      <c r="L112" t="s">
        <v>2931</v>
      </c>
      <c r="N112" s="40">
        <v>45489</v>
      </c>
      <c r="O112" s="40">
        <v>45491</v>
      </c>
      <c r="P112" s="40">
        <v>45520</v>
      </c>
      <c r="Q112" s="40">
        <v>45511</v>
      </c>
      <c r="R112">
        <v>55603</v>
      </c>
      <c r="S112" s="40" t="str" cm="1">
        <f t="array" aca="1" ref="S112" ca="1">TRIM(SUBSTITUTE(_xlfn.ARRAYTOTEXT(IFERROR(CONCATENATE(SUMIF(INDIRECT("'"&amp;Assemblies[Assy]&amp;"'!"&amp;"C$5:C1000"), $A112, INDIRECT("'"&amp;Assemblies[Assy]&amp;"'!"&amp;"O$5:O1000")), "x",Assemblies[Assy],".",IF(SUMIF(INDIRECT("'"&amp;Assemblies[Assy]&amp;"'!"&amp;"C$5:C1000"), $A112, INDIRECT("'"&amp;Assemblies[Assy]&amp;"'!"&amp;"A$5:A1000"))=0,NA(),SUMIF(INDIRECT("'"&amp;Assemblies[Assy]&amp;"'!"&amp;"C$5:C1000"), $A112, INDIRECT("'"&amp;Assemblies[Assy]&amp;"'!"&amp;"A$5:A1000")))),"")), " ,", ""))</f>
        <v>, 8x9.1.308,</v>
      </c>
    </row>
    <row r="113" spans="1:19" hidden="1" x14ac:dyDescent="0.25">
      <c r="A113" s="160" t="s">
        <v>1002</v>
      </c>
      <c r="B113" s="160" t="s">
        <v>3058</v>
      </c>
      <c r="C113" s="180">
        <v>1.63</v>
      </c>
      <c r="D113">
        <v>1</v>
      </c>
      <c r="E113" cm="1">
        <f t="array" aca="1" ref="E113" ca="1">SUMPRODUCT(SUMIF(INDIRECT("'"&amp;Assemblies[Assy]&amp;"'!"&amp;"C:C"),$A113,(INDIRECT("'"&amp;Assemblies[Assy]&amp;"'!"&amp;"O:O"))))</f>
        <v>4</v>
      </c>
      <c r="F113">
        <f ca="1">ROUNDUP(Purchased[[#This Row],[BOM QTY]]/Purchased[[#This Row],[PK QTY]], 0)</f>
        <v>4</v>
      </c>
      <c r="G113">
        <v>10</v>
      </c>
      <c r="H113" t="str">
        <f ca="1">IF(F113&lt;=G113," ","YES")</f>
        <v xml:space="preserve"> </v>
      </c>
      <c r="I113">
        <v>10</v>
      </c>
      <c r="J113">
        <v>10</v>
      </c>
      <c r="K113" s="181" t="s">
        <v>2926</v>
      </c>
      <c r="L113" t="s">
        <v>2931</v>
      </c>
      <c r="N113" s="40">
        <v>45489</v>
      </c>
      <c r="O113" s="40">
        <v>45491</v>
      </c>
      <c r="P113" s="40">
        <v>45520</v>
      </c>
      <c r="Q113" s="40">
        <v>45511</v>
      </c>
      <c r="R113">
        <v>55603</v>
      </c>
      <c r="S113" s="40" t="str" cm="1">
        <f t="array" aca="1" ref="S113" ca="1">TRIM(SUBSTITUTE(_xlfn.ARRAYTOTEXT(IFERROR(CONCATENATE(SUMIF(INDIRECT("'"&amp;Assemblies[Assy]&amp;"'!"&amp;"C$5:C1000"), $A113, INDIRECT("'"&amp;Assemblies[Assy]&amp;"'!"&amp;"O$5:O1000")), "x",Assemblies[Assy],".",IF(SUMIF(INDIRECT("'"&amp;Assemblies[Assy]&amp;"'!"&amp;"C$5:C1000"), $A113, INDIRECT("'"&amp;Assemblies[Assy]&amp;"'!"&amp;"A$5:A1000"))=0,NA(),SUMIF(INDIRECT("'"&amp;Assemblies[Assy]&amp;"'!"&amp;"C$5:C1000"), $A113, INDIRECT("'"&amp;Assemblies[Assy]&amp;"'!"&amp;"A$5:A1000")))),"")), " ,", ""))</f>
        <v>, 2x6.2.3.303, 2x6.3.3.303,</v>
      </c>
    </row>
    <row r="114" spans="1:19" hidden="1" x14ac:dyDescent="0.25">
      <c r="A114" s="160" t="s">
        <v>931</v>
      </c>
      <c r="B114" s="160" t="s">
        <v>3059</v>
      </c>
      <c r="C114" s="180">
        <v>1.7</v>
      </c>
      <c r="D114">
        <v>1</v>
      </c>
      <c r="E114" cm="1">
        <f t="array" aca="1" ref="E114" ca="1">SUMPRODUCT(SUMIF(INDIRECT("'"&amp;Assemblies[Assy]&amp;"'!"&amp;"C:C"),$A114,(INDIRECT("'"&amp;Assemblies[Assy]&amp;"'!"&amp;"O:O"))))</f>
        <v>10</v>
      </c>
      <c r="F114">
        <f ca="1">ROUNDUP(Purchased[[#This Row],[BOM QTY]]/Purchased[[#This Row],[PK QTY]], 0)</f>
        <v>10</v>
      </c>
      <c r="G114">
        <v>10</v>
      </c>
      <c r="H114" t="str">
        <f ca="1">IF(F114&lt;=G114," ","YES")</f>
        <v xml:space="preserve"> </v>
      </c>
      <c r="I114">
        <v>10</v>
      </c>
      <c r="J114">
        <v>10</v>
      </c>
      <c r="K114" t="s">
        <v>2926</v>
      </c>
      <c r="L114" t="s">
        <v>2931</v>
      </c>
      <c r="N114" s="40">
        <v>45489</v>
      </c>
      <c r="O114" s="40">
        <v>45491</v>
      </c>
      <c r="P114" s="40">
        <v>45520</v>
      </c>
      <c r="Q114" s="40">
        <v>45511</v>
      </c>
      <c r="R114">
        <v>55603</v>
      </c>
      <c r="S114" s="40" t="str" cm="1">
        <f t="array" aca="1" ref="S114" ca="1">TRIM(SUBSTITUTE(_xlfn.ARRAYTOTEXT(IFERROR(CONCATENATE(SUMIF(INDIRECT("'"&amp;Assemblies[Assy]&amp;"'!"&amp;"C$5:C1000"), $A114, INDIRECT("'"&amp;Assemblies[Assy]&amp;"'!"&amp;"O$5:O1000")), "x",Assemblies[Assy],".",IF(SUMIF(INDIRECT("'"&amp;Assemblies[Assy]&amp;"'!"&amp;"C$5:C1000"), $A114, INDIRECT("'"&amp;Assemblies[Assy]&amp;"'!"&amp;"A$5:A1000"))=0,NA(),SUMIF(INDIRECT("'"&amp;Assemblies[Assy]&amp;"'!"&amp;"C$5:C1000"), $A114, INDIRECT("'"&amp;Assemblies[Assy]&amp;"'!"&amp;"A$5:A1000")))),"")), " ,", ""))</f>
        <v>, 2x6.2.1.305, 2x6.3.1.305, 2x6.3.1.4.302, 2x6.4.304, 2x6.5.304,</v>
      </c>
    </row>
    <row r="115" spans="1:19" hidden="1" x14ac:dyDescent="0.25">
      <c r="A115" s="160" t="s">
        <v>743</v>
      </c>
      <c r="B115" s="160" t="s">
        <v>3060</v>
      </c>
      <c r="C115" s="180">
        <v>1.84</v>
      </c>
      <c r="D115">
        <v>1</v>
      </c>
      <c r="E115" cm="1">
        <f t="array" aca="1" ref="E115" ca="1">SUMPRODUCT(SUMIF(INDIRECT("'"&amp;Assemblies[Assy]&amp;"'!"&amp;"C:C"),$A115,(INDIRECT("'"&amp;Assemblies[Assy]&amp;"'!"&amp;"O:O"))))</f>
        <v>4</v>
      </c>
      <c r="F115">
        <f ca="1">ROUNDUP(Purchased[[#This Row],[BOM QTY]]/Purchased[[#This Row],[PK QTY]], 0)</f>
        <v>4</v>
      </c>
      <c r="G115">
        <v>10</v>
      </c>
      <c r="H115" t="str">
        <f ca="1">IF(F115&lt;=G115," ","YES")</f>
        <v xml:space="preserve"> </v>
      </c>
      <c r="I115">
        <v>10</v>
      </c>
      <c r="J115">
        <v>10</v>
      </c>
      <c r="K115" t="s">
        <v>2926</v>
      </c>
      <c r="L115" t="s">
        <v>2931</v>
      </c>
      <c r="N115" s="40">
        <v>45489</v>
      </c>
      <c r="O115" s="40">
        <v>45491</v>
      </c>
      <c r="P115" s="40">
        <v>45520</v>
      </c>
      <c r="Q115" s="40">
        <v>45511</v>
      </c>
      <c r="R115">
        <v>55603</v>
      </c>
      <c r="S115" s="40" t="str" cm="1">
        <f t="array" aca="1" ref="S115" ca="1">TRIM(SUBSTITUTE(_xlfn.ARRAYTOTEXT(IFERROR(CONCATENATE(SUMIF(INDIRECT("'"&amp;Assemblies[Assy]&amp;"'!"&amp;"C$5:C1000"), $A115, INDIRECT("'"&amp;Assemblies[Assy]&amp;"'!"&amp;"O$5:O1000")), "x",Assemblies[Assy],".",IF(SUMIF(INDIRECT("'"&amp;Assemblies[Assy]&amp;"'!"&amp;"C$5:C1000"), $A115, INDIRECT("'"&amp;Assemblies[Assy]&amp;"'!"&amp;"A$5:A1000"))=0,NA(),SUMIF(INDIRECT("'"&amp;Assemblies[Assy]&amp;"'!"&amp;"C$5:C1000"), $A115, INDIRECT("'"&amp;Assemblies[Assy]&amp;"'!"&amp;"A$5:A1000")))),"")), " ,", ""))</f>
        <v>, 4x5.3.342,</v>
      </c>
    </row>
    <row r="116" spans="1:19" hidden="1" x14ac:dyDescent="0.25">
      <c r="A116" s="160" t="s">
        <v>655</v>
      </c>
      <c r="B116" s="160" t="s">
        <v>3062</v>
      </c>
      <c r="C116" s="180">
        <v>1.49</v>
      </c>
      <c r="D116">
        <v>1</v>
      </c>
      <c r="E116" cm="1">
        <f t="array" aca="1" ref="E116" ca="1">SUMPRODUCT(SUMIF(INDIRECT("'"&amp;Assemblies[Assy]&amp;"'!"&amp;"C:C"),$A116,(INDIRECT("'"&amp;Assemblies[Assy]&amp;"'!"&amp;"O:O"))))</f>
        <v>6</v>
      </c>
      <c r="F116">
        <f ca="1">ROUNDUP(Purchased[[#This Row],[BOM QTY]]/Purchased[[#This Row],[PK QTY]], 0)</f>
        <v>6</v>
      </c>
      <c r="G116">
        <v>10</v>
      </c>
      <c r="H116" t="str">
        <f ca="1">IF(F116&lt;=G116," ","YES")</f>
        <v xml:space="preserve"> </v>
      </c>
      <c r="I116">
        <v>10</v>
      </c>
      <c r="J116">
        <v>10</v>
      </c>
      <c r="K116" t="s">
        <v>2926</v>
      </c>
      <c r="L116" t="s">
        <v>2931</v>
      </c>
      <c r="N116" s="40">
        <v>45489</v>
      </c>
      <c r="O116" s="40">
        <v>45491</v>
      </c>
      <c r="P116" s="40">
        <v>45520</v>
      </c>
      <c r="Q116" s="40">
        <v>45511</v>
      </c>
      <c r="R116">
        <v>55603</v>
      </c>
      <c r="S116" s="40" t="str" cm="1">
        <f t="array" aca="1" ref="S116" ca="1">TRIM(SUBSTITUTE(_xlfn.ARRAYTOTEXT(IFERROR(CONCATENATE(SUMIF(INDIRECT("'"&amp;Assemblies[Assy]&amp;"'!"&amp;"C$5:C1000"), $A116, INDIRECT("'"&amp;Assemblies[Assy]&amp;"'!"&amp;"O$5:O1000")), "x",Assemblies[Assy],".",IF(SUMIF(INDIRECT("'"&amp;Assemblies[Assy]&amp;"'!"&amp;"C$5:C1000"), $A116, INDIRECT("'"&amp;Assemblies[Assy]&amp;"'!"&amp;"A$5:A1000"))=0,NA(),SUMIF(INDIRECT("'"&amp;Assemblies[Assy]&amp;"'!"&amp;"C$5:C1000"), $A116, INDIRECT("'"&amp;Assemblies[Assy]&amp;"'!"&amp;"A$5:A1000")))),"")), " ,", ""))</f>
        <v>, 3x4.5.304, 3x4.5.1.312,</v>
      </c>
    </row>
    <row r="117" spans="1:19" hidden="1" x14ac:dyDescent="0.25">
      <c r="A117" s="160" t="s">
        <v>801</v>
      </c>
      <c r="B117" s="160" t="s">
        <v>3063</v>
      </c>
      <c r="C117" s="180">
        <v>1.35</v>
      </c>
      <c r="D117">
        <v>1</v>
      </c>
      <c r="E117" cm="1">
        <f t="array" aca="1" ref="E117" ca="1">SUMPRODUCT(SUMIF(INDIRECT("'"&amp;Assemblies[Assy]&amp;"'!"&amp;"C:C"),$A117,(INDIRECT("'"&amp;Assemblies[Assy]&amp;"'!"&amp;"O:O"))))</f>
        <v>4</v>
      </c>
      <c r="F117">
        <f ca="1">ROUNDUP(Purchased[[#This Row],[BOM QTY]]/Purchased[[#This Row],[PK QTY]], 0)</f>
        <v>4</v>
      </c>
      <c r="G117">
        <v>10</v>
      </c>
      <c r="H117" t="str">
        <f ca="1">IF(F117&lt;=G117," ","YES")</f>
        <v xml:space="preserve"> </v>
      </c>
      <c r="I117">
        <v>10</v>
      </c>
      <c r="J117">
        <v>10</v>
      </c>
      <c r="K117" t="s">
        <v>2926</v>
      </c>
      <c r="L117" t="s">
        <v>2931</v>
      </c>
      <c r="N117" s="40">
        <v>45489</v>
      </c>
      <c r="O117" s="40">
        <v>45491</v>
      </c>
      <c r="P117" s="40">
        <v>45520</v>
      </c>
      <c r="Q117" s="40">
        <v>45511</v>
      </c>
      <c r="R117">
        <v>55603</v>
      </c>
      <c r="S117" s="40" t="str" cm="1">
        <f t="array" aca="1" ref="S117" ca="1">TRIM(SUBSTITUTE(_xlfn.ARRAYTOTEXT(IFERROR(CONCATENATE(SUMIF(INDIRECT("'"&amp;Assemblies[Assy]&amp;"'!"&amp;"C$5:C1000"), $A117, INDIRECT("'"&amp;Assemblies[Assy]&amp;"'!"&amp;"O$5:O1000")), "x",Assemblies[Assy],".",IF(SUMIF(INDIRECT("'"&amp;Assemblies[Assy]&amp;"'!"&amp;"C$5:C1000"), $A117, INDIRECT("'"&amp;Assemblies[Assy]&amp;"'!"&amp;"A$5:A1000"))=0,NA(),SUMIF(INDIRECT("'"&amp;Assemblies[Assy]&amp;"'!"&amp;"C$5:C1000"), $A117, INDIRECT("'"&amp;Assemblies[Assy]&amp;"'!"&amp;"A$5:A1000")))),"")), " ,", ""))</f>
        <v>, 2x5.5.311, 2x5.6.311,</v>
      </c>
    </row>
    <row r="118" spans="1:19" hidden="1" x14ac:dyDescent="0.25">
      <c r="A118" s="162" t="s">
        <v>219</v>
      </c>
      <c r="B118" s="160" t="s">
        <v>3066</v>
      </c>
      <c r="C118" s="180">
        <v>1.38</v>
      </c>
      <c r="D118">
        <v>1</v>
      </c>
      <c r="E118" cm="1">
        <f t="array" aca="1" ref="E118" ca="1">SUMPRODUCT(SUMIF(INDIRECT("'"&amp;Assemblies[Assy]&amp;"'!"&amp;"C:C"),$A118,(INDIRECT("'"&amp;Assemblies[Assy]&amp;"'!"&amp;"O:O"))))</f>
        <v>10</v>
      </c>
      <c r="F118">
        <f ca="1">ROUNDUP(Purchased[[#This Row],[BOM QTY]]/Purchased[[#This Row],[PK QTY]], 0)</f>
        <v>10</v>
      </c>
      <c r="G118">
        <v>10</v>
      </c>
      <c r="H118" t="str">
        <f ca="1">IF(F118&lt;=G118," ","YES")</f>
        <v xml:space="preserve"> </v>
      </c>
      <c r="I118">
        <v>10</v>
      </c>
      <c r="J118">
        <v>10</v>
      </c>
      <c r="K118" t="s">
        <v>2926</v>
      </c>
      <c r="L118" t="s">
        <v>2931</v>
      </c>
      <c r="N118" s="40">
        <v>45489</v>
      </c>
      <c r="O118" s="40">
        <v>45491</v>
      </c>
      <c r="P118" s="40">
        <v>45520</v>
      </c>
      <c r="Q118" s="40">
        <v>45511</v>
      </c>
      <c r="R118">
        <v>55603</v>
      </c>
      <c r="S118" s="40" t="str" cm="1">
        <f t="array" aca="1" ref="S118" ca="1">TRIM(SUBSTITUTE(_xlfn.ARRAYTOTEXT(IFERROR(CONCATENATE(SUMIF(INDIRECT("'"&amp;Assemblies[Assy]&amp;"'!"&amp;"C$5:C1000"), $A118, INDIRECT("'"&amp;Assemblies[Assy]&amp;"'!"&amp;"O$5:O1000")), "x",Assemblies[Assy],".",IF(SUMIF(INDIRECT("'"&amp;Assemblies[Assy]&amp;"'!"&amp;"C$5:C1000"), $A118, INDIRECT("'"&amp;Assemblies[Assy]&amp;"'!"&amp;"A$5:A1000"))=0,NA(),SUMIF(INDIRECT("'"&amp;Assemblies[Assy]&amp;"'!"&amp;"C$5:C1000"), $A118, INDIRECT("'"&amp;Assemblies[Assy]&amp;"'!"&amp;"A$5:A1000")))),"")), " ,", ""))</f>
        <v>, 8x1.1.8.312, 2x4.3.317,</v>
      </c>
    </row>
    <row r="119" spans="1:19" hidden="1" x14ac:dyDescent="0.25">
      <c r="A119" s="160" t="s">
        <v>964</v>
      </c>
      <c r="B119" s="160" t="s">
        <v>3067</v>
      </c>
      <c r="C119" s="180">
        <v>1.33</v>
      </c>
      <c r="D119">
        <v>1</v>
      </c>
      <c r="E119" cm="1">
        <f t="array" aca="1" ref="E119" ca="1">SUMPRODUCT(SUMIF(INDIRECT("'"&amp;Assemblies[Assy]&amp;"'!"&amp;"C:C"),$A119,(INDIRECT("'"&amp;Assemblies[Assy]&amp;"'!"&amp;"O:O"))))</f>
        <v>4</v>
      </c>
      <c r="F119">
        <f ca="1">ROUNDUP(Purchased[[#This Row],[BOM QTY]]/Purchased[[#This Row],[PK QTY]], 0)</f>
        <v>4</v>
      </c>
      <c r="G119">
        <v>10</v>
      </c>
      <c r="H119" t="str">
        <f ca="1">IF(F119&lt;=G119," ","YES")</f>
        <v xml:space="preserve"> </v>
      </c>
      <c r="I119">
        <v>10</v>
      </c>
      <c r="J119">
        <v>10</v>
      </c>
      <c r="K119" t="s">
        <v>2926</v>
      </c>
      <c r="L119" t="s">
        <v>2931</v>
      </c>
      <c r="N119" s="40">
        <v>45489</v>
      </c>
      <c r="O119" s="40">
        <v>45491</v>
      </c>
      <c r="P119" s="40">
        <v>45520</v>
      </c>
      <c r="Q119" s="40">
        <v>45511</v>
      </c>
      <c r="R119">
        <v>55603</v>
      </c>
      <c r="S119" s="40" t="str" cm="1">
        <f t="array" aca="1" ref="S119" ca="1">TRIM(SUBSTITUTE(_xlfn.ARRAYTOTEXT(IFERROR(CONCATENATE(SUMIF(INDIRECT("'"&amp;Assemblies[Assy]&amp;"'!"&amp;"C$5:C1000"), $A119, INDIRECT("'"&amp;Assemblies[Assy]&amp;"'!"&amp;"O$5:O1000")), "x",Assemblies[Assy],".",IF(SUMIF(INDIRECT("'"&amp;Assemblies[Assy]&amp;"'!"&amp;"C$5:C1000"), $A119, INDIRECT("'"&amp;Assemblies[Assy]&amp;"'!"&amp;"A$5:A1000"))=0,NA(),SUMIF(INDIRECT("'"&amp;Assemblies[Assy]&amp;"'!"&amp;"C$5:C1000"), $A119, INDIRECT("'"&amp;Assemblies[Assy]&amp;"'!"&amp;"A$5:A1000")))),"")), " ,", ""))</f>
        <v>, 2x6.2.1.4.303, 2x6.3.1.4.303,</v>
      </c>
    </row>
    <row r="120" spans="1:19" hidden="1" x14ac:dyDescent="0.25">
      <c r="A120" s="160" t="s">
        <v>826</v>
      </c>
      <c r="B120" s="160" t="s">
        <v>3068</v>
      </c>
      <c r="C120" s="180">
        <v>1.74</v>
      </c>
      <c r="D120">
        <v>1</v>
      </c>
      <c r="E120" cm="1">
        <f t="array" aca="1" ref="E120" ca="1">SUMPRODUCT(SUMIF(INDIRECT("'"&amp;Assemblies[Assy]&amp;"'!"&amp;"C:C"),$A120,(INDIRECT("'"&amp;Assemblies[Assy]&amp;"'!"&amp;"O:O"))))</f>
        <v>8</v>
      </c>
      <c r="F120">
        <f ca="1">ROUNDUP(Purchased[[#This Row],[BOM QTY]]/Purchased[[#This Row],[PK QTY]], 0)</f>
        <v>8</v>
      </c>
      <c r="G120">
        <v>10</v>
      </c>
      <c r="H120" t="str">
        <f ca="1">IF(F120&lt;=G120," ","YES")</f>
        <v xml:space="preserve"> </v>
      </c>
      <c r="I120">
        <v>10</v>
      </c>
      <c r="J120">
        <v>10</v>
      </c>
      <c r="K120" t="s">
        <v>2926</v>
      </c>
      <c r="L120" t="s">
        <v>2931</v>
      </c>
      <c r="N120" s="40">
        <v>45489</v>
      </c>
      <c r="O120" s="40">
        <v>45491</v>
      </c>
      <c r="P120" s="40">
        <v>45520</v>
      </c>
      <c r="Q120" s="40">
        <v>45511</v>
      </c>
      <c r="R120">
        <v>55603</v>
      </c>
      <c r="S120" s="40" t="str" cm="1">
        <f t="array" aca="1" ref="S120" ca="1">TRIM(SUBSTITUTE(_xlfn.ARRAYTOTEXT(IFERROR(CONCATENATE(SUMIF(INDIRECT("'"&amp;Assemblies[Assy]&amp;"'!"&amp;"C$5:C1000"), $A120, INDIRECT("'"&amp;Assemblies[Assy]&amp;"'!"&amp;"O$5:O1000")), "x",Assemblies[Assy],".",IF(SUMIF(INDIRECT("'"&amp;Assemblies[Assy]&amp;"'!"&amp;"C$5:C1000"), $A120, INDIRECT("'"&amp;Assemblies[Assy]&amp;"'!"&amp;"A$5:A1000"))=0,NA(),SUMIF(INDIRECT("'"&amp;Assemblies[Assy]&amp;"'!"&amp;"C$5:C1000"), $A120, INDIRECT("'"&amp;Assemblies[Assy]&amp;"'!"&amp;"A$5:A1000")))),"")), " ,", ""))</f>
        <v>, 2x5.5.2.301, 2x5.6.2.303, 2x6.2.2.308, 2x6.3.2.308,</v>
      </c>
    </row>
    <row r="121" spans="1:19" hidden="1" x14ac:dyDescent="0.25">
      <c r="A121" s="160" t="s">
        <v>953</v>
      </c>
      <c r="B121" s="160" t="s">
        <v>3069</v>
      </c>
      <c r="C121" s="180">
        <v>1.56</v>
      </c>
      <c r="D121">
        <v>1</v>
      </c>
      <c r="E121" cm="1">
        <f t="array" aca="1" ref="E121" ca="1">SUMPRODUCT(SUMIF(INDIRECT("'"&amp;Assemblies[Assy]&amp;"'!"&amp;"C:C"),$A121,(INDIRECT("'"&amp;Assemblies[Assy]&amp;"'!"&amp;"O:O"))))</f>
        <v>6</v>
      </c>
      <c r="F121">
        <f ca="1">ROUNDUP(Purchased[[#This Row],[BOM QTY]]/Purchased[[#This Row],[PK QTY]], 0)</f>
        <v>6</v>
      </c>
      <c r="G121">
        <v>10</v>
      </c>
      <c r="H121" t="str">
        <f ca="1">IF(F121&lt;=G121," ","YES")</f>
        <v xml:space="preserve"> </v>
      </c>
      <c r="I121">
        <v>10</v>
      </c>
      <c r="J121">
        <v>10</v>
      </c>
      <c r="K121" t="s">
        <v>2926</v>
      </c>
      <c r="L121" t="s">
        <v>2931</v>
      </c>
      <c r="N121" s="40">
        <v>45489</v>
      </c>
      <c r="O121" s="40">
        <v>45491</v>
      </c>
      <c r="P121" s="40">
        <v>45520</v>
      </c>
      <c r="Q121" s="40">
        <v>45511</v>
      </c>
      <c r="R121">
        <v>55603</v>
      </c>
      <c r="S121" s="40" t="str" cm="1">
        <f t="array" aca="1" ref="S121" ca="1">TRIM(SUBSTITUTE(_xlfn.ARRAYTOTEXT(IFERROR(CONCATENATE(SUMIF(INDIRECT("'"&amp;Assemblies[Assy]&amp;"'!"&amp;"C$5:C1000"), $A121, INDIRECT("'"&amp;Assemblies[Assy]&amp;"'!"&amp;"O$5:O1000")), "x",Assemblies[Assy],".",IF(SUMIF(INDIRECT("'"&amp;Assemblies[Assy]&amp;"'!"&amp;"C$5:C1000"), $A121, INDIRECT("'"&amp;Assemblies[Assy]&amp;"'!"&amp;"A$5:A1000"))=0,NA(),SUMIF(INDIRECT("'"&amp;Assemblies[Assy]&amp;"'!"&amp;"C$5:C1000"), $A121, INDIRECT("'"&amp;Assemblies[Assy]&amp;"'!"&amp;"A$5:A1000")))),"")), " ,", ""))</f>
        <v>, 2x6.2.1.3.304, 2x6.2.1.4.302, 2x6.3.1.3.304,</v>
      </c>
    </row>
    <row r="122" spans="1:19" hidden="1" x14ac:dyDescent="0.25">
      <c r="A122" s="161" t="s">
        <v>1279</v>
      </c>
      <c r="B122" s="160" t="s">
        <v>3070</v>
      </c>
      <c r="C122" s="180">
        <v>1.71</v>
      </c>
      <c r="D122">
        <v>1</v>
      </c>
      <c r="E122" cm="1">
        <f t="array" aca="1" ref="E122" ca="1">SUMPRODUCT(SUMIF(INDIRECT("'"&amp;Assemblies[Assy]&amp;"'!"&amp;"C:C"),$A122,(INDIRECT("'"&amp;Assemblies[Assy]&amp;"'!"&amp;"O:O"))))</f>
        <v>4</v>
      </c>
      <c r="F122">
        <f ca="1">ROUNDUP(Purchased[[#This Row],[BOM QTY]]/Purchased[[#This Row],[PK QTY]], 0)</f>
        <v>4</v>
      </c>
      <c r="G122">
        <v>10</v>
      </c>
      <c r="H122" t="str">
        <f ca="1">IF(F122&lt;=G122," ","YES")</f>
        <v xml:space="preserve"> </v>
      </c>
      <c r="I122">
        <v>10</v>
      </c>
      <c r="J122">
        <v>10</v>
      </c>
      <c r="K122" t="s">
        <v>2926</v>
      </c>
      <c r="L122" t="s">
        <v>2931</v>
      </c>
      <c r="N122" s="40">
        <v>45489</v>
      </c>
      <c r="O122" s="40">
        <v>45491</v>
      </c>
      <c r="P122" s="40">
        <v>45520</v>
      </c>
      <c r="Q122" s="40">
        <v>45511</v>
      </c>
      <c r="R122">
        <v>55603</v>
      </c>
      <c r="S122" s="40" t="str" cm="1">
        <f t="array" aca="1" ref="S122" ca="1">TRIM(SUBSTITUTE(_xlfn.ARRAYTOTEXT(IFERROR(CONCATENATE(SUMIF(INDIRECT("'"&amp;Assemblies[Assy]&amp;"'!"&amp;"C$5:C1000"), $A122, INDIRECT("'"&amp;Assemblies[Assy]&amp;"'!"&amp;"O$5:O1000")), "x",Assemblies[Assy],".",IF(SUMIF(INDIRECT("'"&amp;Assemblies[Assy]&amp;"'!"&amp;"C$5:C1000"), $A122, INDIRECT("'"&amp;Assemblies[Assy]&amp;"'!"&amp;"A$5:A1000"))=0,NA(),SUMIF(INDIRECT("'"&amp;Assemblies[Assy]&amp;"'!"&amp;"C$5:C1000"), $A122, INDIRECT("'"&amp;Assemblies[Assy]&amp;"'!"&amp;"A$5:A1000")))),"")), " ,", ""))</f>
        <v>, 4x9.1.307,</v>
      </c>
    </row>
    <row r="123" spans="1:19" hidden="1" x14ac:dyDescent="0.25">
      <c r="A123" s="160" t="s">
        <v>804</v>
      </c>
      <c r="B123" s="160" t="s">
        <v>3072</v>
      </c>
      <c r="C123" s="180">
        <v>1.43</v>
      </c>
      <c r="D123">
        <v>1</v>
      </c>
      <c r="E123" cm="1">
        <f t="array" aca="1" ref="E123" ca="1">SUMPRODUCT(SUMIF(INDIRECT("'"&amp;Assemblies[Assy]&amp;"'!"&amp;"C:C"),$A123,(INDIRECT("'"&amp;Assemblies[Assy]&amp;"'!"&amp;"O:O"))))</f>
        <v>10</v>
      </c>
      <c r="F123">
        <f ca="1">ROUNDUP(Purchased[[#This Row],[BOM QTY]]/Purchased[[#This Row],[PK QTY]], 0)</f>
        <v>10</v>
      </c>
      <c r="G123">
        <v>10</v>
      </c>
      <c r="H123" t="str">
        <f ca="1">IF(F123&lt;=G123," ","YES")</f>
        <v xml:space="preserve"> </v>
      </c>
      <c r="I123">
        <v>10</v>
      </c>
      <c r="J123">
        <v>10</v>
      </c>
      <c r="K123" s="186" t="s">
        <v>2926</v>
      </c>
      <c r="L123" s="134" t="s">
        <v>2931</v>
      </c>
      <c r="N123" s="40">
        <v>45489</v>
      </c>
      <c r="O123" s="40">
        <v>45491</v>
      </c>
      <c r="P123" s="40">
        <v>45520</v>
      </c>
      <c r="Q123" s="40">
        <v>45511</v>
      </c>
      <c r="R123">
        <v>55603</v>
      </c>
      <c r="S123" s="40" t="str" cm="1">
        <f t="array" aca="1" ref="S123" ca="1">TRIM(SUBSTITUTE(_xlfn.ARRAYTOTEXT(IFERROR(CONCATENATE(SUMIF(INDIRECT("'"&amp;Assemblies[Assy]&amp;"'!"&amp;"C$5:C1000"), $A123, INDIRECT("'"&amp;Assemblies[Assy]&amp;"'!"&amp;"O$5:O1000")), "x",Assemblies[Assy],".",IF(SUMIF(INDIRECT("'"&amp;Assemblies[Assy]&amp;"'!"&amp;"C$5:C1000"), $A123, INDIRECT("'"&amp;Assemblies[Assy]&amp;"'!"&amp;"A$5:A1000"))=0,NA(),SUMIF(INDIRECT("'"&amp;Assemblies[Assy]&amp;"'!"&amp;"C$5:C1000"), $A123, INDIRECT("'"&amp;Assemblies[Assy]&amp;"'!"&amp;"A$5:A1000")))),"")), " ,", ""))</f>
        <v>, 3x5.5.316, 3x5.6.316, 4x5.7.313,</v>
      </c>
    </row>
    <row r="124" spans="1:19" hidden="1" x14ac:dyDescent="0.25">
      <c r="A124" s="160" t="s">
        <v>803</v>
      </c>
      <c r="B124" s="160" t="s">
        <v>3073</v>
      </c>
      <c r="C124" s="180">
        <v>2.2000000000000002</v>
      </c>
      <c r="D124">
        <v>1</v>
      </c>
      <c r="E124" cm="1">
        <f t="array" aca="1" ref="E124" ca="1">SUMPRODUCT(SUMIF(INDIRECT("'"&amp;Assemblies[Assy]&amp;"'!"&amp;"C:C"),$A124,(INDIRECT("'"&amp;Assemblies[Assy]&amp;"'!"&amp;"O:O"))))</f>
        <v>6</v>
      </c>
      <c r="F124">
        <f ca="1">ROUNDUP(Purchased[[#This Row],[BOM QTY]]/Purchased[[#This Row],[PK QTY]], 0)</f>
        <v>6</v>
      </c>
      <c r="G124">
        <v>10</v>
      </c>
      <c r="H124" t="str">
        <f ca="1">IF(F124&lt;=G124," ","YES")</f>
        <v xml:space="preserve"> </v>
      </c>
      <c r="I124">
        <v>10</v>
      </c>
      <c r="J124">
        <v>10</v>
      </c>
      <c r="K124" t="s">
        <v>2926</v>
      </c>
      <c r="L124" t="s">
        <v>2931</v>
      </c>
      <c r="N124" s="40">
        <v>45489</v>
      </c>
      <c r="O124" s="40">
        <v>45491</v>
      </c>
      <c r="P124" s="40">
        <v>45520</v>
      </c>
      <c r="Q124" s="40">
        <v>45511</v>
      </c>
      <c r="R124">
        <v>55603</v>
      </c>
      <c r="S124" s="40" t="str" cm="1">
        <f t="array" aca="1" ref="S124" ca="1">TRIM(SUBSTITUTE(_xlfn.ARRAYTOTEXT(IFERROR(CONCATENATE(SUMIF(INDIRECT("'"&amp;Assemblies[Assy]&amp;"'!"&amp;"C$5:C1000"), $A124, INDIRECT("'"&amp;Assemblies[Assy]&amp;"'!"&amp;"O$5:O1000")), "x",Assemblies[Assy],".",IF(SUMIF(INDIRECT("'"&amp;Assemblies[Assy]&amp;"'!"&amp;"C$5:C1000"), $A124, INDIRECT("'"&amp;Assemblies[Assy]&amp;"'!"&amp;"A$5:A1000"))=0,NA(),SUMIF(INDIRECT("'"&amp;Assemblies[Assy]&amp;"'!"&amp;"C$5:C1000"), $A124, INDIRECT("'"&amp;Assemblies[Assy]&amp;"'!"&amp;"A$5:A1000")))),"")), " ,", ""))</f>
        <v>, 3x5.5.313, 3x5.6.313,</v>
      </c>
    </row>
    <row r="125" spans="1:19" hidden="1" x14ac:dyDescent="0.25">
      <c r="A125" s="162" t="s">
        <v>103</v>
      </c>
      <c r="B125" s="160" t="s">
        <v>3074</v>
      </c>
      <c r="C125" s="180">
        <v>2.2999999999999998</v>
      </c>
      <c r="D125">
        <v>1</v>
      </c>
      <c r="E125" cm="1">
        <f t="array" aca="1" ref="E125" ca="1">SUMPRODUCT(SUMIF(INDIRECT("'"&amp;Assemblies[Assy]&amp;"'!"&amp;"C:C"),$A125,(INDIRECT("'"&amp;Assemblies[Assy]&amp;"'!"&amp;"O:O"))))</f>
        <v>8</v>
      </c>
      <c r="F125">
        <f ca="1">ROUNDUP(Purchased[[#This Row],[BOM QTY]]/Purchased[[#This Row],[PK QTY]], 0)</f>
        <v>8</v>
      </c>
      <c r="G125">
        <v>10</v>
      </c>
      <c r="H125" t="str">
        <f ca="1">IF(F125&lt;=G125," ","YES")</f>
        <v xml:space="preserve"> </v>
      </c>
      <c r="I125">
        <v>10</v>
      </c>
      <c r="J125">
        <v>10</v>
      </c>
      <c r="K125" t="s">
        <v>2926</v>
      </c>
      <c r="L125" t="s">
        <v>2931</v>
      </c>
      <c r="N125" s="40">
        <v>45489</v>
      </c>
      <c r="O125" s="40">
        <v>45491</v>
      </c>
      <c r="P125" s="40">
        <v>45520</v>
      </c>
      <c r="Q125" s="40">
        <v>45511</v>
      </c>
      <c r="R125">
        <v>55603</v>
      </c>
      <c r="S125" s="40" t="str" cm="1">
        <f t="array" aca="1" ref="S125" ca="1">TRIM(SUBSTITUTE(_xlfn.ARRAYTOTEXT(IFERROR(CONCATENATE(SUMIF(INDIRECT("'"&amp;Assemblies[Assy]&amp;"'!"&amp;"C$5:C1000"), $A125, INDIRECT("'"&amp;Assemblies[Assy]&amp;"'!"&amp;"O$5:O1000")), "x",Assemblies[Assy],".",IF(SUMIF(INDIRECT("'"&amp;Assemblies[Assy]&amp;"'!"&amp;"C$5:C1000"), $A125, INDIRECT("'"&amp;Assemblies[Assy]&amp;"'!"&amp;"A$5:A1000"))=0,NA(),SUMIF(INDIRECT("'"&amp;Assemblies[Assy]&amp;"'!"&amp;"C$5:C1000"), $A125, INDIRECT("'"&amp;Assemblies[Assy]&amp;"'!"&amp;"A$5:A1000")))),"")), " ,", ""))</f>
        <v>, 4x0.3.309, 4x5.7.309,</v>
      </c>
    </row>
    <row r="126" spans="1:19" hidden="1" x14ac:dyDescent="0.25">
      <c r="A126" s="161" t="s">
        <v>671</v>
      </c>
      <c r="B126" s="160" t="s">
        <v>3076</v>
      </c>
      <c r="C126" s="180">
        <v>1.03</v>
      </c>
      <c r="D126">
        <v>1</v>
      </c>
      <c r="E126" cm="1">
        <f t="array" aca="1" ref="E126" ca="1">SUMPRODUCT(SUMIF(INDIRECT("'"&amp;Assemblies[Assy]&amp;"'!"&amp;"C:C"),$A126,(INDIRECT("'"&amp;Assemblies[Assy]&amp;"'!"&amp;"O:O"))))</f>
        <v>4</v>
      </c>
      <c r="F126">
        <f ca="1">ROUNDUP(Purchased[[#This Row],[BOM QTY]]/Purchased[[#This Row],[PK QTY]], 0)</f>
        <v>4</v>
      </c>
      <c r="G126">
        <v>10</v>
      </c>
      <c r="H126" t="str">
        <f ca="1">IF(F126&lt;=G126," ","YES")</f>
        <v xml:space="preserve"> </v>
      </c>
      <c r="I126">
        <v>10</v>
      </c>
      <c r="J126">
        <v>10</v>
      </c>
      <c r="K126" t="s">
        <v>2926</v>
      </c>
      <c r="L126" t="s">
        <v>2931</v>
      </c>
      <c r="N126" s="40">
        <v>45489</v>
      </c>
      <c r="O126" s="40">
        <v>45491</v>
      </c>
      <c r="P126" s="40">
        <v>45520</v>
      </c>
      <c r="Q126" s="40">
        <v>45511</v>
      </c>
      <c r="R126">
        <v>55603</v>
      </c>
      <c r="S126" s="40" t="str" cm="1">
        <f t="array" aca="1" ref="S126" ca="1">TRIM(SUBSTITUTE(_xlfn.ARRAYTOTEXT(IFERROR(CONCATENATE(SUMIF(INDIRECT("'"&amp;Assemblies[Assy]&amp;"'!"&amp;"C$5:C1000"), $A126, INDIRECT("'"&amp;Assemblies[Assy]&amp;"'!"&amp;"O$5:O1000")), "x",Assemblies[Assy],".",IF(SUMIF(INDIRECT("'"&amp;Assemblies[Assy]&amp;"'!"&amp;"C$5:C1000"), $A126, INDIRECT("'"&amp;Assemblies[Assy]&amp;"'!"&amp;"A$5:A1000"))=0,NA(),SUMIF(INDIRECT("'"&amp;Assemblies[Assy]&amp;"'!"&amp;"C$5:C1000"), $A126, INDIRECT("'"&amp;Assemblies[Assy]&amp;"'!"&amp;"A$5:A1000")))),"")), " ,", ""))</f>
        <v>, 4x4.6.311,</v>
      </c>
    </row>
    <row r="127" spans="1:19" hidden="1" x14ac:dyDescent="0.25">
      <c r="A127" s="160" t="s">
        <v>1112</v>
      </c>
      <c r="B127" s="160" t="s">
        <v>3079</v>
      </c>
      <c r="C127" s="180">
        <v>2.16</v>
      </c>
      <c r="D127">
        <v>1</v>
      </c>
      <c r="E127" cm="1">
        <f t="array" aca="1" ref="E127" ca="1">SUMPRODUCT(SUMIF(INDIRECT("'"&amp;Assemblies[Assy]&amp;"'!"&amp;"C:C"),$A127,(INDIRECT("'"&amp;Assemblies[Assy]&amp;"'!"&amp;"O:O"))))</f>
        <v>2</v>
      </c>
      <c r="F127">
        <f ca="1">ROUNDUP(Purchased[[#This Row],[BOM QTY]]/Purchased[[#This Row],[PK QTY]], 0)</f>
        <v>2</v>
      </c>
      <c r="G127">
        <v>10</v>
      </c>
      <c r="H127" t="str">
        <f ca="1">IF(F127&lt;=G127," ","YES")</f>
        <v xml:space="preserve"> </v>
      </c>
      <c r="I127">
        <v>10</v>
      </c>
      <c r="J127">
        <v>10</v>
      </c>
      <c r="K127" t="s">
        <v>2926</v>
      </c>
      <c r="L127" t="s">
        <v>2931</v>
      </c>
      <c r="N127" s="40">
        <v>45489</v>
      </c>
      <c r="O127" s="40">
        <v>45491</v>
      </c>
      <c r="P127" s="40">
        <v>45520</v>
      </c>
      <c r="Q127" s="40">
        <v>45511</v>
      </c>
      <c r="R127">
        <v>55603</v>
      </c>
      <c r="S127" s="40" t="str" cm="1">
        <f t="array" aca="1" ref="S127" ca="1">TRIM(SUBSTITUTE(_xlfn.ARRAYTOTEXT(IFERROR(CONCATENATE(SUMIF(INDIRECT("'"&amp;Assemblies[Assy]&amp;"'!"&amp;"C$5:C1000"), $A127, INDIRECT("'"&amp;Assemblies[Assy]&amp;"'!"&amp;"O$5:O1000")), "x",Assemblies[Assy],".",IF(SUMIF(INDIRECT("'"&amp;Assemblies[Assy]&amp;"'!"&amp;"C$5:C1000"), $A127, INDIRECT("'"&amp;Assemblies[Assy]&amp;"'!"&amp;"A$5:A1000"))=0,NA(),SUMIF(INDIRECT("'"&amp;Assemblies[Assy]&amp;"'!"&amp;"C$5:C1000"), $A127, INDIRECT("'"&amp;Assemblies[Assy]&amp;"'!"&amp;"A$5:A1000")))),"")), " ,", ""))</f>
        <v>, 2x7.1.317,</v>
      </c>
    </row>
    <row r="128" spans="1:19" hidden="1" x14ac:dyDescent="0.25">
      <c r="A128" s="162" t="s">
        <v>228</v>
      </c>
      <c r="B128" s="160" t="s">
        <v>3080</v>
      </c>
      <c r="C128" s="180">
        <v>2.4</v>
      </c>
      <c r="D128">
        <v>1</v>
      </c>
      <c r="E128" cm="1">
        <f t="array" aca="1" ref="E128" ca="1">SUMPRODUCT(SUMIF(INDIRECT("'"&amp;Assemblies[Assy]&amp;"'!"&amp;"C:C"),$A128,(INDIRECT("'"&amp;Assemblies[Assy]&amp;"'!"&amp;"O:O"))))</f>
        <v>6</v>
      </c>
      <c r="F128">
        <f ca="1">ROUNDUP(Purchased[[#This Row],[BOM QTY]]/Purchased[[#This Row],[PK QTY]], 0)</f>
        <v>6</v>
      </c>
      <c r="G128">
        <v>10</v>
      </c>
      <c r="H128" t="str">
        <f ca="1">IF(F128&lt;=G128," ","YES")</f>
        <v xml:space="preserve"> </v>
      </c>
      <c r="I128">
        <v>10</v>
      </c>
      <c r="J128">
        <v>10</v>
      </c>
      <c r="K128" t="s">
        <v>2926</v>
      </c>
      <c r="L128" t="s">
        <v>2931</v>
      </c>
      <c r="N128" s="40">
        <v>45489</v>
      </c>
      <c r="O128" s="40">
        <v>45491</v>
      </c>
      <c r="P128" s="40">
        <v>45520</v>
      </c>
      <c r="Q128" s="40">
        <v>45511</v>
      </c>
      <c r="R128">
        <v>55603</v>
      </c>
      <c r="S128" s="40" t="str" cm="1">
        <f t="array" aca="1" ref="S128" ca="1">TRIM(SUBSTITUTE(_xlfn.ARRAYTOTEXT(IFERROR(CONCATENATE(SUMIF(INDIRECT("'"&amp;Assemblies[Assy]&amp;"'!"&amp;"C$5:C1000"), $A128, INDIRECT("'"&amp;Assemblies[Assy]&amp;"'!"&amp;"O$5:O1000")), "x",Assemblies[Assy],".",IF(SUMIF(INDIRECT("'"&amp;Assemblies[Assy]&amp;"'!"&amp;"C$5:C1000"), $A128, INDIRECT("'"&amp;Assemblies[Assy]&amp;"'!"&amp;"A$5:A1000"))=0,NA(),SUMIF(INDIRECT("'"&amp;Assemblies[Assy]&amp;"'!"&amp;"C$5:C1000"), $A128, INDIRECT("'"&amp;Assemblies[Assy]&amp;"'!"&amp;"A$5:A1000")))),"")), " ,", ""))</f>
        <v>, 4x1.1.10.303, 2x4.6.313,</v>
      </c>
    </row>
    <row r="129" spans="1:19" hidden="1" x14ac:dyDescent="0.25">
      <c r="A129" s="162" t="s">
        <v>304</v>
      </c>
      <c r="B129" s="160" t="s">
        <v>3081</v>
      </c>
      <c r="C129" s="180">
        <v>2.44</v>
      </c>
      <c r="D129">
        <v>1</v>
      </c>
      <c r="E129" cm="1">
        <f t="array" aca="1" ref="E129" ca="1">SUMPRODUCT(SUMIF(INDIRECT("'"&amp;Assemblies[Assy]&amp;"'!"&amp;"C:C"),$A129,(INDIRECT("'"&amp;Assemblies[Assy]&amp;"'!"&amp;"O:O"))))</f>
        <v>10</v>
      </c>
      <c r="F129">
        <f ca="1">ROUNDUP(Purchased[[#This Row],[BOM QTY]]/Purchased[[#This Row],[PK QTY]], 0)</f>
        <v>10</v>
      </c>
      <c r="G129">
        <v>10</v>
      </c>
      <c r="H129" t="str">
        <f ca="1">IF(F129&lt;=G129," ","YES")</f>
        <v xml:space="preserve"> </v>
      </c>
      <c r="I129">
        <v>10</v>
      </c>
      <c r="J129">
        <v>10</v>
      </c>
      <c r="K129" t="s">
        <v>2926</v>
      </c>
      <c r="L129" t="s">
        <v>2931</v>
      </c>
      <c r="N129" s="40">
        <v>45489</v>
      </c>
      <c r="O129" s="40">
        <v>45491</v>
      </c>
      <c r="P129" s="40">
        <v>45520</v>
      </c>
      <c r="Q129" s="40">
        <v>45511</v>
      </c>
      <c r="R129">
        <v>55603</v>
      </c>
      <c r="S129" s="40" t="str" cm="1">
        <f t="array" aca="1" ref="S129" ca="1">TRIM(SUBSTITUTE(_xlfn.ARRAYTOTEXT(IFERROR(CONCATENATE(SUMIF(INDIRECT("'"&amp;Assemblies[Assy]&amp;"'!"&amp;"C$5:C1000"), $A129, INDIRECT("'"&amp;Assemblies[Assy]&amp;"'!"&amp;"O$5:O1000")), "x",Assemblies[Assy],".",IF(SUMIF(INDIRECT("'"&amp;Assemblies[Assy]&amp;"'!"&amp;"C$5:C1000"), $A129, INDIRECT("'"&amp;Assemblies[Assy]&amp;"'!"&amp;"A$5:A1000"))=0,NA(),SUMIF(INDIRECT("'"&amp;Assemblies[Assy]&amp;"'!"&amp;"C$5:C1000"), $A129, INDIRECT("'"&amp;Assemblies[Assy]&amp;"'!"&amp;"A$5:A1000")))),"")), " ,", ""))</f>
        <v>, 4x1.3.313, 6x2.3.315,</v>
      </c>
    </row>
    <row r="130" spans="1:19" hidden="1" x14ac:dyDescent="0.25">
      <c r="A130" s="160" t="s">
        <v>695</v>
      </c>
      <c r="B130" s="160" t="s">
        <v>3082</v>
      </c>
      <c r="C130" s="180">
        <v>4.17</v>
      </c>
      <c r="D130">
        <v>1</v>
      </c>
      <c r="E130" cm="1">
        <f t="array" aca="1" ref="E130" ca="1">SUMPRODUCT(SUMIF(INDIRECT("'"&amp;Assemblies[Assy]&amp;"'!"&amp;"C:C"),$A130,(INDIRECT("'"&amp;Assemblies[Assy]&amp;"'!"&amp;"O:O"))))</f>
        <v>3</v>
      </c>
      <c r="F130">
        <f ca="1">ROUNDUP(Purchased[[#This Row],[BOM QTY]]/Purchased[[#This Row],[PK QTY]], 0)</f>
        <v>3</v>
      </c>
      <c r="G130">
        <v>10</v>
      </c>
      <c r="H130" t="str">
        <f ca="1">IF(F130&lt;=G130," ","YES")</f>
        <v xml:space="preserve"> </v>
      </c>
      <c r="I130">
        <v>10</v>
      </c>
      <c r="J130">
        <v>10</v>
      </c>
      <c r="K130" t="s">
        <v>2926</v>
      </c>
      <c r="L130" t="s">
        <v>2931</v>
      </c>
      <c r="N130" s="40">
        <v>45489</v>
      </c>
      <c r="O130" s="40">
        <v>45491</v>
      </c>
      <c r="P130" s="40">
        <v>45520</v>
      </c>
      <c r="Q130" s="40">
        <v>45511</v>
      </c>
      <c r="R130">
        <v>55603</v>
      </c>
      <c r="S130" s="40" t="str" cm="1">
        <f t="array" aca="1" ref="S130" ca="1">TRIM(SUBSTITUTE(_xlfn.ARRAYTOTEXT(IFERROR(CONCATENATE(SUMIF(INDIRECT("'"&amp;Assemblies[Assy]&amp;"'!"&amp;"C$5:C1000"), $A130, INDIRECT("'"&amp;Assemblies[Assy]&amp;"'!"&amp;"O$5:O1000")), "x",Assemblies[Assy],".",IF(SUMIF(INDIRECT("'"&amp;Assemblies[Assy]&amp;"'!"&amp;"C$5:C1000"), $A130, INDIRECT("'"&amp;Assemblies[Assy]&amp;"'!"&amp;"A$5:A1000"))=0,NA(),SUMIF(INDIRECT("'"&amp;Assemblies[Assy]&amp;"'!"&amp;"C$5:C1000"), $A130, INDIRECT("'"&amp;Assemblies[Assy]&amp;"'!"&amp;"A$5:A1000")))),"")), " ,", ""))</f>
        <v>, 1x5.2.307, 2x6.9.307,</v>
      </c>
    </row>
    <row r="131" spans="1:19" hidden="1" x14ac:dyDescent="0.25">
      <c r="A131" s="160" t="s">
        <v>930</v>
      </c>
      <c r="B131" s="160" t="s">
        <v>3024</v>
      </c>
      <c r="C131" s="180">
        <v>2.44</v>
      </c>
      <c r="D131">
        <v>1</v>
      </c>
      <c r="E131" cm="1">
        <f t="array" aca="1" ref="E131" ca="1">SUMPRODUCT(SUMIF(INDIRECT("'"&amp;Assemblies[Assy]&amp;"'!"&amp;"C:C"),$A131,(INDIRECT("'"&amp;Assemblies[Assy]&amp;"'!"&amp;"O:O"))))</f>
        <v>10</v>
      </c>
      <c r="F131">
        <f ca="1">ROUNDUP(Purchased[[#This Row],[BOM QTY]]/Purchased[[#This Row],[PK QTY]], 0)</f>
        <v>10</v>
      </c>
      <c r="G131">
        <v>12</v>
      </c>
      <c r="H131" t="str">
        <f ca="1">IF(F131&lt;=G131," ","YES")</f>
        <v xml:space="preserve"> </v>
      </c>
      <c r="I131">
        <v>12</v>
      </c>
      <c r="J131">
        <v>12</v>
      </c>
      <c r="K131" t="s">
        <v>2926</v>
      </c>
      <c r="L131" t="s">
        <v>2931</v>
      </c>
      <c r="M131" s="191" t="s">
        <v>3025</v>
      </c>
      <c r="N131" s="40">
        <v>45489</v>
      </c>
      <c r="O131" s="40">
        <v>45489</v>
      </c>
      <c r="P131" s="40">
        <v>45510</v>
      </c>
      <c r="Q131" s="40">
        <v>45513</v>
      </c>
      <c r="R131" t="s">
        <v>3812</v>
      </c>
      <c r="S131" s="40" t="str" cm="1">
        <f t="array" aca="1" ref="S131" ca="1">TRIM(SUBSTITUTE(_xlfn.ARRAYTOTEXT(IFERROR(CONCATENATE(SUMIF(INDIRECT("'"&amp;Assemblies[Assy]&amp;"'!"&amp;"C$5:C1000"), $A131, INDIRECT("'"&amp;Assemblies[Assy]&amp;"'!"&amp;"O$5:O1000")), "x",Assemblies[Assy],".",IF(SUMIF(INDIRECT("'"&amp;Assemblies[Assy]&amp;"'!"&amp;"C$5:C1000"), $A131, INDIRECT("'"&amp;Assemblies[Assy]&amp;"'!"&amp;"A$5:A1000"))=0,NA(),SUMIF(INDIRECT("'"&amp;Assemblies[Assy]&amp;"'!"&amp;"C$5:C1000"), $A131, INDIRECT("'"&amp;Assemblies[Assy]&amp;"'!"&amp;"A$5:A1000")))),"")), " ,", ""))</f>
        <v>, 2x6.2.1.304, 3x6.2.3.302, 2x6.3.1.304, 3x6.3.3.302,</v>
      </c>
    </row>
    <row r="132" spans="1:19" hidden="1" x14ac:dyDescent="0.25">
      <c r="A132" s="160" t="s">
        <v>797</v>
      </c>
      <c r="B132" s="160" t="s">
        <v>3042</v>
      </c>
      <c r="C132" s="180">
        <v>11.25</v>
      </c>
      <c r="D132">
        <v>1</v>
      </c>
      <c r="E132" cm="1">
        <f t="array" aca="1" ref="E132" ca="1">SUMPRODUCT(SUMIF(INDIRECT("'"&amp;Assemblies[Assy]&amp;"'!"&amp;"C:C"),$A132,(INDIRECT("'"&amp;Assemblies[Assy]&amp;"'!"&amp;"O:O"))))</f>
        <v>12</v>
      </c>
      <c r="F132">
        <f ca="1">ROUNDUP(Purchased[[#This Row],[BOM QTY]]/Purchased[[#This Row],[PK QTY]], 0)</f>
        <v>12</v>
      </c>
      <c r="G132">
        <v>12</v>
      </c>
      <c r="H132" t="str">
        <f ca="1">IF(F132&lt;=G132," ","YES")</f>
        <v xml:space="preserve"> </v>
      </c>
      <c r="I132">
        <v>12</v>
      </c>
      <c r="J132">
        <v>12</v>
      </c>
      <c r="K132" s="181" t="s">
        <v>2926</v>
      </c>
      <c r="L132" t="s">
        <v>2931</v>
      </c>
      <c r="N132" s="40">
        <v>45489</v>
      </c>
      <c r="O132" s="40">
        <v>45491</v>
      </c>
      <c r="P132" s="40">
        <v>45520</v>
      </c>
      <c r="Q132" s="40">
        <v>45511</v>
      </c>
      <c r="R132">
        <v>55603</v>
      </c>
      <c r="S132" s="40" t="str" cm="1">
        <f t="array" aca="1" ref="S132" ca="1">TRIM(SUBSTITUTE(_xlfn.ARRAYTOTEXT(IFERROR(CONCATENATE(SUMIF(INDIRECT("'"&amp;Assemblies[Assy]&amp;"'!"&amp;"C$5:C1000"), $A132, INDIRECT("'"&amp;Assemblies[Assy]&amp;"'!"&amp;"O$5:O1000")), "x",Assemblies[Assy],".",IF(SUMIF(INDIRECT("'"&amp;Assemblies[Assy]&amp;"'!"&amp;"C$5:C1000"), $A132, INDIRECT("'"&amp;Assemblies[Assy]&amp;"'!"&amp;"A$5:A1000"))=0,NA(),SUMIF(INDIRECT("'"&amp;Assemblies[Assy]&amp;"'!"&amp;"C$5:C1000"), $A132, INDIRECT("'"&amp;Assemblies[Assy]&amp;"'!"&amp;"A$5:A1000")))),"")), " ,", ""))</f>
        <v>, 2x5.5.307, 4x5.5.2.1.305, 2x5.6.307, 2x6.2.2.303, 2x6.3.2.303,</v>
      </c>
    </row>
    <row r="133" spans="1:19" hidden="1" x14ac:dyDescent="0.25">
      <c r="A133" s="160" t="s">
        <v>800</v>
      </c>
      <c r="B133" s="160" t="s">
        <v>3046</v>
      </c>
      <c r="C133" s="180">
        <v>1.65</v>
      </c>
      <c r="D133">
        <v>1</v>
      </c>
      <c r="E133" cm="1">
        <f t="array" aca="1" ref="E133" ca="1">SUMPRODUCT(SUMIF(INDIRECT("'"&amp;Assemblies[Assy]&amp;"'!"&amp;"C:C"),$A133,(INDIRECT("'"&amp;Assemblies[Assy]&amp;"'!"&amp;"O:O"))))</f>
        <v>16</v>
      </c>
      <c r="F133">
        <f ca="1">ROUNDUP(Purchased[[#This Row],[BOM QTY]]/Purchased[[#This Row],[PK QTY]], 0)</f>
        <v>16</v>
      </c>
      <c r="G133">
        <v>16</v>
      </c>
      <c r="H133" t="str">
        <f ca="1">IF(F133&lt;=G133," ","YES")</f>
        <v xml:space="preserve"> </v>
      </c>
      <c r="I133">
        <v>16</v>
      </c>
      <c r="J133">
        <v>16</v>
      </c>
      <c r="K133" t="s">
        <v>2926</v>
      </c>
      <c r="L133" t="s">
        <v>2931</v>
      </c>
      <c r="N133" s="40">
        <v>45489</v>
      </c>
      <c r="O133" s="40">
        <v>45491</v>
      </c>
      <c r="P133" s="40">
        <v>45520</v>
      </c>
      <c r="Q133" s="40">
        <v>45511</v>
      </c>
      <c r="R133">
        <v>55603</v>
      </c>
      <c r="S133" s="40" t="str" cm="1">
        <f t="array" aca="1" ref="S133" ca="1">TRIM(SUBSTITUTE(_xlfn.ARRAYTOTEXT(IFERROR(CONCATENATE(SUMIF(INDIRECT("'"&amp;Assemblies[Assy]&amp;"'!"&amp;"C$5:C1000"), $A133, INDIRECT("'"&amp;Assemblies[Assy]&amp;"'!"&amp;"O$5:O1000")), "x",Assemblies[Assy],".",IF(SUMIF(INDIRECT("'"&amp;Assemblies[Assy]&amp;"'!"&amp;"C$5:C1000"), $A133, INDIRECT("'"&amp;Assemblies[Assy]&amp;"'!"&amp;"A$5:A1000"))=0,NA(),SUMIF(INDIRECT("'"&amp;Assemblies[Assy]&amp;"'!"&amp;"C$5:C1000"), $A133, INDIRECT("'"&amp;Assemblies[Assy]&amp;"'!"&amp;"A$5:A1000")))),"")), " ,", ""))</f>
        <v>, 2x5.5.310, 2x5.6.310, 2x6.2.1.2.303, 2x6.2.2.307, 2x6.3.1.2.303, 2x6.3.2.307, 2x6.4.302, 2x6.5.302,</v>
      </c>
    </row>
    <row r="134" spans="1:19" hidden="1" x14ac:dyDescent="0.25">
      <c r="A134" s="161" t="s">
        <v>672</v>
      </c>
      <c r="B134" s="160" t="s">
        <v>3049</v>
      </c>
      <c r="C134" s="180">
        <v>22.46</v>
      </c>
      <c r="D134">
        <v>1</v>
      </c>
      <c r="E134" cm="1">
        <f t="array" aca="1" ref="E134" ca="1">SUMPRODUCT(SUMIF(INDIRECT("'"&amp;Assemblies[Assy]&amp;"'!"&amp;"C:C"),$A134,(INDIRECT("'"&amp;Assemblies[Assy]&amp;"'!"&amp;"O:O"))))</f>
        <v>14</v>
      </c>
      <c r="F134">
        <f ca="1">ROUNDUP(Purchased[[#This Row],[BOM QTY]]/Purchased[[#This Row],[PK QTY]], 0)</f>
        <v>14</v>
      </c>
      <c r="G134">
        <v>18</v>
      </c>
      <c r="H134" t="str">
        <f ca="1">IF(F134&lt;=G134," ","YES")</f>
        <v xml:space="preserve"> </v>
      </c>
      <c r="I134">
        <v>18</v>
      </c>
      <c r="J134">
        <v>18</v>
      </c>
      <c r="K134" t="s">
        <v>2926</v>
      </c>
      <c r="L134" t="s">
        <v>2931</v>
      </c>
      <c r="N134" s="40">
        <v>45489</v>
      </c>
      <c r="O134" s="40">
        <v>45491</v>
      </c>
      <c r="P134" s="40">
        <v>45520</v>
      </c>
      <c r="Q134" s="40">
        <v>45511</v>
      </c>
      <c r="R134">
        <v>55603</v>
      </c>
      <c r="S134" s="40" t="str" cm="1">
        <f t="array" aca="1" ref="S134" ca="1">TRIM(SUBSTITUTE(_xlfn.ARRAYTOTEXT(IFERROR(CONCATENATE(SUMIF(INDIRECT("'"&amp;Assemblies[Assy]&amp;"'!"&amp;"C$5:C1000"), $A134, INDIRECT("'"&amp;Assemblies[Assy]&amp;"'!"&amp;"O$5:O1000")), "x",Assemblies[Assy],".",IF(SUMIF(INDIRECT("'"&amp;Assemblies[Assy]&amp;"'!"&amp;"C$5:C1000"), $A134, INDIRECT("'"&amp;Assemblies[Assy]&amp;"'!"&amp;"A$5:A1000"))=0,NA(),SUMIF(INDIRECT("'"&amp;Assemblies[Assy]&amp;"'!"&amp;"C$5:C1000"), $A134, INDIRECT("'"&amp;Assemblies[Assy]&amp;"'!"&amp;"A$5:A1000")))),"")), " ,", ""))</f>
        <v>, 4x4.6.314, 3x5.5.315, 3x5.6.315, 4x5.7.310,</v>
      </c>
    </row>
    <row r="135" spans="1:19" hidden="1" x14ac:dyDescent="0.25">
      <c r="A135" s="160" t="s">
        <v>3089</v>
      </c>
      <c r="B135" s="160" t="s">
        <v>3090</v>
      </c>
      <c r="C135" s="180">
        <v>0.62680000000000002</v>
      </c>
      <c r="D135">
        <v>1</v>
      </c>
      <c r="E135" cm="1">
        <f t="array" aca="1" ref="E135" ca="1">SUMPRODUCT(SUMIF(INDIRECT("'"&amp;Assemblies[Assy]&amp;"'!"&amp;"C:C"),$A135,(INDIRECT("'"&amp;Assemblies[Assy]&amp;"'!"&amp;"O:O"))))</f>
        <v>0</v>
      </c>
      <c r="F135">
        <f ca="1">ROUNDUP(Purchased[[#This Row],[BOM QTY]]/Purchased[[#This Row],[PK QTY]], 0)</f>
        <v>0</v>
      </c>
      <c r="G135">
        <v>20</v>
      </c>
      <c r="H135" t="str">
        <f ca="1">IF(F135&lt;=G135," ","YES")</f>
        <v xml:space="preserve"> </v>
      </c>
      <c r="I135">
        <v>20</v>
      </c>
      <c r="J135">
        <v>20</v>
      </c>
      <c r="K135" t="s">
        <v>2926</v>
      </c>
      <c r="L135" t="s">
        <v>2931</v>
      </c>
      <c r="N135" s="40">
        <v>45495</v>
      </c>
      <c r="O135" s="40">
        <v>45497</v>
      </c>
      <c r="P135" s="40">
        <v>45526</v>
      </c>
      <c r="Q135" s="40">
        <v>45526</v>
      </c>
      <c r="R135">
        <v>55614</v>
      </c>
      <c r="S135" s="40" t="str" cm="1">
        <f t="array" aca="1" ref="S135" ca="1">TRIM(SUBSTITUTE(_xlfn.ARRAYTOTEXT(IFERROR(CONCATENATE(SUMIF(INDIRECT("'"&amp;Assemblies[Assy]&amp;"'!"&amp;"C$5:C1000"), $A135, INDIRECT("'"&amp;Assemblies[Assy]&amp;"'!"&amp;"O$5:O1000")), "x",Assemblies[Assy],".",IF(SUMIF(INDIRECT("'"&amp;Assemblies[Assy]&amp;"'!"&amp;"C$5:C1000"), $A135, INDIRECT("'"&amp;Assemblies[Assy]&amp;"'!"&amp;"A$5:A1000"))=0,NA(),SUMIF(INDIRECT("'"&amp;Assemblies[Assy]&amp;"'!"&amp;"C$5:C1000"), $A135, INDIRECT("'"&amp;Assemblies[Assy]&amp;"'!"&amp;"A$5:A1000")))),"")), " ,", ""))</f>
        <v>,</v>
      </c>
    </row>
    <row r="136" spans="1:19" hidden="1" x14ac:dyDescent="0.25">
      <c r="A136" s="162" t="s">
        <v>102</v>
      </c>
      <c r="B136" s="160" t="s">
        <v>3061</v>
      </c>
      <c r="C136" s="180">
        <v>1.63</v>
      </c>
      <c r="D136">
        <v>1</v>
      </c>
      <c r="E136" cm="1">
        <f t="array" aca="1" ref="E136" ca="1">SUMPRODUCT(SUMIF(INDIRECT("'"&amp;Assemblies[Assy]&amp;"'!"&amp;"C:C"),$A136,(INDIRECT("'"&amp;Assemblies[Assy]&amp;"'!"&amp;"O:O"))))</f>
        <v>14</v>
      </c>
      <c r="F136">
        <f ca="1">ROUNDUP(Purchased[[#This Row],[BOM QTY]]/Purchased[[#This Row],[PK QTY]], 0)</f>
        <v>14</v>
      </c>
      <c r="G136">
        <v>20</v>
      </c>
      <c r="H136" t="str">
        <f ca="1">IF(F136&lt;=G136," ","YES")</f>
        <v xml:space="preserve"> </v>
      </c>
      <c r="I136">
        <v>20</v>
      </c>
      <c r="J136">
        <v>20</v>
      </c>
      <c r="K136" t="s">
        <v>2926</v>
      </c>
      <c r="L136" t="s">
        <v>2931</v>
      </c>
      <c r="N136" s="40">
        <v>45489</v>
      </c>
      <c r="O136" s="40">
        <v>45491</v>
      </c>
      <c r="P136" s="40">
        <v>45520</v>
      </c>
      <c r="Q136" s="40">
        <v>45511</v>
      </c>
      <c r="R136">
        <v>55603</v>
      </c>
      <c r="S136" s="40" t="str" cm="1">
        <f t="array" aca="1" ref="S136" ca="1">TRIM(SUBSTITUTE(_xlfn.ARRAYTOTEXT(IFERROR(CONCATENATE(SUMIF(INDIRECT("'"&amp;Assemblies[Assy]&amp;"'!"&amp;"C$5:C1000"), $A136, INDIRECT("'"&amp;Assemblies[Assy]&amp;"'!"&amp;"O$5:O1000")), "x",Assemblies[Assy],".",IF(SUMIF(INDIRECT("'"&amp;Assemblies[Assy]&amp;"'!"&amp;"C$5:C1000"), $A136, INDIRECT("'"&amp;Assemblies[Assy]&amp;"'!"&amp;"A$5:A1000"))=0,NA(),SUMIF(INDIRECT("'"&amp;Assemblies[Assy]&amp;"'!"&amp;"C$5:C1000"), $A136, INDIRECT("'"&amp;Assemblies[Assy]&amp;"'!"&amp;"A$5:A1000")))),"")), " ,", ""))</f>
        <v>, 2x0.3.308, 10x1.3.6.301, 2x4.6.315,</v>
      </c>
    </row>
    <row r="137" spans="1:19" hidden="1" x14ac:dyDescent="0.25">
      <c r="A137" s="162" t="s">
        <v>302</v>
      </c>
      <c r="B137" s="160" t="s">
        <v>3075</v>
      </c>
      <c r="C137" s="180">
        <v>2.5499999999999998</v>
      </c>
      <c r="D137">
        <v>1</v>
      </c>
      <c r="E137" cm="1">
        <f t="array" aca="1" ref="E137" ca="1">SUMPRODUCT(SUMIF(INDIRECT("'"&amp;Assemblies[Assy]&amp;"'!"&amp;"C:C"),$A137,(INDIRECT("'"&amp;Assemblies[Assy]&amp;"'!"&amp;"O:O"))))</f>
        <v>20</v>
      </c>
      <c r="F137">
        <f ca="1">ROUNDUP(Purchased[[#This Row],[BOM QTY]]/Purchased[[#This Row],[PK QTY]], 0)</f>
        <v>20</v>
      </c>
      <c r="G137">
        <v>20</v>
      </c>
      <c r="H137" t="str">
        <f ca="1">IF(F137&lt;=G137," ","YES")</f>
        <v xml:space="preserve"> </v>
      </c>
      <c r="I137">
        <v>20</v>
      </c>
      <c r="J137">
        <v>20</v>
      </c>
      <c r="K137" t="s">
        <v>2926</v>
      </c>
      <c r="L137" t="s">
        <v>2931</v>
      </c>
      <c r="N137" s="40">
        <v>45489</v>
      </c>
      <c r="O137" s="40">
        <v>45491</v>
      </c>
      <c r="P137" s="40">
        <v>45520</v>
      </c>
      <c r="Q137" s="40">
        <v>45511</v>
      </c>
      <c r="R137">
        <v>55603</v>
      </c>
      <c r="S137" s="40" t="str" cm="1">
        <f t="array" aca="1" ref="S137" ca="1">TRIM(SUBSTITUTE(_xlfn.ARRAYTOTEXT(IFERROR(CONCATENATE(SUMIF(INDIRECT("'"&amp;Assemblies[Assy]&amp;"'!"&amp;"C$5:C1000"), $A137, INDIRECT("'"&amp;Assemblies[Assy]&amp;"'!"&amp;"O$5:O1000")), "x",Assemblies[Assy],".",IF(SUMIF(INDIRECT("'"&amp;Assemblies[Assy]&amp;"'!"&amp;"C$5:C1000"), $A137, INDIRECT("'"&amp;Assemblies[Assy]&amp;"'!"&amp;"A$5:A1000"))=0,NA(),SUMIF(INDIRECT("'"&amp;Assemblies[Assy]&amp;"'!"&amp;"C$5:C1000"), $A137, INDIRECT("'"&amp;Assemblies[Assy]&amp;"'!"&amp;"A$5:A1000")))),"")), " ,", ""))</f>
        <v>, 8x1.3.311, 12x2.3.313,</v>
      </c>
    </row>
    <row r="138" spans="1:19" hidden="1" x14ac:dyDescent="0.25">
      <c r="A138" s="162" t="s">
        <v>227</v>
      </c>
      <c r="B138" s="160" t="s">
        <v>3071</v>
      </c>
      <c r="C138" s="180">
        <v>1.86</v>
      </c>
      <c r="D138">
        <v>1</v>
      </c>
      <c r="E138" cm="1">
        <f t="array" aca="1" ref="E138" ca="1">SUMPRODUCT(SUMIF(INDIRECT("'"&amp;Assemblies[Assy]&amp;"'!"&amp;"C:C"),$A138,(INDIRECT("'"&amp;Assemblies[Assy]&amp;"'!"&amp;"O:O"))))</f>
        <v>26</v>
      </c>
      <c r="F138">
        <f ca="1">ROUNDUP(Purchased[[#This Row],[BOM QTY]]/Purchased[[#This Row],[PK QTY]], 0)</f>
        <v>26</v>
      </c>
      <c r="G138">
        <v>30</v>
      </c>
      <c r="H138" t="str">
        <f ca="1">IF(F138&lt;=G138," ","YES")</f>
        <v xml:space="preserve"> </v>
      </c>
      <c r="I138">
        <v>30</v>
      </c>
      <c r="J138">
        <v>30</v>
      </c>
      <c r="K138" t="s">
        <v>2926</v>
      </c>
      <c r="L138" t="s">
        <v>2931</v>
      </c>
      <c r="N138" s="40">
        <v>45489</v>
      </c>
      <c r="O138" s="40">
        <v>45491</v>
      </c>
      <c r="P138" s="40">
        <v>45520</v>
      </c>
      <c r="Q138" s="40">
        <v>45511</v>
      </c>
      <c r="R138">
        <v>55603</v>
      </c>
      <c r="S138" s="40" t="str" cm="1">
        <f t="array" aca="1" ref="S138" ca="1">TRIM(SUBSTITUTE(_xlfn.ARRAYTOTEXT(IFERROR(CONCATENATE(SUMIF(INDIRECT("'"&amp;Assemblies[Assy]&amp;"'!"&amp;"C$5:C1000"), $A138, INDIRECT("'"&amp;Assemblies[Assy]&amp;"'!"&amp;"O$5:O1000")), "x",Assemblies[Assy],".",IF(SUMIF(INDIRECT("'"&amp;Assemblies[Assy]&amp;"'!"&amp;"C$5:C1000"), $A138, INDIRECT("'"&amp;Assemblies[Assy]&amp;"'!"&amp;"A$5:A1000"))=0,NA(),SUMIF(INDIRECT("'"&amp;Assemblies[Assy]&amp;"'!"&amp;"C$5:C1000"), $A138, INDIRECT("'"&amp;Assemblies[Assy]&amp;"'!"&amp;"A$5:A1000")))),"")), " ,", ""))</f>
        <v>, 4x1.1.10.302, 4x1.3.310, 6x2.3.312, 2x4.6.312, 3x5.5.318, 3x5.6.318, 4x5.7.314,</v>
      </c>
    </row>
    <row r="139" spans="1:19" hidden="1" x14ac:dyDescent="0.25">
      <c r="A139" s="160" t="s">
        <v>799</v>
      </c>
      <c r="B139" s="160" t="s">
        <v>3044</v>
      </c>
      <c r="C139" s="180">
        <v>14.87</v>
      </c>
      <c r="D139">
        <v>1</v>
      </c>
      <c r="E139" cm="1">
        <f t="array" aca="1" ref="E139" ca="1">SUMPRODUCT(SUMIF(INDIRECT("'"&amp;Assemblies[Assy]&amp;"'!"&amp;"C:C"),$A139,(INDIRECT("'"&amp;Assemblies[Assy]&amp;"'!"&amp;"O:O"))))</f>
        <v>32</v>
      </c>
      <c r="F139">
        <f ca="1">ROUNDUP(Purchased[[#This Row],[BOM QTY]]/Purchased[[#This Row],[PK QTY]], 0)</f>
        <v>32</v>
      </c>
      <c r="G139">
        <v>34</v>
      </c>
      <c r="H139" t="str">
        <f ca="1">IF(F139&lt;=G139," ","YES")</f>
        <v xml:space="preserve"> </v>
      </c>
      <c r="I139">
        <v>34</v>
      </c>
      <c r="J139">
        <v>34</v>
      </c>
      <c r="K139" t="s">
        <v>2926</v>
      </c>
      <c r="L139" t="s">
        <v>2931</v>
      </c>
      <c r="M139" s="191" t="s">
        <v>3033</v>
      </c>
      <c r="N139" s="40">
        <v>45489</v>
      </c>
      <c r="O139" s="40">
        <v>45491</v>
      </c>
      <c r="P139" s="40">
        <v>45520</v>
      </c>
      <c r="Q139" s="40">
        <v>45511</v>
      </c>
      <c r="R139" t="s">
        <v>3813</v>
      </c>
      <c r="S139" s="40" t="str" cm="1">
        <f t="array" aca="1" ref="S139" ca="1">TRIM(SUBSTITUTE(_xlfn.ARRAYTOTEXT(IFERROR(CONCATENATE(SUMIF(INDIRECT("'"&amp;Assemblies[Assy]&amp;"'!"&amp;"C$5:C1000"), $A139, INDIRECT("'"&amp;Assemblies[Assy]&amp;"'!"&amp;"O$5:O1000")), "x",Assemblies[Assy],".",IF(SUMIF(INDIRECT("'"&amp;Assemblies[Assy]&amp;"'!"&amp;"C$5:C1000"), $A139, INDIRECT("'"&amp;Assemblies[Assy]&amp;"'!"&amp;"A$5:A1000"))=0,NA(),SUMIF(INDIRECT("'"&amp;Assemblies[Assy]&amp;"'!"&amp;"C$5:C1000"), $A139, INDIRECT("'"&amp;Assemblies[Assy]&amp;"'!"&amp;"A$5:A1000")))),"")), " ,", ""))</f>
        <v>, 2x5.5.309, 2x5.6.309, 2x6.2.1.306, 2x6.2.1.2.304, 2x6.2.2.306, 2x6.2.3.304, 2x6.3.1.306, 2x6.3.1.2.304, 2x6.3.2.306, 2x6.3.3.304, 2x6.4.303, 2x6.5.303, 8x6.10.308,</v>
      </c>
    </row>
    <row r="140" spans="1:19" hidden="1" x14ac:dyDescent="0.25">
      <c r="A140" s="160" t="s">
        <v>657</v>
      </c>
      <c r="B140" s="160" t="s">
        <v>3064</v>
      </c>
      <c r="C140" s="180">
        <v>1.43</v>
      </c>
      <c r="D140">
        <v>1</v>
      </c>
      <c r="E140" cm="1">
        <f t="array" aca="1" ref="E140" ca="1">SUMPRODUCT(SUMIF(INDIRECT("'"&amp;Assemblies[Assy]&amp;"'!"&amp;"C:C"),$A140,(INDIRECT("'"&amp;Assemblies[Assy]&amp;"'!"&amp;"O:O"))))</f>
        <v>34</v>
      </c>
      <c r="F140">
        <f ca="1">ROUNDUP(Purchased[[#This Row],[BOM QTY]]/Purchased[[#This Row],[PK QTY]], 0)</f>
        <v>34</v>
      </c>
      <c r="G140">
        <v>40</v>
      </c>
      <c r="H140" t="str">
        <f ca="1">IF(F140&lt;=G140," ","YES")</f>
        <v xml:space="preserve"> </v>
      </c>
      <c r="I140">
        <v>40</v>
      </c>
      <c r="J140">
        <v>40</v>
      </c>
      <c r="K140" s="181" t="s">
        <v>2926</v>
      </c>
      <c r="L140" t="s">
        <v>2931</v>
      </c>
      <c r="M140" s="191" t="s">
        <v>3065</v>
      </c>
      <c r="N140" s="40">
        <v>45489</v>
      </c>
      <c r="O140" s="40">
        <v>45491</v>
      </c>
      <c r="P140" s="40">
        <v>45520</v>
      </c>
      <c r="Q140" s="40">
        <v>45511</v>
      </c>
      <c r="R140" t="s">
        <v>3813</v>
      </c>
      <c r="S140" s="40" t="str" cm="1">
        <f t="array" aca="1" ref="S140" ca="1">TRIM(SUBSTITUTE(_xlfn.ARRAYTOTEXT(IFERROR(CONCATENATE(SUMIF(INDIRECT("'"&amp;Assemblies[Assy]&amp;"'!"&amp;"C$5:C1000"), $A140, INDIRECT("'"&amp;Assemblies[Assy]&amp;"'!"&amp;"O$5:O1000")), "x",Assemblies[Assy],".",IF(SUMIF(INDIRECT("'"&amp;Assemblies[Assy]&amp;"'!"&amp;"C$5:C1000"), $A140, INDIRECT("'"&amp;Assemblies[Assy]&amp;"'!"&amp;"A$5:A1000"))=0,NA(),SUMIF(INDIRECT("'"&amp;Assemblies[Assy]&amp;"'!"&amp;"C$5:C1000"), $A140, INDIRECT("'"&amp;Assemblies[Assy]&amp;"'!"&amp;"A$5:A1000")))),"")), " ,", ""))</f>
        <v>, 2x4.5.306, 2x4.5.1.313, 2x5.5.1.307, 4x5.5.2.1.304, 2x5.6.1.308, 2x6.2.2.305, 2x6.3.2.305, 1x6.4.306, 1x6.5.306, 16x6.10.310,</v>
      </c>
    </row>
    <row r="141" spans="1:19" ht="14.45" hidden="1" customHeight="1" x14ac:dyDescent="0.25">
      <c r="A141" s="160" t="s">
        <v>694</v>
      </c>
      <c r="B141" s="160" t="s">
        <v>3056</v>
      </c>
      <c r="C141" s="180">
        <v>0.85</v>
      </c>
      <c r="D141">
        <v>1</v>
      </c>
      <c r="E141" cm="1">
        <f t="array" aca="1" ref="E141" ca="1">SUMPRODUCT(SUMIF(INDIRECT("'"&amp;Assemblies[Assy]&amp;"'!"&amp;"C:C"),$A141,(INDIRECT("'"&amp;Assemblies[Assy]&amp;"'!"&amp;"O:O"))))</f>
        <v>33</v>
      </c>
      <c r="F141">
        <f ca="1">ROUNDUP(Purchased[[#This Row],[BOM QTY]]/Purchased[[#This Row],[PK QTY]], 0)</f>
        <v>33</v>
      </c>
      <c r="G141">
        <v>40</v>
      </c>
      <c r="H141" t="str">
        <f ca="1">IF(F141&lt;=G141," ","YES")</f>
        <v xml:space="preserve"> </v>
      </c>
      <c r="I141">
        <v>40</v>
      </c>
      <c r="J141">
        <v>40</v>
      </c>
      <c r="K141" t="s">
        <v>2926</v>
      </c>
      <c r="L141" t="s">
        <v>2931</v>
      </c>
      <c r="N141" s="40">
        <v>45489</v>
      </c>
      <c r="O141" s="40">
        <v>45491</v>
      </c>
      <c r="P141" s="40">
        <v>45520</v>
      </c>
      <c r="Q141" s="40">
        <v>45511</v>
      </c>
      <c r="R141">
        <v>55603</v>
      </c>
      <c r="S141" s="40" t="str" cm="1">
        <f t="array" aca="1" ref="S141" ca="1">TRIM(SUBSTITUTE(_xlfn.ARRAYTOTEXT(IFERROR(CONCATENATE(SUMIF(INDIRECT("'"&amp;Assemblies[Assy]&amp;"'!"&amp;"C$5:C1000"), $A141, INDIRECT("'"&amp;Assemblies[Assy]&amp;"'!"&amp;"O$5:O1000")), "x",Assemblies[Assy],".",IF(SUMIF(INDIRECT("'"&amp;Assemblies[Assy]&amp;"'!"&amp;"C$5:C1000"), $A141, INDIRECT("'"&amp;Assemblies[Assy]&amp;"'!"&amp;"A$5:A1000"))=0,NA(),SUMIF(INDIRECT("'"&amp;Assemblies[Assy]&amp;"'!"&amp;"C$5:C1000"), $A141, INDIRECT("'"&amp;Assemblies[Assy]&amp;"'!"&amp;"A$5:A1000")))),"")), " ,", ""))</f>
        <v>, 4x5.2.306, 8x6.9.306, 12x7.2.4.302, 1x9.3.303, 8x9.4.304,</v>
      </c>
    </row>
    <row r="142" spans="1:19" hidden="1" x14ac:dyDescent="0.25">
      <c r="A142" s="160" t="s">
        <v>305</v>
      </c>
      <c r="B142" s="160" t="s">
        <v>3032</v>
      </c>
      <c r="C142" s="180">
        <v>38.64</v>
      </c>
      <c r="D142">
        <v>1</v>
      </c>
      <c r="E142" cm="1">
        <f t="array" aca="1" ref="E142" ca="1">SUMPRODUCT(SUMIF(INDIRECT("'"&amp;Assemblies[Assy]&amp;"'!"&amp;"C:C"),$A142,(INDIRECT("'"&amp;Assemblies[Assy]&amp;"'!"&amp;"O:O"))))</f>
        <v>63</v>
      </c>
      <c r="F142">
        <f ca="1">ROUNDUP(Purchased[[#This Row],[BOM QTY]]/Purchased[[#This Row],[PK QTY]], 0)</f>
        <v>63</v>
      </c>
      <c r="G142">
        <v>71</v>
      </c>
      <c r="H142" t="str">
        <f ca="1">IF(F142&lt;=G142," ","YES")</f>
        <v xml:space="preserve"> </v>
      </c>
      <c r="I142">
        <v>71</v>
      </c>
      <c r="J142">
        <v>71</v>
      </c>
      <c r="K142" t="s">
        <v>2926</v>
      </c>
      <c r="L142" t="s">
        <v>2931</v>
      </c>
      <c r="M142" s="191" t="s">
        <v>3033</v>
      </c>
      <c r="N142" s="40">
        <v>45489</v>
      </c>
      <c r="O142" s="40">
        <v>45489</v>
      </c>
      <c r="P142" s="40">
        <v>45510</v>
      </c>
      <c r="Q142" s="40">
        <v>45513</v>
      </c>
      <c r="R142" t="s">
        <v>3812</v>
      </c>
      <c r="S142" s="40" t="str" cm="1">
        <f t="array" aca="1" ref="S142" ca="1">TRIM(SUBSTITUTE(_xlfn.ARRAYTOTEXT(IFERROR(CONCATENATE(SUMIF(INDIRECT("'"&amp;Assemblies[Assy]&amp;"'!"&amp;"C$5:C1000"), $A142, INDIRECT("'"&amp;Assemblies[Assy]&amp;"'!"&amp;"O$5:O1000")), "x",Assemblies[Assy],".",IF(SUMIF(INDIRECT("'"&amp;Assemblies[Assy]&amp;"'!"&amp;"C$5:C1000"), $A142, INDIRECT("'"&amp;Assemblies[Assy]&amp;"'!"&amp;"A$5:A1000"))=0,NA(),SUMIF(INDIRECT("'"&amp;Assemblies[Assy]&amp;"'!"&amp;"C$5:C1000"), $A142, INDIRECT("'"&amp;Assemblies[Assy]&amp;"'!"&amp;"A$5:A1000")))),"")), " ,", ""))</f>
        <v>, 4x1.3.314, 3x5.5.314, 2x5.5.1.308, 2x5.5.2.302, 3x5.6.314, 2x5.6.1.307, 3x5.6.2.302, 4x5.7.312, 2x6.2.1.303, 1x6.2.1.3.303, 4x6.2.2.302, 3x6.2.3.301, 2x6.3.1.303, 1x6.3.1.3.303, 4x6.3.2.302, 3x6.3.3.301, 2x6.4.301, 2x6.5.301, 8x6.10.311, 8x9.4.305,</v>
      </c>
    </row>
    <row r="143" spans="1:19" hidden="1" x14ac:dyDescent="0.25">
      <c r="A143" s="160" t="s">
        <v>802</v>
      </c>
      <c r="B143" s="160" t="s">
        <v>3097</v>
      </c>
      <c r="C143" s="180">
        <v>298.10840000000002</v>
      </c>
      <c r="D143">
        <v>1</v>
      </c>
      <c r="E143" cm="1">
        <f t="array" aca="1" ref="E143" ca="1">SUMPRODUCT(SUMIF(INDIRECT("'"&amp;Assemblies[Assy]&amp;"'!"&amp;"C:C"),$A143,(INDIRECT("'"&amp;Assemblies[Assy]&amp;"'!"&amp;"O:O"))))</f>
        <v>2</v>
      </c>
      <c r="F143">
        <f ca="1">ROUNDUP(Purchased[[#This Row],[BOM QTY]]/Purchased[[#This Row],[PK QTY]], 0)</f>
        <v>2</v>
      </c>
      <c r="G143">
        <v>5</v>
      </c>
      <c r="H143" t="str">
        <f ca="1">IF(F143&lt;=G143," ","YES")</f>
        <v xml:space="preserve"> </v>
      </c>
      <c r="K143" t="s">
        <v>2926</v>
      </c>
      <c r="L143" t="s">
        <v>2931</v>
      </c>
      <c r="M143" s="191" t="s">
        <v>3098</v>
      </c>
      <c r="N143" s="40">
        <v>45510</v>
      </c>
      <c r="O143" s="40">
        <v>45517</v>
      </c>
      <c r="P143" s="40">
        <v>45548</v>
      </c>
      <c r="Q143" s="40">
        <v>45561</v>
      </c>
      <c r="R143">
        <v>55666</v>
      </c>
      <c r="S143" s="40" t="str" cm="1">
        <f t="array" aca="1" ref="S143" ca="1">TRIM(SUBSTITUTE(_xlfn.ARRAYTOTEXT(IFERROR(CONCATENATE(SUMIF(INDIRECT("'"&amp;Assemblies[Assy]&amp;"'!"&amp;"C$5:C1000"), $A143, INDIRECT("'"&amp;Assemblies[Assy]&amp;"'!"&amp;"O$5:O1000")), "x",Assemblies[Assy],".",IF(SUMIF(INDIRECT("'"&amp;Assemblies[Assy]&amp;"'!"&amp;"C$5:C1000"), $A143, INDIRECT("'"&amp;Assemblies[Assy]&amp;"'!"&amp;"A$5:A1000"))=0,NA(),SUMIF(INDIRECT("'"&amp;Assemblies[Assy]&amp;"'!"&amp;"C$5:C1000"), $A143, INDIRECT("'"&amp;Assemblies[Assy]&amp;"'!"&amp;"A$5:A1000")))),"")), " ,", ""))</f>
        <v>, 1x5.5.312, 1x5.6.312,</v>
      </c>
    </row>
    <row r="144" spans="1:19" hidden="1" x14ac:dyDescent="0.25">
      <c r="A144" s="161" t="s">
        <v>1286</v>
      </c>
      <c r="B144" s="160" t="s">
        <v>3114</v>
      </c>
      <c r="C144" s="180">
        <v>2002.1095</v>
      </c>
      <c r="D144">
        <v>1</v>
      </c>
      <c r="E144" cm="1">
        <f t="array" aca="1" ref="E144" ca="1">SUMPRODUCT(SUMIF(INDIRECT("'"&amp;Assemblies[Assy]&amp;"'!"&amp;"C:C"),$A144,(INDIRECT("'"&amp;Assemblies[Assy]&amp;"'!"&amp;"O:O"))))</f>
        <v>1</v>
      </c>
      <c r="F144">
        <f ca="1">ROUNDUP(Purchased[[#This Row],[BOM QTY]]/Purchased[[#This Row],[PK QTY]], 0)</f>
        <v>1</v>
      </c>
      <c r="G144">
        <v>1</v>
      </c>
      <c r="H144" t="str">
        <f ca="1">IF(F144&lt;=G144," ","YES")</f>
        <v xml:space="preserve"> </v>
      </c>
      <c r="I144">
        <v>1</v>
      </c>
      <c r="J144">
        <v>1</v>
      </c>
      <c r="K144" t="s">
        <v>3115</v>
      </c>
      <c r="L144" t="s">
        <v>2931</v>
      </c>
      <c r="N144" s="40">
        <v>45426</v>
      </c>
      <c r="O144" s="40">
        <v>45426</v>
      </c>
      <c r="P144" s="40">
        <v>45524</v>
      </c>
      <c r="Q144" s="40">
        <v>45524</v>
      </c>
      <c r="R144">
        <v>55517</v>
      </c>
      <c r="S144" s="40" t="str" cm="1">
        <f t="array" aca="1" ref="S144" ca="1">TRIM(SUBSTITUTE(_xlfn.ARRAYTOTEXT(IFERROR(CONCATENATE(SUMIF(INDIRECT("'"&amp;Assemblies[Assy]&amp;"'!"&amp;"C$5:C1000"), $A144, INDIRECT("'"&amp;Assemblies[Assy]&amp;"'!"&amp;"O$5:O1000")), "x",Assemblies[Assy],".",IF(SUMIF(INDIRECT("'"&amp;Assemblies[Assy]&amp;"'!"&amp;"C$5:C1000"), $A144, INDIRECT("'"&amp;Assemblies[Assy]&amp;"'!"&amp;"A$5:A1000"))=0,NA(),SUMIF(INDIRECT("'"&amp;Assemblies[Assy]&amp;"'!"&amp;"C$5:C1000"), $A144, INDIRECT("'"&amp;Assemblies[Assy]&amp;"'!"&amp;"A$5:A1000")))),"")), " ,", ""))</f>
        <v>, 1x9.2.303,</v>
      </c>
    </row>
    <row r="145" spans="1:19" hidden="1" x14ac:dyDescent="0.25">
      <c r="A145" s="160" t="s">
        <v>1226</v>
      </c>
      <c r="B145" s="160" t="s">
        <v>3118</v>
      </c>
      <c r="C145" s="180">
        <v>3966.3107</v>
      </c>
      <c r="D145">
        <v>1</v>
      </c>
      <c r="E145" cm="1">
        <f t="array" aca="1" ref="E145" ca="1">SUMPRODUCT(SUMIF(INDIRECT("'"&amp;Assemblies[Assy]&amp;"'!"&amp;"C:C"),$A145,(INDIRECT("'"&amp;Assemblies[Assy]&amp;"'!"&amp;"O:O"))))</f>
        <v>1</v>
      </c>
      <c r="F145">
        <f ca="1">ROUNDUP(Purchased[[#This Row],[BOM QTY]]/Purchased[[#This Row],[PK QTY]], 0)</f>
        <v>1</v>
      </c>
      <c r="G145">
        <v>1</v>
      </c>
      <c r="H145" t="str">
        <f ca="1">IF(F145&lt;=G145," ","YES")</f>
        <v xml:space="preserve"> </v>
      </c>
      <c r="I145">
        <v>1</v>
      </c>
      <c r="J145">
        <v>1</v>
      </c>
      <c r="K145" t="s">
        <v>3117</v>
      </c>
      <c r="L145" t="s">
        <v>2931</v>
      </c>
      <c r="N145" s="40">
        <v>45426</v>
      </c>
      <c r="O145" s="40">
        <v>45426</v>
      </c>
      <c r="P145" s="40">
        <v>45524</v>
      </c>
      <c r="Q145" s="40">
        <v>45524</v>
      </c>
      <c r="R145">
        <v>55517</v>
      </c>
      <c r="S145" s="40" t="str" cm="1">
        <f t="array" aca="1" ref="S145" ca="1">TRIM(SUBSTITUTE(_xlfn.ARRAYTOTEXT(IFERROR(CONCATENATE(SUMIF(INDIRECT("'"&amp;Assemblies[Assy]&amp;"'!"&amp;"C$5:C1000"), $A145, INDIRECT("'"&amp;Assemblies[Assy]&amp;"'!"&amp;"O$5:O1000")), "x",Assemblies[Assy],".",IF(SUMIF(INDIRECT("'"&amp;Assemblies[Assy]&amp;"'!"&amp;"C$5:C1000"), $A145, INDIRECT("'"&amp;Assemblies[Assy]&amp;"'!"&amp;"A$5:A1000"))=0,NA(),SUMIF(INDIRECT("'"&amp;Assemblies[Assy]&amp;"'!"&amp;"C$5:C1000"), $A145, INDIRECT("'"&amp;Assemblies[Assy]&amp;"'!"&amp;"A$5:A1000")))),"")), " ,", ""))</f>
        <v>, 1x8.1.2.304,</v>
      </c>
    </row>
    <row r="146" spans="1:19" hidden="1" x14ac:dyDescent="0.25">
      <c r="A146" s="160" t="s">
        <v>1241</v>
      </c>
      <c r="B146" s="160" t="s">
        <v>3119</v>
      </c>
      <c r="C146" s="180">
        <v>3966.3107</v>
      </c>
      <c r="D146">
        <v>1</v>
      </c>
      <c r="E146" cm="1">
        <f t="array" aca="1" ref="E146" ca="1">SUMPRODUCT(SUMIF(INDIRECT("'"&amp;Assemblies[Assy]&amp;"'!"&amp;"C:C"),$A146,(INDIRECT("'"&amp;Assemblies[Assy]&amp;"'!"&amp;"O:O"))))</f>
        <v>1</v>
      </c>
      <c r="F146">
        <f ca="1">ROUNDUP(Purchased[[#This Row],[BOM QTY]]/Purchased[[#This Row],[PK QTY]], 0)</f>
        <v>1</v>
      </c>
      <c r="G146">
        <v>1</v>
      </c>
      <c r="H146" t="str">
        <f ca="1">IF(F146&lt;=G146," ","YES")</f>
        <v xml:space="preserve"> </v>
      </c>
      <c r="I146">
        <v>1</v>
      </c>
      <c r="J146">
        <v>1</v>
      </c>
      <c r="K146" t="s">
        <v>3117</v>
      </c>
      <c r="L146" t="s">
        <v>2931</v>
      </c>
      <c r="N146" s="40">
        <v>45426</v>
      </c>
      <c r="O146" s="40">
        <v>45426</v>
      </c>
      <c r="P146" s="40">
        <v>45524</v>
      </c>
      <c r="Q146" s="40">
        <v>45524</v>
      </c>
      <c r="R146">
        <v>55517</v>
      </c>
      <c r="S146" s="40" t="str" cm="1">
        <f t="array" aca="1" ref="S146" ca="1">TRIM(SUBSTITUTE(_xlfn.ARRAYTOTEXT(IFERROR(CONCATENATE(SUMIF(INDIRECT("'"&amp;Assemblies[Assy]&amp;"'!"&amp;"C$5:C1000"), $A146, INDIRECT("'"&amp;Assemblies[Assy]&amp;"'!"&amp;"O$5:O1000")), "x",Assemblies[Assy],".",IF(SUMIF(INDIRECT("'"&amp;Assemblies[Assy]&amp;"'!"&amp;"C$5:C1000"), $A146, INDIRECT("'"&amp;Assemblies[Assy]&amp;"'!"&amp;"A$5:A1000"))=0,NA(),SUMIF(INDIRECT("'"&amp;Assemblies[Assy]&amp;"'!"&amp;"C$5:C1000"), $A146, INDIRECT("'"&amp;Assemblies[Assy]&amp;"'!"&amp;"A$5:A1000")))),"")), " ,", ""))</f>
        <v>, 1x8.2.1.304,</v>
      </c>
    </row>
    <row r="147" spans="1:19" hidden="1" x14ac:dyDescent="0.25">
      <c r="A147" s="161" t="s">
        <v>1415</v>
      </c>
      <c r="B147" s="161" t="s">
        <v>3122</v>
      </c>
      <c r="C147" s="180">
        <v>2436.2986999999998</v>
      </c>
      <c r="D147">
        <v>1</v>
      </c>
      <c r="E147" cm="1">
        <f t="array" aca="1" ref="E147" ca="1">SUMPRODUCT(SUMIF(INDIRECT("'"&amp;Assemblies[Assy]&amp;"'!"&amp;"C:C"),$A147,(INDIRECT("'"&amp;Assemblies[Assy]&amp;"'!"&amp;"O:O"))))</f>
        <v>1</v>
      </c>
      <c r="F147">
        <f ca="1">ROUNDUP(Purchased[[#This Row],[BOM QTY]]/Purchased[[#This Row],[PK QTY]], 0)</f>
        <v>1</v>
      </c>
      <c r="G147">
        <v>1</v>
      </c>
      <c r="H147" t="str">
        <f ca="1">IF(F147&lt;=G147," ","YES")</f>
        <v xml:space="preserve"> </v>
      </c>
      <c r="I147">
        <v>1</v>
      </c>
      <c r="J147">
        <v>1</v>
      </c>
      <c r="K147" t="s">
        <v>3117</v>
      </c>
      <c r="L147" t="s">
        <v>2931</v>
      </c>
      <c r="N147" s="40">
        <v>45426</v>
      </c>
      <c r="O147" s="40">
        <v>45426</v>
      </c>
      <c r="P147" s="40">
        <v>45524</v>
      </c>
      <c r="Q147" s="40">
        <v>45524</v>
      </c>
      <c r="R147">
        <v>55517</v>
      </c>
      <c r="S147" s="40" t="str" cm="1">
        <f t="array" aca="1" ref="S147" ca="1">TRIM(SUBSTITUTE(_xlfn.ARRAYTOTEXT(IFERROR(CONCATENATE(SUMIF(INDIRECT("'"&amp;Assemblies[Assy]&amp;"'!"&amp;"C$5:C1000"), $A147, INDIRECT("'"&amp;Assemblies[Assy]&amp;"'!"&amp;"O$5:O1000")), "x",Assemblies[Assy],".",IF(SUMIF(INDIRECT("'"&amp;Assemblies[Assy]&amp;"'!"&amp;"C$5:C1000"), $A147, INDIRECT("'"&amp;Assemblies[Assy]&amp;"'!"&amp;"A$5:A1000"))=0,NA(),SUMIF(INDIRECT("'"&amp;Assemblies[Assy]&amp;"'!"&amp;"C$5:C1000"), $A147, INDIRECT("'"&amp;Assemblies[Assy]&amp;"'!"&amp;"A$5:A1000")))),"")), " ,", ""))</f>
        <v>, 1x10.3.303,</v>
      </c>
    </row>
    <row r="148" spans="1:19" hidden="1" x14ac:dyDescent="0.25">
      <c r="A148" s="161" t="s">
        <v>1395</v>
      </c>
      <c r="B148" s="161" t="s">
        <v>3123</v>
      </c>
      <c r="C148" s="180">
        <v>3063.0720000000001</v>
      </c>
      <c r="D148">
        <v>1</v>
      </c>
      <c r="E148" cm="1">
        <f t="array" aca="1" ref="E148" ca="1">SUMPRODUCT(SUMIF(INDIRECT("'"&amp;Assemblies[Assy]&amp;"'!"&amp;"C:C"),$A148,(INDIRECT("'"&amp;Assemblies[Assy]&amp;"'!"&amp;"O:O"))))</f>
        <v>1</v>
      </c>
      <c r="F148">
        <f ca="1">ROUNDUP(Purchased[[#This Row],[BOM QTY]]/Purchased[[#This Row],[PK QTY]], 0)</f>
        <v>1</v>
      </c>
      <c r="G148">
        <v>1</v>
      </c>
      <c r="H148" t="str">
        <f ca="1">IF(F148&lt;=G148," ","YES")</f>
        <v xml:space="preserve"> </v>
      </c>
      <c r="I148">
        <v>1</v>
      </c>
      <c r="J148">
        <v>1</v>
      </c>
      <c r="K148" t="s">
        <v>3117</v>
      </c>
      <c r="L148" t="s">
        <v>2931</v>
      </c>
      <c r="N148" s="40">
        <v>45426</v>
      </c>
      <c r="O148" s="40">
        <v>45426</v>
      </c>
      <c r="P148" s="40">
        <v>45524</v>
      </c>
      <c r="Q148" s="40">
        <v>45524</v>
      </c>
      <c r="R148">
        <v>55517</v>
      </c>
      <c r="S148" s="40" t="str" cm="1">
        <f t="array" aca="1" ref="S148" ca="1">TRIM(SUBSTITUTE(_xlfn.ARRAYTOTEXT(IFERROR(CONCATENATE(SUMIF(INDIRECT("'"&amp;Assemblies[Assy]&amp;"'!"&amp;"C$5:C1000"), $A148, INDIRECT("'"&amp;Assemblies[Assy]&amp;"'!"&amp;"O$5:O1000")), "x",Assemblies[Assy],".",IF(SUMIF(INDIRECT("'"&amp;Assemblies[Assy]&amp;"'!"&amp;"C$5:C1000"), $A148, INDIRECT("'"&amp;Assemblies[Assy]&amp;"'!"&amp;"A$5:A1000"))=0,NA(),SUMIF(INDIRECT("'"&amp;Assemblies[Assy]&amp;"'!"&amp;"C$5:C1000"), $A148, INDIRECT("'"&amp;Assemblies[Assy]&amp;"'!"&amp;"A$5:A1000")))),"")), " ,", ""))</f>
        <v>, 1x10.2.2.302,</v>
      </c>
    </row>
    <row r="149" spans="1:19" hidden="1" x14ac:dyDescent="0.25">
      <c r="A149" s="160" t="s">
        <v>1401</v>
      </c>
      <c r="B149" s="160" t="s">
        <v>3124</v>
      </c>
      <c r="C149" s="180">
        <v>2887.2514000000001</v>
      </c>
      <c r="D149">
        <v>1</v>
      </c>
      <c r="E149" cm="1">
        <f t="array" aca="1" ref="E149" ca="1">SUMPRODUCT(SUMIF(INDIRECT("'"&amp;Assemblies[Assy]&amp;"'!"&amp;"C:C"),$A149,(INDIRECT("'"&amp;Assemblies[Assy]&amp;"'!"&amp;"O:O"))))</f>
        <v>1</v>
      </c>
      <c r="F149">
        <f ca="1">ROUNDUP(Purchased[[#This Row],[BOM QTY]]/Purchased[[#This Row],[PK QTY]], 0)</f>
        <v>1</v>
      </c>
      <c r="G149">
        <v>1</v>
      </c>
      <c r="H149" t="str">
        <f ca="1">IF(F149&lt;=G149," ","YES")</f>
        <v xml:space="preserve"> </v>
      </c>
      <c r="I149">
        <v>1</v>
      </c>
      <c r="J149">
        <v>1</v>
      </c>
      <c r="K149" t="s">
        <v>3117</v>
      </c>
      <c r="L149" t="s">
        <v>2931</v>
      </c>
      <c r="N149" s="40">
        <v>45426</v>
      </c>
      <c r="O149" s="40">
        <v>45426</v>
      </c>
      <c r="P149" s="40">
        <v>45524</v>
      </c>
      <c r="Q149" s="40">
        <v>45524</v>
      </c>
      <c r="R149">
        <v>55517</v>
      </c>
      <c r="S149" s="40"/>
    </row>
    <row r="150" spans="1:19" hidden="1" x14ac:dyDescent="0.25">
      <c r="A150" s="160" t="s">
        <v>1028</v>
      </c>
      <c r="B150" s="160" t="s">
        <v>3125</v>
      </c>
      <c r="C150" s="180">
        <v>2607.1414</v>
      </c>
      <c r="D150">
        <v>1</v>
      </c>
      <c r="E150" cm="1">
        <f t="array" aca="1" ref="E150" ca="1">SUMPRODUCT(SUMIF(INDIRECT("'"&amp;Assemblies[Assy]&amp;"'!"&amp;"C:C"),$A150,(INDIRECT("'"&amp;Assemblies[Assy]&amp;"'!"&amp;"O:O"))))</f>
        <v>1</v>
      </c>
      <c r="F150">
        <f ca="1">ROUNDUP(Purchased[[#This Row],[BOM QTY]]/Purchased[[#This Row],[PK QTY]], 0)</f>
        <v>1</v>
      </c>
      <c r="G150">
        <v>1</v>
      </c>
      <c r="H150" t="str">
        <f ca="1">IF(F150&lt;=G150," ","YES")</f>
        <v xml:space="preserve"> </v>
      </c>
      <c r="I150">
        <v>1</v>
      </c>
      <c r="J150">
        <v>1</v>
      </c>
      <c r="K150" t="s">
        <v>3117</v>
      </c>
      <c r="L150" t="s">
        <v>2931</v>
      </c>
      <c r="N150" s="40">
        <v>45426</v>
      </c>
      <c r="O150" s="40">
        <v>45426</v>
      </c>
      <c r="P150" s="40">
        <v>45524</v>
      </c>
      <c r="Q150" s="40">
        <v>45524</v>
      </c>
      <c r="R150">
        <v>55517</v>
      </c>
      <c r="S150" s="40" t="str" cm="1">
        <f t="array" aca="1" ref="S150" ca="1">TRIM(SUBSTITUTE(_xlfn.ARRAYTOTEXT(IFERROR(CONCATENATE(SUMIF(INDIRECT("'"&amp;Assemblies[Assy]&amp;"'!"&amp;"C$5:C1000"), $A150, INDIRECT("'"&amp;Assemblies[Assy]&amp;"'!"&amp;"O$5:O1000")), "x",Assemblies[Assy],".",IF(SUMIF(INDIRECT("'"&amp;Assemblies[Assy]&amp;"'!"&amp;"C$5:C1000"), $A150, INDIRECT("'"&amp;Assemblies[Assy]&amp;"'!"&amp;"A$5:A1000"))=0,NA(),SUMIF(INDIRECT("'"&amp;Assemblies[Assy]&amp;"'!"&amp;"C$5:C1000"), $A150, INDIRECT("'"&amp;Assemblies[Assy]&amp;"'!"&amp;"A$5:A1000")))),"")), " ,", ""))</f>
        <v>, 1x6.6.303,</v>
      </c>
    </row>
    <row r="151" spans="1:19" hidden="1" x14ac:dyDescent="0.25">
      <c r="A151" s="160" t="s">
        <v>1040</v>
      </c>
      <c r="B151" s="160" t="s">
        <v>3126</v>
      </c>
      <c r="C151" s="180">
        <v>2607.1414</v>
      </c>
      <c r="D151">
        <v>1</v>
      </c>
      <c r="E151" cm="1">
        <f t="array" aca="1" ref="E151" ca="1">SUMPRODUCT(SUMIF(INDIRECT("'"&amp;Assemblies[Assy]&amp;"'!"&amp;"C:C"),$A151,(INDIRECT("'"&amp;Assemblies[Assy]&amp;"'!"&amp;"O:O"))))</f>
        <v>1</v>
      </c>
      <c r="F151">
        <f ca="1">ROUNDUP(Purchased[[#This Row],[BOM QTY]]/Purchased[[#This Row],[PK QTY]], 0)</f>
        <v>1</v>
      </c>
      <c r="G151">
        <v>1</v>
      </c>
      <c r="H151" t="str">
        <f ca="1">IF(F151&lt;=G151," ","YES")</f>
        <v xml:space="preserve"> </v>
      </c>
      <c r="I151">
        <v>1</v>
      </c>
      <c r="J151">
        <v>1</v>
      </c>
      <c r="K151" t="s">
        <v>3117</v>
      </c>
      <c r="L151" t="s">
        <v>2931</v>
      </c>
      <c r="N151" s="40">
        <v>45426</v>
      </c>
      <c r="O151" s="40">
        <v>45426</v>
      </c>
      <c r="P151" s="40">
        <v>45524</v>
      </c>
      <c r="Q151" s="40">
        <v>45524</v>
      </c>
      <c r="R151">
        <v>55517</v>
      </c>
      <c r="S151" s="40" t="str" cm="1">
        <f t="array" aca="1" ref="S151" ca="1">TRIM(SUBSTITUTE(_xlfn.ARRAYTOTEXT(IFERROR(CONCATENATE(SUMIF(INDIRECT("'"&amp;Assemblies[Assy]&amp;"'!"&amp;"C$5:C1000"), $A151, INDIRECT("'"&amp;Assemblies[Assy]&amp;"'!"&amp;"O$5:O1000")), "x",Assemblies[Assy],".",IF(SUMIF(INDIRECT("'"&amp;Assemblies[Assy]&amp;"'!"&amp;"C$5:C1000"), $A151, INDIRECT("'"&amp;Assemblies[Assy]&amp;"'!"&amp;"A$5:A1000"))=0,NA(),SUMIF(INDIRECT("'"&amp;Assemblies[Assy]&amp;"'!"&amp;"C$5:C1000"), $A151, INDIRECT("'"&amp;Assemblies[Assy]&amp;"'!"&amp;"A$5:A1000")))),"")), " ,", ""))</f>
        <v>, 1x6.7.303,</v>
      </c>
    </row>
    <row r="152" spans="1:19" hidden="1" x14ac:dyDescent="0.25">
      <c r="A152" s="160" t="s">
        <v>260</v>
      </c>
      <c r="B152" s="160" t="s">
        <v>3127</v>
      </c>
      <c r="C152" s="180">
        <v>5281.5223999999998</v>
      </c>
      <c r="D152">
        <v>1</v>
      </c>
      <c r="E152" cm="1">
        <f t="array" aca="1" ref="E152" ca="1">SUMPRODUCT(SUMIF(INDIRECT("'"&amp;Assemblies[Assy]&amp;"'!"&amp;"C:C"),$A152,(INDIRECT("'"&amp;Assemblies[Assy]&amp;"'!"&amp;"O:O"))))</f>
        <v>2</v>
      </c>
      <c r="F152">
        <f ca="1">ROUNDUP(Purchased[[#This Row],[BOM QTY]]/Purchased[[#This Row],[PK QTY]], 0)</f>
        <v>2</v>
      </c>
      <c r="G152">
        <v>2</v>
      </c>
      <c r="H152" t="str">
        <f ca="1">IF(F152&lt;=G152," ","YES")</f>
        <v xml:space="preserve"> </v>
      </c>
      <c r="I152">
        <v>2</v>
      </c>
      <c r="J152">
        <v>2</v>
      </c>
      <c r="K152" t="s">
        <v>3117</v>
      </c>
      <c r="L152" t="s">
        <v>2931</v>
      </c>
      <c r="N152" s="40">
        <v>45426</v>
      </c>
      <c r="O152" s="40">
        <v>45426</v>
      </c>
      <c r="P152" s="40">
        <v>45524</v>
      </c>
      <c r="Q152" s="40">
        <v>45524</v>
      </c>
      <c r="R152">
        <v>55517</v>
      </c>
      <c r="S152" s="40" t="str" cm="1">
        <f t="array" aca="1" ref="S152" ca="1">TRIM(SUBSTITUTE(_xlfn.ARRAYTOTEXT(IFERROR(CONCATENATE(SUMIF(INDIRECT("'"&amp;Assemblies[Assy]&amp;"'!"&amp;"C$5:C1000"), $A152, INDIRECT("'"&amp;Assemblies[Assy]&amp;"'!"&amp;"O$5:O1000")), "x",Assemblies[Assy],".",IF(SUMIF(INDIRECT("'"&amp;Assemblies[Assy]&amp;"'!"&amp;"C$5:C1000"), $A152, INDIRECT("'"&amp;Assemblies[Assy]&amp;"'!"&amp;"A$5:A1000"))=0,NA(),SUMIF(INDIRECT("'"&amp;Assemblies[Assy]&amp;"'!"&amp;"C$5:C1000"), $A152, INDIRECT("'"&amp;Assemblies[Assy]&amp;"'!"&amp;"A$5:A1000")))),"")), " ,", ""))</f>
        <v>, 2x1.2.305,</v>
      </c>
    </row>
    <row r="153" spans="1:19" hidden="1" x14ac:dyDescent="0.25">
      <c r="A153" s="160" t="s">
        <v>261</v>
      </c>
      <c r="B153" s="160" t="s">
        <v>3128</v>
      </c>
      <c r="C153" s="180">
        <v>495.84199999999998</v>
      </c>
      <c r="D153">
        <v>1</v>
      </c>
      <c r="E153" cm="1">
        <f t="array" aca="1" ref="E153" ca="1">SUMPRODUCT(SUMIF(INDIRECT("'"&amp;Assemblies[Assy]&amp;"'!"&amp;"C:C"),$A153,(INDIRECT("'"&amp;Assemblies[Assy]&amp;"'!"&amp;"O:O"))))</f>
        <v>2</v>
      </c>
      <c r="F153">
        <f ca="1">ROUNDUP(Purchased[[#This Row],[BOM QTY]]/Purchased[[#This Row],[PK QTY]], 0)</f>
        <v>2</v>
      </c>
      <c r="G153">
        <v>2</v>
      </c>
      <c r="H153" t="str">
        <f ca="1">IF(F153&lt;=G153," ","YES")</f>
        <v xml:space="preserve"> </v>
      </c>
      <c r="I153">
        <v>2</v>
      </c>
      <c r="J153">
        <v>2</v>
      </c>
      <c r="K153" t="s">
        <v>3117</v>
      </c>
      <c r="L153" t="s">
        <v>2931</v>
      </c>
      <c r="N153" s="40">
        <v>45426</v>
      </c>
      <c r="O153" s="40">
        <v>45426</v>
      </c>
      <c r="P153" s="40">
        <v>45524</v>
      </c>
      <c r="Q153" s="40">
        <v>45524</v>
      </c>
      <c r="R153">
        <v>55517</v>
      </c>
      <c r="S153" s="40" t="str" cm="1">
        <f t="array" aca="1" ref="S153" ca="1">TRIM(SUBSTITUTE(_xlfn.ARRAYTOTEXT(IFERROR(CONCATENATE(SUMIF(INDIRECT("'"&amp;Assemblies[Assy]&amp;"'!"&amp;"C$5:C1000"), $A153, INDIRECT("'"&amp;Assemblies[Assy]&amp;"'!"&amp;"O$5:O1000")), "x",Assemblies[Assy],".",IF(SUMIF(INDIRECT("'"&amp;Assemblies[Assy]&amp;"'!"&amp;"C$5:C1000"), $A153, INDIRECT("'"&amp;Assemblies[Assy]&amp;"'!"&amp;"A$5:A1000"))=0,NA(),SUMIF(INDIRECT("'"&amp;Assemblies[Assy]&amp;"'!"&amp;"C$5:C1000"), $A153, INDIRECT("'"&amp;Assemblies[Assy]&amp;"'!"&amp;"A$5:A1000")))),"")), " ,", ""))</f>
        <v>, 2x1.2.306,</v>
      </c>
    </row>
    <row r="154" spans="1:19" hidden="1" x14ac:dyDescent="0.25">
      <c r="A154" s="160" t="s">
        <v>1029</v>
      </c>
      <c r="B154" s="160" t="s">
        <v>3129</v>
      </c>
      <c r="C154" s="180">
        <v>250.328</v>
      </c>
      <c r="D154">
        <v>1</v>
      </c>
      <c r="E154" cm="1">
        <f t="array" aca="1" ref="E154" ca="1">SUMPRODUCT(SUMIF(INDIRECT("'"&amp;Assemblies[Assy]&amp;"'!"&amp;"C:C"),$A154,(INDIRECT("'"&amp;Assemblies[Assy]&amp;"'!"&amp;"O:O"))))</f>
        <v>2</v>
      </c>
      <c r="F154">
        <f ca="1">ROUNDUP(Purchased[[#This Row],[BOM QTY]]/Purchased[[#This Row],[PK QTY]], 0)</f>
        <v>2</v>
      </c>
      <c r="G154">
        <v>2</v>
      </c>
      <c r="H154" t="str">
        <f ca="1">IF(F154&lt;=G154," ","YES")</f>
        <v xml:space="preserve"> </v>
      </c>
      <c r="I154">
        <v>2</v>
      </c>
      <c r="J154">
        <v>2</v>
      </c>
      <c r="K154" t="s">
        <v>3115</v>
      </c>
      <c r="L154" t="s">
        <v>2931</v>
      </c>
      <c r="N154" s="40">
        <v>45463</v>
      </c>
      <c r="O154" s="40">
        <v>45464</v>
      </c>
      <c r="P154" s="40">
        <v>45532</v>
      </c>
      <c r="Q154" s="40">
        <v>45532</v>
      </c>
      <c r="R154">
        <v>55567</v>
      </c>
      <c r="S154" s="40" t="str" cm="1">
        <f t="array" aca="1" ref="S154" ca="1">TRIM(SUBSTITUTE(_xlfn.ARRAYTOTEXT(IFERROR(CONCATENATE(SUMIF(INDIRECT("'"&amp;Assemblies[Assy]&amp;"'!"&amp;"C$5:C1000"), $A154, INDIRECT("'"&amp;Assemblies[Assy]&amp;"'!"&amp;"O$5:O1000")), "x",Assemblies[Assy],".",IF(SUMIF(INDIRECT("'"&amp;Assemblies[Assy]&amp;"'!"&amp;"C$5:C1000"), $A154, INDIRECT("'"&amp;Assemblies[Assy]&amp;"'!"&amp;"A$5:A1000"))=0,NA(),SUMIF(INDIRECT("'"&amp;Assemblies[Assy]&amp;"'!"&amp;"C$5:C1000"), $A154, INDIRECT("'"&amp;Assemblies[Assy]&amp;"'!"&amp;"A$5:A1000")))),"")), " ,", ""))</f>
        <v>, 1x6.6.304, 1x6.7.304,</v>
      </c>
    </row>
    <row r="155" spans="1:19" hidden="1" x14ac:dyDescent="0.25">
      <c r="A155" t="s">
        <v>1030</v>
      </c>
      <c r="B155" s="160" t="s">
        <v>3131</v>
      </c>
      <c r="C155" s="180">
        <v>233.47900000000001</v>
      </c>
      <c r="D155">
        <v>1</v>
      </c>
      <c r="E155" cm="1">
        <f t="array" aca="1" ref="E155" ca="1">SUMPRODUCT(SUMIF(INDIRECT("'"&amp;Assemblies[Assy]&amp;"'!"&amp;"C:C"),$A155,(INDIRECT("'"&amp;Assemblies[Assy]&amp;"'!"&amp;"O:O"))))</f>
        <v>2</v>
      </c>
      <c r="F155">
        <f ca="1">ROUNDUP(Purchased[[#This Row],[BOM QTY]]/Purchased[[#This Row],[PK QTY]], 0)</f>
        <v>2</v>
      </c>
      <c r="G155">
        <v>2</v>
      </c>
      <c r="H155" t="str">
        <f ca="1">IF(F155&lt;=G155," ","YES")</f>
        <v xml:space="preserve"> </v>
      </c>
      <c r="I155">
        <v>2</v>
      </c>
      <c r="J155">
        <v>2</v>
      </c>
      <c r="K155" t="s">
        <v>3115</v>
      </c>
      <c r="L155" t="s">
        <v>2931</v>
      </c>
      <c r="N155" s="40">
        <v>45463</v>
      </c>
      <c r="O155" s="40">
        <v>45464</v>
      </c>
      <c r="P155" s="40">
        <v>45532</v>
      </c>
      <c r="Q155" s="40">
        <v>45532</v>
      </c>
      <c r="R155">
        <v>55567</v>
      </c>
      <c r="S155" s="40" t="str" cm="1">
        <f t="array" aca="1" ref="S155" ca="1">TRIM(SUBSTITUTE(_xlfn.ARRAYTOTEXT(IFERROR(CONCATENATE(SUMIF(INDIRECT("'"&amp;Assemblies[Assy]&amp;"'!"&amp;"C$5:C1000"), $A155, INDIRECT("'"&amp;Assemblies[Assy]&amp;"'!"&amp;"O$5:O1000")), "x",Assemblies[Assy],".",IF(SUMIF(INDIRECT("'"&amp;Assemblies[Assy]&amp;"'!"&amp;"C$5:C1000"), $A155, INDIRECT("'"&amp;Assemblies[Assy]&amp;"'!"&amp;"A$5:A1000"))=0,NA(),SUMIF(INDIRECT("'"&amp;Assemblies[Assy]&amp;"'!"&amp;"C$5:C1000"), $A155, INDIRECT("'"&amp;Assemblies[Assy]&amp;"'!"&amp;"A$5:A1000")))),"")), " ,", ""))</f>
        <v>, 1x6.6.305, 1x6.7.305,</v>
      </c>
    </row>
    <row r="156" spans="1:19" hidden="1" x14ac:dyDescent="0.25">
      <c r="A156" s="160" t="s">
        <v>263</v>
      </c>
      <c r="B156" s="160" t="s">
        <v>3135</v>
      </c>
      <c r="C156" s="180">
        <v>337.78230000000002</v>
      </c>
      <c r="D156">
        <v>1</v>
      </c>
      <c r="E156" cm="1">
        <f t="array" aca="1" ref="E156" ca="1">SUMPRODUCT(SUMIF(INDIRECT("'"&amp;Assemblies[Assy]&amp;"'!"&amp;"C:C"),$A156,(INDIRECT("'"&amp;Assemblies[Assy]&amp;"'!"&amp;"O:O"))))</f>
        <v>2</v>
      </c>
      <c r="F156">
        <f ca="1">ROUNDUP(Purchased[[#This Row],[BOM QTY]]/Purchased[[#This Row],[PK QTY]], 0)</f>
        <v>2</v>
      </c>
      <c r="G156">
        <v>2</v>
      </c>
      <c r="H156" t="str">
        <f ca="1">IF(F156&lt;=G156," ","YES")</f>
        <v xml:space="preserve"> </v>
      </c>
      <c r="I156">
        <v>2</v>
      </c>
      <c r="J156">
        <v>2</v>
      </c>
      <c r="K156" t="s">
        <v>3115</v>
      </c>
      <c r="L156" t="s">
        <v>2931</v>
      </c>
      <c r="N156" s="40">
        <v>45463</v>
      </c>
      <c r="O156" s="40">
        <v>45464</v>
      </c>
      <c r="P156" s="40">
        <v>45532</v>
      </c>
      <c r="Q156" s="40">
        <v>45532</v>
      </c>
      <c r="R156">
        <v>55567</v>
      </c>
      <c r="S156" s="40" t="str" cm="1">
        <f t="array" aca="1" ref="S156" ca="1">TRIM(SUBSTITUTE(_xlfn.ARRAYTOTEXT(IFERROR(CONCATENATE(SUMIF(INDIRECT("'"&amp;Assemblies[Assy]&amp;"'!"&amp;"C$5:C1000"), $A156, INDIRECT("'"&amp;Assemblies[Assy]&amp;"'!"&amp;"O$5:O1000")), "x",Assemblies[Assy],".",IF(SUMIF(INDIRECT("'"&amp;Assemblies[Assy]&amp;"'!"&amp;"C$5:C1000"), $A156, INDIRECT("'"&amp;Assemblies[Assy]&amp;"'!"&amp;"A$5:A1000"))=0,NA(),SUMIF(INDIRECT("'"&amp;Assemblies[Assy]&amp;"'!"&amp;"C$5:C1000"), $A156, INDIRECT("'"&amp;Assemblies[Assy]&amp;"'!"&amp;"A$5:A1000")))),"")), " ,", ""))</f>
        <v>, 2x1.2.308,</v>
      </c>
    </row>
    <row r="157" spans="1:19" hidden="1" x14ac:dyDescent="0.25">
      <c r="A157" s="160" t="s">
        <v>262</v>
      </c>
      <c r="B157" s="160" t="s">
        <v>3136</v>
      </c>
      <c r="C157" s="180">
        <v>337.78230000000002</v>
      </c>
      <c r="D157">
        <v>1</v>
      </c>
      <c r="E157" cm="1">
        <f t="array" aca="1" ref="E157" ca="1">SUMPRODUCT(SUMIF(INDIRECT("'"&amp;Assemblies[Assy]&amp;"'!"&amp;"C:C"),$A157,(INDIRECT("'"&amp;Assemblies[Assy]&amp;"'!"&amp;"O:O"))))</f>
        <v>2</v>
      </c>
      <c r="F157">
        <f ca="1">ROUNDUP(Purchased[[#This Row],[BOM QTY]]/Purchased[[#This Row],[PK QTY]], 0)</f>
        <v>2</v>
      </c>
      <c r="G157">
        <v>2</v>
      </c>
      <c r="H157" t="str">
        <f ca="1">IF(F157&lt;=G157," ","YES")</f>
        <v xml:space="preserve"> </v>
      </c>
      <c r="I157">
        <v>2</v>
      </c>
      <c r="J157">
        <v>2</v>
      </c>
      <c r="K157" t="s">
        <v>3115</v>
      </c>
      <c r="L157" t="s">
        <v>2931</v>
      </c>
      <c r="N157" s="40">
        <v>45463</v>
      </c>
      <c r="O157" s="40">
        <v>45464</v>
      </c>
      <c r="P157" s="40">
        <v>45532</v>
      </c>
      <c r="Q157" s="40">
        <v>45532</v>
      </c>
      <c r="R157">
        <v>55567</v>
      </c>
      <c r="S157" s="40" t="str" cm="1">
        <f t="array" aca="1" ref="S157" ca="1">TRIM(SUBSTITUTE(_xlfn.ARRAYTOTEXT(IFERROR(CONCATENATE(SUMIF(INDIRECT("'"&amp;Assemblies[Assy]&amp;"'!"&amp;"C$5:C1000"), $A157, INDIRECT("'"&amp;Assemblies[Assy]&amp;"'!"&amp;"O$5:O1000")), "x",Assemblies[Assy],".",IF(SUMIF(INDIRECT("'"&amp;Assemblies[Assy]&amp;"'!"&amp;"C$5:C1000"), $A157, INDIRECT("'"&amp;Assemblies[Assy]&amp;"'!"&amp;"A$5:A1000"))=0,NA(),SUMIF(INDIRECT("'"&amp;Assemblies[Assy]&amp;"'!"&amp;"C$5:C1000"), $A157, INDIRECT("'"&amp;Assemblies[Assy]&amp;"'!"&amp;"A$5:A1000")))),"")), " ,", ""))</f>
        <v>, 2x1.2.307,</v>
      </c>
    </row>
    <row r="158" spans="1:19" hidden="1" x14ac:dyDescent="0.25">
      <c r="A158" s="160" t="s">
        <v>1201</v>
      </c>
      <c r="B158" s="160" t="s">
        <v>3120</v>
      </c>
      <c r="C158" s="180">
        <v>3966.3107</v>
      </c>
      <c r="D158">
        <v>1</v>
      </c>
      <c r="E158" cm="1">
        <f t="array" aca="1" ref="E158" ca="1">SUMPRODUCT(SUMIF(INDIRECT("'"&amp;Assemblies[Assy]&amp;"'!"&amp;"C:C"),$A158,(INDIRECT("'"&amp;Assemblies[Assy]&amp;"'!"&amp;"O:O"))))</f>
        <v>3</v>
      </c>
      <c r="F158">
        <f ca="1">ROUNDUP(Purchased[[#This Row],[BOM QTY]]/Purchased[[#This Row],[PK QTY]], 0)</f>
        <v>3</v>
      </c>
      <c r="G158">
        <v>3</v>
      </c>
      <c r="H158" t="str">
        <f ca="1">IF(F158&lt;=G158," ","YES")</f>
        <v xml:space="preserve"> </v>
      </c>
      <c r="I158">
        <v>3</v>
      </c>
      <c r="J158">
        <v>3</v>
      </c>
      <c r="K158" t="s">
        <v>3117</v>
      </c>
      <c r="L158" t="s">
        <v>2931</v>
      </c>
      <c r="N158" s="40">
        <v>45426</v>
      </c>
      <c r="O158" s="40">
        <v>45426</v>
      </c>
      <c r="P158" s="40">
        <v>45524</v>
      </c>
      <c r="Q158" s="40">
        <v>45524</v>
      </c>
      <c r="R158">
        <v>55517</v>
      </c>
      <c r="S158" s="40" t="str" cm="1">
        <f t="array" aca="1" ref="S158" ca="1">TRIM(SUBSTITUTE(_xlfn.ARRAYTOTEXT(IFERROR(CONCATENATE(SUMIF(INDIRECT("'"&amp;Assemblies[Assy]&amp;"'!"&amp;"C$5:C1000"), $A158, INDIRECT("'"&amp;Assemblies[Assy]&amp;"'!"&amp;"O$5:O1000")), "x",Assemblies[Assy],".",IF(SUMIF(INDIRECT("'"&amp;Assemblies[Assy]&amp;"'!"&amp;"C$5:C1000"), $A158, INDIRECT("'"&amp;Assemblies[Assy]&amp;"'!"&amp;"A$5:A1000"))=0,NA(),SUMIF(INDIRECT("'"&amp;Assemblies[Assy]&amp;"'!"&amp;"C$5:C1000"), $A158, INDIRECT("'"&amp;Assemblies[Assy]&amp;"'!"&amp;"A$5:A1000")))),"")), " ,", ""))</f>
        <v>, 3x7.3.1.304,</v>
      </c>
    </row>
    <row r="159" spans="1:19" hidden="1" x14ac:dyDescent="0.25">
      <c r="A159" s="160" t="s">
        <v>1160</v>
      </c>
      <c r="B159" s="160" t="s">
        <v>3121</v>
      </c>
      <c r="C159" s="180">
        <v>3966.3107</v>
      </c>
      <c r="D159">
        <v>1</v>
      </c>
      <c r="E159" cm="1">
        <f t="array" aca="1" ref="E159" ca="1">SUMPRODUCT(SUMIF(INDIRECT("'"&amp;Assemblies[Assy]&amp;"'!"&amp;"C:C"),$A159,(INDIRECT("'"&amp;Assemblies[Assy]&amp;"'!"&amp;"O:O"))))</f>
        <v>3</v>
      </c>
      <c r="F159">
        <f ca="1">ROUNDUP(Purchased[[#This Row],[BOM QTY]]/Purchased[[#This Row],[PK QTY]], 0)</f>
        <v>3</v>
      </c>
      <c r="G159">
        <v>3</v>
      </c>
      <c r="H159" t="str">
        <f ca="1">IF(F159&lt;=G159," ","YES")</f>
        <v xml:space="preserve"> </v>
      </c>
      <c r="I159">
        <v>3</v>
      </c>
      <c r="J159">
        <v>3</v>
      </c>
      <c r="K159" t="s">
        <v>3117</v>
      </c>
      <c r="L159" t="s">
        <v>2931</v>
      </c>
      <c r="N159" s="40">
        <v>45426</v>
      </c>
      <c r="O159" s="40">
        <v>45426</v>
      </c>
      <c r="P159" s="40">
        <v>45524</v>
      </c>
      <c r="Q159" s="40">
        <v>45524</v>
      </c>
      <c r="R159">
        <v>55517</v>
      </c>
      <c r="S159" s="40" t="str" cm="1">
        <f t="array" aca="1" ref="S159" ca="1">TRIM(SUBSTITUTE(_xlfn.ARRAYTOTEXT(IFERROR(CONCATENATE(SUMIF(INDIRECT("'"&amp;Assemblies[Assy]&amp;"'!"&amp;"C$5:C1000"), $A159, INDIRECT("'"&amp;Assemblies[Assy]&amp;"'!"&amp;"O$5:O1000")), "x",Assemblies[Assy],".",IF(SUMIF(INDIRECT("'"&amp;Assemblies[Assy]&amp;"'!"&amp;"C$5:C1000"), $A159, INDIRECT("'"&amp;Assemblies[Assy]&amp;"'!"&amp;"A$5:A1000"))=0,NA(),SUMIF(INDIRECT("'"&amp;Assemblies[Assy]&amp;"'!"&amp;"C$5:C1000"), $A159, INDIRECT("'"&amp;Assemblies[Assy]&amp;"'!"&amp;"A$5:A1000")))),"")), " ,", ""))</f>
        <v>, 3x7.2.2.304,</v>
      </c>
    </row>
    <row r="160" spans="1:19" hidden="1" x14ac:dyDescent="0.25">
      <c r="A160" s="162" t="s">
        <v>323</v>
      </c>
      <c r="B160" s="160" t="s">
        <v>3116</v>
      </c>
      <c r="C160" s="180">
        <v>3577.6109000000001</v>
      </c>
      <c r="D160">
        <v>1</v>
      </c>
      <c r="E160" cm="1">
        <f t="array" aca="1" ref="E160" ca="1">SUMPRODUCT(SUMIF(INDIRECT("'"&amp;Assemblies[Assy]&amp;"'!"&amp;"C:C"),$A160,(INDIRECT("'"&amp;Assemblies[Assy]&amp;"'!"&amp;"O:O"))))</f>
        <v>5</v>
      </c>
      <c r="F160">
        <f ca="1">ROUNDUP(Purchased[[#This Row],[BOM QTY]]/Purchased[[#This Row],[PK QTY]], 0)</f>
        <v>5</v>
      </c>
      <c r="G160">
        <v>5</v>
      </c>
      <c r="H160" t="str">
        <f ca="1">IF(F160&lt;=G160," ","YES")</f>
        <v xml:space="preserve"> </v>
      </c>
      <c r="I160">
        <v>5</v>
      </c>
      <c r="J160">
        <v>5</v>
      </c>
      <c r="K160" t="s">
        <v>3117</v>
      </c>
      <c r="L160" t="s">
        <v>2931</v>
      </c>
      <c r="N160" s="40">
        <v>45426</v>
      </c>
      <c r="O160" s="40">
        <v>45426</v>
      </c>
      <c r="P160" s="40">
        <v>45524</v>
      </c>
      <c r="Q160" s="40">
        <v>45524</v>
      </c>
      <c r="R160">
        <v>55517</v>
      </c>
      <c r="S160" s="40" t="str" cm="1">
        <f t="array" aca="1" ref="S160" ca="1">TRIM(SUBSTITUTE(_xlfn.ARRAYTOTEXT(IFERROR(CONCATENATE(SUMIF(INDIRECT("'"&amp;Assemblies[Assy]&amp;"'!"&amp;"C$5:C1000"), $A160, INDIRECT("'"&amp;Assemblies[Assy]&amp;"'!"&amp;"O$5:O1000")), "x",Assemblies[Assy],".",IF(SUMIF(INDIRECT("'"&amp;Assemblies[Assy]&amp;"'!"&amp;"C$5:C1000"), $A160, INDIRECT("'"&amp;Assemblies[Assy]&amp;"'!"&amp;"A$5:A1000"))=0,NA(),SUMIF(INDIRECT("'"&amp;Assemblies[Assy]&amp;"'!"&amp;"C$5:C1000"), $A160, INDIRECT("'"&amp;Assemblies[Assy]&amp;"'!"&amp;"A$5:A1000")))),"")), " ,", ""))</f>
        <v>, 5x1.3.2.304,</v>
      </c>
    </row>
    <row r="161" spans="1:19" hidden="1" x14ac:dyDescent="0.25">
      <c r="A161" s="160" t="s">
        <v>425</v>
      </c>
      <c r="B161" s="160" t="s">
        <v>3130</v>
      </c>
      <c r="C161" s="180">
        <v>290.44470000000001</v>
      </c>
      <c r="D161">
        <v>1</v>
      </c>
      <c r="E161" cm="1">
        <f t="array" aca="1" ref="E161" ca="1">SUMPRODUCT(SUMIF(INDIRECT("'"&amp;Assemblies[Assy]&amp;"'!"&amp;"C:C"),$A161,(INDIRECT("'"&amp;Assemblies[Assy]&amp;"'!"&amp;"O:O"))))</f>
        <v>7</v>
      </c>
      <c r="F161">
        <f ca="1">ROUNDUP(Purchased[[#This Row],[BOM QTY]]/Purchased[[#This Row],[PK QTY]], 0)</f>
        <v>7</v>
      </c>
      <c r="G161">
        <v>7</v>
      </c>
      <c r="H161" t="str">
        <f ca="1">IF(F161&lt;=G161," ","YES")</f>
        <v xml:space="preserve"> </v>
      </c>
      <c r="I161">
        <v>7</v>
      </c>
      <c r="J161">
        <v>7</v>
      </c>
      <c r="K161" t="s">
        <v>3115</v>
      </c>
      <c r="L161" t="s">
        <v>2931</v>
      </c>
      <c r="N161" s="40">
        <v>45463</v>
      </c>
      <c r="O161" s="40">
        <v>45464</v>
      </c>
      <c r="P161" s="40">
        <v>45532</v>
      </c>
      <c r="Q161" s="40">
        <v>45532</v>
      </c>
      <c r="R161">
        <v>55567</v>
      </c>
      <c r="S161" s="40" t="str" cm="1">
        <f t="array" aca="1" ref="S161" ca="1">TRIM(SUBSTITUTE(_xlfn.ARRAYTOTEXT(IFERROR(CONCATENATE(SUMIF(INDIRECT("'"&amp;Assemblies[Assy]&amp;"'!"&amp;"C$5:C1000"), $A161, INDIRECT("'"&amp;Assemblies[Assy]&amp;"'!"&amp;"O$5:O1000")), "x",Assemblies[Assy],".",IF(SUMIF(INDIRECT("'"&amp;Assemblies[Assy]&amp;"'!"&amp;"C$5:C1000"), $A161, INDIRECT("'"&amp;Assemblies[Assy]&amp;"'!"&amp;"A$5:A1000"))=0,NA(),SUMIF(INDIRECT("'"&amp;Assemblies[Assy]&amp;"'!"&amp;"C$5:C1000"), $A161, INDIRECT("'"&amp;Assemblies[Assy]&amp;"'!"&amp;"A$5:A1000")))),"")), " ,", ""))</f>
        <v>, 1x2.3.318, 3x7.2.2.305, 3x7.3.1.305,</v>
      </c>
    </row>
    <row r="162" spans="1:19" hidden="1" x14ac:dyDescent="0.25">
      <c r="A162" s="160" t="s">
        <v>426</v>
      </c>
      <c r="B162" s="160" t="s">
        <v>3132</v>
      </c>
      <c r="C162" s="180">
        <v>259.95600000000002</v>
      </c>
      <c r="D162">
        <v>1</v>
      </c>
      <c r="E162" cm="1">
        <f t="array" aca="1" ref="E162" ca="1">SUMPRODUCT(SUMIF(INDIRECT("'"&amp;Assemblies[Assy]&amp;"'!"&amp;"C:C"),$A162,(INDIRECT("'"&amp;Assemblies[Assy]&amp;"'!"&amp;"O:O"))))</f>
        <v>7</v>
      </c>
      <c r="F162">
        <f ca="1">ROUNDUP(Purchased[[#This Row],[BOM QTY]]/Purchased[[#This Row],[PK QTY]], 0)</f>
        <v>7</v>
      </c>
      <c r="G162">
        <v>7</v>
      </c>
      <c r="H162" t="str">
        <f ca="1">IF(F162&lt;=G162," ","YES")</f>
        <v xml:space="preserve"> </v>
      </c>
      <c r="I162">
        <v>7</v>
      </c>
      <c r="J162">
        <v>7</v>
      </c>
      <c r="K162" t="s">
        <v>3115</v>
      </c>
      <c r="L162" t="s">
        <v>2931</v>
      </c>
      <c r="N162" s="40">
        <v>45463</v>
      </c>
      <c r="O162" s="40">
        <v>45464</v>
      </c>
      <c r="P162" s="40">
        <v>45532</v>
      </c>
      <c r="Q162" s="40">
        <v>45532</v>
      </c>
      <c r="R162">
        <v>55567</v>
      </c>
      <c r="S162" s="40" t="str" cm="1">
        <f t="array" aca="1" ref="S162" ca="1">TRIM(SUBSTITUTE(_xlfn.ARRAYTOTEXT(IFERROR(CONCATENATE(SUMIF(INDIRECT("'"&amp;Assemblies[Assy]&amp;"'!"&amp;"C$5:C1000"), $A162, INDIRECT("'"&amp;Assemblies[Assy]&amp;"'!"&amp;"O$5:O1000")), "x",Assemblies[Assy],".",IF(SUMIF(INDIRECT("'"&amp;Assemblies[Assy]&amp;"'!"&amp;"C$5:C1000"), $A162, INDIRECT("'"&amp;Assemblies[Assy]&amp;"'!"&amp;"A$5:A1000"))=0,NA(),SUMIF(INDIRECT("'"&amp;Assemblies[Assy]&amp;"'!"&amp;"C$5:C1000"), $A162, INDIRECT("'"&amp;Assemblies[Assy]&amp;"'!"&amp;"A$5:A1000")))),"")), " ,", ""))</f>
        <v>, 1x2.3.319, 3x7.2.2.306, 3x7.3.1.306,</v>
      </c>
    </row>
    <row r="163" spans="1:19" hidden="1" x14ac:dyDescent="0.25">
      <c r="A163" s="160" t="s">
        <v>307</v>
      </c>
      <c r="B163" s="160" t="s">
        <v>3133</v>
      </c>
      <c r="C163" s="180">
        <v>325.7473</v>
      </c>
      <c r="D163">
        <v>1</v>
      </c>
      <c r="E163" cm="1">
        <f t="array" aca="1" ref="E163" ca="1">SUMPRODUCT(SUMIF(INDIRECT("'"&amp;Assemblies[Assy]&amp;"'!"&amp;"C:C"),$A163,(INDIRECT("'"&amp;Assemblies[Assy]&amp;"'!"&amp;"O:O"))))</f>
        <v>10</v>
      </c>
      <c r="F163">
        <f ca="1">ROUNDUP(Purchased[[#This Row],[BOM QTY]]/Purchased[[#This Row],[PK QTY]], 0)</f>
        <v>10</v>
      </c>
      <c r="G163">
        <v>10</v>
      </c>
      <c r="H163" t="str">
        <f ca="1">IF(F163&lt;=G163," ","YES")</f>
        <v xml:space="preserve"> </v>
      </c>
      <c r="I163">
        <v>10</v>
      </c>
      <c r="J163">
        <v>10</v>
      </c>
      <c r="K163" t="s">
        <v>3115</v>
      </c>
      <c r="L163" t="s">
        <v>2931</v>
      </c>
      <c r="N163" s="40">
        <v>45463</v>
      </c>
      <c r="O163" s="40">
        <v>45464</v>
      </c>
      <c r="P163" s="40">
        <v>45532</v>
      </c>
      <c r="Q163" s="40">
        <v>45532</v>
      </c>
      <c r="R163">
        <v>55567</v>
      </c>
      <c r="S163" s="40" t="str" cm="1">
        <f t="array" aca="1" ref="S163" ca="1">TRIM(SUBSTITUTE(_xlfn.ARRAYTOTEXT(IFERROR(CONCATENATE(SUMIF(INDIRECT("'"&amp;Assemblies[Assy]&amp;"'!"&amp;"C$5:C1000"), $A163, INDIRECT("'"&amp;Assemblies[Assy]&amp;"'!"&amp;"O$5:O1000")), "x",Assemblies[Assy],".",IF(SUMIF(INDIRECT("'"&amp;Assemblies[Assy]&amp;"'!"&amp;"C$5:C1000"), $A163, INDIRECT("'"&amp;Assemblies[Assy]&amp;"'!"&amp;"A$5:A1000"))=0,NA(),SUMIF(INDIRECT("'"&amp;Assemblies[Assy]&amp;"'!"&amp;"C$5:C1000"), $A163, INDIRECT("'"&amp;Assemblies[Assy]&amp;"'!"&amp;"A$5:A1000")))),"")), " ,", ""))</f>
        <v>, 2x1.3.316, 2x2.3.316, 1x8.1.2.305, 1x8.2.1.305, 1x9.2.306, 1x10.2.2.305, 1x10.2.3.305, 1x10.3.308,</v>
      </c>
    </row>
    <row r="164" spans="1:19" hidden="1" x14ac:dyDescent="0.25">
      <c r="A164" s="160" t="s">
        <v>308</v>
      </c>
      <c r="B164" s="160" t="s">
        <v>3134</v>
      </c>
      <c r="C164" s="180">
        <v>340.1893</v>
      </c>
      <c r="D164">
        <v>1</v>
      </c>
      <c r="E164" cm="1">
        <f t="array" aca="1" ref="E164" ca="1">SUMPRODUCT(SUMIF(INDIRECT("'"&amp;Assemblies[Assy]&amp;"'!"&amp;"C:C"),$A164,(INDIRECT("'"&amp;Assemblies[Assy]&amp;"'!"&amp;"O:O"))))</f>
        <v>10</v>
      </c>
      <c r="F164">
        <f ca="1">ROUNDUP(Purchased[[#This Row],[BOM QTY]]/Purchased[[#This Row],[PK QTY]], 0)</f>
        <v>10</v>
      </c>
      <c r="G164">
        <v>10</v>
      </c>
      <c r="H164" t="str">
        <f ca="1">IF(F164&lt;=G164," ","YES")</f>
        <v xml:space="preserve"> </v>
      </c>
      <c r="I164">
        <v>10</v>
      </c>
      <c r="J164">
        <v>10</v>
      </c>
      <c r="K164" t="s">
        <v>3115</v>
      </c>
      <c r="L164" t="s">
        <v>2931</v>
      </c>
      <c r="N164" s="40">
        <v>45463</v>
      </c>
      <c r="O164" s="40">
        <v>45464</v>
      </c>
      <c r="P164" s="40">
        <v>45532</v>
      </c>
      <c r="Q164" s="40">
        <v>45532</v>
      </c>
      <c r="R164">
        <v>55567</v>
      </c>
      <c r="S164" s="40" t="str" cm="1">
        <f t="array" aca="1" ref="S164" ca="1">TRIM(SUBSTITUTE(_xlfn.ARRAYTOTEXT(IFERROR(CONCATENATE(SUMIF(INDIRECT("'"&amp;Assemblies[Assy]&amp;"'!"&amp;"C$5:C1000"), $A164, INDIRECT("'"&amp;Assemblies[Assy]&amp;"'!"&amp;"O$5:O1000")), "x",Assemblies[Assy],".",IF(SUMIF(INDIRECT("'"&amp;Assemblies[Assy]&amp;"'!"&amp;"C$5:C1000"), $A164, INDIRECT("'"&amp;Assemblies[Assy]&amp;"'!"&amp;"A$5:A1000"))=0,NA(),SUMIF(INDIRECT("'"&amp;Assemblies[Assy]&amp;"'!"&amp;"C$5:C1000"), $A164, INDIRECT("'"&amp;Assemblies[Assy]&amp;"'!"&amp;"A$5:A1000")))),"")), " ,", ""))</f>
        <v>, 2x1.3.317, 2x2.3.317, 1x8.1.2.306, 1x8.2.1.306, 1x9.2.307, 1x10.2.2.306, 1x10.2.3.306, 1x10.3.309,</v>
      </c>
    </row>
    <row r="165" spans="1:19" hidden="1" x14ac:dyDescent="0.25">
      <c r="A165" s="160" t="s">
        <v>1234</v>
      </c>
      <c r="B165" s="160" t="s">
        <v>3142</v>
      </c>
      <c r="C165" s="180">
        <v>119</v>
      </c>
      <c r="D165">
        <v>1</v>
      </c>
      <c r="E165" cm="1">
        <f t="array" aca="1" ref="E165" ca="1">SUMPRODUCT(SUMIF(INDIRECT("'"&amp;Assemblies[Assy]&amp;"'!"&amp;"C:C"),$A165,(INDIRECT("'"&amp;Assemblies[Assy]&amp;"'!"&amp;"O:O"))))</f>
        <v>2</v>
      </c>
      <c r="F165">
        <f ca="1">ROUNDUP(Purchased[[#This Row],[BOM QTY]]/Purchased[[#This Row],[PK QTY]], 0)</f>
        <v>2</v>
      </c>
      <c r="G165">
        <v>2</v>
      </c>
      <c r="H165" t="str">
        <f ca="1">IF(F165&lt;=G165," ","YES")</f>
        <v xml:space="preserve"> </v>
      </c>
      <c r="I165">
        <v>2</v>
      </c>
      <c r="J165">
        <v>2</v>
      </c>
      <c r="K165" t="s">
        <v>3138</v>
      </c>
      <c r="L165" t="s">
        <v>3138</v>
      </c>
      <c r="M165" t="s">
        <v>3139</v>
      </c>
      <c r="N165" s="40">
        <v>45462</v>
      </c>
      <c r="O165" s="40">
        <v>45462</v>
      </c>
      <c r="P165" s="40">
        <v>45495</v>
      </c>
      <c r="Q165" s="40">
        <v>45512</v>
      </c>
      <c r="R165">
        <v>55562</v>
      </c>
      <c r="S165" s="40" t="str" cm="1">
        <f t="array" aca="1" ref="S165" ca="1">TRIM(SUBSTITUTE(_xlfn.ARRAYTOTEXT(IFERROR(CONCATENATE(SUMIF(INDIRECT("'"&amp;Assemblies[Assy]&amp;"'!"&amp;"C$5:C1000"), $A165, INDIRECT("'"&amp;Assemblies[Assy]&amp;"'!"&amp;"O$5:O1000")), "x",Assemblies[Assy],".",IF(SUMIF(INDIRECT("'"&amp;Assemblies[Assy]&amp;"'!"&amp;"C$5:C1000"), $A165, INDIRECT("'"&amp;Assemblies[Assy]&amp;"'!"&amp;"A$5:A1000"))=0,NA(),SUMIF(INDIRECT("'"&amp;Assemblies[Assy]&amp;"'!"&amp;"C$5:C1000"), $A165, INDIRECT("'"&amp;Assemblies[Assy]&amp;"'!"&amp;"A$5:A1000")))),"")), " ,", ""))</f>
        <v>, 1x8.1.3.304, 1x8.2.2.304,</v>
      </c>
    </row>
    <row r="166" spans="1:19" hidden="1" x14ac:dyDescent="0.25">
      <c r="A166" s="160" t="s">
        <v>1232</v>
      </c>
      <c r="B166" s="160" t="s">
        <v>3140</v>
      </c>
      <c r="C166" s="180">
        <v>263.72000000000003</v>
      </c>
      <c r="D166">
        <v>1</v>
      </c>
      <c r="E166" cm="1">
        <f t="array" aca="1" ref="E166" ca="1">SUMPRODUCT(SUMIF(INDIRECT("'"&amp;Assemblies[Assy]&amp;"'!"&amp;"C:C"),$A166,(INDIRECT("'"&amp;Assemblies[Assy]&amp;"'!"&amp;"O:O"))))</f>
        <v>4</v>
      </c>
      <c r="F166">
        <f ca="1">ROUNDUP(Purchased[[#This Row],[BOM QTY]]/Purchased[[#This Row],[PK QTY]], 0)</f>
        <v>4</v>
      </c>
      <c r="G166">
        <v>6</v>
      </c>
      <c r="H166" t="str">
        <f ca="1">IF(F166&lt;=G166," ","YES")</f>
        <v xml:space="preserve"> </v>
      </c>
      <c r="I166">
        <v>6</v>
      </c>
      <c r="J166">
        <v>6</v>
      </c>
      <c r="K166" t="s">
        <v>3138</v>
      </c>
      <c r="L166" t="s">
        <v>3138</v>
      </c>
      <c r="M166" t="s">
        <v>3139</v>
      </c>
      <c r="N166" s="40">
        <v>45462</v>
      </c>
      <c r="O166" s="40">
        <v>45462</v>
      </c>
      <c r="P166" s="40">
        <v>45495</v>
      </c>
      <c r="Q166" s="40">
        <v>45512</v>
      </c>
      <c r="R166">
        <v>55562</v>
      </c>
      <c r="S166" s="40" t="str" cm="1">
        <f t="array" aca="1" ref="S166" ca="1">TRIM(SUBSTITUTE(_xlfn.ARRAYTOTEXT(IFERROR(CONCATENATE(SUMIF(INDIRECT("'"&amp;Assemblies[Assy]&amp;"'!"&amp;"C$5:C1000"), $A166, INDIRECT("'"&amp;Assemblies[Assy]&amp;"'!"&amp;"O$5:O1000")), "x",Assemblies[Assy],".",IF(SUMIF(INDIRECT("'"&amp;Assemblies[Assy]&amp;"'!"&amp;"C$5:C1000"), $A166, INDIRECT("'"&amp;Assemblies[Assy]&amp;"'!"&amp;"A$5:A1000"))=0,NA(),SUMIF(INDIRECT("'"&amp;Assemblies[Assy]&amp;"'!"&amp;"C$5:C1000"), $A166, INDIRECT("'"&amp;Assemblies[Assy]&amp;"'!"&amp;"A$5:A1000")))),"")), " ,", ""))</f>
        <v>, 2x8.1.3.301, 2x8.2.2.303,</v>
      </c>
    </row>
    <row r="167" spans="1:19" hidden="1" x14ac:dyDescent="0.25">
      <c r="A167" s="160" t="s">
        <v>1171</v>
      </c>
      <c r="B167" s="160" t="s">
        <v>3143</v>
      </c>
      <c r="C167" s="180">
        <v>77</v>
      </c>
      <c r="D167">
        <v>1</v>
      </c>
      <c r="E167" cm="1">
        <f t="array" aca="1" ref="E167" ca="1">SUMPRODUCT(SUMIF(INDIRECT("'"&amp;Assemblies[Assy]&amp;"'!"&amp;"C:C"),$A167,(INDIRECT("'"&amp;Assemblies[Assy]&amp;"'!"&amp;"O:O"))))</f>
        <v>6</v>
      </c>
      <c r="F167">
        <f ca="1">ROUNDUP(Purchased[[#This Row],[BOM QTY]]/Purchased[[#This Row],[PK QTY]], 0)</f>
        <v>6</v>
      </c>
      <c r="G167">
        <v>6</v>
      </c>
      <c r="H167" t="str">
        <f ca="1">IF(F167&lt;=G167," ","YES")</f>
        <v xml:space="preserve"> </v>
      </c>
      <c r="I167">
        <v>6</v>
      </c>
      <c r="J167">
        <v>6</v>
      </c>
      <c r="K167" t="s">
        <v>3138</v>
      </c>
      <c r="L167" t="s">
        <v>3138</v>
      </c>
      <c r="M167" t="s">
        <v>3139</v>
      </c>
      <c r="N167" s="40">
        <v>45462</v>
      </c>
      <c r="O167" s="40">
        <v>45462</v>
      </c>
      <c r="P167" s="40">
        <v>45495</v>
      </c>
      <c r="Q167" s="40">
        <v>45512</v>
      </c>
      <c r="R167">
        <v>55562</v>
      </c>
      <c r="S167" s="40" t="str" cm="1">
        <f t="array" aca="1" ref="S167" ca="1">TRIM(SUBSTITUTE(_xlfn.ARRAYTOTEXT(IFERROR(CONCATENATE(SUMIF(INDIRECT("'"&amp;Assemblies[Assy]&amp;"'!"&amp;"C$5:C1000"), $A167, INDIRECT("'"&amp;Assemblies[Assy]&amp;"'!"&amp;"O$5:O1000")), "x",Assemblies[Assy],".",IF(SUMIF(INDIRECT("'"&amp;Assemblies[Assy]&amp;"'!"&amp;"C$5:C1000"), $A167, INDIRECT("'"&amp;Assemblies[Assy]&amp;"'!"&amp;"A$5:A1000"))=0,NA(),SUMIF(INDIRECT("'"&amp;Assemblies[Assy]&amp;"'!"&amp;"C$5:C1000"), $A167, INDIRECT("'"&amp;Assemblies[Assy]&amp;"'!"&amp;"A$5:A1000")))),"")), " ,", ""))</f>
        <v>, 2x7.2.3.303, 2x7.3.2.303, 1x7.6.1.303, 1x7.7.1.303,</v>
      </c>
    </row>
    <row r="168" spans="1:19" hidden="1" x14ac:dyDescent="0.25">
      <c r="A168" s="160" t="s">
        <v>1233</v>
      </c>
      <c r="B168" s="160" t="s">
        <v>3144</v>
      </c>
      <c r="C168" s="180">
        <v>52.45</v>
      </c>
      <c r="D168">
        <v>1</v>
      </c>
      <c r="E168" cm="1">
        <f t="array" aca="1" ref="E168" ca="1">SUMPRODUCT(SUMIF(INDIRECT("'"&amp;Assemblies[Assy]&amp;"'!"&amp;"C:C"),$A168,(INDIRECT("'"&amp;Assemblies[Assy]&amp;"'!"&amp;"O:O"))))</f>
        <v>4</v>
      </c>
      <c r="F168">
        <f ca="1">ROUNDUP(Purchased[[#This Row],[BOM QTY]]/Purchased[[#This Row],[PK QTY]], 0)</f>
        <v>4</v>
      </c>
      <c r="G168">
        <v>6</v>
      </c>
      <c r="H168" t="str">
        <f ca="1">IF(F168&lt;=G168," ","YES")</f>
        <v xml:space="preserve"> </v>
      </c>
      <c r="I168">
        <v>6</v>
      </c>
      <c r="J168">
        <v>6</v>
      </c>
      <c r="K168" t="s">
        <v>3138</v>
      </c>
      <c r="L168" t="s">
        <v>3138</v>
      </c>
      <c r="M168" t="s">
        <v>3139</v>
      </c>
      <c r="N168" s="40">
        <v>45462</v>
      </c>
      <c r="O168" s="40">
        <v>45462</v>
      </c>
      <c r="P168" s="40">
        <v>45495</v>
      </c>
      <c r="Q168" s="40">
        <v>45512</v>
      </c>
      <c r="R168">
        <v>55562</v>
      </c>
      <c r="S168" s="40" t="str" cm="1">
        <f t="array" aca="1" ref="S168" ca="1">TRIM(SUBSTITUTE(_xlfn.ARRAYTOTEXT(IFERROR(CONCATENATE(SUMIF(INDIRECT("'"&amp;Assemblies[Assy]&amp;"'!"&amp;"C$5:C1000"), $A168, INDIRECT("'"&amp;Assemblies[Assy]&amp;"'!"&amp;"O$5:O1000")), "x",Assemblies[Assy],".",IF(SUMIF(INDIRECT("'"&amp;Assemblies[Assy]&amp;"'!"&amp;"C$5:C1000"), $A168, INDIRECT("'"&amp;Assemblies[Assy]&amp;"'!"&amp;"A$5:A1000"))=0,NA(),SUMIF(INDIRECT("'"&amp;Assemblies[Assy]&amp;"'!"&amp;"C$5:C1000"), $A168, INDIRECT("'"&amp;Assemblies[Assy]&amp;"'!"&amp;"A$5:A1000")))),"")), " ,", ""))</f>
        <v>, 2x8.1.3.302, 2x8.2.2.301,</v>
      </c>
    </row>
    <row r="169" spans="1:19" hidden="1" x14ac:dyDescent="0.25">
      <c r="A169" s="160" t="s">
        <v>1172</v>
      </c>
      <c r="B169" s="160" t="s">
        <v>3141</v>
      </c>
      <c r="C169" s="180">
        <v>271.87</v>
      </c>
      <c r="D169">
        <v>1</v>
      </c>
      <c r="E169" cm="1">
        <f t="array" aca="1" ref="E169" ca="1">SUMPRODUCT(SUMIF(INDIRECT("'"&amp;Assemblies[Assy]&amp;"'!"&amp;"C:C"),$A169,(INDIRECT("'"&amp;Assemblies[Assy]&amp;"'!"&amp;"O:O"))))</f>
        <v>6</v>
      </c>
      <c r="F169">
        <f ca="1">ROUNDUP(Purchased[[#This Row],[BOM QTY]]/Purchased[[#This Row],[PK QTY]], 0)</f>
        <v>6</v>
      </c>
      <c r="G169">
        <v>7</v>
      </c>
      <c r="H169" t="str">
        <f ca="1">IF(F169&lt;=G169," ","YES")</f>
        <v xml:space="preserve"> </v>
      </c>
      <c r="I169">
        <v>7</v>
      </c>
      <c r="J169">
        <v>7</v>
      </c>
      <c r="K169" t="s">
        <v>3138</v>
      </c>
      <c r="L169" t="s">
        <v>3138</v>
      </c>
      <c r="M169" t="s">
        <v>3139</v>
      </c>
      <c r="N169" s="40">
        <v>45462</v>
      </c>
      <c r="O169" s="40">
        <v>45462</v>
      </c>
      <c r="P169" s="40">
        <v>45495</v>
      </c>
      <c r="Q169" s="40">
        <v>45512</v>
      </c>
      <c r="R169">
        <v>55562</v>
      </c>
      <c r="S169" s="40" t="str" cm="1">
        <f t="array" aca="1" ref="S169" ca="1">TRIM(SUBSTITUTE(_xlfn.ARRAYTOTEXT(IFERROR(CONCATENATE(SUMIF(INDIRECT("'"&amp;Assemblies[Assy]&amp;"'!"&amp;"C$5:C1000"), $A169, INDIRECT("'"&amp;Assemblies[Assy]&amp;"'!"&amp;"O$5:O1000")), "x",Assemblies[Assy],".",IF(SUMIF(INDIRECT("'"&amp;Assemblies[Assy]&amp;"'!"&amp;"C$5:C1000"), $A169, INDIRECT("'"&amp;Assemblies[Assy]&amp;"'!"&amp;"A$5:A1000"))=0,NA(),SUMIF(INDIRECT("'"&amp;Assemblies[Assy]&amp;"'!"&amp;"C$5:C1000"), $A169, INDIRECT("'"&amp;Assemblies[Assy]&amp;"'!"&amp;"A$5:A1000")))),"")), " ,", ""))</f>
        <v>, 2x7.2.3.304, 2x7.3.2.304, 1x7.6.1.304, 1x7.7.1.304,</v>
      </c>
    </row>
    <row r="170" spans="1:19" hidden="1" x14ac:dyDescent="0.25">
      <c r="A170" s="160" t="s">
        <v>1170</v>
      </c>
      <c r="B170" s="160" t="s">
        <v>3145</v>
      </c>
      <c r="C170" s="180">
        <v>52.6</v>
      </c>
      <c r="D170">
        <v>1</v>
      </c>
      <c r="E170" cm="1">
        <f t="array" aca="1" ref="E170" ca="1">SUMPRODUCT(SUMIF(INDIRECT("'"&amp;Assemblies[Assy]&amp;"'!"&amp;"C:C"),$A170,(INDIRECT("'"&amp;Assemblies[Assy]&amp;"'!"&amp;"O:O"))))</f>
        <v>6</v>
      </c>
      <c r="F170">
        <f ca="1">ROUNDUP(Purchased[[#This Row],[BOM QTY]]/Purchased[[#This Row],[PK QTY]], 0)</f>
        <v>6</v>
      </c>
      <c r="G170">
        <v>8</v>
      </c>
      <c r="H170" t="str">
        <f ca="1">IF(F170&lt;=G170," ","YES")</f>
        <v xml:space="preserve"> </v>
      </c>
      <c r="I170">
        <v>8</v>
      </c>
      <c r="J170">
        <v>8</v>
      </c>
      <c r="K170" t="s">
        <v>3138</v>
      </c>
      <c r="L170" t="s">
        <v>3138</v>
      </c>
      <c r="M170" t="s">
        <v>3139</v>
      </c>
      <c r="N170" s="40">
        <v>45462</v>
      </c>
      <c r="O170" s="40">
        <v>45462</v>
      </c>
      <c r="P170" s="40">
        <v>45495</v>
      </c>
      <c r="Q170" s="40">
        <v>45512</v>
      </c>
      <c r="R170">
        <v>55562</v>
      </c>
      <c r="S170" s="40" t="str" cm="1">
        <f t="array" aca="1" ref="S170" ca="1">TRIM(SUBSTITUTE(_xlfn.ARRAYTOTEXT(IFERROR(CONCATENATE(SUMIF(INDIRECT("'"&amp;Assemblies[Assy]&amp;"'!"&amp;"C$5:C1000"), $A170, INDIRECT("'"&amp;Assemblies[Assy]&amp;"'!"&amp;"O$5:O1000")), "x",Assemblies[Assy],".",IF(SUMIF(INDIRECT("'"&amp;Assemblies[Assy]&amp;"'!"&amp;"C$5:C1000"), $A170, INDIRECT("'"&amp;Assemblies[Assy]&amp;"'!"&amp;"A$5:A1000"))=0,NA(),SUMIF(INDIRECT("'"&amp;Assemblies[Assy]&amp;"'!"&amp;"C$5:C1000"), $A170, INDIRECT("'"&amp;Assemblies[Assy]&amp;"'!"&amp;"A$5:A1000")))),"")), " ,", ""))</f>
        <v>, 2x7.2.3.302, 2x7.3.2.302, 1x7.6.1.302, 1x7.7.1.302,</v>
      </c>
    </row>
    <row r="171" spans="1:19" hidden="1" x14ac:dyDescent="0.25">
      <c r="A171" s="160" t="s">
        <v>1173</v>
      </c>
      <c r="B171" s="160" t="s">
        <v>3137</v>
      </c>
      <c r="C171" s="180">
        <v>4.88</v>
      </c>
      <c r="D171">
        <v>1</v>
      </c>
      <c r="E171" cm="1">
        <f t="array" aca="1" ref="E171" ca="1">SUMPRODUCT(SUMIF(INDIRECT("'"&amp;Assemblies[Assy]&amp;"'!"&amp;"C:C"),$A171,(INDIRECT("'"&amp;Assemblies[Assy]&amp;"'!"&amp;"O:O"))))</f>
        <v>10</v>
      </c>
      <c r="F171">
        <f ca="1">ROUNDUP(Purchased[[#This Row],[BOM QTY]]/Purchased[[#This Row],[PK QTY]], 0)</f>
        <v>10</v>
      </c>
      <c r="G171">
        <v>10</v>
      </c>
      <c r="H171" t="str">
        <f ca="1">IF(F171&lt;=G171," ","YES")</f>
        <v xml:space="preserve"> </v>
      </c>
      <c r="I171">
        <v>10</v>
      </c>
      <c r="J171">
        <v>10</v>
      </c>
      <c r="K171" t="s">
        <v>3138</v>
      </c>
      <c r="L171" t="s">
        <v>3138</v>
      </c>
      <c r="M171" t="s">
        <v>3139</v>
      </c>
      <c r="N171" s="40">
        <v>45462</v>
      </c>
      <c r="O171" s="40">
        <v>45462</v>
      </c>
      <c r="P171" s="40">
        <v>45495</v>
      </c>
      <c r="Q171" s="40">
        <v>45512</v>
      </c>
      <c r="R171">
        <v>55562</v>
      </c>
      <c r="S171" s="40" t="str" cm="1">
        <f t="array" aca="1" ref="S171" ca="1">TRIM(SUBSTITUTE(_xlfn.ARRAYTOTEXT(IFERROR(CONCATENATE(SUMIF(INDIRECT("'"&amp;Assemblies[Assy]&amp;"'!"&amp;"C$5:C1000"), $A171, INDIRECT("'"&amp;Assemblies[Assy]&amp;"'!"&amp;"O$5:O1000")), "x",Assemblies[Assy],".",IF(SUMIF(INDIRECT("'"&amp;Assemblies[Assy]&amp;"'!"&amp;"C$5:C1000"), $A171, INDIRECT("'"&amp;Assemblies[Assy]&amp;"'!"&amp;"A$5:A1000"))=0,NA(),SUMIF(INDIRECT("'"&amp;Assemblies[Assy]&amp;"'!"&amp;"C$5:C1000"), $A171, INDIRECT("'"&amp;Assemblies[Assy]&amp;"'!"&amp;"A$5:A1000")))),"")), " ,", ""))</f>
        <v>, 2x7.2.3.305, 2x7.3.2.305, 1x7.6.1.305, 1x7.7.1.305, 2x8.1.3.303, 2x8.2.2.302,</v>
      </c>
    </row>
    <row r="172" spans="1:19" hidden="1" x14ac:dyDescent="0.25">
      <c r="A172" s="160" t="s">
        <v>693</v>
      </c>
      <c r="B172" s="160" t="s">
        <v>3146</v>
      </c>
      <c r="C172" s="180">
        <v>34950</v>
      </c>
      <c r="D172">
        <v>1</v>
      </c>
      <c r="E172" cm="1">
        <f t="array" aca="1" ref="E172" ca="1">SUMPRODUCT(SUMIF(INDIRECT("'"&amp;Assemblies[Assy]&amp;"'!"&amp;"C:C"),$A172,(INDIRECT("'"&amp;Assemblies[Assy]&amp;"'!"&amp;"O:O"))))</f>
        <v>1</v>
      </c>
      <c r="F172">
        <f ca="1">ROUNDUP(Purchased[[#This Row],[BOM QTY]]/Purchased[[#This Row],[PK QTY]], 0)</f>
        <v>1</v>
      </c>
      <c r="G172">
        <v>1</v>
      </c>
      <c r="H172" t="str">
        <f ca="1">IF(F172&lt;=G172," ","YES")</f>
        <v xml:space="preserve"> </v>
      </c>
      <c r="I172">
        <v>1</v>
      </c>
      <c r="J172">
        <v>1</v>
      </c>
      <c r="K172" t="s">
        <v>3147</v>
      </c>
      <c r="L172" t="s">
        <v>3147</v>
      </c>
      <c r="N172" s="40">
        <v>45378</v>
      </c>
      <c r="O172" s="40">
        <v>45378</v>
      </c>
      <c r="P172" s="40">
        <v>45504</v>
      </c>
      <c r="Q172" s="40">
        <v>45504</v>
      </c>
      <c r="R172">
        <v>55467</v>
      </c>
      <c r="S172" s="40" t="str" cm="1">
        <f t="array" aca="1" ref="S172" ca="1">TRIM(SUBSTITUTE(_xlfn.ARRAYTOTEXT(IFERROR(CONCATENATE(SUMIF(INDIRECT("'"&amp;Assemblies[Assy]&amp;"'!"&amp;"C$5:C1000"), $A172, INDIRECT("'"&amp;Assemblies[Assy]&amp;"'!"&amp;"O$5:O1000")), "x",Assemblies[Assy],".",IF(SUMIF(INDIRECT("'"&amp;Assemblies[Assy]&amp;"'!"&amp;"C$5:C1000"), $A172, INDIRECT("'"&amp;Assemblies[Assy]&amp;"'!"&amp;"A$5:A1000"))=0,NA(),SUMIF(INDIRECT("'"&amp;Assemblies[Assy]&amp;"'!"&amp;"C$5:C1000"), $A172, INDIRECT("'"&amp;Assemblies[Assy]&amp;"'!"&amp;"A$5:A1000")))),"")), " ,", ""))</f>
        <v>, 1x5.2.301,</v>
      </c>
    </row>
    <row r="173" spans="1:19" hidden="1" x14ac:dyDescent="0.25">
      <c r="A173" s="160" t="s">
        <v>1051</v>
      </c>
      <c r="B173" s="160" t="s">
        <v>3148</v>
      </c>
      <c r="C173" s="180">
        <v>26891.5</v>
      </c>
      <c r="D173">
        <v>1</v>
      </c>
      <c r="E173" cm="1">
        <f t="array" aca="1" ref="E173" ca="1">SUMPRODUCT(SUMIF(INDIRECT("'"&amp;Assemblies[Assy]&amp;"'!"&amp;"C:C"),$A173,(INDIRECT("'"&amp;Assemblies[Assy]&amp;"'!"&amp;"O:O"))))</f>
        <v>2</v>
      </c>
      <c r="F173">
        <f ca="1">ROUNDUP(Purchased[[#This Row],[BOM QTY]]/Purchased[[#This Row],[PK QTY]], 0)</f>
        <v>2</v>
      </c>
      <c r="G173">
        <v>2</v>
      </c>
      <c r="H173" t="str">
        <f ca="1">IF(F173&lt;=G173," ","YES")</f>
        <v xml:space="preserve"> </v>
      </c>
      <c r="K173" t="s">
        <v>3147</v>
      </c>
      <c r="L173" t="s">
        <v>3147</v>
      </c>
      <c r="N173" s="40">
        <v>45379</v>
      </c>
      <c r="O173" s="40">
        <v>45379</v>
      </c>
      <c r="P173" s="40">
        <v>45504</v>
      </c>
      <c r="Q173" s="40">
        <v>45504</v>
      </c>
      <c r="R173">
        <v>55468</v>
      </c>
      <c r="S173" s="40" t="str" cm="1">
        <f t="array" aca="1" ref="S173" ca="1">TRIM(SUBSTITUTE(_xlfn.ARRAYTOTEXT(IFERROR(CONCATENATE(SUMIF(INDIRECT("'"&amp;Assemblies[Assy]&amp;"'!"&amp;"C$5:C1000"), $A173, INDIRECT("'"&amp;Assemblies[Assy]&amp;"'!"&amp;"O$5:O1000")), "x",Assemblies[Assy],".",IF(SUMIF(INDIRECT("'"&amp;Assemblies[Assy]&amp;"'!"&amp;"C$5:C1000"), $A173, INDIRECT("'"&amp;Assemblies[Assy]&amp;"'!"&amp;"A$5:A1000"))=0,NA(),SUMIF(INDIRECT("'"&amp;Assemblies[Assy]&amp;"'!"&amp;"C$5:C1000"), $A173, INDIRECT("'"&amp;Assemblies[Assy]&amp;"'!"&amp;"A$5:A1000")))),"")), " ,", ""))</f>
        <v>, 2x6.9.301,</v>
      </c>
    </row>
    <row r="174" spans="1:19" hidden="1" x14ac:dyDescent="0.25">
      <c r="A174" s="160" t="s">
        <v>942</v>
      </c>
      <c r="B174" s="160" t="s">
        <v>3150</v>
      </c>
      <c r="C174" s="180">
        <v>30.5</v>
      </c>
      <c r="D174">
        <v>1</v>
      </c>
      <c r="E174" cm="1">
        <f t="array" aca="1" ref="E174" ca="1">SUMPRODUCT(SUMIF(INDIRECT("'"&amp;Assemblies[Assy]&amp;"'!"&amp;"C:C"),$A174,(INDIRECT("'"&amp;Assemblies[Assy]&amp;"'!"&amp;"O:O"))))</f>
        <v>2</v>
      </c>
      <c r="F174">
        <f ca="1">ROUNDUP(Purchased[[#This Row],[BOM QTY]]/Purchased[[#This Row],[PK QTY]], 0)</f>
        <v>2</v>
      </c>
      <c r="G174">
        <v>3</v>
      </c>
      <c r="H174" t="str">
        <f ca="1">IF(F174&lt;=G174," ","YES")</f>
        <v xml:space="preserve"> </v>
      </c>
      <c r="K174" t="s">
        <v>3151</v>
      </c>
      <c r="L174" t="s">
        <v>3149</v>
      </c>
      <c r="M174" t="s">
        <v>3152</v>
      </c>
      <c r="N174" s="40" t="s">
        <v>2747</v>
      </c>
      <c r="R174">
        <v>55749</v>
      </c>
      <c r="S174" s="40" t="str" cm="1">
        <f t="array" aca="1" ref="S174" ca="1">TRIM(SUBSTITUTE(_xlfn.ARRAYTOTEXT(IFERROR(CONCATENATE(SUMIF(INDIRECT("'"&amp;Assemblies[Assy]&amp;"'!"&amp;"C$5:C1000"), $A174, INDIRECT("'"&amp;Assemblies[Assy]&amp;"'!"&amp;"O$5:O1000")), "x",Assemblies[Assy],".",IF(SUMIF(INDIRECT("'"&amp;Assemblies[Assy]&amp;"'!"&amp;"C$5:C1000"), $A174, INDIRECT("'"&amp;Assemblies[Assy]&amp;"'!"&amp;"A$5:A1000"))=0,NA(),SUMIF(INDIRECT("'"&amp;Assemblies[Assy]&amp;"'!"&amp;"C$5:C1000"), $A174, INDIRECT("'"&amp;Assemblies[Assy]&amp;"'!"&amp;"A$5:A1000")))),"")), " ,", ""))</f>
        <v>, 1x6.2.1.1.305, 1x6.3.1.1.305,</v>
      </c>
    </row>
    <row r="175" spans="1:19" hidden="1" x14ac:dyDescent="0.25">
      <c r="A175" s="160" t="s">
        <v>667</v>
      </c>
      <c r="B175" s="160" t="s">
        <v>3153</v>
      </c>
      <c r="C175" s="180">
        <v>2.75</v>
      </c>
      <c r="D175">
        <v>1</v>
      </c>
      <c r="E175" cm="1">
        <f t="array" aca="1" ref="E175" ca="1">SUMPRODUCT(SUMIF(INDIRECT("'"&amp;Assemblies[Assy]&amp;"'!"&amp;"C:C"),$A175,(INDIRECT("'"&amp;Assemblies[Assy]&amp;"'!"&amp;"O:O"))))</f>
        <v>7</v>
      </c>
      <c r="F175">
        <f ca="1">ROUNDUP(Purchased[[#This Row],[BOM QTY]]/Purchased[[#This Row],[PK QTY]], 0)</f>
        <v>7</v>
      </c>
      <c r="G175">
        <v>8</v>
      </c>
      <c r="H175" t="str">
        <f ca="1">IF(F175&lt;=G175," ","YES")</f>
        <v xml:space="preserve"> </v>
      </c>
      <c r="K175" t="s">
        <v>3154</v>
      </c>
      <c r="L175" t="s">
        <v>3149</v>
      </c>
      <c r="N175" s="40" t="s">
        <v>2747</v>
      </c>
      <c r="R175">
        <v>55749</v>
      </c>
      <c r="S175" s="40" t="str" cm="1">
        <f t="array" aca="1" ref="S175" ca="1">TRIM(SUBSTITUTE(_xlfn.ARRAYTOTEXT(IFERROR(CONCATENATE(SUMIF(INDIRECT("'"&amp;Assemblies[Assy]&amp;"'!"&amp;"C$5:C1000"), $A175, INDIRECT("'"&amp;Assemblies[Assy]&amp;"'!"&amp;"O$5:O1000")), "x",Assemblies[Assy],".",IF(SUMIF(INDIRECT("'"&amp;Assemblies[Assy]&amp;"'!"&amp;"C$5:C1000"), $A175, INDIRECT("'"&amp;Assemblies[Assy]&amp;"'!"&amp;"A$5:A1000"))=0,NA(),SUMIF(INDIRECT("'"&amp;Assemblies[Assy]&amp;"'!"&amp;"C$5:C1000"), $A175, INDIRECT("'"&amp;Assemblies[Assy]&amp;"'!"&amp;"A$5:A1000")))),"")), " ,", ""))</f>
        <v>, 1x4.5.1.310, 1x5.3.328, 1x6.1.329, 3x7.1.1.305, 1x8.3.306,</v>
      </c>
    </row>
    <row r="176" spans="1:19" hidden="1" x14ac:dyDescent="0.25">
      <c r="A176" s="160" t="s">
        <v>668</v>
      </c>
      <c r="B176" s="160" t="s">
        <v>3155</v>
      </c>
      <c r="C176" s="180">
        <v>19</v>
      </c>
      <c r="D176">
        <v>1</v>
      </c>
      <c r="E176" cm="1">
        <f t="array" aca="1" ref="E176" ca="1">SUMPRODUCT(SUMIF(INDIRECT("'"&amp;Assemblies[Assy]&amp;"'!"&amp;"C:C"),$A176,(INDIRECT("'"&amp;Assemblies[Assy]&amp;"'!"&amp;"O:O"))))</f>
        <v>7</v>
      </c>
      <c r="F176">
        <f ca="1">ROUNDUP(Purchased[[#This Row],[BOM QTY]]/Purchased[[#This Row],[PK QTY]], 0)</f>
        <v>7</v>
      </c>
      <c r="G176">
        <v>8</v>
      </c>
      <c r="H176" t="str">
        <f ca="1">IF(F176&lt;=G176," ","YES")</f>
        <v xml:space="preserve"> </v>
      </c>
      <c r="K176" t="s">
        <v>3154</v>
      </c>
      <c r="L176" t="s">
        <v>3149</v>
      </c>
      <c r="N176" s="40" t="s">
        <v>2747</v>
      </c>
      <c r="R176">
        <v>55749</v>
      </c>
      <c r="S176" s="40" t="str" cm="1">
        <f t="array" aca="1" ref="S176" ca="1">TRIM(SUBSTITUTE(_xlfn.ARRAYTOTEXT(IFERROR(CONCATENATE(SUMIF(INDIRECT("'"&amp;Assemblies[Assy]&amp;"'!"&amp;"C$5:C1000"), $A176, INDIRECT("'"&amp;Assemblies[Assy]&amp;"'!"&amp;"O$5:O1000")), "x",Assemblies[Assy],".",IF(SUMIF(INDIRECT("'"&amp;Assemblies[Assy]&amp;"'!"&amp;"C$5:C1000"), $A176, INDIRECT("'"&amp;Assemblies[Assy]&amp;"'!"&amp;"A$5:A1000"))=0,NA(),SUMIF(INDIRECT("'"&amp;Assemblies[Assy]&amp;"'!"&amp;"C$5:C1000"), $A176, INDIRECT("'"&amp;Assemblies[Assy]&amp;"'!"&amp;"A$5:A1000")))),"")), " ,", ""))</f>
        <v>, 1x4.5.1.311, 1x5.3.329, 1x6.1.330, 3x7.1.1.306, 1x8.3.307,</v>
      </c>
    </row>
    <row r="177" spans="1:19" hidden="1" x14ac:dyDescent="0.25">
      <c r="A177" s="163" t="s">
        <v>89</v>
      </c>
      <c r="B177" s="2" t="s">
        <v>3156</v>
      </c>
      <c r="C177" s="180">
        <v>31.5</v>
      </c>
      <c r="D177">
        <v>1</v>
      </c>
      <c r="E177" cm="1">
        <f t="array" aca="1" ref="E177" ca="1">SUMPRODUCT(SUMIF(INDIRECT("'"&amp;Assemblies[Assy]&amp;"'!"&amp;"C:C"),$A177,(INDIRECT("'"&amp;Assemblies[Assy]&amp;"'!"&amp;"O:O"))))</f>
        <v>2</v>
      </c>
      <c r="F177">
        <f ca="1">ROUNDUP(Purchased[[#This Row],[BOM QTY]]/Purchased[[#This Row],[PK QTY]], 0)</f>
        <v>2</v>
      </c>
      <c r="G177">
        <v>2</v>
      </c>
      <c r="H177" t="str">
        <f ca="1">IF(F177&lt;=G177," ","YES")</f>
        <v xml:space="preserve"> </v>
      </c>
      <c r="I177">
        <v>2</v>
      </c>
      <c r="J177">
        <v>2</v>
      </c>
      <c r="K177" t="s">
        <v>3157</v>
      </c>
      <c r="L177" t="s">
        <v>3149</v>
      </c>
      <c r="N177" s="40" t="s">
        <v>2747</v>
      </c>
      <c r="R177">
        <v>55600</v>
      </c>
      <c r="S177" s="40" t="str" cm="1">
        <f t="array" aca="1" ref="S177" ca="1">TRIM(SUBSTITUTE(_xlfn.ARRAYTOTEXT(IFERROR(CONCATENATE(SUMIF(INDIRECT("'"&amp;Assemblies[Assy]&amp;"'!"&amp;"C$5:C1000"), $A177, INDIRECT("'"&amp;Assemblies[Assy]&amp;"'!"&amp;"O$5:O1000")), "x",Assemblies[Assy],".",IF(SUMIF(INDIRECT("'"&amp;Assemblies[Assy]&amp;"'!"&amp;"C$5:C1000"), $A177, INDIRECT("'"&amp;Assemblies[Assy]&amp;"'!"&amp;"A$5:A1000"))=0,NA(),SUMIF(INDIRECT("'"&amp;Assemblies[Assy]&amp;"'!"&amp;"C$5:C1000"), $A177, INDIRECT("'"&amp;Assemblies[Assy]&amp;"'!"&amp;"A$5:A1000")))),"")), " ,", ""))</f>
        <v>, 1x0.2.310, 1x0.11.305,</v>
      </c>
    </row>
    <row r="178" spans="1:19" hidden="1" x14ac:dyDescent="0.25">
      <c r="A178" s="163" t="s">
        <v>90</v>
      </c>
      <c r="B178" s="2" t="s">
        <v>3158</v>
      </c>
      <c r="C178" s="180">
        <v>24</v>
      </c>
      <c r="D178">
        <v>1</v>
      </c>
      <c r="E178" cm="1">
        <f t="array" aca="1" ref="E178" ca="1">SUMPRODUCT(SUMIF(INDIRECT("'"&amp;Assemblies[Assy]&amp;"'!"&amp;"C:C"),$A178,(INDIRECT("'"&amp;Assemblies[Assy]&amp;"'!"&amp;"O:O"))))</f>
        <v>2</v>
      </c>
      <c r="F178">
        <f ca="1">ROUNDUP(Purchased[[#This Row],[BOM QTY]]/Purchased[[#This Row],[PK QTY]], 0)</f>
        <v>2</v>
      </c>
      <c r="G178">
        <v>2</v>
      </c>
      <c r="H178" t="str">
        <f ca="1">IF(F178&lt;=G178," ","YES")</f>
        <v xml:space="preserve"> </v>
      </c>
      <c r="I178">
        <v>2</v>
      </c>
      <c r="J178">
        <v>2</v>
      </c>
      <c r="K178" t="s">
        <v>3157</v>
      </c>
      <c r="L178" t="s">
        <v>3149</v>
      </c>
      <c r="N178" s="40" t="s">
        <v>2747</v>
      </c>
      <c r="R178">
        <v>55600</v>
      </c>
      <c r="S178" s="40" t="str" cm="1">
        <f t="array" aca="1" ref="S178" ca="1">TRIM(SUBSTITUTE(_xlfn.ARRAYTOTEXT(IFERROR(CONCATENATE(SUMIF(INDIRECT("'"&amp;Assemblies[Assy]&amp;"'!"&amp;"C$5:C1000"), $A178, INDIRECT("'"&amp;Assemblies[Assy]&amp;"'!"&amp;"O$5:O1000")), "x",Assemblies[Assy],".",IF(SUMIF(INDIRECT("'"&amp;Assemblies[Assy]&amp;"'!"&amp;"C$5:C1000"), $A178, INDIRECT("'"&amp;Assemblies[Assy]&amp;"'!"&amp;"A$5:A1000"))=0,NA(),SUMIF(INDIRECT("'"&amp;Assemblies[Assy]&amp;"'!"&amp;"C$5:C1000"), $A178, INDIRECT("'"&amp;Assemblies[Assy]&amp;"'!"&amp;"A$5:A1000")))),"")), " ,", ""))</f>
        <v>, 1x0.2.311, 1x0.11.306,</v>
      </c>
    </row>
    <row r="179" spans="1:19" hidden="1" x14ac:dyDescent="0.25">
      <c r="A179" s="163" t="s">
        <v>92</v>
      </c>
      <c r="B179" s="2" t="s">
        <v>3159</v>
      </c>
      <c r="C179" s="180">
        <v>24</v>
      </c>
      <c r="D179">
        <v>1</v>
      </c>
      <c r="E179" cm="1">
        <f t="array" aca="1" ref="E179" ca="1">SUMPRODUCT(SUMIF(INDIRECT("'"&amp;Assemblies[Assy]&amp;"'!"&amp;"C:C"),$A179,(INDIRECT("'"&amp;Assemblies[Assy]&amp;"'!"&amp;"O:O"))))</f>
        <v>2</v>
      </c>
      <c r="F179">
        <f ca="1">ROUNDUP(Purchased[[#This Row],[BOM QTY]]/Purchased[[#This Row],[PK QTY]], 0)</f>
        <v>2</v>
      </c>
      <c r="G179">
        <v>2</v>
      </c>
      <c r="H179" t="str">
        <f ca="1">IF(F179&lt;=G179," ","YES")</f>
        <v xml:space="preserve"> </v>
      </c>
      <c r="I179">
        <v>2</v>
      </c>
      <c r="J179">
        <v>2</v>
      </c>
      <c r="K179" t="s">
        <v>3157</v>
      </c>
      <c r="L179" t="s">
        <v>3149</v>
      </c>
      <c r="N179" s="40" t="s">
        <v>2747</v>
      </c>
      <c r="R179">
        <v>55600</v>
      </c>
      <c r="S179" s="40" t="str" cm="1">
        <f t="array" aca="1" ref="S179" ca="1">TRIM(SUBSTITUTE(_xlfn.ARRAYTOTEXT(IFERROR(CONCATENATE(SUMIF(INDIRECT("'"&amp;Assemblies[Assy]&amp;"'!"&amp;"C$5:C1000"), $A179, INDIRECT("'"&amp;Assemblies[Assy]&amp;"'!"&amp;"O$5:O1000")), "x",Assemblies[Assy],".",IF(SUMIF(INDIRECT("'"&amp;Assemblies[Assy]&amp;"'!"&amp;"C$5:C1000"), $A179, INDIRECT("'"&amp;Assemblies[Assy]&amp;"'!"&amp;"A$5:A1000"))=0,NA(),SUMIF(INDIRECT("'"&amp;Assemblies[Assy]&amp;"'!"&amp;"C$5:C1000"), $A179, INDIRECT("'"&amp;Assemblies[Assy]&amp;"'!"&amp;"A$5:A1000")))),"")), " ,", ""))</f>
        <v>, 1x0.2.313, 1x0.11.308,</v>
      </c>
    </row>
    <row r="180" spans="1:19" hidden="1" x14ac:dyDescent="0.25">
      <c r="A180" s="163" t="s">
        <v>91</v>
      </c>
      <c r="B180" s="2" t="s">
        <v>3160</v>
      </c>
      <c r="C180" s="180">
        <v>24</v>
      </c>
      <c r="D180">
        <v>1</v>
      </c>
      <c r="E180" cm="1">
        <f t="array" aca="1" ref="E180" ca="1">SUMPRODUCT(SUMIF(INDIRECT("'"&amp;Assemblies[Assy]&amp;"'!"&amp;"C:C"),$A180,(INDIRECT("'"&amp;Assemblies[Assy]&amp;"'!"&amp;"O:O"))))</f>
        <v>2</v>
      </c>
      <c r="F180">
        <f ca="1">ROUNDUP(Purchased[[#This Row],[BOM QTY]]/Purchased[[#This Row],[PK QTY]], 0)</f>
        <v>2</v>
      </c>
      <c r="G180">
        <v>2</v>
      </c>
      <c r="H180" t="str">
        <f ca="1">IF(F180&lt;=G180," ","YES")</f>
        <v xml:space="preserve"> </v>
      </c>
      <c r="I180">
        <v>2</v>
      </c>
      <c r="J180">
        <v>2</v>
      </c>
      <c r="K180" t="s">
        <v>3157</v>
      </c>
      <c r="L180" t="s">
        <v>3149</v>
      </c>
      <c r="N180" s="40" t="s">
        <v>2747</v>
      </c>
      <c r="R180">
        <v>55600</v>
      </c>
      <c r="S180" s="40" t="str" cm="1">
        <f t="array" aca="1" ref="S180" ca="1">TRIM(SUBSTITUTE(_xlfn.ARRAYTOTEXT(IFERROR(CONCATENATE(SUMIF(INDIRECT("'"&amp;Assemblies[Assy]&amp;"'!"&amp;"C$5:C1000"), $A180, INDIRECT("'"&amp;Assemblies[Assy]&amp;"'!"&amp;"O$5:O1000")), "x",Assemblies[Assy],".",IF(SUMIF(INDIRECT("'"&amp;Assemblies[Assy]&amp;"'!"&amp;"C$5:C1000"), $A180, INDIRECT("'"&amp;Assemblies[Assy]&amp;"'!"&amp;"A$5:A1000"))=0,NA(),SUMIF(INDIRECT("'"&amp;Assemblies[Assy]&amp;"'!"&amp;"C$5:C1000"), $A180, INDIRECT("'"&amp;Assemblies[Assy]&amp;"'!"&amp;"A$5:A1000")))),"")), " ,", ""))</f>
        <v>, 1x0.2.312, 1x0.11.307,</v>
      </c>
    </row>
    <row r="181" spans="1:19" hidden="1" x14ac:dyDescent="0.25">
      <c r="A181" s="163" t="s">
        <v>93</v>
      </c>
      <c r="B181" s="2" t="s">
        <v>3161</v>
      </c>
      <c r="C181" s="180">
        <v>58</v>
      </c>
      <c r="D181">
        <v>1</v>
      </c>
      <c r="E181" cm="1">
        <f t="array" aca="1" ref="E181" ca="1">SUMPRODUCT(SUMIF(INDIRECT("'"&amp;Assemblies[Assy]&amp;"'!"&amp;"C:C"),$A181,(INDIRECT("'"&amp;Assemblies[Assy]&amp;"'!"&amp;"O:O"))))</f>
        <v>2</v>
      </c>
      <c r="F181">
        <f ca="1">ROUNDUP(Purchased[[#This Row],[BOM QTY]]/Purchased[[#This Row],[PK QTY]], 0)</f>
        <v>2</v>
      </c>
      <c r="G181">
        <v>2</v>
      </c>
      <c r="H181" t="str">
        <f ca="1">IF(F181&lt;=G181," ","YES")</f>
        <v xml:space="preserve"> </v>
      </c>
      <c r="I181">
        <v>2</v>
      </c>
      <c r="J181">
        <v>2</v>
      </c>
      <c r="K181" t="s">
        <v>3157</v>
      </c>
      <c r="L181" t="s">
        <v>3149</v>
      </c>
      <c r="N181" s="40" t="s">
        <v>2747</v>
      </c>
      <c r="R181">
        <v>55600</v>
      </c>
      <c r="S181" s="40" t="str" cm="1">
        <f t="array" aca="1" ref="S181" ca="1">TRIM(SUBSTITUTE(_xlfn.ARRAYTOTEXT(IFERROR(CONCATENATE(SUMIF(INDIRECT("'"&amp;Assemblies[Assy]&amp;"'!"&amp;"C$5:C1000"), $A181, INDIRECT("'"&amp;Assemblies[Assy]&amp;"'!"&amp;"O$5:O1000")), "x",Assemblies[Assy],".",IF(SUMIF(INDIRECT("'"&amp;Assemblies[Assy]&amp;"'!"&amp;"C$5:C1000"), $A181, INDIRECT("'"&amp;Assemblies[Assy]&amp;"'!"&amp;"A$5:A1000"))=0,NA(),SUMIF(INDIRECT("'"&amp;Assemblies[Assy]&amp;"'!"&amp;"C$5:C1000"), $A181, INDIRECT("'"&amp;Assemblies[Assy]&amp;"'!"&amp;"A$5:A1000")))),"")), " ,", ""))</f>
        <v>, 1x0.2.314, 1x0.11.309,</v>
      </c>
    </row>
    <row r="182" spans="1:19" hidden="1" x14ac:dyDescent="0.25">
      <c r="A182" s="163" t="s">
        <v>94</v>
      </c>
      <c r="B182" s="2" t="s">
        <v>3162</v>
      </c>
      <c r="C182" s="180">
        <v>15</v>
      </c>
      <c r="D182">
        <v>1</v>
      </c>
      <c r="E182" cm="1">
        <f t="array" aca="1" ref="E182" ca="1">SUMPRODUCT(SUMIF(INDIRECT("'"&amp;Assemblies[Assy]&amp;"'!"&amp;"C:C"),$A182,(INDIRECT("'"&amp;Assemblies[Assy]&amp;"'!"&amp;"O:O"))))</f>
        <v>2</v>
      </c>
      <c r="F182">
        <f ca="1">ROUNDUP(Purchased[[#This Row],[BOM QTY]]/Purchased[[#This Row],[PK QTY]], 0)</f>
        <v>2</v>
      </c>
      <c r="G182">
        <v>2</v>
      </c>
      <c r="H182" t="str">
        <f ca="1">IF(F182&lt;=G182," ","YES")</f>
        <v xml:space="preserve"> </v>
      </c>
      <c r="I182">
        <v>2</v>
      </c>
      <c r="J182">
        <v>2</v>
      </c>
      <c r="K182" t="s">
        <v>3157</v>
      </c>
      <c r="L182" t="s">
        <v>3149</v>
      </c>
      <c r="N182" s="40" t="s">
        <v>2747</v>
      </c>
      <c r="R182">
        <v>55600</v>
      </c>
      <c r="S182" s="40" t="str" cm="1">
        <f t="array" aca="1" ref="S182" ca="1">TRIM(SUBSTITUTE(_xlfn.ARRAYTOTEXT(IFERROR(CONCATENATE(SUMIF(INDIRECT("'"&amp;Assemblies[Assy]&amp;"'!"&amp;"C$5:C1000"), $A182, INDIRECT("'"&amp;Assemblies[Assy]&amp;"'!"&amp;"O$5:O1000")), "x",Assemblies[Assy],".",IF(SUMIF(INDIRECT("'"&amp;Assemblies[Assy]&amp;"'!"&amp;"C$5:C1000"), $A182, INDIRECT("'"&amp;Assemblies[Assy]&amp;"'!"&amp;"A$5:A1000"))=0,NA(),SUMIF(INDIRECT("'"&amp;Assemblies[Assy]&amp;"'!"&amp;"C$5:C1000"), $A182, INDIRECT("'"&amp;Assemblies[Assy]&amp;"'!"&amp;"A$5:A1000")))),"")), " ,", ""))</f>
        <v>, 1x0.2.315, 1x0.11.310,</v>
      </c>
    </row>
    <row r="183" spans="1:19" hidden="1" x14ac:dyDescent="0.25">
      <c r="A183" s="163" t="s">
        <v>3865</v>
      </c>
      <c r="B183" s="2" t="s">
        <v>3866</v>
      </c>
      <c r="C183" s="180">
        <v>8.75</v>
      </c>
      <c r="D183">
        <v>1</v>
      </c>
      <c r="E183" cm="1">
        <f t="array" aca="1" ref="E183" ca="1">SUMPRODUCT(SUMIF(INDIRECT("'"&amp;Assemblies[Assy]&amp;"'!"&amp;"C:C"),$A183,(INDIRECT("'"&amp;Assemblies[Assy]&amp;"'!"&amp;"O:O"))))</f>
        <v>6</v>
      </c>
      <c r="F183">
        <f ca="1">ROUNDUP(Purchased[[#This Row],[BOM QTY]]/Purchased[[#This Row],[PK QTY]], 0)</f>
        <v>6</v>
      </c>
      <c r="G183">
        <v>6</v>
      </c>
      <c r="H183" t="str">
        <f ca="1">IF(F183&lt;=G183," ","YES")</f>
        <v xml:space="preserve"> </v>
      </c>
      <c r="I183">
        <v>6</v>
      </c>
      <c r="J183">
        <v>6</v>
      </c>
      <c r="K183" t="s">
        <v>3157</v>
      </c>
      <c r="L183" t="s">
        <v>3149</v>
      </c>
      <c r="N183" s="40" t="s">
        <v>2747</v>
      </c>
      <c r="R183">
        <v>55600</v>
      </c>
      <c r="S183" s="40" t="str" cm="1">
        <f t="array" aca="1" ref="S183" ca="1">TRIM(SUBSTITUTE(_xlfn.ARRAYTOTEXT(IFERROR(CONCATENATE(SUMIF(INDIRECT("'"&amp;Assemblies[Assy]&amp;"'!"&amp;"C$5:C1000"), $A183, INDIRECT("'"&amp;Assemblies[Assy]&amp;"'!"&amp;"O$5:O1000")), "x",Assemblies[Assy],".",IF(SUMIF(INDIRECT("'"&amp;Assemblies[Assy]&amp;"'!"&amp;"C$5:C1000"), $A183, INDIRECT("'"&amp;Assemblies[Assy]&amp;"'!"&amp;"A$5:A1000"))=0,NA(),SUMIF(INDIRECT("'"&amp;Assemblies[Assy]&amp;"'!"&amp;"C$5:C1000"), $A183, INDIRECT("'"&amp;Assemblies[Assy]&amp;"'!"&amp;"A$5:A1000")))),"")), " ,", ""))</f>
        <v>, 3x0.2.316, 3x0.11.315,</v>
      </c>
    </row>
    <row r="184" spans="1:19" x14ac:dyDescent="0.25">
      <c r="A184" s="160" t="s">
        <v>903</v>
      </c>
      <c r="B184" s="160" t="s">
        <v>3168</v>
      </c>
      <c r="C184" s="180">
        <v>11.41</v>
      </c>
      <c r="D184">
        <v>1</v>
      </c>
      <c r="E184" cm="1">
        <f t="array" aca="1" ref="E184" ca="1">SUMPRODUCT(SUMIF(INDIRECT("'"&amp;Assemblies[Assy]&amp;"'!"&amp;"C:C"),$A184,(INDIRECT("'"&amp;Assemblies[Assy]&amp;"'!"&amp;"O:O"))))</f>
        <v>1</v>
      </c>
      <c r="F184">
        <f ca="1">ROUNDUP(Purchased[[#This Row],[BOM QTY]]/Purchased[[#This Row],[PK QTY]], 0)</f>
        <v>1</v>
      </c>
      <c r="G184">
        <v>1</v>
      </c>
      <c r="H184" t="str">
        <f ca="1">IF(F184&lt;=G184," ","YES")</f>
        <v xml:space="preserve"> </v>
      </c>
      <c r="I184">
        <v>1</v>
      </c>
      <c r="J184">
        <v>1</v>
      </c>
      <c r="K184" t="s">
        <v>3164</v>
      </c>
      <c r="L184" t="s">
        <v>3164</v>
      </c>
      <c r="M184" t="s">
        <v>3169</v>
      </c>
      <c r="N184" s="40">
        <v>45502</v>
      </c>
      <c r="O184" s="40">
        <v>45503</v>
      </c>
      <c r="P184" s="40">
        <v>45520</v>
      </c>
      <c r="Q184" s="40">
        <v>45520</v>
      </c>
      <c r="R184">
        <v>55637</v>
      </c>
      <c r="S184" s="40" t="str" cm="1">
        <f t="array" aca="1" ref="S184" ca="1">TRIM(SUBSTITUTE(_xlfn.ARRAYTOTEXT(IFERROR(CONCATENATE(SUMIF(INDIRECT("'"&amp;Assemblies[Assy]&amp;"'!"&amp;"C$5:C1000"), $A184, INDIRECT("'"&amp;Assemblies[Assy]&amp;"'!"&amp;"O$5:O1000")), "x",Assemblies[Assy],".",IF(SUMIF(INDIRECT("'"&amp;Assemblies[Assy]&amp;"'!"&amp;"C$5:C1000"), $A184, INDIRECT("'"&amp;Assemblies[Assy]&amp;"'!"&amp;"A$5:A1000"))=0,NA(),SUMIF(INDIRECT("'"&amp;Assemblies[Assy]&amp;"'!"&amp;"C$5:C1000"), $A184, INDIRECT("'"&amp;Assemblies[Assy]&amp;"'!"&amp;"A$5:A1000")))),"")), " ,", ""))</f>
        <v>, 1x6.1.341,</v>
      </c>
    </row>
    <row r="185" spans="1:19" x14ac:dyDescent="0.25">
      <c r="A185" s="160" t="s">
        <v>900</v>
      </c>
      <c r="B185" s="160" t="s">
        <v>3172</v>
      </c>
      <c r="C185" s="180">
        <v>7.35</v>
      </c>
      <c r="D185">
        <v>1</v>
      </c>
      <c r="E185" cm="1">
        <f t="array" aca="1" ref="E185" ca="1">SUMPRODUCT(SUMIF(INDIRECT("'"&amp;Assemblies[Assy]&amp;"'!"&amp;"C:C"),$A185,(INDIRECT("'"&amp;Assemblies[Assy]&amp;"'!"&amp;"O:O"))))</f>
        <v>1</v>
      </c>
      <c r="F185">
        <f ca="1">ROUNDUP(Purchased[[#This Row],[BOM QTY]]/Purchased[[#This Row],[PK QTY]], 0)</f>
        <v>1</v>
      </c>
      <c r="G185">
        <v>1</v>
      </c>
      <c r="H185" t="str">
        <f ca="1">IF(F185&lt;=G185," ","YES")</f>
        <v xml:space="preserve"> </v>
      </c>
      <c r="I185">
        <v>1</v>
      </c>
      <c r="J185">
        <v>1</v>
      </c>
      <c r="K185" t="s">
        <v>3164</v>
      </c>
      <c r="L185" t="s">
        <v>3164</v>
      </c>
      <c r="M185" t="s">
        <v>3173</v>
      </c>
      <c r="N185" s="40">
        <v>45502</v>
      </c>
      <c r="O185" s="40">
        <v>45503</v>
      </c>
      <c r="P185" s="40">
        <v>45520</v>
      </c>
      <c r="Q185" s="40">
        <v>45520</v>
      </c>
      <c r="R185">
        <v>55637</v>
      </c>
      <c r="S185" s="40" t="str" cm="1">
        <f t="array" aca="1" ref="S185" ca="1">TRIM(SUBSTITUTE(_xlfn.ARRAYTOTEXT(IFERROR(CONCATENATE(SUMIF(INDIRECT("'"&amp;Assemblies[Assy]&amp;"'!"&amp;"C$5:C1000"), $A185, INDIRECT("'"&amp;Assemblies[Assy]&amp;"'!"&amp;"O$5:O1000")), "x",Assemblies[Assy],".",IF(SUMIF(INDIRECT("'"&amp;Assemblies[Assy]&amp;"'!"&amp;"C$5:C1000"), $A185, INDIRECT("'"&amp;Assemblies[Assy]&amp;"'!"&amp;"A$5:A1000"))=0,NA(),SUMIF(INDIRECT("'"&amp;Assemblies[Assy]&amp;"'!"&amp;"C$5:C1000"), $A185, INDIRECT("'"&amp;Assemblies[Assy]&amp;"'!"&amp;"A$5:A1000")))),"")), " ,", ""))</f>
        <v>, 1x6.1.338,</v>
      </c>
    </row>
    <row r="186" spans="1:19" x14ac:dyDescent="0.25">
      <c r="A186" s="160" t="s">
        <v>901</v>
      </c>
      <c r="B186" s="160" t="s">
        <v>3174</v>
      </c>
      <c r="C186" s="180">
        <v>7.49</v>
      </c>
      <c r="D186">
        <v>1</v>
      </c>
      <c r="E186" cm="1">
        <f t="array" aca="1" ref="E186" ca="1">SUMPRODUCT(SUMIF(INDIRECT("'"&amp;Assemblies[Assy]&amp;"'!"&amp;"C:C"),$A186,(INDIRECT("'"&amp;Assemblies[Assy]&amp;"'!"&amp;"O:O"))))</f>
        <v>1</v>
      </c>
      <c r="F186">
        <f ca="1">ROUNDUP(Purchased[[#This Row],[BOM QTY]]/Purchased[[#This Row],[PK QTY]], 0)</f>
        <v>1</v>
      </c>
      <c r="G186">
        <v>1</v>
      </c>
      <c r="H186" t="str">
        <f ca="1">IF(F186&lt;=G186," ","YES")</f>
        <v xml:space="preserve"> </v>
      </c>
      <c r="I186">
        <v>1</v>
      </c>
      <c r="J186">
        <v>1</v>
      </c>
      <c r="K186" t="s">
        <v>3164</v>
      </c>
      <c r="L186" t="s">
        <v>3164</v>
      </c>
      <c r="M186" t="s">
        <v>3175</v>
      </c>
      <c r="N186" s="40">
        <v>45502</v>
      </c>
      <c r="O186" s="40">
        <v>45503</v>
      </c>
      <c r="P186" s="40">
        <v>45520</v>
      </c>
      <c r="Q186" s="40">
        <v>45520</v>
      </c>
      <c r="R186">
        <v>55637</v>
      </c>
      <c r="S186" s="40" t="str" cm="1">
        <f t="array" aca="1" ref="S186" ca="1">TRIM(SUBSTITUTE(_xlfn.ARRAYTOTEXT(IFERROR(CONCATENATE(SUMIF(INDIRECT("'"&amp;Assemblies[Assy]&amp;"'!"&amp;"C$5:C1000"), $A186, INDIRECT("'"&amp;Assemblies[Assy]&amp;"'!"&amp;"O$5:O1000")), "x",Assemblies[Assy],".",IF(SUMIF(INDIRECT("'"&amp;Assemblies[Assy]&amp;"'!"&amp;"C$5:C1000"), $A186, INDIRECT("'"&amp;Assemblies[Assy]&amp;"'!"&amp;"A$5:A1000"))=0,NA(),SUMIF(INDIRECT("'"&amp;Assemblies[Assy]&amp;"'!"&amp;"C$5:C1000"), $A186, INDIRECT("'"&amp;Assemblies[Assy]&amp;"'!"&amp;"A$5:A1000")))),"")), " ,", ""))</f>
        <v>, 1x6.1.339,</v>
      </c>
    </row>
    <row r="187" spans="1:19" x14ac:dyDescent="0.25">
      <c r="A187" s="160" t="s">
        <v>902</v>
      </c>
      <c r="B187" s="160" t="s">
        <v>3176</v>
      </c>
      <c r="C187" s="180">
        <v>13.03</v>
      </c>
      <c r="D187">
        <v>1</v>
      </c>
      <c r="E187" cm="1">
        <f t="array" aca="1" ref="E187" ca="1">SUMPRODUCT(SUMIF(INDIRECT("'"&amp;Assemblies[Assy]&amp;"'!"&amp;"C:C"),$A187,(INDIRECT("'"&amp;Assemblies[Assy]&amp;"'!"&amp;"O:O"))))</f>
        <v>1</v>
      </c>
      <c r="F187">
        <f ca="1">ROUNDUP(Purchased[[#This Row],[BOM QTY]]/Purchased[[#This Row],[PK QTY]], 0)</f>
        <v>1</v>
      </c>
      <c r="G187">
        <v>1</v>
      </c>
      <c r="H187" t="str">
        <f ca="1">IF(F187&lt;=G187," ","YES")</f>
        <v xml:space="preserve"> </v>
      </c>
      <c r="I187">
        <v>1</v>
      </c>
      <c r="J187">
        <v>1</v>
      </c>
      <c r="K187" t="s">
        <v>3164</v>
      </c>
      <c r="L187" t="s">
        <v>3164</v>
      </c>
      <c r="M187" t="s">
        <v>3177</v>
      </c>
      <c r="N187" s="40">
        <v>45502</v>
      </c>
      <c r="O187" s="40">
        <v>45503</v>
      </c>
      <c r="P187" s="40">
        <v>45520</v>
      </c>
      <c r="Q187" s="40">
        <v>45520</v>
      </c>
      <c r="R187">
        <v>55637</v>
      </c>
      <c r="S187" s="40" t="str" cm="1">
        <f t="array" aca="1" ref="S187" ca="1">TRIM(SUBSTITUTE(_xlfn.ARRAYTOTEXT(IFERROR(CONCATENATE(SUMIF(INDIRECT("'"&amp;Assemblies[Assy]&amp;"'!"&amp;"C$5:C1000"), $A187, INDIRECT("'"&amp;Assemblies[Assy]&amp;"'!"&amp;"O$5:O1000")), "x",Assemblies[Assy],".",IF(SUMIF(INDIRECT("'"&amp;Assemblies[Assy]&amp;"'!"&amp;"C$5:C1000"), $A187, INDIRECT("'"&amp;Assemblies[Assy]&amp;"'!"&amp;"A$5:A1000"))=0,NA(),SUMIF(INDIRECT("'"&amp;Assemblies[Assy]&amp;"'!"&amp;"C$5:C1000"), $A187, INDIRECT("'"&amp;Assemblies[Assy]&amp;"'!"&amp;"A$5:A1000")))),"")), " ,", ""))</f>
        <v>, 1x6.1.340,</v>
      </c>
    </row>
    <row r="188" spans="1:19" x14ac:dyDescent="0.25">
      <c r="A188" s="160" t="s">
        <v>739</v>
      </c>
      <c r="B188" s="160" t="s">
        <v>3170</v>
      </c>
      <c r="C188" s="180">
        <v>14.37</v>
      </c>
      <c r="D188">
        <v>1</v>
      </c>
      <c r="E188" cm="1">
        <f t="array" aca="1" ref="E188" ca="1">SUMPRODUCT(SUMIF(INDIRECT("'"&amp;Assemblies[Assy]&amp;"'!"&amp;"C:C"),$A188,(INDIRECT("'"&amp;Assemblies[Assy]&amp;"'!"&amp;"O:O"))))</f>
        <v>2</v>
      </c>
      <c r="F188">
        <f ca="1">ROUNDUP(Purchased[[#This Row],[BOM QTY]]/Purchased[[#This Row],[PK QTY]], 0)</f>
        <v>2</v>
      </c>
      <c r="G188">
        <v>2</v>
      </c>
      <c r="H188" t="str">
        <f ca="1">IF(F188&lt;=G188," ","YES")</f>
        <v xml:space="preserve"> </v>
      </c>
      <c r="I188">
        <v>2</v>
      </c>
      <c r="J188">
        <v>2</v>
      </c>
      <c r="K188" t="s">
        <v>3164</v>
      </c>
      <c r="L188" t="s">
        <v>3164</v>
      </c>
      <c r="M188" t="s">
        <v>3171</v>
      </c>
      <c r="N188" s="40">
        <v>45502</v>
      </c>
      <c r="O188" s="40">
        <v>45503</v>
      </c>
      <c r="P188" s="40">
        <v>45520</v>
      </c>
      <c r="Q188" s="40">
        <v>45520</v>
      </c>
      <c r="R188">
        <v>55637</v>
      </c>
      <c r="S188" s="40" t="str" cm="1">
        <f t="array" aca="1" ref="S188" ca="1">TRIM(SUBSTITUTE(_xlfn.ARRAYTOTEXT(IFERROR(CONCATENATE(SUMIF(INDIRECT("'"&amp;Assemblies[Assy]&amp;"'!"&amp;"C$5:C1000"), $A188, INDIRECT("'"&amp;Assemblies[Assy]&amp;"'!"&amp;"O$5:O1000")), "x",Assemblies[Assy],".",IF(SUMIF(INDIRECT("'"&amp;Assemblies[Assy]&amp;"'!"&amp;"C$5:C1000"), $A188, INDIRECT("'"&amp;Assemblies[Assy]&amp;"'!"&amp;"A$5:A1000"))=0,NA(),SUMIF(INDIRECT("'"&amp;Assemblies[Assy]&amp;"'!"&amp;"C$5:C1000"), $A188, INDIRECT("'"&amp;Assemblies[Assy]&amp;"'!"&amp;"A$5:A1000")))),"")), " ,", ""))</f>
        <v>, 2x5.3.334,</v>
      </c>
    </row>
    <row r="189" spans="1:19" x14ac:dyDescent="0.25">
      <c r="A189" s="160" t="s">
        <v>740</v>
      </c>
      <c r="B189" s="160" t="s">
        <v>3178</v>
      </c>
      <c r="C189" s="180">
        <v>7.63</v>
      </c>
      <c r="D189">
        <v>1</v>
      </c>
      <c r="E189" cm="1">
        <f t="array" aca="1" ref="E189" ca="1">SUMPRODUCT(SUMIF(INDIRECT("'"&amp;Assemblies[Assy]&amp;"'!"&amp;"C:C"),$A189,(INDIRECT("'"&amp;Assemblies[Assy]&amp;"'!"&amp;"O:O"))))</f>
        <v>2</v>
      </c>
      <c r="F189">
        <f ca="1">ROUNDUP(Purchased[[#This Row],[BOM QTY]]/Purchased[[#This Row],[PK QTY]], 0)</f>
        <v>2</v>
      </c>
      <c r="G189">
        <v>2</v>
      </c>
      <c r="H189" t="str">
        <f ca="1">IF(F189&lt;=G189," ","YES")</f>
        <v xml:space="preserve"> </v>
      </c>
      <c r="I189">
        <v>2</v>
      </c>
      <c r="J189">
        <v>2</v>
      </c>
      <c r="K189" t="s">
        <v>3164</v>
      </c>
      <c r="L189" t="s">
        <v>3164</v>
      </c>
      <c r="M189" t="s">
        <v>3179</v>
      </c>
      <c r="N189" s="40">
        <v>45502</v>
      </c>
      <c r="O189" s="40">
        <v>45503</v>
      </c>
      <c r="P189" s="40">
        <v>45520</v>
      </c>
      <c r="Q189" s="40">
        <v>45520</v>
      </c>
      <c r="R189">
        <v>55637</v>
      </c>
      <c r="S189" s="40" t="str" cm="1">
        <f t="array" aca="1" ref="S189" ca="1">TRIM(SUBSTITUTE(_xlfn.ARRAYTOTEXT(IFERROR(CONCATENATE(SUMIF(INDIRECT("'"&amp;Assemblies[Assy]&amp;"'!"&amp;"C$5:C1000"), $A189, INDIRECT("'"&amp;Assemblies[Assy]&amp;"'!"&amp;"O$5:O1000")), "x",Assemblies[Assy],".",IF(SUMIF(INDIRECT("'"&amp;Assemblies[Assy]&amp;"'!"&amp;"C$5:C1000"), $A189, INDIRECT("'"&amp;Assemblies[Assy]&amp;"'!"&amp;"A$5:A1000"))=0,NA(),SUMIF(INDIRECT("'"&amp;Assemblies[Assy]&amp;"'!"&amp;"C$5:C1000"), $A189, INDIRECT("'"&amp;Assemblies[Assy]&amp;"'!"&amp;"A$5:A1000")))),"")), " ,", ""))</f>
        <v>, 2x5.3.339,</v>
      </c>
    </row>
    <row r="190" spans="1:19" ht="16.5" x14ac:dyDescent="0.25">
      <c r="A190" s="160" t="s">
        <v>736</v>
      </c>
      <c r="B190" s="160" t="s">
        <v>3166</v>
      </c>
      <c r="C190" s="180">
        <v>12.62</v>
      </c>
      <c r="D190">
        <v>1</v>
      </c>
      <c r="E190" cm="1">
        <f t="array" aca="1" ref="E190" ca="1">SUMPRODUCT(SUMIF(INDIRECT("'"&amp;Assemblies[Assy]&amp;"'!"&amp;"C:C"),$A190,(INDIRECT("'"&amp;Assemblies[Assy]&amp;"'!"&amp;"O:O"))))</f>
        <v>4</v>
      </c>
      <c r="F190">
        <f ca="1">ROUNDUP(Purchased[[#This Row],[BOM QTY]]/Purchased[[#This Row],[PK QTY]], 0)</f>
        <v>4</v>
      </c>
      <c r="G190">
        <v>4</v>
      </c>
      <c r="H190" t="str">
        <f ca="1">IF(F190&lt;=G190," ","YES")</f>
        <v xml:space="preserve"> </v>
      </c>
      <c r="I190">
        <v>4</v>
      </c>
      <c r="J190">
        <v>4</v>
      </c>
      <c r="K190" t="s">
        <v>3164</v>
      </c>
      <c r="L190" s="187" t="s">
        <v>3164</v>
      </c>
      <c r="M190" t="s">
        <v>3167</v>
      </c>
      <c r="N190" s="40">
        <v>45502</v>
      </c>
      <c r="O190" s="40">
        <v>45503</v>
      </c>
      <c r="P190" s="40">
        <v>45520</v>
      </c>
      <c r="Q190" s="40">
        <v>45520</v>
      </c>
      <c r="R190">
        <v>55637</v>
      </c>
      <c r="S190" s="40" t="str" cm="1">
        <f t="array" aca="1" ref="S190" ca="1">TRIM(SUBSTITUTE(_xlfn.ARRAYTOTEXT(IFERROR(CONCATENATE(SUMIF(INDIRECT("'"&amp;Assemblies[Assy]&amp;"'!"&amp;"C$5:C1000"), $A190, INDIRECT("'"&amp;Assemblies[Assy]&amp;"'!"&amp;"O$5:O1000")), "x",Assemblies[Assy],".",IF(SUMIF(INDIRECT("'"&amp;Assemblies[Assy]&amp;"'!"&amp;"C$5:C1000"), $A190, INDIRECT("'"&amp;Assemblies[Assy]&amp;"'!"&amp;"A$5:A1000"))=0,NA(),SUMIF(INDIRECT("'"&amp;Assemblies[Assy]&amp;"'!"&amp;"C$5:C1000"), $A190, INDIRECT("'"&amp;Assemblies[Assy]&amp;"'!"&amp;"A$5:A1000")))),"")), " ,", ""))</f>
        <v>, 2x5.3.331, 2x6.1.335,</v>
      </c>
    </row>
    <row r="191" spans="1:19" ht="16.5" x14ac:dyDescent="0.25">
      <c r="A191" s="160" t="s">
        <v>735</v>
      </c>
      <c r="B191" s="160" t="s">
        <v>3163</v>
      </c>
      <c r="C191" s="180">
        <v>10.76</v>
      </c>
      <c r="D191">
        <v>1</v>
      </c>
      <c r="E191" cm="1">
        <f t="array" aca="1" ref="E191" ca="1">SUMPRODUCT(SUMIF(INDIRECT("'"&amp;Assemblies[Assy]&amp;"'!"&amp;"C:C"),$A191,(INDIRECT("'"&amp;Assemblies[Assy]&amp;"'!"&amp;"O:O"))))</f>
        <v>6</v>
      </c>
      <c r="F191">
        <f ca="1">ROUNDUP(Purchased[[#This Row],[BOM QTY]]/Purchased[[#This Row],[PK QTY]], 0)</f>
        <v>6</v>
      </c>
      <c r="G191">
        <v>6</v>
      </c>
      <c r="H191" t="str">
        <f ca="1">IF(F191&lt;=G191," ","YES")</f>
        <v xml:space="preserve"> </v>
      </c>
      <c r="I191">
        <v>6</v>
      </c>
      <c r="J191">
        <v>6</v>
      </c>
      <c r="K191" t="s">
        <v>3164</v>
      </c>
      <c r="L191" s="187" t="s">
        <v>3164</v>
      </c>
      <c r="M191" t="s">
        <v>3165</v>
      </c>
      <c r="N191" s="40">
        <v>45502</v>
      </c>
      <c r="O191" s="40">
        <v>45503</v>
      </c>
      <c r="P191" s="40">
        <v>45520</v>
      </c>
      <c r="Q191" s="40">
        <v>45520</v>
      </c>
      <c r="R191">
        <v>55637</v>
      </c>
      <c r="S191" s="40" t="str" cm="1">
        <f t="array" aca="1" ref="S191" ca="1">TRIM(SUBSTITUTE(_xlfn.ARRAYTOTEXT(IFERROR(CONCATENATE(SUMIF(INDIRECT("'"&amp;Assemblies[Assy]&amp;"'!"&amp;"C$5:C1000"), $A191, INDIRECT("'"&amp;Assemblies[Assy]&amp;"'!"&amp;"O$5:O1000")), "x",Assemblies[Assy],".",IF(SUMIF(INDIRECT("'"&amp;Assemblies[Assy]&amp;"'!"&amp;"C$5:C1000"), $A191, INDIRECT("'"&amp;Assemblies[Assy]&amp;"'!"&amp;"A$5:A1000"))=0,NA(),SUMIF(INDIRECT("'"&amp;Assemblies[Assy]&amp;"'!"&amp;"C$5:C1000"), $A191, INDIRECT("'"&amp;Assemblies[Assy]&amp;"'!"&amp;"A$5:A1000")))),"")), " ,", ""))</f>
        <v>, 2x5.3.330, 4x6.1.336,</v>
      </c>
    </row>
    <row r="192" spans="1:19" x14ac:dyDescent="0.25">
      <c r="A192" s="160" t="s">
        <v>438</v>
      </c>
      <c r="B192" s="160" t="s">
        <v>3183</v>
      </c>
      <c r="C192" s="180">
        <v>50.84</v>
      </c>
      <c r="D192">
        <v>1</v>
      </c>
      <c r="E192" cm="1">
        <f t="array" aca="1" ref="E192" ca="1">SUMPRODUCT(SUMIF(INDIRECT("'"&amp;Assemblies[Assy]&amp;"'!"&amp;"C:C"),$A192,(INDIRECT("'"&amp;Assemblies[Assy]&amp;"'!"&amp;"O:O"))))</f>
        <v>1</v>
      </c>
      <c r="F192">
        <f ca="1">ROUNDUP(Purchased[[#This Row],[BOM QTY]]/Purchased[[#This Row],[PK QTY]], 0)</f>
        <v>1</v>
      </c>
      <c r="G192">
        <v>1</v>
      </c>
      <c r="H192" t="str">
        <f ca="1">IF(F192&lt;=G192," ","YES")</f>
        <v xml:space="preserve"> </v>
      </c>
      <c r="I192">
        <v>1</v>
      </c>
      <c r="J192">
        <v>1</v>
      </c>
      <c r="K192" t="s">
        <v>3181</v>
      </c>
      <c r="L192" t="s">
        <v>3164</v>
      </c>
      <c r="M192" t="s">
        <v>3184</v>
      </c>
      <c r="N192" s="40">
        <v>45481</v>
      </c>
      <c r="O192" s="40">
        <v>45481</v>
      </c>
      <c r="P192" s="40">
        <v>45495</v>
      </c>
      <c r="Q192" s="40">
        <v>45495</v>
      </c>
      <c r="R192">
        <v>55587</v>
      </c>
      <c r="S192" s="40" t="str" cm="1">
        <f t="array" aca="1" ref="S192" ca="1">TRIM(SUBSTITUTE(_xlfn.ARRAYTOTEXT(IFERROR(CONCATENATE(SUMIF(INDIRECT("'"&amp;Assemblies[Assy]&amp;"'!"&amp;"C$5:C1000"), $A192, INDIRECT("'"&amp;Assemblies[Assy]&amp;"'!"&amp;"O$5:O1000")), "x",Assemblies[Assy],".",IF(SUMIF(INDIRECT("'"&amp;Assemblies[Assy]&amp;"'!"&amp;"C$5:C1000"), $A192, INDIRECT("'"&amp;Assemblies[Assy]&amp;"'!"&amp;"A$5:A1000"))=0,NA(),SUMIF(INDIRECT("'"&amp;Assemblies[Assy]&amp;"'!"&amp;"C$5:C1000"), $A192, INDIRECT("'"&amp;Assemblies[Assy]&amp;"'!"&amp;"A$5:A1000")))),"")), " ,", ""))</f>
        <v>, 1x2.3.7.302,</v>
      </c>
    </row>
    <row r="193" spans="1:19" x14ac:dyDescent="0.25">
      <c r="A193" s="160" t="s">
        <v>738</v>
      </c>
      <c r="B193" s="160" t="s">
        <v>3180</v>
      </c>
      <c r="C193" s="180">
        <v>13.15</v>
      </c>
      <c r="D193">
        <v>1</v>
      </c>
      <c r="E193" cm="1">
        <f t="array" aca="1" ref="E193" ca="1">SUMPRODUCT(SUMIF(INDIRECT("'"&amp;Assemblies[Assy]&amp;"'!"&amp;"C:C"),$A193,(INDIRECT("'"&amp;Assemblies[Assy]&amp;"'!"&amp;"O:O"))))</f>
        <v>28</v>
      </c>
      <c r="F193">
        <f ca="1">ROUNDUP(Purchased[[#This Row],[BOM QTY]]/Purchased[[#This Row],[PK QTY]], 0)</f>
        <v>28</v>
      </c>
      <c r="G193">
        <v>28</v>
      </c>
      <c r="H193" t="str">
        <f ca="1">IF(F193&lt;=G193," ","YES")</f>
        <v xml:space="preserve"> </v>
      </c>
      <c r="I193">
        <v>28</v>
      </c>
      <c r="J193">
        <v>28</v>
      </c>
      <c r="K193" t="s">
        <v>3181</v>
      </c>
      <c r="L193" t="s">
        <v>3164</v>
      </c>
      <c r="M193" t="s">
        <v>3182</v>
      </c>
      <c r="N193" s="40">
        <v>45481</v>
      </c>
      <c r="O193" s="40">
        <v>45481</v>
      </c>
      <c r="P193" s="40">
        <v>45495</v>
      </c>
      <c r="Q193" s="40">
        <v>45495</v>
      </c>
      <c r="R193">
        <v>55587</v>
      </c>
      <c r="S193" s="40" t="str" cm="1">
        <f t="array" aca="1" ref="S193" ca="1">TRIM(SUBSTITUTE(_xlfn.ARRAYTOTEXT(IFERROR(CONCATENATE(SUMIF(INDIRECT("'"&amp;Assemblies[Assy]&amp;"'!"&amp;"C$5:C1000"), $A193, INDIRECT("'"&amp;Assemblies[Assy]&amp;"'!"&amp;"O$5:O1000")), "x",Assemblies[Assy],".",IF(SUMIF(INDIRECT("'"&amp;Assemblies[Assy]&amp;"'!"&amp;"C$5:C1000"), $A193, INDIRECT("'"&amp;Assemblies[Assy]&amp;"'!"&amp;"A$5:A1000"))=0,NA(),SUMIF(INDIRECT("'"&amp;Assemblies[Assy]&amp;"'!"&amp;"C$5:C1000"), $A193, INDIRECT("'"&amp;Assemblies[Assy]&amp;"'!"&amp;"A$5:A1000")))),"")), " ,", ""))</f>
        <v>, 8x5.3.333, 8x6.1.334, 12x7.1.310,</v>
      </c>
    </row>
    <row r="194" spans="1:19" x14ac:dyDescent="0.25">
      <c r="A194" s="160" t="s">
        <v>1250</v>
      </c>
      <c r="B194" s="160" t="s">
        <v>3185</v>
      </c>
      <c r="C194" s="180">
        <v>48.58</v>
      </c>
      <c r="D194">
        <v>1</v>
      </c>
      <c r="E194" cm="1">
        <f t="array" aca="1" ref="E194" ca="1">SUMPRODUCT(SUMIF(INDIRECT("'"&amp;Assemblies[Assy]&amp;"'!"&amp;"C:C"),$A194,(INDIRECT("'"&amp;Assemblies[Assy]&amp;"'!"&amp;"O:O"))))</f>
        <v>1</v>
      </c>
      <c r="F194">
        <f ca="1">ROUNDUP(Purchased[[#This Row],[BOM QTY]]/Purchased[[#This Row],[PK QTY]], 0)</f>
        <v>1</v>
      </c>
      <c r="G194">
        <v>1</v>
      </c>
      <c r="H194" t="str">
        <f ca="1">IF(F194&lt;=G194," ","YES")</f>
        <v xml:space="preserve"> </v>
      </c>
      <c r="I194">
        <v>1</v>
      </c>
      <c r="J194">
        <v>1</v>
      </c>
      <c r="K194" t="s">
        <v>3186</v>
      </c>
      <c r="L194" t="s">
        <v>3164</v>
      </c>
      <c r="M194" t="s">
        <v>3187</v>
      </c>
      <c r="N194" s="40">
        <v>45460</v>
      </c>
      <c r="O194" s="40">
        <v>45462</v>
      </c>
      <c r="P194" s="40">
        <v>45495</v>
      </c>
      <c r="Q194" s="40">
        <v>45495</v>
      </c>
      <c r="R194">
        <v>55560</v>
      </c>
      <c r="S194" s="40" t="str" cm="1">
        <f t="array" aca="1" ref="S194" ca="1">TRIM(SUBSTITUTE(_xlfn.ARRAYTOTEXT(IFERROR(CONCATENATE(SUMIF(INDIRECT("'"&amp;Assemblies[Assy]&amp;"'!"&amp;"C$5:C1000"), $A194, INDIRECT("'"&amp;Assemblies[Assy]&amp;"'!"&amp;"O$5:O1000")), "x",Assemblies[Assy],".",IF(SUMIF(INDIRECT("'"&amp;Assemblies[Assy]&amp;"'!"&amp;"C$5:C1000"), $A194, INDIRECT("'"&amp;Assemblies[Assy]&amp;"'!"&amp;"A$5:A1000"))=0,NA(),SUMIF(INDIRECT("'"&amp;Assemblies[Assy]&amp;"'!"&amp;"C$5:C1000"), $A194, INDIRECT("'"&amp;Assemblies[Assy]&amp;"'!"&amp;"A$5:A1000")))),"")), " ,", ""))</f>
        <v>, 1x8.3.305,</v>
      </c>
    </row>
    <row r="195" spans="1:19" x14ac:dyDescent="0.25">
      <c r="A195" s="160" t="s">
        <v>1108</v>
      </c>
      <c r="B195" s="160" t="s">
        <v>3190</v>
      </c>
      <c r="C195" s="180">
        <v>6.43</v>
      </c>
      <c r="D195">
        <v>1</v>
      </c>
      <c r="E195" cm="1">
        <f t="array" aca="1" ref="E195" ca="1">SUMPRODUCT(SUMIF(INDIRECT("'"&amp;Assemblies[Assy]&amp;"'!"&amp;"C:C"),$A195,(INDIRECT("'"&amp;Assemblies[Assy]&amp;"'!"&amp;"O:O"))))</f>
        <v>9</v>
      </c>
      <c r="F195">
        <f ca="1">ROUNDUP(Purchased[[#This Row],[BOM QTY]]/Purchased[[#This Row],[PK QTY]], 0)</f>
        <v>9</v>
      </c>
      <c r="G195">
        <v>9</v>
      </c>
      <c r="H195" t="str">
        <f ca="1">IF(F195&lt;=G195," ","YES")</f>
        <v xml:space="preserve"> </v>
      </c>
      <c r="I195">
        <v>9</v>
      </c>
      <c r="J195">
        <v>9</v>
      </c>
      <c r="K195" t="s">
        <v>3186</v>
      </c>
      <c r="L195" t="s">
        <v>3164</v>
      </c>
      <c r="M195" t="s">
        <v>3191</v>
      </c>
      <c r="N195" s="40">
        <v>45460</v>
      </c>
      <c r="O195" s="40">
        <v>45462</v>
      </c>
      <c r="P195" s="40">
        <v>45495</v>
      </c>
      <c r="Q195" s="40">
        <v>45495</v>
      </c>
      <c r="R195">
        <v>55560</v>
      </c>
      <c r="S195" s="40" t="str" cm="1">
        <f t="array" aca="1" ref="S195" ca="1">TRIM(SUBSTITUTE(_xlfn.ARRAYTOTEXT(IFERROR(CONCATENATE(SUMIF(INDIRECT("'"&amp;Assemblies[Assy]&amp;"'!"&amp;"C$5:C1000"), $A195, INDIRECT("'"&amp;Assemblies[Assy]&amp;"'!"&amp;"O$5:O1000")), "x",Assemblies[Assy],".",IF(SUMIF(INDIRECT("'"&amp;Assemblies[Assy]&amp;"'!"&amp;"C$5:C1000"), $A195, INDIRECT("'"&amp;Assemblies[Assy]&amp;"'!"&amp;"A$5:A1000"))=0,NA(),SUMIF(INDIRECT("'"&amp;Assemblies[Assy]&amp;"'!"&amp;"C$5:C1000"), $A195, INDIRECT("'"&amp;Assemblies[Assy]&amp;"'!"&amp;"A$5:A1000")))),"")), " ,", ""))</f>
        <v>, 9x7.1.312,</v>
      </c>
    </row>
    <row r="196" spans="1:19" x14ac:dyDescent="0.25">
      <c r="A196" s="160" t="s">
        <v>1103</v>
      </c>
      <c r="B196" s="160" t="s">
        <v>3188</v>
      </c>
      <c r="C196" s="180">
        <v>11.81</v>
      </c>
      <c r="D196">
        <v>1</v>
      </c>
      <c r="E196" cm="1">
        <f t="array" aca="1" ref="E196" ca="1">SUMPRODUCT(SUMIF(INDIRECT("'"&amp;Assemblies[Assy]&amp;"'!"&amp;"C:C"),$A196,(INDIRECT("'"&amp;Assemblies[Assy]&amp;"'!"&amp;"O:O"))))</f>
        <v>12</v>
      </c>
      <c r="F196">
        <f ca="1">ROUNDUP(Purchased[[#This Row],[BOM QTY]]/Purchased[[#This Row],[PK QTY]], 0)</f>
        <v>12</v>
      </c>
      <c r="G196">
        <v>12</v>
      </c>
      <c r="H196" t="str">
        <f ca="1">IF(F196&lt;=G196," ","YES")</f>
        <v xml:space="preserve"> </v>
      </c>
      <c r="I196">
        <v>12</v>
      </c>
      <c r="J196">
        <v>12</v>
      </c>
      <c r="K196" t="s">
        <v>3186</v>
      </c>
      <c r="L196" t="s">
        <v>3164</v>
      </c>
      <c r="M196" t="s">
        <v>3189</v>
      </c>
      <c r="N196" s="40">
        <v>45460</v>
      </c>
      <c r="O196" s="40">
        <v>45462</v>
      </c>
      <c r="P196" s="40">
        <v>45495</v>
      </c>
      <c r="Q196" s="40">
        <v>45495</v>
      </c>
      <c r="R196">
        <v>55560</v>
      </c>
      <c r="S196" s="40" t="str" cm="1">
        <f t="array" aca="1" ref="S196" ca="1">TRIM(SUBSTITUTE(_xlfn.ARRAYTOTEXT(IFERROR(CONCATENATE(SUMIF(INDIRECT("'"&amp;Assemblies[Assy]&amp;"'!"&amp;"C$5:C1000"), $A196, INDIRECT("'"&amp;Assemblies[Assy]&amp;"'!"&amp;"O$5:O1000")), "x",Assemblies[Assy],".",IF(SUMIF(INDIRECT("'"&amp;Assemblies[Assy]&amp;"'!"&amp;"C$5:C1000"), $A196, INDIRECT("'"&amp;Assemblies[Assy]&amp;"'!"&amp;"A$5:A1000"))=0,NA(),SUMIF(INDIRECT("'"&amp;Assemblies[Assy]&amp;"'!"&amp;"C$5:C1000"), $A196, INDIRECT("'"&amp;Assemblies[Assy]&amp;"'!"&amp;"A$5:A1000")))),"")), " ,", ""))</f>
        <v>, 12x7.1.306,</v>
      </c>
    </row>
    <row r="197" spans="1:19" x14ac:dyDescent="0.25">
      <c r="A197" s="160" t="s">
        <v>1192</v>
      </c>
      <c r="B197" s="160" t="s">
        <v>3192</v>
      </c>
      <c r="C197" s="180">
        <v>9.14</v>
      </c>
      <c r="D197">
        <v>1</v>
      </c>
      <c r="E197" cm="1">
        <f t="array" aca="1" ref="E197" ca="1">SUMPRODUCT(SUMIF(INDIRECT("'"&amp;Assemblies[Assy]&amp;"'!"&amp;"C:C"),$A197,(INDIRECT("'"&amp;Assemblies[Assy]&amp;"'!"&amp;"O:O"))))</f>
        <v>16</v>
      </c>
      <c r="F197">
        <f ca="1">ROUNDUP(Purchased[[#This Row],[BOM QTY]]/Purchased[[#This Row],[PK QTY]], 0)</f>
        <v>16</v>
      </c>
      <c r="G197">
        <v>16</v>
      </c>
      <c r="H197" t="str">
        <f ca="1">IF(F197&lt;=G197," ","YES")</f>
        <v xml:space="preserve"> </v>
      </c>
      <c r="I197">
        <v>16</v>
      </c>
      <c r="J197">
        <v>16</v>
      </c>
      <c r="K197" t="s">
        <v>3186</v>
      </c>
      <c r="L197" t="s">
        <v>3164</v>
      </c>
      <c r="M197" t="s">
        <v>3193</v>
      </c>
      <c r="N197" s="40">
        <v>45460</v>
      </c>
      <c r="O197" s="40">
        <v>45462</v>
      </c>
      <c r="P197" s="40">
        <v>45495</v>
      </c>
      <c r="Q197" s="40">
        <v>45495</v>
      </c>
      <c r="R197">
        <v>55560</v>
      </c>
      <c r="S197" s="40" t="str" cm="1">
        <f t="array" aca="1" ref="S197" ca="1">TRIM(SUBSTITUTE(_xlfn.ARRAYTOTEXT(IFERROR(CONCATENATE(SUMIF(INDIRECT("'"&amp;Assemblies[Assy]&amp;"'!"&amp;"C$5:C1000"), $A197, INDIRECT("'"&amp;Assemblies[Assy]&amp;"'!"&amp;"O$5:O1000")), "x",Assemblies[Assy],".",IF(SUMIF(INDIRECT("'"&amp;Assemblies[Assy]&amp;"'!"&amp;"C$5:C1000"), $A197, INDIRECT("'"&amp;Assemblies[Assy]&amp;"'!"&amp;"A$5:A1000"))=0,NA(),SUMIF(INDIRECT("'"&amp;Assemblies[Assy]&amp;"'!"&amp;"C$5:C1000"), $A197, INDIRECT("'"&amp;Assemblies[Assy]&amp;"'!"&amp;"A$5:A1000")))),"")), " ,", ""))</f>
        <v>, 8x7.2.6.301, 4x7.6.2.301, 4x8.1.5.301,</v>
      </c>
    </row>
    <row r="198" spans="1:19" x14ac:dyDescent="0.25">
      <c r="A198" s="161">
        <v>18151838</v>
      </c>
      <c r="B198" s="160" t="s">
        <v>3194</v>
      </c>
      <c r="C198" s="180">
        <v>9.19</v>
      </c>
      <c r="D198">
        <v>1</v>
      </c>
      <c r="E198" cm="1">
        <f t="array" aca="1" ref="E198" ca="1">SUMPRODUCT(SUMIF(INDIRECT("'"&amp;Assemblies[Assy]&amp;"'!"&amp;"C:C"),$A198,(INDIRECT("'"&amp;Assemblies[Assy]&amp;"'!"&amp;"O:O"))))</f>
        <v>6</v>
      </c>
      <c r="F198">
        <f ca="1">ROUNDUP(Purchased[[#This Row],[BOM QTY]]/Purchased[[#This Row],[PK QTY]], 0)</f>
        <v>6</v>
      </c>
      <c r="G198">
        <v>6</v>
      </c>
      <c r="H198" t="str">
        <f ca="1">IF(F198&lt;=G198," ","YES")</f>
        <v xml:space="preserve"> </v>
      </c>
      <c r="I198">
        <v>6</v>
      </c>
      <c r="J198">
        <v>6</v>
      </c>
      <c r="K198" t="s">
        <v>3195</v>
      </c>
      <c r="L198" t="s">
        <v>3164</v>
      </c>
      <c r="N198" s="40">
        <v>45456</v>
      </c>
      <c r="O198" s="40">
        <v>45456</v>
      </c>
      <c r="P198" s="40">
        <v>45468</v>
      </c>
      <c r="Q198" s="40">
        <v>45468</v>
      </c>
      <c r="R198">
        <v>55553</v>
      </c>
      <c r="S198" s="40" t="str" cm="1">
        <f t="array" aca="1" ref="S198" ca="1">TRIM(SUBSTITUTE(_xlfn.ARRAYTOTEXT(IFERROR(CONCATENATE(SUMIF(INDIRECT("'"&amp;Assemblies[Assy]&amp;"'!"&amp;"C$5:C1000"), $A198, INDIRECT("'"&amp;Assemblies[Assy]&amp;"'!"&amp;"O$5:O1000")), "x",Assemblies[Assy],".",IF(SUMIF(INDIRECT("'"&amp;Assemblies[Assy]&amp;"'!"&amp;"C$5:C1000"), $A198, INDIRECT("'"&amp;Assemblies[Assy]&amp;"'!"&amp;"A$5:A1000"))=0,NA(),SUMIF(INDIRECT("'"&amp;Assemblies[Assy]&amp;"'!"&amp;"C$5:C1000"), $A198, INDIRECT("'"&amp;Assemblies[Assy]&amp;"'!"&amp;"A$5:A1000")))),"")), " ,", ""))</f>
        <v>, 6x2.3.301,</v>
      </c>
    </row>
    <row r="199" spans="1:19" x14ac:dyDescent="0.25">
      <c r="A199" s="275">
        <v>21488716</v>
      </c>
      <c r="B199" s="185" t="s">
        <v>3196</v>
      </c>
      <c r="C199" s="180">
        <v>21.23</v>
      </c>
      <c r="D199">
        <v>1</v>
      </c>
      <c r="E199" cm="1">
        <f t="array" aca="1" ref="E199" ca="1">SUMPRODUCT(SUMIF(INDIRECT("'"&amp;Assemblies[Assy]&amp;"'!"&amp;"C:C"),$A199,(INDIRECT("'"&amp;Assemblies[Assy]&amp;"'!"&amp;"O:O"))))</f>
        <v>6</v>
      </c>
      <c r="F199">
        <f ca="1">ROUNDUP(Purchased[[#This Row],[BOM QTY]]/Purchased[[#This Row],[PK QTY]], 0)</f>
        <v>6</v>
      </c>
      <c r="G199">
        <v>6</v>
      </c>
      <c r="H199" t="str">
        <f ca="1">IF(F199&lt;=G199," ","YES")</f>
        <v xml:space="preserve"> </v>
      </c>
      <c r="I199">
        <v>6</v>
      </c>
      <c r="J199">
        <v>6</v>
      </c>
      <c r="K199" t="s">
        <v>3195</v>
      </c>
      <c r="L199" t="s">
        <v>3164</v>
      </c>
      <c r="N199" s="40">
        <v>45456</v>
      </c>
      <c r="O199" s="40">
        <v>45456</v>
      </c>
      <c r="P199" s="40">
        <v>45468</v>
      </c>
      <c r="Q199" s="40">
        <v>45468</v>
      </c>
      <c r="R199">
        <v>55553</v>
      </c>
      <c r="S199" s="40" t="str" cm="1">
        <f t="array" aca="1" ref="S199" ca="1">TRIM(SUBSTITUTE(_xlfn.ARRAYTOTEXT(IFERROR(CONCATENATE(SUMIF(INDIRECT("'"&amp;Assemblies[Assy]&amp;"'!"&amp;"C$5:C1000"), $A199, INDIRECT("'"&amp;Assemblies[Assy]&amp;"'!"&amp;"O$5:O1000")), "x",Assemblies[Assy],".",IF(SUMIF(INDIRECT("'"&amp;Assemblies[Assy]&amp;"'!"&amp;"C$5:C1000"), $A199, INDIRECT("'"&amp;Assemblies[Assy]&amp;"'!"&amp;"A$5:A1000"))=0,NA(),SUMIF(INDIRECT("'"&amp;Assemblies[Assy]&amp;"'!"&amp;"C$5:C1000"), $A199, INDIRECT("'"&amp;Assemblies[Assy]&amp;"'!"&amp;"A$5:A1000")))),"")), " ,", ""))</f>
        <v>, 6x2.3.302,</v>
      </c>
    </row>
    <row r="200" spans="1:19" x14ac:dyDescent="0.25">
      <c r="A200" s="274" t="s">
        <v>296</v>
      </c>
      <c r="B200" s="185" t="s">
        <v>3197</v>
      </c>
      <c r="C200" s="180">
        <v>21.23</v>
      </c>
      <c r="D200">
        <v>1</v>
      </c>
      <c r="E200" cm="1">
        <f t="array" aca="1" ref="E200" ca="1">SUMPRODUCT(SUMIF(INDIRECT("'"&amp;Assemblies[Assy]&amp;"'!"&amp;"C:C"),$A200,(INDIRECT("'"&amp;Assemblies[Assy]&amp;"'!"&amp;"O:O"))))</f>
        <v>8</v>
      </c>
      <c r="F200">
        <f ca="1">ROUNDUP(Purchased[[#This Row],[BOM QTY]]/Purchased[[#This Row],[PK QTY]], 0)</f>
        <v>8</v>
      </c>
      <c r="G200">
        <v>8</v>
      </c>
      <c r="H200" t="str">
        <f ca="1">IF(F200&lt;=G200," ","YES")</f>
        <v xml:space="preserve"> </v>
      </c>
      <c r="I200">
        <v>8</v>
      </c>
      <c r="J200">
        <v>8</v>
      </c>
      <c r="K200" t="s">
        <v>3195</v>
      </c>
      <c r="L200" t="s">
        <v>3164</v>
      </c>
      <c r="M200" t="s">
        <v>3198</v>
      </c>
      <c r="N200" s="40">
        <v>45456</v>
      </c>
      <c r="O200" s="40">
        <v>45456</v>
      </c>
      <c r="P200" s="40">
        <v>45468</v>
      </c>
      <c r="Q200" s="40">
        <v>45468</v>
      </c>
      <c r="R200">
        <v>55553</v>
      </c>
      <c r="S200" s="40" t="str" cm="1">
        <f t="array" aca="1" ref="S200" ca="1">TRIM(SUBSTITUTE(_xlfn.ARRAYTOTEXT(IFERROR(CONCATENATE(SUMIF(INDIRECT("'"&amp;Assemblies[Assy]&amp;"'!"&amp;"C$5:C1000"), $A200, INDIRECT("'"&amp;Assemblies[Assy]&amp;"'!"&amp;"O$5:O1000")), "x",Assemblies[Assy],".",IF(SUMIF(INDIRECT("'"&amp;Assemblies[Assy]&amp;"'!"&amp;"C$5:C1000"), $A200, INDIRECT("'"&amp;Assemblies[Assy]&amp;"'!"&amp;"A$5:A1000"))=0,NA(),SUMIF(INDIRECT("'"&amp;Assemblies[Assy]&amp;"'!"&amp;"C$5:C1000"), $A200, INDIRECT("'"&amp;Assemblies[Assy]&amp;"'!"&amp;"A$5:A1000")))),"")), " ,", ""))</f>
        <v>, 8x1.3.304,</v>
      </c>
    </row>
    <row r="201" spans="1:19" x14ac:dyDescent="0.25">
      <c r="A201" s="160" t="s">
        <v>439</v>
      </c>
      <c r="B201" s="160" t="s">
        <v>3204</v>
      </c>
      <c r="C201" s="180">
        <v>18.77</v>
      </c>
      <c r="D201">
        <v>1</v>
      </c>
      <c r="E201" cm="1">
        <f t="array" aca="1" ref="E201" ca="1">SUMPRODUCT(SUMIF(INDIRECT("'"&amp;Assemblies[Assy]&amp;"'!"&amp;"C:C"),$A201,(INDIRECT("'"&amp;Assemblies[Assy]&amp;"'!"&amp;"O:O"))))</f>
        <v>1</v>
      </c>
      <c r="F201">
        <f ca="1">ROUNDUP(Purchased[[#This Row],[BOM QTY]]/Purchased[[#This Row],[PK QTY]], 0)</f>
        <v>1</v>
      </c>
      <c r="G201">
        <v>1</v>
      </c>
      <c r="H201" t="str">
        <f ca="1">IF(F201&lt;=G201," ","YES")</f>
        <v xml:space="preserve"> </v>
      </c>
      <c r="I201">
        <v>1</v>
      </c>
      <c r="J201">
        <v>1</v>
      </c>
      <c r="K201" t="s">
        <v>3200</v>
      </c>
      <c r="L201" t="s">
        <v>3164</v>
      </c>
      <c r="M201" t="s">
        <v>3205</v>
      </c>
      <c r="N201" s="40">
        <v>45456</v>
      </c>
      <c r="O201" s="40">
        <v>45456</v>
      </c>
      <c r="P201" s="40">
        <v>45468</v>
      </c>
      <c r="Q201" s="40">
        <v>45468</v>
      </c>
      <c r="R201">
        <v>55553</v>
      </c>
      <c r="S201" s="40" t="str" cm="1">
        <f t="array" aca="1" ref="S201" ca="1">TRIM(SUBSTITUTE(_xlfn.ARRAYTOTEXT(IFERROR(CONCATENATE(SUMIF(INDIRECT("'"&amp;Assemblies[Assy]&amp;"'!"&amp;"C$5:C1000"), $A201, INDIRECT("'"&amp;Assemblies[Assy]&amp;"'!"&amp;"O$5:O1000")), "x",Assemblies[Assy],".",IF(SUMIF(INDIRECT("'"&amp;Assemblies[Assy]&amp;"'!"&amp;"C$5:C1000"), $A201, INDIRECT("'"&amp;Assemblies[Assy]&amp;"'!"&amp;"A$5:A1000"))=0,NA(),SUMIF(INDIRECT("'"&amp;Assemblies[Assy]&amp;"'!"&amp;"C$5:C1000"), $A201, INDIRECT("'"&amp;Assemblies[Assy]&amp;"'!"&amp;"A$5:A1000")))),"")), " ,", ""))</f>
        <v>, 1x2.3.7.303,</v>
      </c>
    </row>
    <row r="202" spans="1:19" x14ac:dyDescent="0.25">
      <c r="A202" s="162" t="s">
        <v>318</v>
      </c>
      <c r="B202" s="160" t="s">
        <v>3206</v>
      </c>
      <c r="C202" s="180">
        <v>72.92</v>
      </c>
      <c r="D202">
        <v>1</v>
      </c>
      <c r="E202" cm="1">
        <f t="array" aca="1" ref="E202" ca="1">SUMPRODUCT(SUMIF(INDIRECT("'"&amp;Assemblies[Assy]&amp;"'!"&amp;"C:C"),$A202,(INDIRECT("'"&amp;Assemblies[Assy]&amp;"'!"&amp;"O:O"))))</f>
        <v>3</v>
      </c>
      <c r="F202">
        <f ca="1">ROUNDUP(Purchased[[#This Row],[BOM QTY]]/Purchased[[#This Row],[PK QTY]], 0)</f>
        <v>3</v>
      </c>
      <c r="G202">
        <v>3</v>
      </c>
      <c r="H202" t="str">
        <f ca="1">IF(F202&lt;=G202," ","YES")</f>
        <v xml:space="preserve"> </v>
      </c>
      <c r="I202">
        <v>3</v>
      </c>
      <c r="J202">
        <v>3</v>
      </c>
      <c r="K202" t="s">
        <v>3200</v>
      </c>
      <c r="L202" t="s">
        <v>3164</v>
      </c>
      <c r="M202" t="s">
        <v>3207</v>
      </c>
      <c r="N202" s="40">
        <v>45456</v>
      </c>
      <c r="O202" s="40">
        <v>45456</v>
      </c>
      <c r="P202" s="40">
        <v>45468</v>
      </c>
      <c r="Q202" s="40">
        <v>45468</v>
      </c>
      <c r="R202">
        <v>55553</v>
      </c>
      <c r="S202" s="40" t="str" cm="1">
        <f t="array" aca="1" ref="S202" ca="1">TRIM(SUBSTITUTE(_xlfn.ARRAYTOTEXT(IFERROR(CONCATENATE(SUMIF(INDIRECT("'"&amp;Assemblies[Assy]&amp;"'!"&amp;"C$5:C1000"), $A202, INDIRECT("'"&amp;Assemblies[Assy]&amp;"'!"&amp;"O$5:O1000")), "x",Assemblies[Assy],".",IF(SUMIF(INDIRECT("'"&amp;Assemblies[Assy]&amp;"'!"&amp;"C$5:C1000"), $A202, INDIRECT("'"&amp;Assemblies[Assy]&amp;"'!"&amp;"A$5:A1000"))=0,NA(),SUMIF(INDIRECT("'"&amp;Assemblies[Assy]&amp;"'!"&amp;"C$5:C1000"), $A202, INDIRECT("'"&amp;Assemblies[Assy]&amp;"'!"&amp;"A$5:A1000")))),"")), " ,", ""))</f>
        <v>, 3x1.3.1.304,</v>
      </c>
    </row>
    <row r="203" spans="1:19" x14ac:dyDescent="0.25">
      <c r="A203" s="162" t="s">
        <v>321</v>
      </c>
      <c r="B203" s="160" t="s">
        <v>3202</v>
      </c>
      <c r="C203" s="180">
        <v>19.52</v>
      </c>
      <c r="D203">
        <v>1</v>
      </c>
      <c r="E203" cm="1">
        <f t="array" aca="1" ref="E203" ca="1">SUMPRODUCT(SUMIF(INDIRECT("'"&amp;Assemblies[Assy]&amp;"'!"&amp;"C:C"),$A203,(INDIRECT("'"&amp;Assemblies[Assy]&amp;"'!"&amp;"O:O"))))</f>
        <v>5</v>
      </c>
      <c r="F203">
        <f ca="1">ROUNDUP(Purchased[[#This Row],[BOM QTY]]/Purchased[[#This Row],[PK QTY]], 0)</f>
        <v>5</v>
      </c>
      <c r="G203">
        <v>5</v>
      </c>
      <c r="H203" t="str">
        <f ca="1">IF(F203&lt;=G203," ","YES")</f>
        <v xml:space="preserve"> </v>
      </c>
      <c r="I203">
        <v>5</v>
      </c>
      <c r="J203">
        <v>5</v>
      </c>
      <c r="K203" t="s">
        <v>3200</v>
      </c>
      <c r="L203" t="s">
        <v>3164</v>
      </c>
      <c r="M203" t="s">
        <v>3203</v>
      </c>
      <c r="N203" s="40">
        <v>45456</v>
      </c>
      <c r="O203" s="40">
        <v>45456</v>
      </c>
      <c r="P203" s="40">
        <v>45468</v>
      </c>
      <c r="Q203" s="40">
        <v>45468</v>
      </c>
      <c r="R203">
        <v>55553</v>
      </c>
      <c r="S203" s="40" t="str" cm="1">
        <f t="array" aca="1" ref="S203" ca="1">TRIM(SUBSTITUTE(_xlfn.ARRAYTOTEXT(IFERROR(CONCATENATE(SUMIF(INDIRECT("'"&amp;Assemblies[Assy]&amp;"'!"&amp;"C$5:C1000"), $A203, INDIRECT("'"&amp;Assemblies[Assy]&amp;"'!"&amp;"O$5:O1000")), "x",Assemblies[Assy],".",IF(SUMIF(INDIRECT("'"&amp;Assemblies[Assy]&amp;"'!"&amp;"C$5:C1000"), $A203, INDIRECT("'"&amp;Assemblies[Assy]&amp;"'!"&amp;"A$5:A1000"))=0,NA(),SUMIF(INDIRECT("'"&amp;Assemblies[Assy]&amp;"'!"&amp;"C$5:C1000"), $A203, INDIRECT("'"&amp;Assemblies[Assy]&amp;"'!"&amp;"A$5:A1000")))),"")), " ,", ""))</f>
        <v>, 5x1.3.2.302,</v>
      </c>
    </row>
    <row r="204" spans="1:19" x14ac:dyDescent="0.25">
      <c r="A204" s="162" t="s">
        <v>315</v>
      </c>
      <c r="B204" s="160" t="s">
        <v>3199</v>
      </c>
      <c r="C204" s="180">
        <v>19.52</v>
      </c>
      <c r="D204">
        <v>1</v>
      </c>
      <c r="E204" cm="1">
        <f t="array" aca="1" ref="E204" ca="1">SUMPRODUCT(SUMIF(INDIRECT("'"&amp;Assemblies[Assy]&amp;"'!"&amp;"C:C"),$A204,(INDIRECT("'"&amp;Assemblies[Assy]&amp;"'!"&amp;"O:O"))))</f>
        <v>8</v>
      </c>
      <c r="F204">
        <f ca="1">ROUNDUP(Purchased[[#This Row],[BOM QTY]]/Purchased[[#This Row],[PK QTY]], 0)</f>
        <v>8</v>
      </c>
      <c r="G204">
        <v>8</v>
      </c>
      <c r="H204" t="str">
        <f ca="1">IF(F204&lt;=G204," ","YES")</f>
        <v xml:space="preserve"> </v>
      </c>
      <c r="I204">
        <v>8</v>
      </c>
      <c r="J204">
        <v>8</v>
      </c>
      <c r="K204" t="s">
        <v>3200</v>
      </c>
      <c r="L204" t="s">
        <v>3164</v>
      </c>
      <c r="M204" t="s">
        <v>3201</v>
      </c>
      <c r="N204" s="40">
        <v>45456</v>
      </c>
      <c r="O204" s="40">
        <v>45456</v>
      </c>
      <c r="P204" s="40">
        <v>45468</v>
      </c>
      <c r="Q204" s="40">
        <v>45468</v>
      </c>
      <c r="R204">
        <v>55553</v>
      </c>
      <c r="S204" s="40" t="str" cm="1">
        <f t="array" aca="1" ref="S204" ca="1">TRIM(SUBSTITUTE(_xlfn.ARRAYTOTEXT(IFERROR(CONCATENATE(SUMIF(INDIRECT("'"&amp;Assemblies[Assy]&amp;"'!"&amp;"C$5:C1000"), $A204, INDIRECT("'"&amp;Assemblies[Assy]&amp;"'!"&amp;"O$5:O1000")), "x",Assemblies[Assy],".",IF(SUMIF(INDIRECT("'"&amp;Assemblies[Assy]&amp;"'!"&amp;"C$5:C1000"), $A204, INDIRECT("'"&amp;Assemblies[Assy]&amp;"'!"&amp;"A$5:A1000"))=0,NA(),SUMIF(INDIRECT("'"&amp;Assemblies[Assy]&amp;"'!"&amp;"C$5:C1000"), $A204, INDIRECT("'"&amp;Assemblies[Assy]&amp;"'!"&amp;"A$5:A1000")))),"")), " ,", ""))</f>
        <v>, 8x1.3.1.301,</v>
      </c>
    </row>
    <row r="205" spans="1:19" x14ac:dyDescent="0.25">
      <c r="A205" s="160" t="s">
        <v>1149</v>
      </c>
      <c r="B205" s="160" t="s">
        <v>3211</v>
      </c>
      <c r="C205" s="180">
        <v>38.86</v>
      </c>
      <c r="D205">
        <v>1</v>
      </c>
      <c r="E205" cm="1">
        <f t="array" aca="1" ref="E205" ca="1">SUMPRODUCT(SUMIF(INDIRECT("'"&amp;Assemblies[Assy]&amp;"'!"&amp;"C:C"),$A205,(INDIRECT("'"&amp;Assemblies[Assy]&amp;"'!"&amp;"O:O"))))</f>
        <v>32</v>
      </c>
      <c r="F205">
        <f ca="1">ROUNDUP(Purchased[[#This Row],[BOM QTY]]/Purchased[[#This Row],[PK QTY]], 0)</f>
        <v>32</v>
      </c>
      <c r="G205">
        <v>32</v>
      </c>
      <c r="H205" t="str">
        <f ca="1">IF(F205&lt;=G205," ","YES")</f>
        <v xml:space="preserve"> </v>
      </c>
      <c r="I205">
        <v>32</v>
      </c>
      <c r="J205">
        <v>32</v>
      </c>
      <c r="K205" t="s">
        <v>3212</v>
      </c>
      <c r="L205" t="s">
        <v>3164</v>
      </c>
      <c r="M205" t="s">
        <v>3213</v>
      </c>
      <c r="N205" s="40">
        <v>45456</v>
      </c>
      <c r="O205" s="40">
        <v>45456</v>
      </c>
      <c r="P205" s="40">
        <v>45468</v>
      </c>
      <c r="Q205" s="40">
        <v>45468</v>
      </c>
      <c r="R205">
        <v>55553</v>
      </c>
      <c r="S205" s="40" t="str" cm="1">
        <f t="array" aca="1" ref="S205" ca="1">TRIM(SUBSTITUTE(_xlfn.ARRAYTOTEXT(IFERROR(CONCATENATE(SUMIF(INDIRECT("'"&amp;Assemblies[Assy]&amp;"'!"&amp;"C$5:C1000"), $A205, INDIRECT("'"&amp;Assemblies[Assy]&amp;"'!"&amp;"O$5:O1000")), "x",Assemblies[Assy],".",IF(SUMIF(INDIRECT("'"&amp;Assemblies[Assy]&amp;"'!"&amp;"C$5:C1000"), $A205, INDIRECT("'"&amp;Assemblies[Assy]&amp;"'!"&amp;"A$5:A1000"))=0,NA(),SUMIF(INDIRECT("'"&amp;Assemblies[Assy]&amp;"'!"&amp;"C$5:C1000"), $A205, INDIRECT("'"&amp;Assemblies[Assy]&amp;"'!"&amp;"A$5:A1000")))),"")), " ,", ""))</f>
        <v>, 24x7.2.1.301, 8x8.1.1.301,</v>
      </c>
    </row>
    <row r="206" spans="1:19" x14ac:dyDescent="0.25">
      <c r="A206" s="160" t="s">
        <v>929</v>
      </c>
      <c r="B206" s="160" t="s">
        <v>3216</v>
      </c>
      <c r="C206" s="180">
        <v>85.86</v>
      </c>
      <c r="D206">
        <v>1</v>
      </c>
      <c r="E206" cm="1">
        <f t="array" aca="1" ref="E206" ca="1">SUMPRODUCT(SUMIF(INDIRECT("'"&amp;Assemblies[Assy]&amp;"'!"&amp;"C:C"),$A206,(INDIRECT("'"&amp;Assemblies[Assy]&amp;"'!"&amp;"O:O"))))</f>
        <v>6</v>
      </c>
      <c r="F206">
        <f ca="1">ROUNDUP(Purchased[[#This Row],[BOM QTY]]/Purchased[[#This Row],[PK QTY]], 0)</f>
        <v>6</v>
      </c>
      <c r="G206">
        <v>6</v>
      </c>
      <c r="H206" t="str">
        <f ca="1">IF(F206&lt;=G206," ","YES")</f>
        <v xml:space="preserve"> </v>
      </c>
      <c r="I206">
        <v>6</v>
      </c>
      <c r="J206">
        <v>6</v>
      </c>
      <c r="K206" t="s">
        <v>3217</v>
      </c>
      <c r="L206" t="s">
        <v>3164</v>
      </c>
      <c r="M206" t="s">
        <v>3218</v>
      </c>
      <c r="N206" s="40">
        <v>45460</v>
      </c>
      <c r="O206" s="40">
        <v>45462</v>
      </c>
      <c r="P206" s="40">
        <v>45495</v>
      </c>
      <c r="Q206" s="40">
        <v>45495</v>
      </c>
      <c r="R206">
        <v>55560</v>
      </c>
      <c r="S206" s="40" t="str" cm="1">
        <f t="array" aca="1" ref="S206" ca="1">TRIM(SUBSTITUTE(_xlfn.ARRAYTOTEXT(IFERROR(CONCATENATE(SUMIF(INDIRECT("'"&amp;Assemblies[Assy]&amp;"'!"&amp;"C$5:C1000"), $A206, INDIRECT("'"&amp;Assemblies[Assy]&amp;"'!"&amp;"O$5:O1000")), "x",Assemblies[Assy],".",IF(SUMIF(INDIRECT("'"&amp;Assemblies[Assy]&amp;"'!"&amp;"C$5:C1000"), $A206, INDIRECT("'"&amp;Assemblies[Assy]&amp;"'!"&amp;"A$5:A1000"))=0,NA(),SUMIF(INDIRECT("'"&amp;Assemblies[Assy]&amp;"'!"&amp;"C$5:C1000"), $A206, INDIRECT("'"&amp;Assemblies[Assy]&amp;"'!"&amp;"A$5:A1000")))),"")), " ,", ""))</f>
        <v>, 2x6.2.1.302, 1x6.2.3.306, 2x6.3.1.302, 1x6.3.3.306,</v>
      </c>
    </row>
    <row r="207" spans="1:19" x14ac:dyDescent="0.25">
      <c r="A207" s="160" t="s">
        <v>971</v>
      </c>
      <c r="B207" s="160" t="s">
        <v>3219</v>
      </c>
      <c r="C207" s="180">
        <v>16.559999999999999</v>
      </c>
      <c r="D207">
        <v>1</v>
      </c>
      <c r="E207" cm="1">
        <f t="array" aca="1" ref="E207" ca="1">SUMPRODUCT(SUMIF(INDIRECT("'"&amp;Assemblies[Assy]&amp;"'!"&amp;"C:C"),$A207,(INDIRECT("'"&amp;Assemblies[Assy]&amp;"'!"&amp;"O:O"))))</f>
        <v>4</v>
      </c>
      <c r="F207">
        <f ca="1">ROUNDUP(Purchased[[#This Row],[BOM QTY]]/Purchased[[#This Row],[PK QTY]], 0)</f>
        <v>4</v>
      </c>
      <c r="G207">
        <v>4</v>
      </c>
      <c r="H207" t="str">
        <f ca="1">IF(F207&lt;=G207," ","YES")</f>
        <v xml:space="preserve"> </v>
      </c>
      <c r="I207">
        <v>4</v>
      </c>
      <c r="J207">
        <v>4</v>
      </c>
      <c r="K207" t="s">
        <v>3220</v>
      </c>
      <c r="L207" t="s">
        <v>3164</v>
      </c>
      <c r="M207" t="s">
        <v>3221</v>
      </c>
      <c r="N207" s="40">
        <v>45460</v>
      </c>
      <c r="O207" s="40">
        <v>45462</v>
      </c>
      <c r="P207" s="40">
        <v>45495</v>
      </c>
      <c r="Q207" s="40">
        <v>45495</v>
      </c>
      <c r="R207">
        <v>55560</v>
      </c>
      <c r="S207" s="40" t="str" cm="1">
        <f t="array" aca="1" ref="S207" ca="1">TRIM(SUBSTITUTE(_xlfn.ARRAYTOTEXT(IFERROR(CONCATENATE(SUMIF(INDIRECT("'"&amp;Assemblies[Assy]&amp;"'!"&amp;"C$5:C1000"), $A207, INDIRECT("'"&amp;Assemblies[Assy]&amp;"'!"&amp;"O$5:O1000")), "x",Assemblies[Assy],".",IF(SUMIF(INDIRECT("'"&amp;Assemblies[Assy]&amp;"'!"&amp;"C$5:C1000"), $A207, INDIRECT("'"&amp;Assemblies[Assy]&amp;"'!"&amp;"A$5:A1000"))=0,NA(),SUMIF(INDIRECT("'"&amp;Assemblies[Assy]&amp;"'!"&amp;"C$5:C1000"), $A207, INDIRECT("'"&amp;Assemblies[Assy]&amp;"'!"&amp;"A$5:A1000")))),"")), " ,", ""))</f>
        <v>, 2x6.2.1.4.311, 2x6.3.1.4.311,</v>
      </c>
    </row>
    <row r="208" spans="1:19" x14ac:dyDescent="0.25">
      <c r="A208" s="160" t="s">
        <v>1106</v>
      </c>
      <c r="B208" s="160" t="s">
        <v>3225</v>
      </c>
      <c r="C208" s="180">
        <v>6.55</v>
      </c>
      <c r="D208">
        <v>1</v>
      </c>
      <c r="E208" cm="1">
        <f t="array" aca="1" ref="E208" ca="1">SUMPRODUCT(SUMIF(INDIRECT("'"&amp;Assemblies[Assy]&amp;"'!"&amp;"C:C"),$A208,(INDIRECT("'"&amp;Assemblies[Assy]&amp;"'!"&amp;"O:O"))))</f>
        <v>1</v>
      </c>
      <c r="F208">
        <f ca="1">ROUNDUP(Purchased[[#This Row],[BOM QTY]]/Purchased[[#This Row],[PK QTY]], 0)</f>
        <v>1</v>
      </c>
      <c r="G208">
        <v>1</v>
      </c>
      <c r="H208" t="str">
        <f ca="1">IF(F208&lt;=G208," ","YES")</f>
        <v xml:space="preserve"> </v>
      </c>
      <c r="I208">
        <v>1</v>
      </c>
      <c r="J208">
        <v>1</v>
      </c>
      <c r="K208" t="s">
        <v>3223</v>
      </c>
      <c r="L208" t="s">
        <v>3164</v>
      </c>
      <c r="M208" t="s">
        <v>3226</v>
      </c>
      <c r="N208" s="40">
        <v>45460</v>
      </c>
      <c r="O208" s="40">
        <v>45462</v>
      </c>
      <c r="P208" s="40">
        <v>45495</v>
      </c>
      <c r="Q208" s="40">
        <v>45495</v>
      </c>
      <c r="R208">
        <v>55560</v>
      </c>
      <c r="S208" s="40" t="str" cm="1">
        <f t="array" aca="1" ref="S208" ca="1">TRIM(SUBSTITUTE(_xlfn.ARRAYTOTEXT(IFERROR(CONCATENATE(SUMIF(INDIRECT("'"&amp;Assemblies[Assy]&amp;"'!"&amp;"C$5:C1000"), $A208, INDIRECT("'"&amp;Assemblies[Assy]&amp;"'!"&amp;"O$5:O1000")), "x",Assemblies[Assy],".",IF(SUMIF(INDIRECT("'"&amp;Assemblies[Assy]&amp;"'!"&amp;"C$5:C1000"), $A208, INDIRECT("'"&amp;Assemblies[Assy]&amp;"'!"&amp;"A$5:A1000"))=0,NA(),SUMIF(INDIRECT("'"&amp;Assemblies[Assy]&amp;"'!"&amp;"C$5:C1000"), $A208, INDIRECT("'"&amp;Assemblies[Assy]&amp;"'!"&amp;"A$5:A1000")))),"")), " ,", ""))</f>
        <v>, 1x7.1.309,</v>
      </c>
    </row>
    <row r="209" spans="1:19" x14ac:dyDescent="0.25">
      <c r="A209" s="160" t="s">
        <v>1105</v>
      </c>
      <c r="B209" s="160" t="s">
        <v>3222</v>
      </c>
      <c r="C209" s="180">
        <v>6.28</v>
      </c>
      <c r="D209">
        <v>1</v>
      </c>
      <c r="E209" cm="1">
        <f t="array" aca="1" ref="E209" ca="1">SUMPRODUCT(SUMIF(INDIRECT("'"&amp;Assemblies[Assy]&amp;"'!"&amp;"C:C"),$A209,(INDIRECT("'"&amp;Assemblies[Assy]&amp;"'!"&amp;"O:O"))))</f>
        <v>2</v>
      </c>
      <c r="F209">
        <f ca="1">ROUNDUP(Purchased[[#This Row],[BOM QTY]]/Purchased[[#This Row],[PK QTY]], 0)</f>
        <v>2</v>
      </c>
      <c r="G209">
        <v>2</v>
      </c>
      <c r="H209" t="str">
        <f ca="1">IF(F209&lt;=G209," ","YES")</f>
        <v xml:space="preserve"> </v>
      </c>
      <c r="I209">
        <v>2</v>
      </c>
      <c r="J209">
        <v>2</v>
      </c>
      <c r="K209" t="s">
        <v>3223</v>
      </c>
      <c r="L209" t="s">
        <v>3164</v>
      </c>
      <c r="M209" t="s">
        <v>3224</v>
      </c>
      <c r="N209" s="40">
        <v>45460</v>
      </c>
      <c r="O209" s="40">
        <v>45462</v>
      </c>
      <c r="P209" s="40">
        <v>45495</v>
      </c>
      <c r="Q209" s="40">
        <v>45495</v>
      </c>
      <c r="R209">
        <v>55560</v>
      </c>
      <c r="S209" s="40" t="str" cm="1">
        <f t="array" aca="1" ref="S209" ca="1">TRIM(SUBSTITUTE(_xlfn.ARRAYTOTEXT(IFERROR(CONCATENATE(SUMIF(INDIRECT("'"&amp;Assemblies[Assy]&amp;"'!"&amp;"C$5:C1000"), $A209, INDIRECT("'"&amp;Assemblies[Assy]&amp;"'!"&amp;"O$5:O1000")), "x",Assemblies[Assy],".",IF(SUMIF(INDIRECT("'"&amp;Assemblies[Assy]&amp;"'!"&amp;"C$5:C1000"), $A209, INDIRECT("'"&amp;Assemblies[Assy]&amp;"'!"&amp;"A$5:A1000"))=0,NA(),SUMIF(INDIRECT("'"&amp;Assemblies[Assy]&amp;"'!"&amp;"C$5:C1000"), $A209, INDIRECT("'"&amp;Assemblies[Assy]&amp;"'!"&amp;"A$5:A1000")))),"")), " ,", ""))</f>
        <v>, 2x7.1.308,</v>
      </c>
    </row>
    <row r="210" spans="1:19" x14ac:dyDescent="0.25">
      <c r="A210" s="160" t="s">
        <v>1104</v>
      </c>
      <c r="B210" s="160" t="s">
        <v>3227</v>
      </c>
      <c r="C210" s="180">
        <v>7.58</v>
      </c>
      <c r="D210">
        <v>1</v>
      </c>
      <c r="E210" cm="1">
        <f t="array" aca="1" ref="E210" ca="1">SUMPRODUCT(SUMIF(INDIRECT("'"&amp;Assemblies[Assy]&amp;"'!"&amp;"C:C"),$A210,(INDIRECT("'"&amp;Assemblies[Assy]&amp;"'!"&amp;"O:O"))))</f>
        <v>3</v>
      </c>
      <c r="F210">
        <f ca="1">ROUNDUP(Purchased[[#This Row],[BOM QTY]]/Purchased[[#This Row],[PK QTY]], 0)</f>
        <v>3</v>
      </c>
      <c r="G210">
        <v>3</v>
      </c>
      <c r="H210" t="str">
        <f ca="1">IF(F210&lt;=G210," ","YES")</f>
        <v xml:space="preserve"> </v>
      </c>
      <c r="I210">
        <v>3</v>
      </c>
      <c r="J210">
        <v>3</v>
      </c>
      <c r="K210" t="s">
        <v>3223</v>
      </c>
      <c r="L210" t="s">
        <v>3164</v>
      </c>
      <c r="M210" t="s">
        <v>3228</v>
      </c>
      <c r="N210" s="40">
        <v>45460</v>
      </c>
      <c r="O210" s="40">
        <v>45462</v>
      </c>
      <c r="P210" s="40">
        <v>45495</v>
      </c>
      <c r="Q210" s="40">
        <v>45495</v>
      </c>
      <c r="R210">
        <v>55560</v>
      </c>
      <c r="S210" s="40" t="str" cm="1">
        <f t="array" aca="1" ref="S210" ca="1">TRIM(SUBSTITUTE(_xlfn.ARRAYTOTEXT(IFERROR(CONCATENATE(SUMIF(INDIRECT("'"&amp;Assemblies[Assy]&amp;"'!"&amp;"C$5:C1000"), $A210, INDIRECT("'"&amp;Assemblies[Assy]&amp;"'!"&amp;"O$5:O1000")), "x",Assemblies[Assy],".",IF(SUMIF(INDIRECT("'"&amp;Assemblies[Assy]&amp;"'!"&amp;"C$5:C1000"), $A210, INDIRECT("'"&amp;Assemblies[Assy]&amp;"'!"&amp;"A$5:A1000"))=0,NA(),SUMIF(INDIRECT("'"&amp;Assemblies[Assy]&amp;"'!"&amp;"C$5:C1000"), $A210, INDIRECT("'"&amp;Assemblies[Assy]&amp;"'!"&amp;"A$5:A1000")))),"")), " ,", ""))</f>
        <v>, 3x7.1.307,</v>
      </c>
    </row>
    <row r="211" spans="1:19" x14ac:dyDescent="0.25">
      <c r="A211" t="s">
        <v>1158</v>
      </c>
      <c r="B211" t="s">
        <v>3229</v>
      </c>
      <c r="C211" s="137">
        <v>62.35</v>
      </c>
      <c r="D211">
        <v>1</v>
      </c>
      <c r="E211" cm="1">
        <f t="array" aca="1" ref="E211" ca="1">SUMPRODUCT(SUMIF(INDIRECT("'"&amp;Assemblies[Assy]&amp;"'!"&amp;"C:C"),$A211,(INDIRECT("'"&amp;Assemblies[Assy]&amp;"'!"&amp;"O:O"))))</f>
        <v>16</v>
      </c>
      <c r="F211">
        <f ca="1">ROUNDUP(Purchased[[#This Row],[BOM QTY]]/Purchased[[#This Row],[PK QTY]], 0)</f>
        <v>16</v>
      </c>
      <c r="G211">
        <v>16</v>
      </c>
      <c r="H211" t="str">
        <f ca="1">IF(F211&lt;=G211," ","YES")</f>
        <v xml:space="preserve"> </v>
      </c>
      <c r="I211">
        <v>16</v>
      </c>
      <c r="J211">
        <v>16</v>
      </c>
      <c r="K211" t="s">
        <v>3223</v>
      </c>
      <c r="L211" t="s">
        <v>3164</v>
      </c>
      <c r="M211" t="s">
        <v>3230</v>
      </c>
      <c r="N211" s="40">
        <v>45460</v>
      </c>
      <c r="O211" s="40">
        <v>45462</v>
      </c>
      <c r="P211" s="40">
        <v>45495</v>
      </c>
      <c r="Q211" s="40">
        <v>45495</v>
      </c>
      <c r="R211">
        <v>55560</v>
      </c>
    </row>
    <row r="212" spans="1:19" hidden="1" x14ac:dyDescent="0.25">
      <c r="A212" s="160" t="s">
        <v>1423</v>
      </c>
      <c r="B212" s="160" t="s">
        <v>3240</v>
      </c>
      <c r="C212" s="180">
        <v>51</v>
      </c>
      <c r="D212">
        <v>1</v>
      </c>
      <c r="E212" cm="1">
        <f t="array" aca="1" ref="E212" ca="1">SUMPRODUCT(SUMIF(INDIRECT("'"&amp;Assemblies[Assy]&amp;"'!"&amp;"C:C"),$A212,(INDIRECT("'"&amp;Assemblies[Assy]&amp;"'!"&amp;"O:O"))))</f>
        <v>1</v>
      </c>
      <c r="F212">
        <f ca="1">ROUNDUP(Purchased[[#This Row],[BOM QTY]]/Purchased[[#This Row],[PK QTY]], 0)</f>
        <v>1</v>
      </c>
      <c r="G212">
        <v>1</v>
      </c>
      <c r="H212" t="str">
        <f ca="1">IF(F212&lt;=G212," ","YES")</f>
        <v xml:space="preserve"> </v>
      </c>
      <c r="I212">
        <v>1</v>
      </c>
      <c r="J212">
        <v>1</v>
      </c>
      <c r="K212" t="s">
        <v>3234</v>
      </c>
      <c r="L212" t="s">
        <v>3235</v>
      </c>
      <c r="N212" s="40">
        <v>45530</v>
      </c>
      <c r="O212" s="40">
        <v>45532</v>
      </c>
      <c r="P212" s="40">
        <v>45546</v>
      </c>
      <c r="R212">
        <v>55715</v>
      </c>
      <c r="S212" s="40" t="str" cm="1">
        <f t="array" aca="1" ref="S212" ca="1">TRIM(SUBSTITUTE(_xlfn.ARRAYTOTEXT(IFERROR(CONCATENATE(SUMIF(INDIRECT("'"&amp;Assemblies[Assy]&amp;"'!"&amp;"C$5:C1000"), $A212, INDIRECT("'"&amp;Assemblies[Assy]&amp;"'!"&amp;"O$5:O1000")), "x",Assemblies[Assy],".",IF(SUMIF(INDIRECT("'"&amp;Assemblies[Assy]&amp;"'!"&amp;"C$5:C1000"), $A212, INDIRECT("'"&amp;Assemblies[Assy]&amp;"'!"&amp;"A$5:A1000"))=0,NA(),SUMIF(INDIRECT("'"&amp;Assemblies[Assy]&amp;"'!"&amp;"C$5:C1000"), $A212, INDIRECT("'"&amp;Assemblies[Assy]&amp;"'!"&amp;"A$5:A1000")))),"")), " ,", ""))</f>
        <v>, 1x11.301,</v>
      </c>
    </row>
    <row r="213" spans="1:19" hidden="1" x14ac:dyDescent="0.25">
      <c r="A213" s="160" t="s">
        <v>1424</v>
      </c>
      <c r="B213" s="160" t="s">
        <v>3241</v>
      </c>
      <c r="C213" s="180">
        <v>100</v>
      </c>
      <c r="D213">
        <v>1</v>
      </c>
      <c r="E213" cm="1">
        <f t="array" aca="1" ref="E213" ca="1">SUMPRODUCT(SUMIF(INDIRECT("'"&amp;Assemblies[Assy]&amp;"'!"&amp;"C:C"),$A213,(INDIRECT("'"&amp;Assemblies[Assy]&amp;"'!"&amp;"O:O"))))</f>
        <v>1</v>
      </c>
      <c r="F213">
        <f ca="1">ROUNDUP(Purchased[[#This Row],[BOM QTY]]/Purchased[[#This Row],[PK QTY]], 0)</f>
        <v>1</v>
      </c>
      <c r="G213">
        <v>1</v>
      </c>
      <c r="H213" t="str">
        <f ca="1">IF(F213&lt;=G213," ","YES")</f>
        <v xml:space="preserve"> </v>
      </c>
      <c r="I213">
        <v>1</v>
      </c>
      <c r="J213">
        <v>1</v>
      </c>
      <c r="K213" t="s">
        <v>3234</v>
      </c>
      <c r="L213" t="s">
        <v>3235</v>
      </c>
      <c r="N213" s="40">
        <v>45530</v>
      </c>
      <c r="O213" s="40">
        <v>45532</v>
      </c>
      <c r="P213" s="40">
        <v>45546</v>
      </c>
      <c r="R213">
        <v>55715</v>
      </c>
      <c r="S213" s="40" t="str" cm="1">
        <f t="array" aca="1" ref="S213" ca="1">TRIM(SUBSTITUTE(_xlfn.ARRAYTOTEXT(IFERROR(CONCATENATE(SUMIF(INDIRECT("'"&amp;Assemblies[Assy]&amp;"'!"&amp;"C$5:C1000"), $A213, INDIRECT("'"&amp;Assemblies[Assy]&amp;"'!"&amp;"O$5:O1000")), "x",Assemblies[Assy],".",IF(SUMIF(INDIRECT("'"&amp;Assemblies[Assy]&amp;"'!"&amp;"C$5:C1000"), $A213, INDIRECT("'"&amp;Assemblies[Assy]&amp;"'!"&amp;"A$5:A1000"))=0,NA(),SUMIF(INDIRECT("'"&amp;Assemblies[Assy]&amp;"'!"&amp;"C$5:C1000"), $A213, INDIRECT("'"&amp;Assemblies[Assy]&amp;"'!"&amp;"A$5:A1000")))),"")), " ,", ""))</f>
        <v>, 1x11.302,</v>
      </c>
    </row>
    <row r="214" spans="1:19" hidden="1" x14ac:dyDescent="0.25">
      <c r="A214" s="160" t="s">
        <v>1425</v>
      </c>
      <c r="B214" s="160" t="s">
        <v>3239</v>
      </c>
      <c r="C214" s="180">
        <v>45</v>
      </c>
      <c r="D214">
        <v>1</v>
      </c>
      <c r="E214" cm="1">
        <f t="array" aca="1" ref="E214" ca="1">SUMPRODUCT(SUMIF(INDIRECT("'"&amp;Assemblies[Assy]&amp;"'!"&amp;"C:C"),$A214,(INDIRECT("'"&amp;Assemblies[Assy]&amp;"'!"&amp;"O:O"))))</f>
        <v>2</v>
      </c>
      <c r="F214">
        <f ca="1">ROUNDUP(Purchased[[#This Row],[BOM QTY]]/Purchased[[#This Row],[PK QTY]], 0)</f>
        <v>2</v>
      </c>
      <c r="G214">
        <v>2</v>
      </c>
      <c r="H214" t="str">
        <f ca="1">IF(F214&lt;=G214," ","YES")</f>
        <v xml:space="preserve"> </v>
      </c>
      <c r="I214">
        <v>2</v>
      </c>
      <c r="J214">
        <v>2</v>
      </c>
      <c r="K214" t="s">
        <v>3234</v>
      </c>
      <c r="L214" t="s">
        <v>3235</v>
      </c>
      <c r="N214" s="40">
        <v>45530</v>
      </c>
      <c r="O214" s="40">
        <v>45532</v>
      </c>
      <c r="P214" s="40">
        <v>45546</v>
      </c>
      <c r="R214">
        <v>55715</v>
      </c>
      <c r="S214" s="40" t="str" cm="1">
        <f t="array" aca="1" ref="S214" ca="1">TRIM(SUBSTITUTE(_xlfn.ARRAYTOTEXT(IFERROR(CONCATENATE(SUMIF(INDIRECT("'"&amp;Assemblies[Assy]&amp;"'!"&amp;"C$5:C1000"), $A214, INDIRECT("'"&amp;Assemblies[Assy]&amp;"'!"&amp;"O$5:O1000")), "x",Assemblies[Assy],".",IF(SUMIF(INDIRECT("'"&amp;Assemblies[Assy]&amp;"'!"&amp;"C$5:C1000"), $A214, INDIRECT("'"&amp;Assemblies[Assy]&amp;"'!"&amp;"A$5:A1000"))=0,NA(),SUMIF(INDIRECT("'"&amp;Assemblies[Assy]&amp;"'!"&amp;"C$5:C1000"), $A214, INDIRECT("'"&amp;Assemblies[Assy]&amp;"'!"&amp;"A$5:A1000")))),"")), " ,", ""))</f>
        <v>, 2x11.303,</v>
      </c>
    </row>
    <row r="215" spans="1:19" hidden="1" x14ac:dyDescent="0.25">
      <c r="A215" s="160" t="s">
        <v>3663</v>
      </c>
      <c r="B215" s="160" t="s">
        <v>3242</v>
      </c>
      <c r="C215" s="180">
        <v>74</v>
      </c>
      <c r="D215">
        <v>1</v>
      </c>
      <c r="E215" cm="1">
        <f t="array" aca="1" ref="E215" ca="1">SUMPRODUCT(SUMIF(INDIRECT("'"&amp;Assemblies[Assy]&amp;"'!"&amp;"C:C"),$A215,(INDIRECT("'"&amp;Assemblies[Assy]&amp;"'!"&amp;"O:O"))))</f>
        <v>2</v>
      </c>
      <c r="F215">
        <f ca="1">ROUNDUP(Purchased[[#This Row],[BOM QTY]]/Purchased[[#This Row],[PK QTY]], 0)</f>
        <v>2</v>
      </c>
      <c r="G215">
        <v>2</v>
      </c>
      <c r="H215" t="str">
        <f ca="1">IF(F215&lt;=G215," ","YES")</f>
        <v xml:space="preserve"> </v>
      </c>
      <c r="I215">
        <v>2</v>
      </c>
      <c r="J215">
        <v>2</v>
      </c>
      <c r="K215" t="s">
        <v>3234</v>
      </c>
      <c r="L215" t="s">
        <v>3235</v>
      </c>
      <c r="N215" s="40">
        <v>45530</v>
      </c>
      <c r="O215" s="40">
        <v>45532</v>
      </c>
      <c r="P215" s="40">
        <v>45546</v>
      </c>
      <c r="R215">
        <v>55715</v>
      </c>
      <c r="S215" s="40" t="str" cm="1">
        <f t="array" aca="1" ref="S215" ca="1">TRIM(SUBSTITUTE(_xlfn.ARRAYTOTEXT(IFERROR(CONCATENATE(SUMIF(INDIRECT("'"&amp;Assemblies[Assy]&amp;"'!"&amp;"C$5:C1000"), $A215, INDIRECT("'"&amp;Assemblies[Assy]&amp;"'!"&amp;"O$5:O1000")), "x",Assemblies[Assy],".",IF(SUMIF(INDIRECT("'"&amp;Assemblies[Assy]&amp;"'!"&amp;"C$5:C1000"), $A215, INDIRECT("'"&amp;Assemblies[Assy]&amp;"'!"&amp;"A$5:A1000"))=0,NA(),SUMIF(INDIRECT("'"&amp;Assemblies[Assy]&amp;"'!"&amp;"C$5:C1000"), $A215, INDIRECT("'"&amp;Assemblies[Assy]&amp;"'!"&amp;"A$5:A1000")))),"")), " ,", ""))</f>
        <v>, 2x11.307,</v>
      </c>
    </row>
    <row r="216" spans="1:19" hidden="1" x14ac:dyDescent="0.25">
      <c r="A216" s="160" t="s">
        <v>1428</v>
      </c>
      <c r="B216" s="160" t="s">
        <v>3236</v>
      </c>
      <c r="C216" s="180">
        <v>7</v>
      </c>
      <c r="D216">
        <v>5</v>
      </c>
      <c r="E216" cm="1">
        <f t="array" aca="1" ref="E216" ca="1">SUMPRODUCT(SUMIF(INDIRECT("'"&amp;Assemblies[Assy]&amp;"'!"&amp;"C:C"),$A216,(INDIRECT("'"&amp;Assemblies[Assy]&amp;"'!"&amp;"O:O"))))</f>
        <v>25</v>
      </c>
      <c r="F216">
        <f ca="1">ROUNDUP(Purchased[[#This Row],[BOM QTY]]/Purchased[[#This Row],[PK QTY]], 0)</f>
        <v>5</v>
      </c>
      <c r="G216">
        <v>5</v>
      </c>
      <c r="H216" t="str">
        <f ca="1">IF(F216&lt;=G216," ","YES")</f>
        <v xml:space="preserve"> </v>
      </c>
      <c r="I216">
        <v>3</v>
      </c>
      <c r="J216">
        <v>3</v>
      </c>
      <c r="K216" t="s">
        <v>3234</v>
      </c>
      <c r="L216" t="s">
        <v>3235</v>
      </c>
      <c r="N216" s="40">
        <v>45530</v>
      </c>
      <c r="O216" s="40">
        <v>45532</v>
      </c>
      <c r="P216" s="40">
        <v>45546</v>
      </c>
      <c r="R216">
        <v>55715</v>
      </c>
      <c r="S216" s="40" t="str" cm="1">
        <f t="array" aca="1" ref="S216" ca="1">TRIM(SUBSTITUTE(_xlfn.ARRAYTOTEXT(IFERROR(CONCATENATE(SUMIF(INDIRECT("'"&amp;Assemblies[Assy]&amp;"'!"&amp;"C$5:C1000"), $A216, INDIRECT("'"&amp;Assemblies[Assy]&amp;"'!"&amp;"O$5:O1000")), "x",Assemblies[Assy],".",IF(SUMIF(INDIRECT("'"&amp;Assemblies[Assy]&amp;"'!"&amp;"C$5:C1000"), $A216, INDIRECT("'"&amp;Assemblies[Assy]&amp;"'!"&amp;"A$5:A1000"))=0,NA(),SUMIF(INDIRECT("'"&amp;Assemblies[Assy]&amp;"'!"&amp;"C$5:C1000"), $A216, INDIRECT("'"&amp;Assemblies[Assy]&amp;"'!"&amp;"A$5:A1000")))),"")), " ,", ""))</f>
        <v>, 1x11.306, 24x11.3.301,</v>
      </c>
    </row>
    <row r="217" spans="1:19" hidden="1" x14ac:dyDescent="0.25">
      <c r="A217" s="160" t="s">
        <v>1426</v>
      </c>
      <c r="B217" s="160" t="s">
        <v>3237</v>
      </c>
      <c r="C217" s="180">
        <v>174</v>
      </c>
      <c r="D217">
        <v>1</v>
      </c>
      <c r="E217" cm="1">
        <f t="array" aca="1" ref="E217" ca="1">SUMPRODUCT(SUMIF(INDIRECT("'"&amp;Assemblies[Assy]&amp;"'!"&amp;"C:C"),$A217,(INDIRECT("'"&amp;Assemblies[Assy]&amp;"'!"&amp;"O:O"))))</f>
        <v>4</v>
      </c>
      <c r="F217">
        <f ca="1">ROUNDUP(Purchased[[#This Row],[BOM QTY]]/Purchased[[#This Row],[PK QTY]], 0)</f>
        <v>4</v>
      </c>
      <c r="G217">
        <v>4</v>
      </c>
      <c r="H217" t="str">
        <f ca="1">IF(F217&lt;=G217," ","YES")</f>
        <v xml:space="preserve"> </v>
      </c>
      <c r="I217">
        <v>4</v>
      </c>
      <c r="J217">
        <v>4</v>
      </c>
      <c r="K217" t="s">
        <v>3234</v>
      </c>
      <c r="L217" t="s">
        <v>3235</v>
      </c>
      <c r="N217" s="40">
        <v>45530</v>
      </c>
      <c r="O217" s="40">
        <v>45532</v>
      </c>
      <c r="P217" s="40">
        <v>45546</v>
      </c>
      <c r="R217">
        <v>55715</v>
      </c>
      <c r="S217" s="40" t="str" cm="1">
        <f t="array" aca="1" ref="S217" ca="1">TRIM(SUBSTITUTE(_xlfn.ARRAYTOTEXT(IFERROR(CONCATENATE(SUMIF(INDIRECT("'"&amp;Assemblies[Assy]&amp;"'!"&amp;"C$5:C1000"), $A217, INDIRECT("'"&amp;Assemblies[Assy]&amp;"'!"&amp;"O$5:O1000")), "x",Assemblies[Assy],".",IF(SUMIF(INDIRECT("'"&amp;Assemblies[Assy]&amp;"'!"&amp;"C$5:C1000"), $A217, INDIRECT("'"&amp;Assemblies[Assy]&amp;"'!"&amp;"A$5:A1000"))=0,NA(),SUMIF(INDIRECT("'"&amp;Assemblies[Assy]&amp;"'!"&amp;"C$5:C1000"), $A217, INDIRECT("'"&amp;Assemblies[Assy]&amp;"'!"&amp;"A$5:A1000")))),"")), " ,", ""))</f>
        <v>, 4x11.304,</v>
      </c>
    </row>
    <row r="218" spans="1:19" ht="15" hidden="1" customHeight="1" x14ac:dyDescent="0.25">
      <c r="A218" s="160" t="s">
        <v>1427</v>
      </c>
      <c r="B218" s="160" t="s">
        <v>3238</v>
      </c>
      <c r="C218" s="180">
        <v>73</v>
      </c>
      <c r="D218">
        <v>1</v>
      </c>
      <c r="E218" cm="1">
        <f t="array" aca="1" ref="E218" ca="1">SUMPRODUCT(SUMIF(INDIRECT("'"&amp;Assemblies[Assy]&amp;"'!"&amp;"C:C"),$A218,(INDIRECT("'"&amp;Assemblies[Assy]&amp;"'!"&amp;"O:O"))))</f>
        <v>4</v>
      </c>
      <c r="F218">
        <f ca="1">ROUNDUP(Purchased[[#This Row],[BOM QTY]]/Purchased[[#This Row],[PK QTY]], 0)</f>
        <v>4</v>
      </c>
      <c r="G218">
        <v>4</v>
      </c>
      <c r="H218" t="str">
        <f ca="1">IF(F218&lt;=G218," ","YES")</f>
        <v xml:space="preserve"> </v>
      </c>
      <c r="I218">
        <v>4</v>
      </c>
      <c r="J218">
        <v>4</v>
      </c>
      <c r="K218" t="s">
        <v>3234</v>
      </c>
      <c r="L218" t="s">
        <v>3235</v>
      </c>
      <c r="N218" s="40">
        <v>45530</v>
      </c>
      <c r="O218" s="40">
        <v>45532</v>
      </c>
      <c r="P218" s="40">
        <v>45546</v>
      </c>
      <c r="R218">
        <v>55715</v>
      </c>
      <c r="S218" s="40" t="str" cm="1">
        <f t="array" aca="1" ref="S218" ca="1">TRIM(SUBSTITUTE(_xlfn.ARRAYTOTEXT(IFERROR(CONCATENATE(SUMIF(INDIRECT("'"&amp;Assemblies[Assy]&amp;"'!"&amp;"C$5:C1000"), $A218, INDIRECT("'"&amp;Assemblies[Assy]&amp;"'!"&amp;"O$5:O1000")), "x",Assemblies[Assy],".",IF(SUMIF(INDIRECT("'"&amp;Assemblies[Assy]&amp;"'!"&amp;"C$5:C1000"), $A218, INDIRECT("'"&amp;Assemblies[Assy]&amp;"'!"&amp;"A$5:A1000"))=0,NA(),SUMIF(INDIRECT("'"&amp;Assemblies[Assy]&amp;"'!"&amp;"C$5:C1000"), $A218, INDIRECT("'"&amp;Assemblies[Assy]&amp;"'!"&amp;"A$5:A1000")))),"")), " ,", ""))</f>
        <v>, 4x11.305,</v>
      </c>
    </row>
    <row r="219" spans="1:19" hidden="1" x14ac:dyDescent="0.25">
      <c r="A219" s="160" t="s">
        <v>1441</v>
      </c>
      <c r="B219" s="160" t="s">
        <v>3233</v>
      </c>
      <c r="C219" s="180">
        <v>46</v>
      </c>
      <c r="D219">
        <v>1</v>
      </c>
      <c r="E219" cm="1">
        <f t="array" aca="1" ref="E219" ca="1">SUMPRODUCT(SUMIF(INDIRECT("'"&amp;Assemblies[Assy]&amp;"'!"&amp;"C:C"),$A219,(INDIRECT("'"&amp;Assemblies[Assy]&amp;"'!"&amp;"O:O"))))</f>
        <v>10</v>
      </c>
      <c r="F219">
        <f ca="1">ROUNDUP(Purchased[[#This Row],[BOM QTY]]/Purchased[[#This Row],[PK QTY]], 0)</f>
        <v>10</v>
      </c>
      <c r="G219">
        <v>10</v>
      </c>
      <c r="H219" t="str">
        <f ca="1">IF(F219&lt;=G219," ","YES")</f>
        <v xml:space="preserve"> </v>
      </c>
      <c r="I219">
        <v>24</v>
      </c>
      <c r="J219">
        <v>24</v>
      </c>
      <c r="K219" t="s">
        <v>3234</v>
      </c>
      <c r="L219" t="s">
        <v>3235</v>
      </c>
      <c r="N219" s="40">
        <v>45530</v>
      </c>
      <c r="O219" s="40">
        <v>45532</v>
      </c>
      <c r="P219" s="40">
        <v>45546</v>
      </c>
      <c r="R219">
        <v>55715</v>
      </c>
      <c r="S219" s="40" t="str" cm="1">
        <f t="array" aca="1" ref="S219" ca="1">TRIM(SUBSTITUTE(_xlfn.ARRAYTOTEXT(IFERROR(CONCATENATE(SUMIF(INDIRECT("'"&amp;Assemblies[Assy]&amp;"'!"&amp;"C$5:C1000"), $A219, INDIRECT("'"&amp;Assemblies[Assy]&amp;"'!"&amp;"O$5:O1000")), "x",Assemblies[Assy],".",IF(SUMIF(INDIRECT("'"&amp;Assemblies[Assy]&amp;"'!"&amp;"C$5:C1000"), $A219, INDIRECT("'"&amp;Assemblies[Assy]&amp;"'!"&amp;"A$5:A1000"))=0,NA(),SUMIF(INDIRECT("'"&amp;Assemblies[Assy]&amp;"'!"&amp;"C$5:C1000"), $A219, INDIRECT("'"&amp;Assemblies[Assy]&amp;"'!"&amp;"A$5:A1000")))),"")), " ,", ""))</f>
        <v>, 10x11.2.301,</v>
      </c>
    </row>
    <row r="220" spans="1:19" hidden="1" x14ac:dyDescent="0.25">
      <c r="A220" s="162" t="s">
        <v>119</v>
      </c>
      <c r="B220" s="160" t="s">
        <v>3232</v>
      </c>
      <c r="C220" s="180">
        <v>10</v>
      </c>
      <c r="D220">
        <v>1</v>
      </c>
      <c r="E220" cm="1">
        <f t="array" aca="1" ref="E220" ca="1">SUMPRODUCT(SUMIF(INDIRECT("'"&amp;Assemblies[Assy]&amp;"'!"&amp;"C:C"),$A220,(INDIRECT("'"&amp;Assemblies[Assy]&amp;"'!"&amp;"O:O"))))</f>
        <v>1</v>
      </c>
      <c r="F220">
        <f ca="1">ROUNDUP(Purchased[[#This Row],[BOM QTY]]/Purchased[[#This Row],[PK QTY]], 0)</f>
        <v>1</v>
      </c>
      <c r="G220">
        <v>1</v>
      </c>
      <c r="H220" t="str">
        <f ca="1">IF(F220&lt;=G220," ","YES")</f>
        <v xml:space="preserve"> </v>
      </c>
      <c r="I220">
        <v>1</v>
      </c>
      <c r="J220">
        <v>1</v>
      </c>
      <c r="K220" t="s">
        <v>3231</v>
      </c>
      <c r="L220" t="s">
        <v>3246</v>
      </c>
      <c r="N220" s="40" t="s">
        <v>2747</v>
      </c>
      <c r="S220" s="40" t="str" cm="1">
        <f t="array" aca="1" ref="S220" ca="1">TRIM(SUBSTITUTE(_xlfn.ARRAYTOTEXT(IFERROR(CONCATENATE(SUMIF(INDIRECT("'"&amp;Assemblies[Assy]&amp;"'!"&amp;"C$5:C1000"), $A220, INDIRECT("'"&amp;Assemblies[Assy]&amp;"'!"&amp;"O$5:O1000")), "x",Assemblies[Assy],".",IF(SUMIF(INDIRECT("'"&amp;Assemblies[Assy]&amp;"'!"&amp;"C$5:C1000"), $A220, INDIRECT("'"&amp;Assemblies[Assy]&amp;"'!"&amp;"A$5:A1000"))=0,NA(),SUMIF(INDIRECT("'"&amp;Assemblies[Assy]&amp;"'!"&amp;"C$5:C1000"), $A220, INDIRECT("'"&amp;Assemblies[Assy]&amp;"'!"&amp;"A$5:A1000")))),"")), " ,", ""))</f>
        <v>, 1x0.1.307,</v>
      </c>
    </row>
    <row r="221" spans="1:19" hidden="1" x14ac:dyDescent="0.25">
      <c r="A221" s="160" t="s">
        <v>3243</v>
      </c>
      <c r="B221" s="160" t="s">
        <v>3244</v>
      </c>
      <c r="C221" s="180">
        <v>0</v>
      </c>
      <c r="D221">
        <v>1</v>
      </c>
      <c r="E221" cm="1">
        <f t="array" aca="1" ref="E221" ca="1">SUMPRODUCT(SUMIF(INDIRECT("'"&amp;Assemblies[Assy]&amp;"'!"&amp;"C:C"),$A221,(INDIRECT("'"&amp;Assemblies[Assy]&amp;"'!"&amp;"O:O"))))</f>
        <v>0</v>
      </c>
      <c r="F221">
        <f ca="1">ROUNDUP(Purchased[[#This Row],[BOM QTY]]/Purchased[[#This Row],[PK QTY]], 0)</f>
        <v>0</v>
      </c>
      <c r="H221" t="str">
        <f ca="1">IF(F221&lt;=G221," ","YES")</f>
        <v xml:space="preserve"> </v>
      </c>
      <c r="K221" s="160" t="s">
        <v>3245</v>
      </c>
      <c r="L221" t="s">
        <v>3246</v>
      </c>
      <c r="S221" s="40" t="str" cm="1">
        <f t="array" aca="1" ref="S221" ca="1">TRIM(SUBSTITUTE(_xlfn.ARRAYTOTEXT(IFERROR(CONCATENATE(SUMIF(INDIRECT("'"&amp;Assemblies[Assy]&amp;"'!"&amp;"C$5:C1000"), $A221, INDIRECT("'"&amp;Assemblies[Assy]&amp;"'!"&amp;"O$5:O1000")), "x",Assemblies[Assy],".",IF(SUMIF(INDIRECT("'"&amp;Assemblies[Assy]&amp;"'!"&amp;"C$5:C1000"), $A221, INDIRECT("'"&amp;Assemblies[Assy]&amp;"'!"&amp;"A$5:A1000"))=0,NA(),SUMIF(INDIRECT("'"&amp;Assemblies[Assy]&amp;"'!"&amp;"C$5:C1000"), $A221, INDIRECT("'"&amp;Assemblies[Assy]&amp;"'!"&amp;"A$5:A1000")))),"")), " ,", ""))</f>
        <v>,</v>
      </c>
    </row>
    <row r="222" spans="1:19" hidden="1" x14ac:dyDescent="0.25">
      <c r="A222" s="162">
        <v>6045315</v>
      </c>
      <c r="B222" s="160" t="s">
        <v>3249</v>
      </c>
      <c r="C222" s="180">
        <v>112.5</v>
      </c>
      <c r="D222">
        <v>1</v>
      </c>
      <c r="E222" cm="1">
        <f t="array" aca="1" ref="E222" ca="1">SUMPRODUCT(SUMIF(INDIRECT("'"&amp;Assemblies[Assy]&amp;"'!"&amp;"C:C"),$A222,(INDIRECT("'"&amp;Assemblies[Assy]&amp;"'!"&amp;"O:O"))))</f>
        <v>1</v>
      </c>
      <c r="F222">
        <f ca="1">ROUNDUP(Purchased[[#This Row],[BOM QTY]]/Purchased[[#This Row],[PK QTY]], 0)</f>
        <v>1</v>
      </c>
      <c r="G222">
        <v>1</v>
      </c>
      <c r="H222" t="str">
        <f ca="1">IF(F222&lt;=G222," ","YES")</f>
        <v xml:space="preserve"> </v>
      </c>
      <c r="I222">
        <v>1</v>
      </c>
      <c r="J222">
        <v>1</v>
      </c>
      <c r="K222" t="s">
        <v>3021</v>
      </c>
      <c r="L222" t="s">
        <v>3246</v>
      </c>
      <c r="M222" t="s">
        <v>3248</v>
      </c>
      <c r="N222" s="40">
        <v>45506</v>
      </c>
      <c r="O222" s="40" t="s">
        <v>2747</v>
      </c>
      <c r="P222" s="40" t="s">
        <v>2747</v>
      </c>
      <c r="Q222" s="40" t="s">
        <v>2747</v>
      </c>
      <c r="R222" t="s">
        <v>2747</v>
      </c>
      <c r="S222" s="40" t="str" cm="1">
        <f t="array" aca="1" ref="S222" ca="1">TRIM(SUBSTITUTE(_xlfn.ARRAYTOTEXT(IFERROR(CONCATENATE(SUMIF(INDIRECT("'"&amp;Assemblies[Assy]&amp;"'!"&amp;"C$5:C1000"), $A222, INDIRECT("'"&amp;Assemblies[Assy]&amp;"'!"&amp;"O$5:O1000")), "x",Assemblies[Assy],".",IF(SUMIF(INDIRECT("'"&amp;Assemblies[Assy]&amp;"'!"&amp;"C$5:C1000"), $A222, INDIRECT("'"&amp;Assemblies[Assy]&amp;"'!"&amp;"A$5:A1000"))=0,NA(),SUMIF(INDIRECT("'"&amp;Assemblies[Assy]&amp;"'!"&amp;"C$5:C1000"), $A222, INDIRECT("'"&amp;Assemblies[Assy]&amp;"'!"&amp;"A$5:A1000")))),"")), " ,", ""))</f>
        <v>, 1x0.1.306,</v>
      </c>
    </row>
    <row r="223" spans="1:19" hidden="1" x14ac:dyDescent="0.25">
      <c r="A223" s="161">
        <v>22198</v>
      </c>
      <c r="B223" s="160" t="s">
        <v>3571</v>
      </c>
      <c r="C223" s="180">
        <v>20.21</v>
      </c>
      <c r="D223">
        <v>1</v>
      </c>
      <c r="E223" cm="1">
        <f t="array" aca="1" ref="E223" ca="1">SUMPRODUCT(SUMIF(INDIRECT("'"&amp;Assemblies[Assy]&amp;"'!"&amp;"C:C"),$A223,(INDIRECT("'"&amp;Assemblies[Assy]&amp;"'!"&amp;"O:O"))))</f>
        <v>1</v>
      </c>
      <c r="F223">
        <f ca="1">ROUNDUP(Purchased[[#This Row],[BOM QTY]]/Purchased[[#This Row],[PK QTY]], 0)</f>
        <v>1</v>
      </c>
      <c r="G223">
        <v>1</v>
      </c>
      <c r="H223" t="str">
        <f ca="1">IF(F223&lt;=G223," ","YES")</f>
        <v xml:space="preserve"> </v>
      </c>
      <c r="I223">
        <v>1</v>
      </c>
      <c r="J223">
        <v>1</v>
      </c>
      <c r="K223" t="s">
        <v>3572</v>
      </c>
      <c r="L223" t="s">
        <v>3572</v>
      </c>
      <c r="M223" t="s">
        <v>3573</v>
      </c>
      <c r="N223" s="40">
        <v>45497</v>
      </c>
      <c r="O223" s="40">
        <v>45497</v>
      </c>
      <c r="P223" s="40">
        <v>45505</v>
      </c>
      <c r="Q223" s="40">
        <v>45505</v>
      </c>
      <c r="R223">
        <v>55630</v>
      </c>
      <c r="S223" s="40" t="str" cm="1">
        <f t="array" aca="1" ref="S223" ca="1">TRIM(SUBSTITUTE(_xlfn.ARRAYTOTEXT(IFERROR(CONCATENATE(SUMIF(INDIRECT("'"&amp;Assemblies[Assy]&amp;"'!"&amp;"C$5:C1000"), $A223, INDIRECT("'"&amp;Assemblies[Assy]&amp;"'!"&amp;"O$5:O1000")), "x",Assemblies[Assy],".",IF(SUMIF(INDIRECT("'"&amp;Assemblies[Assy]&amp;"'!"&amp;"C$5:C1000"), $A223, INDIRECT("'"&amp;Assemblies[Assy]&amp;"'!"&amp;"A$5:A1000"))=0,NA(),SUMIF(INDIRECT("'"&amp;Assemblies[Assy]&amp;"'!"&amp;"C$5:C1000"), $A223, INDIRECT("'"&amp;Assemblies[Assy]&amp;"'!"&amp;"A$5:A1000")))),"")), " ,", ""))</f>
        <v>, 1x9.3.302,</v>
      </c>
    </row>
    <row r="224" spans="1:19" hidden="1" x14ac:dyDescent="0.25">
      <c r="A224" s="161" t="s">
        <v>1293</v>
      </c>
      <c r="B224" s="160" t="s">
        <v>3574</v>
      </c>
      <c r="C224" s="180">
        <v>199</v>
      </c>
      <c r="D224">
        <v>1</v>
      </c>
      <c r="E224" cm="1">
        <f t="array" aca="1" ref="E224" ca="1">SUMPRODUCT(SUMIF(INDIRECT("'"&amp;Assemblies[Assy]&amp;"'!"&amp;"C:C"),$A224,(INDIRECT("'"&amp;Assemblies[Assy]&amp;"'!"&amp;"O:O"))))</f>
        <v>1</v>
      </c>
      <c r="F224">
        <f ca="1">ROUNDUP(Purchased[[#This Row],[BOM QTY]]/Purchased[[#This Row],[PK QTY]], 0)</f>
        <v>1</v>
      </c>
      <c r="G224">
        <v>1</v>
      </c>
      <c r="H224" t="str">
        <f ca="1">IF(F224&lt;=G224," ","YES")</f>
        <v xml:space="preserve"> </v>
      </c>
      <c r="I224">
        <v>1</v>
      </c>
      <c r="J224">
        <v>1</v>
      </c>
      <c r="K224" t="s">
        <v>3572</v>
      </c>
      <c r="L224" t="s">
        <v>3572</v>
      </c>
      <c r="M224" t="s">
        <v>3575</v>
      </c>
      <c r="N224" s="40">
        <v>45497</v>
      </c>
      <c r="O224" s="40">
        <v>45497</v>
      </c>
      <c r="P224" s="40">
        <v>45505</v>
      </c>
      <c r="Q224" s="40">
        <v>45505</v>
      </c>
      <c r="R224">
        <v>55630</v>
      </c>
      <c r="S224" s="40" t="str" cm="1">
        <f t="array" aca="1" ref="S224" ca="1">TRIM(SUBSTITUTE(_xlfn.ARRAYTOTEXT(IFERROR(CONCATENATE(SUMIF(INDIRECT("'"&amp;Assemblies[Assy]&amp;"'!"&amp;"C$5:C1000"), $A224, INDIRECT("'"&amp;Assemblies[Assy]&amp;"'!"&amp;"O$5:O1000")), "x",Assemblies[Assy],".",IF(SUMIF(INDIRECT("'"&amp;Assemblies[Assy]&amp;"'!"&amp;"C$5:C1000"), $A224, INDIRECT("'"&amp;Assemblies[Assy]&amp;"'!"&amp;"A$5:A1000"))=0,NA(),SUMIF(INDIRECT("'"&amp;Assemblies[Assy]&amp;"'!"&amp;"C$5:C1000"), $A224, INDIRECT("'"&amp;Assemblies[Assy]&amp;"'!"&amp;"A$5:A1000")))),"")), " ,", ""))</f>
        <v>, 1x9.3.301,</v>
      </c>
    </row>
    <row r="225" spans="1:19" hidden="1" x14ac:dyDescent="0.25">
      <c r="A225" s="162" t="s">
        <v>257</v>
      </c>
      <c r="B225" s="160" t="s">
        <v>3252</v>
      </c>
      <c r="C225" s="180">
        <v>1591</v>
      </c>
      <c r="D225">
        <v>1</v>
      </c>
      <c r="E225" cm="1">
        <f t="array" aca="1" ref="E225" ca="1">SUMPRODUCT(SUMIF(INDIRECT("'"&amp;Assemblies[Assy]&amp;"'!"&amp;"C:C"),$A225,(INDIRECT("'"&amp;Assemblies[Assy]&amp;"'!"&amp;"O:O"))))</f>
        <v>2</v>
      </c>
      <c r="F225">
        <f ca="1">ROUNDUP(Purchased[[#This Row],[BOM QTY]]/Purchased[[#This Row],[PK QTY]], 0)</f>
        <v>2</v>
      </c>
      <c r="G225">
        <v>2</v>
      </c>
      <c r="H225" t="str">
        <f ca="1">IF(F225&lt;=G225," ","YES")</f>
        <v xml:space="preserve"> </v>
      </c>
      <c r="I225">
        <v>2</v>
      </c>
      <c r="J225">
        <v>2</v>
      </c>
      <c r="K225" t="s">
        <v>3251</v>
      </c>
      <c r="L225" t="s">
        <v>3251</v>
      </c>
      <c r="N225" s="40">
        <v>45440</v>
      </c>
      <c r="O225" s="40">
        <v>45440</v>
      </c>
      <c r="P225" s="40">
        <v>45482</v>
      </c>
      <c r="Q225" s="40">
        <v>45482</v>
      </c>
      <c r="R225">
        <v>55525</v>
      </c>
      <c r="S225" s="40" t="str" cm="1">
        <f t="array" aca="1" ref="S225" ca="1">TRIM(SUBSTITUTE(_xlfn.ARRAYTOTEXT(IFERROR(CONCATENATE(SUMIF(INDIRECT("'"&amp;Assemblies[Assy]&amp;"'!"&amp;"C$5:C1000"), $A225, INDIRECT("'"&amp;Assemblies[Assy]&amp;"'!"&amp;"O$5:O1000")), "x",Assemblies[Assy],".",IF(SUMIF(INDIRECT("'"&amp;Assemblies[Assy]&amp;"'!"&amp;"C$5:C1000"), $A225, INDIRECT("'"&amp;Assemblies[Assy]&amp;"'!"&amp;"A$5:A1000"))=0,NA(),SUMIF(INDIRECT("'"&amp;Assemblies[Assy]&amp;"'!"&amp;"C$5:C1000"), $A225, INDIRECT("'"&amp;Assemblies[Assy]&amp;"'!"&amp;"A$5:A1000")))),"")), " ,", ""))</f>
        <v>, 2x1.2.302,</v>
      </c>
    </row>
    <row r="226" spans="1:19" hidden="1" x14ac:dyDescent="0.25">
      <c r="A226" s="162" t="s">
        <v>258</v>
      </c>
      <c r="B226" s="160" t="s">
        <v>3253</v>
      </c>
      <c r="C226" s="180">
        <v>1780</v>
      </c>
      <c r="D226">
        <v>1</v>
      </c>
      <c r="E226" cm="1">
        <f t="array" aca="1" ref="E226" ca="1">SUMPRODUCT(SUMIF(INDIRECT("'"&amp;Assemblies[Assy]&amp;"'!"&amp;"C:C"),$A226,(INDIRECT("'"&amp;Assemblies[Assy]&amp;"'!"&amp;"O:O"))))</f>
        <v>2</v>
      </c>
      <c r="F226">
        <f ca="1">ROUNDUP(Purchased[[#This Row],[BOM QTY]]/Purchased[[#This Row],[PK QTY]], 0)</f>
        <v>2</v>
      </c>
      <c r="G226">
        <v>2</v>
      </c>
      <c r="H226" t="str">
        <f ca="1">IF(F226&lt;=G226," ","YES")</f>
        <v xml:space="preserve"> </v>
      </c>
      <c r="I226">
        <v>2</v>
      </c>
      <c r="J226">
        <v>2</v>
      </c>
      <c r="K226" t="s">
        <v>3251</v>
      </c>
      <c r="L226" t="s">
        <v>3251</v>
      </c>
      <c r="N226" s="40">
        <v>45440</v>
      </c>
      <c r="O226" s="40">
        <v>45440</v>
      </c>
      <c r="P226" s="40">
        <v>45482</v>
      </c>
      <c r="Q226" s="40">
        <v>45482</v>
      </c>
      <c r="R226">
        <v>55525</v>
      </c>
      <c r="S226" s="40" t="str" cm="1">
        <f t="array" aca="1" ref="S226" ca="1">TRIM(SUBSTITUTE(_xlfn.ARRAYTOTEXT(IFERROR(CONCATENATE(SUMIF(INDIRECT("'"&amp;Assemblies[Assy]&amp;"'!"&amp;"C$5:C1000"), $A226, INDIRECT("'"&amp;Assemblies[Assy]&amp;"'!"&amp;"O$5:O1000")), "x",Assemblies[Assy],".",IF(SUMIF(INDIRECT("'"&amp;Assemblies[Assy]&amp;"'!"&amp;"C$5:C1000"), $A226, INDIRECT("'"&amp;Assemblies[Assy]&amp;"'!"&amp;"A$5:A1000"))=0,NA(),SUMIF(INDIRECT("'"&amp;Assemblies[Assy]&amp;"'!"&amp;"C$5:C1000"), $A226, INDIRECT("'"&amp;Assemblies[Assy]&amp;"'!"&amp;"A$5:A1000")))),"")), " ,", ""))</f>
        <v>, 2x1.2.303,</v>
      </c>
    </row>
    <row r="227" spans="1:19" hidden="1" x14ac:dyDescent="0.25">
      <c r="A227" s="160" t="s">
        <v>433</v>
      </c>
      <c r="B227" s="160" t="s">
        <v>3250</v>
      </c>
      <c r="C227" s="180">
        <v>3471</v>
      </c>
      <c r="D227">
        <v>1</v>
      </c>
      <c r="E227" cm="1">
        <f t="array" aca="1" ref="E227" ca="1">SUMPRODUCT(SUMIF(INDIRECT("'"&amp;Assemblies[Assy]&amp;"'!"&amp;"C:C"),$A227,(INDIRECT("'"&amp;Assemblies[Assy]&amp;"'!"&amp;"O:O"))))</f>
        <v>3</v>
      </c>
      <c r="F227">
        <f ca="1">ROUNDUP(Purchased[[#This Row],[BOM QTY]]/Purchased[[#This Row],[PK QTY]], 0)</f>
        <v>3</v>
      </c>
      <c r="G227">
        <v>3</v>
      </c>
      <c r="H227" t="str">
        <f ca="1">IF(F227&lt;=G227," ","YES")</f>
        <v xml:space="preserve"> </v>
      </c>
      <c r="I227">
        <v>3</v>
      </c>
      <c r="J227">
        <v>3</v>
      </c>
      <c r="K227" t="s">
        <v>3251</v>
      </c>
      <c r="L227" t="s">
        <v>3251</v>
      </c>
      <c r="N227" s="40">
        <v>45435</v>
      </c>
      <c r="O227" s="40">
        <v>45435</v>
      </c>
      <c r="P227" s="40">
        <v>45499</v>
      </c>
      <c r="Q227" s="40">
        <v>45499</v>
      </c>
      <c r="R227">
        <v>55524</v>
      </c>
      <c r="S227" s="40" t="str" cm="1">
        <f t="array" aca="1" ref="S227" ca="1">TRIM(SUBSTITUTE(_xlfn.ARRAYTOTEXT(IFERROR(CONCATENATE(SUMIF(INDIRECT("'"&amp;Assemblies[Assy]&amp;"'!"&amp;"C$5:C1000"), $A227, INDIRECT("'"&amp;Assemblies[Assy]&amp;"'!"&amp;"O$5:O1000")), "x",Assemblies[Assy],".",IF(SUMIF(INDIRECT("'"&amp;Assemblies[Assy]&amp;"'!"&amp;"C$5:C1000"), $A227, INDIRECT("'"&amp;Assemblies[Assy]&amp;"'!"&amp;"A$5:A1000"))=0,NA(),SUMIF(INDIRECT("'"&amp;Assemblies[Assy]&amp;"'!"&amp;"C$5:C1000"), $A227, INDIRECT("'"&amp;Assemblies[Assy]&amp;"'!"&amp;"A$5:A1000")))),"")), " ,", ""))</f>
        <v>, 3x2.3.4.301,</v>
      </c>
    </row>
    <row r="228" spans="1:19" hidden="1" x14ac:dyDescent="0.25">
      <c r="A228" s="162" t="s">
        <v>259</v>
      </c>
      <c r="B228" s="160" t="s">
        <v>3254</v>
      </c>
      <c r="C228" s="180">
        <v>2590.7199999999998</v>
      </c>
      <c r="D228">
        <v>1</v>
      </c>
      <c r="E228" cm="1">
        <f t="array" aca="1" ref="E228" ca="1">SUMPRODUCT(SUMIF(INDIRECT("'"&amp;Assemblies[Assy]&amp;"'!"&amp;"C:C"),$A228,(INDIRECT("'"&amp;Assemblies[Assy]&amp;"'!"&amp;"O:O"))))</f>
        <v>2</v>
      </c>
      <c r="F228">
        <f ca="1">ROUNDUP(Purchased[[#This Row],[BOM QTY]]/Purchased[[#This Row],[PK QTY]], 0)</f>
        <v>2</v>
      </c>
      <c r="G228">
        <v>3</v>
      </c>
      <c r="H228" t="str">
        <f ca="1">IF(F228&lt;=G228," ","YES")</f>
        <v xml:space="preserve"> </v>
      </c>
      <c r="I228">
        <v>3</v>
      </c>
      <c r="J228">
        <v>3</v>
      </c>
      <c r="K228" t="s">
        <v>3251</v>
      </c>
      <c r="L228" t="s">
        <v>3251</v>
      </c>
      <c r="N228" s="40">
        <v>45440</v>
      </c>
      <c r="O228" s="40">
        <v>45440</v>
      </c>
      <c r="P228" s="40">
        <v>45482</v>
      </c>
      <c r="Q228" s="40">
        <v>45482</v>
      </c>
      <c r="R228">
        <v>55525</v>
      </c>
      <c r="S228" s="40" t="str" cm="1">
        <f t="array" aca="1" ref="S228" ca="1">TRIM(SUBSTITUTE(_xlfn.ARRAYTOTEXT(IFERROR(CONCATENATE(SUMIF(INDIRECT("'"&amp;Assemblies[Assy]&amp;"'!"&amp;"C$5:C1000"), $A228, INDIRECT("'"&amp;Assemblies[Assy]&amp;"'!"&amp;"O$5:O1000")), "x",Assemblies[Assy],".",IF(SUMIF(INDIRECT("'"&amp;Assemblies[Assy]&amp;"'!"&amp;"C$5:C1000"), $A228, INDIRECT("'"&amp;Assemblies[Assy]&amp;"'!"&amp;"A$5:A1000"))=0,NA(),SUMIF(INDIRECT("'"&amp;Assemblies[Assy]&amp;"'!"&amp;"C$5:C1000"), $A228, INDIRECT("'"&amp;Assemblies[Assy]&amp;"'!"&amp;"A$5:A1000")))),"")), " ,", ""))</f>
        <v>, 2x1.2.304,</v>
      </c>
    </row>
    <row r="229" spans="1:19" hidden="1" x14ac:dyDescent="0.25">
      <c r="A229" s="160" t="s">
        <v>721</v>
      </c>
      <c r="B229" s="160" t="s">
        <v>3259</v>
      </c>
      <c r="C229" s="180">
        <v>45.32</v>
      </c>
      <c r="D229">
        <v>1</v>
      </c>
      <c r="E229" cm="1">
        <f t="array" aca="1" ref="E229" ca="1">SUMPRODUCT(SUMIF(INDIRECT("'"&amp;Assemblies[Assy]&amp;"'!"&amp;"C:C"),$A229,(INDIRECT("'"&amp;Assemblies[Assy]&amp;"'!"&amp;"O:O"))))</f>
        <v>4</v>
      </c>
      <c r="F229">
        <f ca="1">ROUNDUP(Purchased[[#This Row],[BOM QTY]]/Purchased[[#This Row],[PK QTY]], 0)</f>
        <v>4</v>
      </c>
      <c r="G229">
        <v>4</v>
      </c>
      <c r="H229" t="str">
        <f ca="1">IF(F229&lt;=G229," ","YES")</f>
        <v xml:space="preserve"> </v>
      </c>
      <c r="I229">
        <v>4</v>
      </c>
      <c r="J229">
        <v>4</v>
      </c>
      <c r="K229" t="s">
        <v>3256</v>
      </c>
      <c r="L229" t="s">
        <v>3256</v>
      </c>
      <c r="N229" s="40">
        <v>45506</v>
      </c>
      <c r="O229" s="40">
        <v>45526</v>
      </c>
      <c r="P229" s="40">
        <v>45551</v>
      </c>
      <c r="Q229" s="40">
        <v>45551</v>
      </c>
      <c r="R229">
        <v>55698</v>
      </c>
      <c r="S229" s="40" t="str" cm="1">
        <f t="array" aca="1" ref="S229" ca="1">TRIM(SUBSTITUTE(_xlfn.ARRAYTOTEXT(IFERROR(CONCATENATE(SUMIF(INDIRECT("'"&amp;Assemblies[Assy]&amp;"'!"&amp;"C$5:C1000"), $A229, INDIRECT("'"&amp;Assemblies[Assy]&amp;"'!"&amp;"O$5:O1000")), "x",Assemblies[Assy],".",IF(SUMIF(INDIRECT("'"&amp;Assemblies[Assy]&amp;"'!"&amp;"C$5:C1000"), $A229, INDIRECT("'"&amp;Assemblies[Assy]&amp;"'!"&amp;"A$5:A1000"))=0,NA(),SUMIF(INDIRECT("'"&amp;Assemblies[Assy]&amp;"'!"&amp;"C$5:C1000"), $A229, INDIRECT("'"&amp;Assemblies[Assy]&amp;"'!"&amp;"A$5:A1000")))),"")), " ,", ""))</f>
        <v>, 2x5.3.310, 2x6.1.308,</v>
      </c>
    </row>
    <row r="230" spans="1:19" hidden="1" x14ac:dyDescent="0.25">
      <c r="A230" s="160" t="s">
        <v>719</v>
      </c>
      <c r="B230" s="160" t="s">
        <v>3261</v>
      </c>
      <c r="C230" s="180">
        <v>9.19</v>
      </c>
      <c r="D230">
        <v>1</v>
      </c>
      <c r="E230" cm="1">
        <f t="array" aca="1" ref="E230" ca="1">SUMPRODUCT(SUMIF(INDIRECT("'"&amp;Assemblies[Assy]&amp;"'!"&amp;"C:C"),$A230,(INDIRECT("'"&amp;Assemblies[Assy]&amp;"'!"&amp;"O:O"))))</f>
        <v>4</v>
      </c>
      <c r="F230">
        <f ca="1">ROUNDUP(Purchased[[#This Row],[BOM QTY]]/Purchased[[#This Row],[PK QTY]], 0)</f>
        <v>4</v>
      </c>
      <c r="G230">
        <v>4</v>
      </c>
      <c r="H230" t="str">
        <f ca="1">IF(F230&lt;=G230," ","YES")</f>
        <v xml:space="preserve"> </v>
      </c>
      <c r="I230">
        <v>4</v>
      </c>
      <c r="J230">
        <v>4</v>
      </c>
      <c r="K230" t="s">
        <v>3256</v>
      </c>
      <c r="L230" t="s">
        <v>3256</v>
      </c>
      <c r="N230" s="40">
        <v>45506</v>
      </c>
      <c r="O230" s="40">
        <v>45526</v>
      </c>
      <c r="P230" s="40">
        <v>45551</v>
      </c>
      <c r="Q230" s="40">
        <v>45551</v>
      </c>
      <c r="R230">
        <v>55698</v>
      </c>
      <c r="S230" s="40" t="str" cm="1">
        <f t="array" aca="1" ref="S230" ca="1">TRIM(SUBSTITUTE(_xlfn.ARRAYTOTEXT(IFERROR(CONCATENATE(SUMIF(INDIRECT("'"&amp;Assemblies[Assy]&amp;"'!"&amp;"C$5:C1000"), $A230, INDIRECT("'"&amp;Assemblies[Assy]&amp;"'!"&amp;"O$5:O1000")), "x",Assemblies[Assy],".",IF(SUMIF(INDIRECT("'"&amp;Assemblies[Assy]&amp;"'!"&amp;"C$5:C1000"), $A230, INDIRECT("'"&amp;Assemblies[Assy]&amp;"'!"&amp;"A$5:A1000"))=0,NA(),SUMIF(INDIRECT("'"&amp;Assemblies[Assy]&amp;"'!"&amp;"C$5:C1000"), $A230, INDIRECT("'"&amp;Assemblies[Assy]&amp;"'!"&amp;"A$5:A1000")))),"")), " ,", ""))</f>
        <v>, 2x5.3.308, 2x6.1.306,</v>
      </c>
    </row>
    <row r="231" spans="1:19" hidden="1" x14ac:dyDescent="0.25">
      <c r="A231" s="160" t="s">
        <v>1073</v>
      </c>
      <c r="B231" s="160" t="s">
        <v>3264</v>
      </c>
      <c r="C231" s="180">
        <v>14.93</v>
      </c>
      <c r="D231">
        <v>1</v>
      </c>
      <c r="E231" cm="1">
        <f t="array" aca="1" ref="E231" ca="1">SUMPRODUCT(SUMIF(INDIRECT("'"&amp;Assemblies[Assy]&amp;"'!"&amp;"C:C"),$A231,(INDIRECT("'"&amp;Assemblies[Assy]&amp;"'!"&amp;"O:O"))))</f>
        <v>4</v>
      </c>
      <c r="F231">
        <f ca="1">ROUNDUP(Purchased[[#This Row],[BOM QTY]]/Purchased[[#This Row],[PK QTY]], 0)</f>
        <v>4</v>
      </c>
      <c r="G231">
        <v>4</v>
      </c>
      <c r="H231" t="str">
        <f ca="1">IF(F231&lt;=G231," ","YES")</f>
        <v xml:space="preserve"> </v>
      </c>
      <c r="I231">
        <v>4</v>
      </c>
      <c r="J231">
        <v>4</v>
      </c>
      <c r="K231" t="s">
        <v>3256</v>
      </c>
      <c r="L231" t="s">
        <v>3256</v>
      </c>
      <c r="N231" s="40">
        <v>45506</v>
      </c>
      <c r="O231" s="40">
        <v>45526</v>
      </c>
      <c r="P231" s="40">
        <v>45551</v>
      </c>
      <c r="Q231" s="40">
        <v>45551</v>
      </c>
      <c r="R231">
        <v>55698</v>
      </c>
      <c r="S231" s="40" t="str" cm="1">
        <f t="array" aca="1" ref="S231" ca="1">TRIM(SUBSTITUTE(_xlfn.ARRAYTOTEXT(IFERROR(CONCATENATE(SUMIF(INDIRECT("'"&amp;Assemblies[Assy]&amp;"'!"&amp;"C$5:C1000"), $A231, INDIRECT("'"&amp;Assemblies[Assy]&amp;"'!"&amp;"O$5:O1000")), "x",Assemblies[Assy],".",IF(SUMIF(INDIRECT("'"&amp;Assemblies[Assy]&amp;"'!"&amp;"C$5:C1000"), $A231, INDIRECT("'"&amp;Assemblies[Assy]&amp;"'!"&amp;"A$5:A1000"))=0,NA(),SUMIF(INDIRECT("'"&amp;Assemblies[Assy]&amp;"'!"&amp;"C$5:C1000"), $A231, INDIRECT("'"&amp;Assemblies[Assy]&amp;"'!"&amp;"A$5:A1000")))),"")), " ,", ""))</f>
        <v>, 4x6.10.303,</v>
      </c>
    </row>
    <row r="232" spans="1:19" hidden="1" x14ac:dyDescent="0.25">
      <c r="A232" s="160" t="s">
        <v>720</v>
      </c>
      <c r="B232" s="160" t="s">
        <v>3267</v>
      </c>
      <c r="C232" s="180">
        <v>72.47</v>
      </c>
      <c r="D232">
        <v>1</v>
      </c>
      <c r="E232" cm="1">
        <f t="array" aca="1" ref="E232" ca="1">SUMPRODUCT(SUMIF(INDIRECT("'"&amp;Assemblies[Assy]&amp;"'!"&amp;"C:C"),$A232,(INDIRECT("'"&amp;Assemblies[Assy]&amp;"'!"&amp;"O:O"))))</f>
        <v>4</v>
      </c>
      <c r="F232">
        <f ca="1">ROUNDUP(Purchased[[#This Row],[BOM QTY]]/Purchased[[#This Row],[PK QTY]], 0)</f>
        <v>4</v>
      </c>
      <c r="G232">
        <v>4</v>
      </c>
      <c r="H232" t="str">
        <f ca="1">IF(F232&lt;=G232," ","YES")</f>
        <v xml:space="preserve"> </v>
      </c>
      <c r="I232">
        <v>4</v>
      </c>
      <c r="J232">
        <v>4</v>
      </c>
      <c r="K232" t="s">
        <v>3256</v>
      </c>
      <c r="L232" t="s">
        <v>3256</v>
      </c>
      <c r="N232" s="40">
        <v>45506</v>
      </c>
      <c r="O232" s="40">
        <v>45526</v>
      </c>
      <c r="P232" s="40">
        <v>45551</v>
      </c>
      <c r="Q232" s="40">
        <v>45551</v>
      </c>
      <c r="R232">
        <v>55698</v>
      </c>
      <c r="S232" s="40" t="str" cm="1">
        <f t="array" aca="1" ref="S232" ca="1">TRIM(SUBSTITUTE(_xlfn.ARRAYTOTEXT(IFERROR(CONCATENATE(SUMIF(INDIRECT("'"&amp;Assemblies[Assy]&amp;"'!"&amp;"C$5:C1000"), $A232, INDIRECT("'"&amp;Assemblies[Assy]&amp;"'!"&amp;"O$5:O1000")), "x",Assemblies[Assy],".",IF(SUMIF(INDIRECT("'"&amp;Assemblies[Assy]&amp;"'!"&amp;"C$5:C1000"), $A232, INDIRECT("'"&amp;Assemblies[Assy]&amp;"'!"&amp;"A$5:A1000"))=0,NA(),SUMIF(INDIRECT("'"&amp;Assemblies[Assy]&amp;"'!"&amp;"C$5:C1000"), $A232, INDIRECT("'"&amp;Assemblies[Assy]&amp;"'!"&amp;"A$5:A1000")))),"")), " ,", ""))</f>
        <v>, 2x5.3.309, 2x6.1.307,</v>
      </c>
    </row>
    <row r="233" spans="1:19" hidden="1" x14ac:dyDescent="0.25">
      <c r="A233" s="160" t="s">
        <v>552</v>
      </c>
      <c r="B233" s="160" t="s">
        <v>3257</v>
      </c>
      <c r="C233" s="180">
        <v>11.9</v>
      </c>
      <c r="D233">
        <v>1</v>
      </c>
      <c r="E233" cm="1">
        <f t="array" aca="1" ref="E233" ca="1">SUMPRODUCT(SUMIF(INDIRECT("'"&amp;Assemblies[Assy]&amp;"'!"&amp;"C:C"),$A233,(INDIRECT("'"&amp;Assemblies[Assy]&amp;"'!"&amp;"O:O"))))</f>
        <v>6</v>
      </c>
      <c r="F233">
        <f ca="1">ROUNDUP(Purchased[[#This Row],[BOM QTY]]/Purchased[[#This Row],[PK QTY]], 0)</f>
        <v>6</v>
      </c>
      <c r="G233">
        <v>6</v>
      </c>
      <c r="H233" t="str">
        <f ca="1">IF(F233&lt;=G233," ","YES")</f>
        <v xml:space="preserve"> </v>
      </c>
      <c r="I233">
        <v>6</v>
      </c>
      <c r="J233">
        <v>6</v>
      </c>
      <c r="K233" t="s">
        <v>3256</v>
      </c>
      <c r="L233" t="s">
        <v>3256</v>
      </c>
      <c r="N233" s="40">
        <v>45506</v>
      </c>
      <c r="O233" s="40">
        <v>45526</v>
      </c>
      <c r="P233" s="40">
        <v>45551</v>
      </c>
      <c r="Q233" s="40">
        <v>45551</v>
      </c>
      <c r="R233">
        <v>55698</v>
      </c>
      <c r="S233" s="40" t="str" cm="1">
        <f t="array" aca="1" ref="S233" ca="1">TRIM(SUBSTITUTE(_xlfn.ARRAYTOTEXT(IFERROR(CONCATENATE(SUMIF(INDIRECT("'"&amp;Assemblies[Assy]&amp;"'!"&amp;"C$5:C1000"), $A233, INDIRECT("'"&amp;Assemblies[Assy]&amp;"'!"&amp;"O$5:O1000")), "x",Assemblies[Assy],".",IF(SUMIF(INDIRECT("'"&amp;Assemblies[Assy]&amp;"'!"&amp;"C$5:C1000"), $A233, INDIRECT("'"&amp;Assemblies[Assy]&amp;"'!"&amp;"A$5:A1000"))=0,NA(),SUMIF(INDIRECT("'"&amp;Assemblies[Assy]&amp;"'!"&amp;"C$5:C1000"), $A233, INDIRECT("'"&amp;Assemblies[Assy]&amp;"'!"&amp;"A$5:A1000")))),"")), " ,", ""))</f>
        <v>, 3x4.1.7.304, 3x4.1.8.304,</v>
      </c>
    </row>
    <row r="234" spans="1:19" hidden="1" x14ac:dyDescent="0.25">
      <c r="A234" s="160" t="s">
        <v>551</v>
      </c>
      <c r="B234" s="160" t="s">
        <v>3258</v>
      </c>
      <c r="C234" s="180">
        <v>10.91</v>
      </c>
      <c r="D234">
        <v>1</v>
      </c>
      <c r="E234" cm="1">
        <f t="array" aca="1" ref="E234" ca="1">SUMPRODUCT(SUMIF(INDIRECT("'"&amp;Assemblies[Assy]&amp;"'!"&amp;"C:C"),$A234,(INDIRECT("'"&amp;Assemblies[Assy]&amp;"'!"&amp;"O:O"))))</f>
        <v>8</v>
      </c>
      <c r="F234">
        <f ca="1">ROUNDUP(Purchased[[#This Row],[BOM QTY]]/Purchased[[#This Row],[PK QTY]], 0)</f>
        <v>8</v>
      </c>
      <c r="G234">
        <v>8</v>
      </c>
      <c r="H234" t="str">
        <f ca="1">IF(F234&lt;=G234," ","YES")</f>
        <v xml:space="preserve"> </v>
      </c>
      <c r="I234">
        <v>8</v>
      </c>
      <c r="J234">
        <v>8</v>
      </c>
      <c r="K234" t="s">
        <v>3256</v>
      </c>
      <c r="L234" t="s">
        <v>3256</v>
      </c>
      <c r="N234" s="40">
        <v>45506</v>
      </c>
      <c r="O234" s="40">
        <v>45526</v>
      </c>
      <c r="P234" s="40">
        <v>45551</v>
      </c>
      <c r="Q234" s="40">
        <v>45551</v>
      </c>
      <c r="R234">
        <v>55698</v>
      </c>
      <c r="S234" s="40" t="str" cm="1">
        <f t="array" aca="1" ref="S234" ca="1">TRIM(SUBSTITUTE(_xlfn.ARRAYTOTEXT(IFERROR(CONCATENATE(SUMIF(INDIRECT("'"&amp;Assemblies[Assy]&amp;"'!"&amp;"C$5:C1000"), $A234, INDIRECT("'"&amp;Assemblies[Assy]&amp;"'!"&amp;"O$5:O1000")), "x",Assemblies[Assy],".",IF(SUMIF(INDIRECT("'"&amp;Assemblies[Assy]&amp;"'!"&amp;"C$5:C1000"), $A234, INDIRECT("'"&amp;Assemblies[Assy]&amp;"'!"&amp;"A$5:A1000"))=0,NA(),SUMIF(INDIRECT("'"&amp;Assemblies[Assy]&amp;"'!"&amp;"C$5:C1000"), $A234, INDIRECT("'"&amp;Assemblies[Assy]&amp;"'!"&amp;"A$5:A1000")))),"")), " ,", ""))</f>
        <v>, 4x4.1.7.303, 4x4.1.8.303,</v>
      </c>
    </row>
    <row r="235" spans="1:19" hidden="1" x14ac:dyDescent="0.25">
      <c r="A235" s="160" t="s">
        <v>502</v>
      </c>
      <c r="B235" s="160" t="s">
        <v>3260</v>
      </c>
      <c r="C235" s="180">
        <v>45.32</v>
      </c>
      <c r="D235">
        <v>1</v>
      </c>
      <c r="E235" cm="1">
        <f t="array" aca="1" ref="E235" ca="1">SUMPRODUCT(SUMIF(INDIRECT("'"&amp;Assemblies[Assy]&amp;"'!"&amp;"C:C"),$A235,(INDIRECT("'"&amp;Assemblies[Assy]&amp;"'!"&amp;"O:O"))))</f>
        <v>8</v>
      </c>
      <c r="F235">
        <f ca="1">ROUNDUP(Purchased[[#This Row],[BOM QTY]]/Purchased[[#This Row],[PK QTY]], 0)</f>
        <v>8</v>
      </c>
      <c r="G235">
        <v>8</v>
      </c>
      <c r="H235" t="str">
        <f ca="1">IF(F235&lt;=G235," ","YES")</f>
        <v xml:space="preserve"> </v>
      </c>
      <c r="I235">
        <v>8</v>
      </c>
      <c r="J235">
        <v>8</v>
      </c>
      <c r="K235" t="s">
        <v>3256</v>
      </c>
      <c r="L235" t="s">
        <v>3256</v>
      </c>
      <c r="N235" s="40">
        <v>45506</v>
      </c>
      <c r="O235" s="40">
        <v>45526</v>
      </c>
      <c r="P235" s="40">
        <v>45551</v>
      </c>
      <c r="Q235" s="40">
        <v>45551</v>
      </c>
      <c r="R235">
        <v>55698</v>
      </c>
      <c r="S235" s="40" t="str" cm="1">
        <f t="array" aca="1" ref="S235" ca="1">TRIM(SUBSTITUTE(_xlfn.ARRAYTOTEXT(IFERROR(CONCATENATE(SUMIF(INDIRECT("'"&amp;Assemblies[Assy]&amp;"'!"&amp;"C$5:C1000"), $A235, INDIRECT("'"&amp;Assemblies[Assy]&amp;"'!"&amp;"O$5:O1000")), "x",Assemblies[Assy],".",IF(SUMIF(INDIRECT("'"&amp;Assemblies[Assy]&amp;"'!"&amp;"C$5:C1000"), $A235, INDIRECT("'"&amp;Assemblies[Assy]&amp;"'!"&amp;"A$5:A1000"))=0,NA(),SUMIF(INDIRECT("'"&amp;Assemblies[Assy]&amp;"'!"&amp;"C$5:C1000"), $A235, INDIRECT("'"&amp;Assemblies[Assy]&amp;"'!"&amp;"A$5:A1000")))),"")), " ,", ""))</f>
        <v>, 2x3.4.305, 1x4.3.305, 4x4.4.1.303, 1x4.4.2.308,</v>
      </c>
    </row>
    <row r="236" spans="1:19" hidden="1" x14ac:dyDescent="0.25">
      <c r="A236" s="160" t="s">
        <v>940</v>
      </c>
      <c r="B236" s="160" t="s">
        <v>3269</v>
      </c>
      <c r="C236" s="180">
        <v>20.76</v>
      </c>
      <c r="D236">
        <v>1</v>
      </c>
      <c r="E236" cm="1">
        <f t="array" aca="1" ref="E236" ca="1">SUMPRODUCT(SUMIF(INDIRECT("'"&amp;Assemblies[Assy]&amp;"'!"&amp;"C:C"),$A236,(INDIRECT("'"&amp;Assemblies[Assy]&amp;"'!"&amp;"O:O"))))</f>
        <v>8</v>
      </c>
      <c r="F236">
        <f ca="1">ROUNDUP(Purchased[[#This Row],[BOM QTY]]/Purchased[[#This Row],[PK QTY]], 0)</f>
        <v>8</v>
      </c>
      <c r="G236">
        <v>8</v>
      </c>
      <c r="H236" t="str">
        <f ca="1">IF(F236&lt;=G236," ","YES")</f>
        <v xml:space="preserve"> </v>
      </c>
      <c r="I236">
        <v>8</v>
      </c>
      <c r="J236">
        <v>8</v>
      </c>
      <c r="K236" t="s">
        <v>3256</v>
      </c>
      <c r="L236" t="s">
        <v>3256</v>
      </c>
      <c r="N236" s="40">
        <v>45506</v>
      </c>
      <c r="O236" s="40">
        <v>45526</v>
      </c>
      <c r="P236" s="40">
        <v>45551</v>
      </c>
      <c r="Q236" s="40">
        <v>45551</v>
      </c>
      <c r="R236">
        <v>55698</v>
      </c>
      <c r="S236" s="40" t="str" cm="1">
        <f t="array" aca="1" ref="S236" ca="1">TRIM(SUBSTITUTE(_xlfn.ARRAYTOTEXT(IFERROR(CONCATENATE(SUMIF(INDIRECT("'"&amp;Assemblies[Assy]&amp;"'!"&amp;"C$5:C1000"), $A236, INDIRECT("'"&amp;Assemblies[Assy]&amp;"'!"&amp;"O$5:O1000")), "x",Assemblies[Assy],".",IF(SUMIF(INDIRECT("'"&amp;Assemblies[Assy]&amp;"'!"&amp;"C$5:C1000"), $A236, INDIRECT("'"&amp;Assemblies[Assy]&amp;"'!"&amp;"A$5:A1000"))=0,NA(),SUMIF(INDIRECT("'"&amp;Assemblies[Assy]&amp;"'!"&amp;"C$5:C1000"), $A236, INDIRECT("'"&amp;Assemblies[Assy]&amp;"'!"&amp;"A$5:A1000")))),"")), " ,", ""))</f>
        <v>, 4x6.2.1.1.303, 4x6.3.1.1.303,</v>
      </c>
    </row>
    <row r="237" spans="1:19" hidden="1" x14ac:dyDescent="0.25">
      <c r="A237" s="160" t="s">
        <v>1008</v>
      </c>
      <c r="B237" s="160" t="s">
        <v>3263</v>
      </c>
      <c r="C237" s="180">
        <v>7.78</v>
      </c>
      <c r="D237">
        <v>1</v>
      </c>
      <c r="E237" cm="1">
        <f t="array" aca="1" ref="E237" ca="1">SUMPRODUCT(SUMIF(INDIRECT("'"&amp;Assemblies[Assy]&amp;"'!"&amp;"C:C"),$A237,(INDIRECT("'"&amp;Assemblies[Assy]&amp;"'!"&amp;"O:O"))))</f>
        <v>12</v>
      </c>
      <c r="F237">
        <f ca="1">ROUNDUP(Purchased[[#This Row],[BOM QTY]]/Purchased[[#This Row],[PK QTY]], 0)</f>
        <v>12</v>
      </c>
      <c r="G237">
        <v>12</v>
      </c>
      <c r="H237" t="str">
        <f ca="1">IF(F237&lt;=G237," ","YES")</f>
        <v xml:space="preserve"> </v>
      </c>
      <c r="I237">
        <v>12</v>
      </c>
      <c r="J237">
        <v>12</v>
      </c>
      <c r="K237" t="s">
        <v>3256</v>
      </c>
      <c r="L237" t="s">
        <v>3256</v>
      </c>
      <c r="N237" s="40">
        <v>45506</v>
      </c>
      <c r="O237" s="40">
        <v>45526</v>
      </c>
      <c r="P237" s="40">
        <v>45551</v>
      </c>
      <c r="Q237" s="40">
        <v>45551</v>
      </c>
      <c r="R237">
        <v>55698</v>
      </c>
      <c r="S237" s="40" t="str" cm="1">
        <f t="array" aca="1" ref="S237" ca="1">TRIM(SUBSTITUTE(_xlfn.ARRAYTOTEXT(IFERROR(CONCATENATE(SUMIF(INDIRECT("'"&amp;Assemblies[Assy]&amp;"'!"&amp;"C$5:C1000"), $A237, INDIRECT("'"&amp;Assemblies[Assy]&amp;"'!"&amp;"O$5:O1000")), "x",Assemblies[Assy],".",IF(SUMIF(INDIRECT("'"&amp;Assemblies[Assy]&amp;"'!"&amp;"C$5:C1000"), $A237, INDIRECT("'"&amp;Assemblies[Assy]&amp;"'!"&amp;"A$5:A1000"))=0,NA(),SUMIF(INDIRECT("'"&amp;Assemblies[Assy]&amp;"'!"&amp;"C$5:C1000"), $A237, INDIRECT("'"&amp;Assemblies[Assy]&amp;"'!"&amp;"A$5:A1000")))),"")), " ,", ""))</f>
        <v>, 4x6.2.3.2.301, 4x6.2.3.3.301, 4x6.10.1.301,</v>
      </c>
    </row>
    <row r="238" spans="1:19" hidden="1" x14ac:dyDescent="0.25">
      <c r="A238" s="160" t="s">
        <v>500</v>
      </c>
      <c r="B238" s="160" t="s">
        <v>3268</v>
      </c>
      <c r="C238" s="180">
        <v>87.05</v>
      </c>
      <c r="D238">
        <v>1</v>
      </c>
      <c r="E238" cm="1">
        <f t="array" aca="1" ref="E238" ca="1">SUMPRODUCT(SUMIF(INDIRECT("'"&amp;Assemblies[Assy]&amp;"'!"&amp;"C:C"),$A238,(INDIRECT("'"&amp;Assemblies[Assy]&amp;"'!"&amp;"O:O"))))</f>
        <v>15</v>
      </c>
      <c r="F238">
        <f ca="1">ROUNDUP(Purchased[[#This Row],[BOM QTY]]/Purchased[[#This Row],[PK QTY]], 0)</f>
        <v>15</v>
      </c>
      <c r="G238">
        <v>15</v>
      </c>
      <c r="H238" t="str">
        <f ca="1">IF(F238&lt;=G238," ","YES")</f>
        <v xml:space="preserve"> </v>
      </c>
      <c r="I238">
        <v>15</v>
      </c>
      <c r="J238">
        <v>15</v>
      </c>
      <c r="K238" t="s">
        <v>3256</v>
      </c>
      <c r="L238" t="s">
        <v>3256</v>
      </c>
      <c r="N238" s="40">
        <v>45506</v>
      </c>
      <c r="O238" s="40">
        <v>45526</v>
      </c>
      <c r="P238" s="40">
        <v>45551</v>
      </c>
      <c r="Q238" s="40">
        <v>45551</v>
      </c>
      <c r="R238">
        <v>55698</v>
      </c>
      <c r="S238" s="40" t="str" cm="1">
        <f t="array" aca="1" ref="S238" ca="1">TRIM(SUBSTITUTE(_xlfn.ARRAYTOTEXT(IFERROR(CONCATENATE(SUMIF(INDIRECT("'"&amp;Assemblies[Assy]&amp;"'!"&amp;"C$5:C1000"), $A238, INDIRECT("'"&amp;Assemblies[Assy]&amp;"'!"&amp;"O$5:O1000")), "x",Assemblies[Assy],".",IF(SUMIF(INDIRECT("'"&amp;Assemblies[Assy]&amp;"'!"&amp;"C$5:C1000"), $A238, INDIRECT("'"&amp;Assemblies[Assy]&amp;"'!"&amp;"A$5:A1000"))=0,NA(),SUMIF(INDIRECT("'"&amp;Assemblies[Assy]&amp;"'!"&amp;"C$5:C1000"), $A238, INDIRECT("'"&amp;Assemblies[Assy]&amp;"'!"&amp;"A$5:A1000")))),"")), " ,", ""))</f>
        <v>, 2x3.4.303, 1x4.3.304, 4x4.4.1.301, 1x4.4.2.309, 1x4.5.1.309, 1x5.3.312, 1x6.1.310, 3x7.1.1.303, 1x8.3.302,</v>
      </c>
    </row>
    <row r="239" spans="1:19" hidden="1" x14ac:dyDescent="0.25">
      <c r="A239" s="160" t="s">
        <v>501</v>
      </c>
      <c r="B239" s="160" t="s">
        <v>3262</v>
      </c>
      <c r="C239" s="180">
        <v>258</v>
      </c>
      <c r="D239">
        <v>1</v>
      </c>
      <c r="E239" cm="1">
        <f t="array" aca="1" ref="E239" ca="1">SUMPRODUCT(SUMIF(INDIRECT("'"&amp;Assemblies[Assy]&amp;"'!"&amp;"C:C"),$A239,(INDIRECT("'"&amp;Assemblies[Assy]&amp;"'!"&amp;"O:O"))))</f>
        <v>19</v>
      </c>
      <c r="F239">
        <f ca="1">ROUNDUP(Purchased[[#This Row],[BOM QTY]]/Purchased[[#This Row],[PK QTY]], 0)</f>
        <v>19</v>
      </c>
      <c r="G239">
        <v>19</v>
      </c>
      <c r="H239" t="str">
        <f ca="1">IF(F239&lt;=G239," ","YES")</f>
        <v xml:space="preserve"> </v>
      </c>
      <c r="I239">
        <v>19</v>
      </c>
      <c r="J239">
        <v>19</v>
      </c>
      <c r="K239" t="s">
        <v>3256</v>
      </c>
      <c r="L239" t="s">
        <v>3256</v>
      </c>
      <c r="N239" s="40">
        <v>45506</v>
      </c>
      <c r="O239" s="40">
        <v>45526</v>
      </c>
      <c r="P239" s="40">
        <v>45551</v>
      </c>
      <c r="Q239" s="40">
        <v>45551</v>
      </c>
      <c r="R239">
        <v>55698</v>
      </c>
      <c r="S239" s="40" t="str" cm="1">
        <f t="array" aca="1" ref="S239" ca="1">TRIM(SUBSTITUTE(_xlfn.ARRAYTOTEXT(IFERROR(CONCATENATE(SUMIF(INDIRECT("'"&amp;Assemblies[Assy]&amp;"'!"&amp;"C$5:C1000"), $A239, INDIRECT("'"&amp;Assemblies[Assy]&amp;"'!"&amp;"O$5:O1000")), "x",Assemblies[Assy],".",IF(SUMIF(INDIRECT("'"&amp;Assemblies[Assy]&amp;"'!"&amp;"C$5:C1000"), $A239, INDIRECT("'"&amp;Assemblies[Assy]&amp;"'!"&amp;"A$5:A1000"))=0,NA(),SUMIF(INDIRECT("'"&amp;Assemblies[Assy]&amp;"'!"&amp;"C$5:C1000"), $A239, INDIRECT("'"&amp;Assemblies[Assy]&amp;"'!"&amp;"A$5:A1000")))),"")), " ,", ""))</f>
        <v>, 2x3.4.304, 1x4.3.303, 4x4.4.1.302, 1x4.4.2.307, 1x4.5.1.308, 3x5.3.311, 3x6.1.309, 3x7.1.1.302, 1x8.3.303,</v>
      </c>
    </row>
    <row r="240" spans="1:19" hidden="1" x14ac:dyDescent="0.25">
      <c r="A240" s="160" t="s">
        <v>427</v>
      </c>
      <c r="B240" s="160" t="s">
        <v>3266</v>
      </c>
      <c r="C240" s="180">
        <v>11.6</v>
      </c>
      <c r="D240">
        <v>1</v>
      </c>
      <c r="E240" cm="1">
        <f t="array" aca="1" ref="E240" ca="1">SUMPRODUCT(SUMIF(INDIRECT("'"&amp;Assemblies[Assy]&amp;"'!"&amp;"C:C"),$A240,(INDIRECT("'"&amp;Assemblies[Assy]&amp;"'!"&amp;"O:O"))))</f>
        <v>32</v>
      </c>
      <c r="F240">
        <f ca="1">ROUNDUP(Purchased[[#This Row],[BOM QTY]]/Purchased[[#This Row],[PK QTY]], 0)</f>
        <v>32</v>
      </c>
      <c r="G240">
        <v>32</v>
      </c>
      <c r="H240" t="str">
        <f ca="1">IF(F240&lt;=G240," ","YES")</f>
        <v xml:space="preserve"> </v>
      </c>
      <c r="I240">
        <v>32</v>
      </c>
      <c r="J240">
        <v>32</v>
      </c>
      <c r="K240" t="s">
        <v>3256</v>
      </c>
      <c r="L240" t="s">
        <v>3256</v>
      </c>
      <c r="N240" s="40">
        <v>45506</v>
      </c>
      <c r="O240" s="40">
        <v>45526</v>
      </c>
      <c r="P240" s="40">
        <v>45551</v>
      </c>
      <c r="Q240" s="40">
        <v>45551</v>
      </c>
      <c r="R240">
        <v>55698</v>
      </c>
      <c r="S240" s="40" t="str" cm="1">
        <f t="array" aca="1" ref="S240" ca="1">TRIM(SUBSTITUTE(_xlfn.ARRAYTOTEXT(IFERROR(CONCATENATE(SUMIF(INDIRECT("'"&amp;Assemblies[Assy]&amp;"'!"&amp;"C$5:C1000"), $A240, INDIRECT("'"&amp;Assemblies[Assy]&amp;"'!"&amp;"O$5:O1000")), "x",Assemblies[Assy],".",IF(SUMIF(INDIRECT("'"&amp;Assemblies[Assy]&amp;"'!"&amp;"C$5:C1000"), $A240, INDIRECT("'"&amp;Assemblies[Assy]&amp;"'!"&amp;"A$5:A1000"))=0,NA(),SUMIF(INDIRECT("'"&amp;Assemblies[Assy]&amp;"'!"&amp;"C$5:C1000"), $A240, INDIRECT("'"&amp;Assemblies[Assy]&amp;"'!"&amp;"A$5:A1000")))),"")), " ,", ""))</f>
        <v>, 12x2.3.320, 16x8.4.302, 4x9.5.302,</v>
      </c>
    </row>
    <row r="241" spans="1:19" hidden="1" x14ac:dyDescent="0.25">
      <c r="A241" s="160" t="s">
        <v>352</v>
      </c>
      <c r="B241" s="160" t="s">
        <v>3255</v>
      </c>
      <c r="C241" s="180">
        <v>10.81</v>
      </c>
      <c r="D241">
        <v>1</v>
      </c>
      <c r="E241" cm="1">
        <f t="array" aca="1" ref="E241" ca="1">SUMPRODUCT(SUMIF(INDIRECT("'"&amp;Assemblies[Assy]&amp;"'!"&amp;"C:C"),$A241,(INDIRECT("'"&amp;Assemblies[Assy]&amp;"'!"&amp;"O:O"))))</f>
        <v>36</v>
      </c>
      <c r="F241">
        <f ca="1">ROUNDUP(Purchased[[#This Row],[BOM QTY]]/Purchased[[#This Row],[PK QTY]], 0)</f>
        <v>36</v>
      </c>
      <c r="G241">
        <v>36</v>
      </c>
      <c r="H241" t="str">
        <f ca="1">IF(F241&lt;=G241," ","YES")</f>
        <v xml:space="preserve"> </v>
      </c>
      <c r="I241">
        <v>36</v>
      </c>
      <c r="J241">
        <v>36</v>
      </c>
      <c r="K241" t="s">
        <v>3256</v>
      </c>
      <c r="L241" t="s">
        <v>3256</v>
      </c>
      <c r="N241" s="40">
        <v>45506</v>
      </c>
      <c r="O241" s="40">
        <v>45526</v>
      </c>
      <c r="P241" s="40">
        <v>45551</v>
      </c>
      <c r="Q241" s="40">
        <v>45551</v>
      </c>
      <c r="R241">
        <v>55698</v>
      </c>
      <c r="S241" s="40" t="str" cm="1">
        <f t="array" aca="1" ref="S241" ca="1">TRIM(SUBSTITUTE(_xlfn.ARRAYTOTEXT(IFERROR(CONCATENATE(SUMIF(INDIRECT("'"&amp;Assemblies[Assy]&amp;"'!"&amp;"C$5:C1000"), $A241, INDIRECT("'"&amp;Assemblies[Assy]&amp;"'!"&amp;"O$5:O1000")), "x",Assemblies[Assy],".",IF(SUMIF(INDIRECT("'"&amp;Assemblies[Assy]&amp;"'!"&amp;"C$5:C1000"), $A241, INDIRECT("'"&amp;Assemblies[Assy]&amp;"'!"&amp;"A$5:A1000"))=0,NA(),SUMIF(INDIRECT("'"&amp;Assemblies[Assy]&amp;"'!"&amp;"C$5:C1000"), $A241, INDIRECT("'"&amp;Assemblies[Assy]&amp;"'!"&amp;"A$5:A1000")))),"")), " ,", ""))</f>
        <v>, 36x1.4.2.302,</v>
      </c>
    </row>
    <row r="242" spans="1:19" hidden="1" x14ac:dyDescent="0.25">
      <c r="A242" s="162" t="s">
        <v>184</v>
      </c>
      <c r="B242" s="160" t="s">
        <v>3270</v>
      </c>
      <c r="C242" s="180">
        <v>1214.6600000000001</v>
      </c>
      <c r="D242">
        <v>1</v>
      </c>
      <c r="E242" cm="1">
        <f t="array" aca="1" ref="E242" ca="1">SUMPRODUCT(SUMIF(INDIRECT("'"&amp;Assemblies[Assy]&amp;"'!"&amp;"C:C"),$A242,(INDIRECT("'"&amp;Assemblies[Assy]&amp;"'!"&amp;"O:O"))))</f>
        <v>2</v>
      </c>
      <c r="F242">
        <f ca="1">ROUNDUP(Purchased[[#This Row],[BOM QTY]]/Purchased[[#This Row],[PK QTY]], 0)</f>
        <v>2</v>
      </c>
      <c r="G242">
        <v>2</v>
      </c>
      <c r="H242" t="str">
        <f ca="1">IF(F242&lt;=G242," ","YES")</f>
        <v xml:space="preserve"> </v>
      </c>
      <c r="I242">
        <v>2</v>
      </c>
      <c r="J242">
        <v>2</v>
      </c>
      <c r="K242" s="160" t="s">
        <v>3220</v>
      </c>
      <c r="L242" t="s">
        <v>3271</v>
      </c>
      <c r="N242" s="40">
        <v>45456</v>
      </c>
      <c r="O242" s="40">
        <v>45456</v>
      </c>
      <c r="P242" s="40">
        <v>45498</v>
      </c>
      <c r="Q242" s="40">
        <v>45498</v>
      </c>
      <c r="R242">
        <v>55552</v>
      </c>
      <c r="S242" s="40" t="str" cm="1">
        <f t="array" aca="1" ref="S242" ca="1">TRIM(SUBSTITUTE(_xlfn.ARRAYTOTEXT(IFERROR(CONCATENATE(SUMIF(INDIRECT("'"&amp;Assemblies[Assy]&amp;"'!"&amp;"C$5:C1000"), $A242, INDIRECT("'"&amp;Assemblies[Assy]&amp;"'!"&amp;"O$5:O1000")), "x",Assemblies[Assy],".",IF(SUMIF(INDIRECT("'"&amp;Assemblies[Assy]&amp;"'!"&amp;"C$5:C1000"), $A242, INDIRECT("'"&amp;Assemblies[Assy]&amp;"'!"&amp;"A$5:A1000"))=0,NA(),SUMIF(INDIRECT("'"&amp;Assemblies[Assy]&amp;"'!"&amp;"C$5:C1000"), $A242, INDIRECT("'"&amp;Assemblies[Assy]&amp;"'!"&amp;"A$5:A1000")))),"")), " ,", ""))</f>
        <v>, 2x1.1.5.303,</v>
      </c>
    </row>
    <row r="243" spans="1:19" hidden="1" x14ac:dyDescent="0.25">
      <c r="A243" s="160" t="s">
        <v>608</v>
      </c>
      <c r="B243" s="160" t="s">
        <v>3275</v>
      </c>
      <c r="C243" s="180">
        <v>20.033000000000001</v>
      </c>
      <c r="D243">
        <v>1</v>
      </c>
      <c r="E243" cm="1">
        <f t="array" aca="1" ref="E243" ca="1">SUMPRODUCT(SUMIF(INDIRECT("'"&amp;Assemblies[Assy]&amp;"'!"&amp;"C:C"),$A243,(INDIRECT("'"&amp;Assemblies[Assy]&amp;"'!"&amp;"O:O"))))</f>
        <v>1</v>
      </c>
      <c r="F243">
        <f ca="1">ROUNDUP(Purchased[[#This Row],[BOM QTY]]/Purchased[[#This Row],[PK QTY]], 0)</f>
        <v>1</v>
      </c>
      <c r="G243">
        <v>1</v>
      </c>
      <c r="H243" t="str">
        <f ca="1">IF(F243&lt;=G243," ","YES")</f>
        <v xml:space="preserve"> </v>
      </c>
      <c r="I243">
        <v>1</v>
      </c>
      <c r="J243">
        <v>1</v>
      </c>
      <c r="K243" t="s">
        <v>3273</v>
      </c>
      <c r="L243" t="s">
        <v>3273</v>
      </c>
      <c r="N243" s="40">
        <v>45489</v>
      </c>
      <c r="O243" s="40">
        <v>45489</v>
      </c>
      <c r="P243" s="40">
        <v>45534</v>
      </c>
      <c r="Q243" s="40">
        <v>45534</v>
      </c>
      <c r="R243">
        <v>55604</v>
      </c>
      <c r="S243" s="40" t="str" cm="1">
        <f t="array" aca="1" ref="S243" ca="1">TRIM(SUBSTITUTE(_xlfn.ARRAYTOTEXT(IFERROR(CONCATENATE(SUMIF(INDIRECT("'"&amp;Assemblies[Assy]&amp;"'!"&amp;"C$5:C1000"), $A243, INDIRECT("'"&amp;Assemblies[Assy]&amp;"'!"&amp;"O$5:O1000")), "x",Assemblies[Assy],".",IF(SUMIF(INDIRECT("'"&amp;Assemblies[Assy]&amp;"'!"&amp;"C$5:C1000"), $A243, INDIRECT("'"&amp;Assemblies[Assy]&amp;"'!"&amp;"A$5:A1000"))=0,NA(),SUMIF(INDIRECT("'"&amp;Assemblies[Assy]&amp;"'!"&amp;"C$5:C1000"), $A243, INDIRECT("'"&amp;Assemblies[Assy]&amp;"'!"&amp;"A$5:A1000")))),"")), " ,", ""))</f>
        <v>, 1x4.3.309,</v>
      </c>
    </row>
    <row r="244" spans="1:19" hidden="1" x14ac:dyDescent="0.25">
      <c r="A244" s="160" t="s">
        <v>605</v>
      </c>
      <c r="B244" s="160" t="s">
        <v>3278</v>
      </c>
      <c r="C244" s="180">
        <v>266.61</v>
      </c>
      <c r="D244">
        <v>1</v>
      </c>
      <c r="E244" cm="1">
        <f t="array" aca="1" ref="E244" ca="1">SUMPRODUCT(SUMIF(INDIRECT("'"&amp;Assemblies[Assy]&amp;"'!"&amp;"C:C"),$A244,(INDIRECT("'"&amp;Assemblies[Assy]&amp;"'!"&amp;"O:O"))))</f>
        <v>1</v>
      </c>
      <c r="F244">
        <f ca="1">ROUNDUP(Purchased[[#This Row],[BOM QTY]]/Purchased[[#This Row],[PK QTY]], 0)</f>
        <v>1</v>
      </c>
      <c r="G244">
        <v>1</v>
      </c>
      <c r="H244" t="str">
        <f ca="1">IF(F244&lt;=G244," ","YES")</f>
        <v xml:space="preserve"> </v>
      </c>
      <c r="I244">
        <v>1</v>
      </c>
      <c r="J244">
        <v>1</v>
      </c>
      <c r="K244" t="s">
        <v>3273</v>
      </c>
      <c r="L244" t="s">
        <v>3273</v>
      </c>
      <c r="N244" s="40">
        <v>45489</v>
      </c>
      <c r="O244" s="40">
        <v>45489</v>
      </c>
      <c r="P244" s="40">
        <v>45534</v>
      </c>
      <c r="Q244" s="40">
        <v>45534</v>
      </c>
      <c r="R244">
        <v>55604</v>
      </c>
      <c r="S244" s="40" t="str" cm="1">
        <f t="array" aca="1" ref="S244" ca="1">TRIM(SUBSTITUTE(_xlfn.ARRAYTOTEXT(IFERROR(CONCATENATE(SUMIF(INDIRECT("'"&amp;Assemblies[Assy]&amp;"'!"&amp;"C$5:C1000"), $A244, INDIRECT("'"&amp;Assemblies[Assy]&amp;"'!"&amp;"O$5:O1000")), "x",Assemblies[Assy],".",IF(SUMIF(INDIRECT("'"&amp;Assemblies[Assy]&amp;"'!"&amp;"C$5:C1000"), $A244, INDIRECT("'"&amp;Assemblies[Assy]&amp;"'!"&amp;"A$5:A1000"))=0,NA(),SUMIF(INDIRECT("'"&amp;Assemblies[Assy]&amp;"'!"&amp;"C$5:C1000"), $A244, INDIRECT("'"&amp;Assemblies[Assy]&amp;"'!"&amp;"A$5:A1000")))),"")), " ,", ""))</f>
        <v>, 1x4.3.306,</v>
      </c>
    </row>
    <row r="245" spans="1:19" hidden="1" x14ac:dyDescent="0.25">
      <c r="A245" s="160" t="s">
        <v>606</v>
      </c>
      <c r="B245" s="160" t="s">
        <v>3281</v>
      </c>
      <c r="C245" s="180">
        <v>48.79</v>
      </c>
      <c r="D245">
        <v>1</v>
      </c>
      <c r="E245" cm="1">
        <f t="array" aca="1" ref="E245" ca="1">SUMPRODUCT(SUMIF(INDIRECT("'"&amp;Assemblies[Assy]&amp;"'!"&amp;"C:C"),$A245,(INDIRECT("'"&amp;Assemblies[Assy]&amp;"'!"&amp;"O:O"))))</f>
        <v>1</v>
      </c>
      <c r="F245">
        <f ca="1">ROUNDUP(Purchased[[#This Row],[BOM QTY]]/Purchased[[#This Row],[PK QTY]], 0)</f>
        <v>1</v>
      </c>
      <c r="G245">
        <v>1</v>
      </c>
      <c r="H245" t="str">
        <f ca="1">IF(F245&lt;=G245," ","YES")</f>
        <v xml:space="preserve"> </v>
      </c>
      <c r="I245">
        <v>1</v>
      </c>
      <c r="J245">
        <v>1</v>
      </c>
      <c r="K245" t="s">
        <v>3273</v>
      </c>
      <c r="L245" t="s">
        <v>3273</v>
      </c>
      <c r="N245" s="40">
        <v>45489</v>
      </c>
      <c r="O245" s="40">
        <v>45489</v>
      </c>
      <c r="P245" s="40">
        <v>45534</v>
      </c>
      <c r="Q245" s="40">
        <v>45534</v>
      </c>
      <c r="R245">
        <v>55604</v>
      </c>
      <c r="S245" s="40" t="str" cm="1">
        <f t="array" aca="1" ref="S245" ca="1">TRIM(SUBSTITUTE(_xlfn.ARRAYTOTEXT(IFERROR(CONCATENATE(SUMIF(INDIRECT("'"&amp;Assemblies[Assy]&amp;"'!"&amp;"C$5:C1000"), $A245, INDIRECT("'"&amp;Assemblies[Assy]&amp;"'!"&amp;"O$5:O1000")), "x",Assemblies[Assy],".",IF(SUMIF(INDIRECT("'"&amp;Assemblies[Assy]&amp;"'!"&amp;"C$5:C1000"), $A245, INDIRECT("'"&amp;Assemblies[Assy]&amp;"'!"&amp;"A$5:A1000"))=0,NA(),SUMIF(INDIRECT("'"&amp;Assemblies[Assy]&amp;"'!"&amp;"C$5:C1000"), $A245, INDIRECT("'"&amp;Assemblies[Assy]&amp;"'!"&amp;"A$5:A1000")))),"")), " ,", ""))</f>
        <v>, 1x4.3.307,</v>
      </c>
    </row>
    <row r="246" spans="1:19" hidden="1" x14ac:dyDescent="0.25">
      <c r="A246" s="160" t="s">
        <v>607</v>
      </c>
      <c r="B246" s="160" t="s">
        <v>3282</v>
      </c>
      <c r="C246" s="180">
        <v>88.84</v>
      </c>
      <c r="D246">
        <v>1</v>
      </c>
      <c r="E246" cm="1">
        <f t="array" aca="1" ref="E246" ca="1">SUMPRODUCT(SUMIF(INDIRECT("'"&amp;Assemblies[Assy]&amp;"'!"&amp;"C:C"),$A246,(INDIRECT("'"&amp;Assemblies[Assy]&amp;"'!"&amp;"O:O"))))</f>
        <v>1</v>
      </c>
      <c r="F246">
        <f ca="1">ROUNDUP(Purchased[[#This Row],[BOM QTY]]/Purchased[[#This Row],[PK QTY]], 0)</f>
        <v>1</v>
      </c>
      <c r="G246">
        <v>1</v>
      </c>
      <c r="H246" t="str">
        <f ca="1">IF(F246&lt;=G246," ","YES")</f>
        <v xml:space="preserve"> </v>
      </c>
      <c r="I246">
        <v>1</v>
      </c>
      <c r="J246">
        <v>1</v>
      </c>
      <c r="K246" t="s">
        <v>3273</v>
      </c>
      <c r="L246" t="s">
        <v>3273</v>
      </c>
      <c r="N246" s="40">
        <v>45489</v>
      </c>
      <c r="O246" s="40">
        <v>45489</v>
      </c>
      <c r="P246" s="40">
        <v>45534</v>
      </c>
      <c r="Q246" s="40">
        <v>45534</v>
      </c>
      <c r="R246">
        <v>55604</v>
      </c>
      <c r="S246" s="40" t="str" cm="1">
        <f t="array" aca="1" ref="S246" ca="1">TRIM(SUBSTITUTE(_xlfn.ARRAYTOTEXT(IFERROR(CONCATENATE(SUMIF(INDIRECT("'"&amp;Assemblies[Assy]&amp;"'!"&amp;"C$5:C1000"), $A246, INDIRECT("'"&amp;Assemblies[Assy]&amp;"'!"&amp;"O$5:O1000")), "x",Assemblies[Assy],".",IF(SUMIF(INDIRECT("'"&amp;Assemblies[Assy]&amp;"'!"&amp;"C$5:C1000"), $A246, INDIRECT("'"&amp;Assemblies[Assy]&amp;"'!"&amp;"A$5:A1000"))=0,NA(),SUMIF(INDIRECT("'"&amp;Assemblies[Assy]&amp;"'!"&amp;"C$5:C1000"), $A246, INDIRECT("'"&amp;Assemblies[Assy]&amp;"'!"&amp;"A$5:A1000")))),"")), " ,", ""))</f>
        <v>, 1x4.3.308,</v>
      </c>
    </row>
    <row r="247" spans="1:19" hidden="1" x14ac:dyDescent="0.25">
      <c r="A247" s="161" t="s">
        <v>1278</v>
      </c>
      <c r="B247" s="160" t="s">
        <v>3272</v>
      </c>
      <c r="C247" s="180">
        <v>53.95</v>
      </c>
      <c r="D247">
        <v>1</v>
      </c>
      <c r="E247" cm="1">
        <f t="array" aca="1" ref="E247" ca="1">SUMPRODUCT(SUMIF(INDIRECT("'"&amp;Assemblies[Assy]&amp;"'!"&amp;"C:C"),$A247,(INDIRECT("'"&amp;Assemblies[Assy]&amp;"'!"&amp;"O:O"))))</f>
        <v>2</v>
      </c>
      <c r="F247">
        <f ca="1">ROUNDUP(Purchased[[#This Row],[BOM QTY]]/Purchased[[#This Row],[PK QTY]], 0)</f>
        <v>2</v>
      </c>
      <c r="G247">
        <v>2</v>
      </c>
      <c r="H247" t="str">
        <f ca="1">IF(F247&lt;=G247," ","YES")</f>
        <v xml:space="preserve"> </v>
      </c>
      <c r="I247">
        <v>2</v>
      </c>
      <c r="J247">
        <v>2</v>
      </c>
      <c r="K247" t="s">
        <v>3273</v>
      </c>
      <c r="L247" t="s">
        <v>3273</v>
      </c>
      <c r="N247" s="40">
        <v>45489</v>
      </c>
      <c r="O247" s="40">
        <v>45489</v>
      </c>
      <c r="P247" s="40">
        <v>45534</v>
      </c>
      <c r="Q247" s="40">
        <v>45534</v>
      </c>
      <c r="R247">
        <v>55604</v>
      </c>
      <c r="S247" s="40" t="str" cm="1">
        <f t="array" aca="1" ref="S247" ca="1">TRIM(SUBSTITUTE(_xlfn.ARRAYTOTEXT(IFERROR(CONCATENATE(SUMIF(INDIRECT("'"&amp;Assemblies[Assy]&amp;"'!"&amp;"C$5:C1000"), $A247, INDIRECT("'"&amp;Assemblies[Assy]&amp;"'!"&amp;"O$5:O1000")), "x",Assemblies[Assy],".",IF(SUMIF(INDIRECT("'"&amp;Assemblies[Assy]&amp;"'!"&amp;"C$5:C1000"), $A247, INDIRECT("'"&amp;Assemblies[Assy]&amp;"'!"&amp;"A$5:A1000"))=0,NA(),SUMIF(INDIRECT("'"&amp;Assemblies[Assy]&amp;"'!"&amp;"C$5:C1000"), $A247, INDIRECT("'"&amp;Assemblies[Assy]&amp;"'!"&amp;"A$5:A1000")))),"")), " ,", ""))</f>
        <v>, 2x9.1.306,</v>
      </c>
    </row>
    <row r="248" spans="1:19" hidden="1" x14ac:dyDescent="0.25">
      <c r="A248" s="160" t="s">
        <v>898</v>
      </c>
      <c r="B248" s="160" t="s">
        <v>3274</v>
      </c>
      <c r="C248" s="180">
        <v>2.68</v>
      </c>
      <c r="D248">
        <v>1</v>
      </c>
      <c r="E248" cm="1">
        <f t="array" aca="1" ref="E248" ca="1">SUMPRODUCT(SUMIF(INDIRECT("'"&amp;Assemblies[Assy]&amp;"'!"&amp;"C:C"),$A248,(INDIRECT("'"&amp;Assemblies[Assy]&amp;"'!"&amp;"O:O"))))</f>
        <v>2</v>
      </c>
      <c r="F248">
        <f ca="1">ROUNDUP(Purchased[[#This Row],[BOM QTY]]/Purchased[[#This Row],[PK QTY]], 0)</f>
        <v>2</v>
      </c>
      <c r="G248">
        <v>2</v>
      </c>
      <c r="H248" t="str">
        <f ca="1">IF(F248&lt;=G248," ","YES")</f>
        <v xml:space="preserve"> </v>
      </c>
      <c r="I248">
        <v>2</v>
      </c>
      <c r="J248">
        <v>2</v>
      </c>
      <c r="K248" t="s">
        <v>3273</v>
      </c>
      <c r="L248" t="s">
        <v>3273</v>
      </c>
      <c r="N248" s="40">
        <v>45489</v>
      </c>
      <c r="O248" s="40">
        <v>45489</v>
      </c>
      <c r="P248" s="40">
        <v>45534</v>
      </c>
      <c r="Q248" s="40">
        <v>45534</v>
      </c>
      <c r="R248">
        <v>55604</v>
      </c>
      <c r="S248" s="40" t="str" cm="1">
        <f t="array" aca="1" ref="S248" ca="1">TRIM(SUBSTITUTE(_xlfn.ARRAYTOTEXT(IFERROR(CONCATENATE(SUMIF(INDIRECT("'"&amp;Assemblies[Assy]&amp;"'!"&amp;"C$5:C1000"), $A248, INDIRECT("'"&amp;Assemblies[Assy]&amp;"'!"&amp;"O$5:O1000")), "x",Assemblies[Assy],".",IF(SUMIF(INDIRECT("'"&amp;Assemblies[Assy]&amp;"'!"&amp;"C$5:C1000"), $A248, INDIRECT("'"&amp;Assemblies[Assy]&amp;"'!"&amp;"A$5:A1000"))=0,NA(),SUMIF(INDIRECT("'"&amp;Assemblies[Assy]&amp;"'!"&amp;"C$5:C1000"), $A248, INDIRECT("'"&amp;Assemblies[Assy]&amp;"'!"&amp;"A$5:A1000")))),"")), " ,", ""))</f>
        <v>, 2x6.1.328,</v>
      </c>
    </row>
    <row r="249" spans="1:19" hidden="1" x14ac:dyDescent="0.25">
      <c r="A249" s="160" t="s">
        <v>1193</v>
      </c>
      <c r="B249" s="160" t="s">
        <v>3276</v>
      </c>
      <c r="C249" s="180">
        <v>18.940000000000001</v>
      </c>
      <c r="D249">
        <v>1</v>
      </c>
      <c r="E249" cm="1">
        <f t="array" aca="1" ref="E249" ca="1">SUMPRODUCT(SUMIF(INDIRECT("'"&amp;Assemblies[Assy]&amp;"'!"&amp;"C:C"),$A249,(INDIRECT("'"&amp;Assemblies[Assy]&amp;"'!"&amp;"O:O"))))</f>
        <v>6</v>
      </c>
      <c r="F249">
        <f ca="1">ROUNDUP(Purchased[[#This Row],[BOM QTY]]/Purchased[[#This Row],[PK QTY]], 0)</f>
        <v>6</v>
      </c>
      <c r="G249">
        <v>6</v>
      </c>
      <c r="H249" t="str">
        <f ca="1">IF(F249&lt;=G249," ","YES")</f>
        <v xml:space="preserve"> </v>
      </c>
      <c r="I249">
        <v>6</v>
      </c>
      <c r="J249">
        <v>6</v>
      </c>
      <c r="K249" t="s">
        <v>3273</v>
      </c>
      <c r="L249" t="s">
        <v>3273</v>
      </c>
      <c r="N249" s="40">
        <v>45489</v>
      </c>
      <c r="O249" s="40">
        <v>45489</v>
      </c>
      <c r="P249" s="40">
        <v>45534</v>
      </c>
      <c r="Q249" s="40">
        <v>45534</v>
      </c>
      <c r="R249">
        <v>55604</v>
      </c>
      <c r="S249" s="40" t="str" cm="1">
        <f t="array" aca="1" ref="S249" ca="1">TRIM(SUBSTITUTE(_xlfn.ARRAYTOTEXT(IFERROR(CONCATENATE(SUMIF(INDIRECT("'"&amp;Assemblies[Assy]&amp;"'!"&amp;"C$5:C1000"), $A249, INDIRECT("'"&amp;Assemblies[Assy]&amp;"'!"&amp;"O$5:O1000")), "x",Assemblies[Assy],".",IF(SUMIF(INDIRECT("'"&amp;Assemblies[Assy]&amp;"'!"&amp;"C$5:C1000"), $A249, INDIRECT("'"&amp;Assemblies[Assy]&amp;"'!"&amp;"A$5:A1000"))=0,NA(),SUMIF(INDIRECT("'"&amp;Assemblies[Assy]&amp;"'!"&amp;"C$5:C1000"), $A249, INDIRECT("'"&amp;Assemblies[Assy]&amp;"'!"&amp;"A$5:A1000")))),"")), " ,", ""))</f>
        <v>, 6x7.2.7.301,</v>
      </c>
    </row>
    <row r="250" spans="1:19" hidden="1" x14ac:dyDescent="0.25">
      <c r="A250" s="160" t="s">
        <v>1102</v>
      </c>
      <c r="B250" s="160" t="s">
        <v>3280</v>
      </c>
      <c r="C250" s="180">
        <v>187.73</v>
      </c>
      <c r="D250">
        <v>1</v>
      </c>
      <c r="E250" cm="1">
        <f t="array" aca="1" ref="E250" ca="1">SUMPRODUCT(SUMIF(INDIRECT("'"&amp;Assemblies[Assy]&amp;"'!"&amp;"C:C"),$A250,(INDIRECT("'"&amp;Assemblies[Assy]&amp;"'!"&amp;"O:O"))))</f>
        <v>6</v>
      </c>
      <c r="F250">
        <f ca="1">ROUNDUP(Purchased[[#This Row],[BOM QTY]]/Purchased[[#This Row],[PK QTY]], 0)</f>
        <v>6</v>
      </c>
      <c r="G250">
        <v>6</v>
      </c>
      <c r="H250" t="str">
        <f ca="1">IF(F250&lt;=G250," ","YES")</f>
        <v xml:space="preserve"> </v>
      </c>
      <c r="I250">
        <v>6</v>
      </c>
      <c r="J250">
        <v>6</v>
      </c>
      <c r="K250" t="s">
        <v>3273</v>
      </c>
      <c r="L250" t="s">
        <v>3273</v>
      </c>
      <c r="N250" s="40">
        <v>45489</v>
      </c>
      <c r="O250" s="40">
        <v>45489</v>
      </c>
      <c r="P250" s="40">
        <v>45534</v>
      </c>
      <c r="Q250" s="40">
        <v>45534</v>
      </c>
      <c r="R250">
        <v>55604</v>
      </c>
      <c r="S250" s="40" t="str" cm="1">
        <f t="array" aca="1" ref="S250" ca="1">TRIM(SUBSTITUTE(_xlfn.ARRAYTOTEXT(IFERROR(CONCATENATE(SUMIF(INDIRECT("'"&amp;Assemblies[Assy]&amp;"'!"&amp;"C$5:C1000"), $A250, INDIRECT("'"&amp;Assemblies[Assy]&amp;"'!"&amp;"O$5:O1000")), "x",Assemblies[Assy],".",IF(SUMIF(INDIRECT("'"&amp;Assemblies[Assy]&amp;"'!"&amp;"C$5:C1000"), $A250, INDIRECT("'"&amp;Assemblies[Assy]&amp;"'!"&amp;"A$5:A1000"))=0,NA(),SUMIF(INDIRECT("'"&amp;Assemblies[Assy]&amp;"'!"&amp;"C$5:C1000"), $A250, INDIRECT("'"&amp;Assemblies[Assy]&amp;"'!"&amp;"A$5:A1000")))),"")), " ,", ""))</f>
        <v>, 6x7.1.305,</v>
      </c>
    </row>
    <row r="251" spans="1:19" hidden="1" x14ac:dyDescent="0.25">
      <c r="A251" s="160" t="s">
        <v>795</v>
      </c>
      <c r="B251" s="160" t="s">
        <v>3277</v>
      </c>
      <c r="C251" s="180">
        <v>16.54</v>
      </c>
      <c r="D251">
        <v>1</v>
      </c>
      <c r="E251" cm="1">
        <f t="array" aca="1" ref="E251" ca="1">SUMPRODUCT(SUMIF(INDIRECT("'"&amp;Assemblies[Assy]&amp;"'!"&amp;"C:C"),$A251,(INDIRECT("'"&amp;Assemblies[Assy]&amp;"'!"&amp;"O:O"))))</f>
        <v>8</v>
      </c>
      <c r="F251">
        <f ca="1">ROUNDUP(Purchased[[#This Row],[BOM QTY]]/Purchased[[#This Row],[PK QTY]], 0)</f>
        <v>8</v>
      </c>
      <c r="G251">
        <v>8</v>
      </c>
      <c r="H251" t="str">
        <f ca="1">IF(F251&lt;=G251," ","YES")</f>
        <v xml:space="preserve"> </v>
      </c>
      <c r="I251">
        <v>8</v>
      </c>
      <c r="J251">
        <v>8</v>
      </c>
      <c r="K251" t="s">
        <v>3273</v>
      </c>
      <c r="L251" t="s">
        <v>3273</v>
      </c>
      <c r="N251" s="40">
        <v>45489</v>
      </c>
      <c r="O251" s="40">
        <v>45489</v>
      </c>
      <c r="P251" s="40">
        <v>45534</v>
      </c>
      <c r="Q251" s="40">
        <v>45534</v>
      </c>
      <c r="R251">
        <v>55604</v>
      </c>
      <c r="S251" s="40" t="str" cm="1">
        <f t="array" aca="1" ref="S251" ca="1">TRIM(SUBSTITUTE(_xlfn.ARRAYTOTEXT(IFERROR(CONCATENATE(SUMIF(INDIRECT("'"&amp;Assemblies[Assy]&amp;"'!"&amp;"C$5:C1000"), $A251, INDIRECT("'"&amp;Assemblies[Assy]&amp;"'!"&amp;"O$5:O1000")), "x",Assemblies[Assy],".",IF(SUMIF(INDIRECT("'"&amp;Assemblies[Assy]&amp;"'!"&amp;"C$5:C1000"), $A251, INDIRECT("'"&amp;Assemblies[Assy]&amp;"'!"&amp;"A$5:A1000"))=0,NA(),SUMIF(INDIRECT("'"&amp;Assemblies[Assy]&amp;"'!"&amp;"C$5:C1000"), $A251, INDIRECT("'"&amp;Assemblies[Assy]&amp;"'!"&amp;"A$5:A1000")))),"")), " ,", ""))</f>
        <v>, 1x5.5.304, 1x5.6.304, 2x5.7.302, 1x6.2.3.307, 1x6.3.3.307, 1x6.4.308, 1x6.5.308,</v>
      </c>
    </row>
    <row r="252" spans="1:19" hidden="1" x14ac:dyDescent="0.25">
      <c r="A252" s="160" t="s">
        <v>734</v>
      </c>
      <c r="B252" s="160" t="s">
        <v>3279</v>
      </c>
      <c r="C252" s="180">
        <v>261.75</v>
      </c>
      <c r="D252">
        <v>1</v>
      </c>
      <c r="E252" cm="1">
        <f t="array" aca="1" ref="E252" ca="1">SUMPRODUCT(SUMIF(INDIRECT("'"&amp;Assemblies[Assy]&amp;"'!"&amp;"C:C"),$A252,(INDIRECT("'"&amp;Assemblies[Assy]&amp;"'!"&amp;"O:O"))))</f>
        <v>8</v>
      </c>
      <c r="F252">
        <f ca="1">ROUNDUP(Purchased[[#This Row],[BOM QTY]]/Purchased[[#This Row],[PK QTY]], 0)</f>
        <v>8</v>
      </c>
      <c r="G252">
        <v>8</v>
      </c>
      <c r="H252" t="str">
        <f ca="1">IF(F252&lt;=G252," ","YES")</f>
        <v xml:space="preserve"> </v>
      </c>
      <c r="I252">
        <v>8</v>
      </c>
      <c r="J252">
        <v>8</v>
      </c>
      <c r="K252" t="s">
        <v>3273</v>
      </c>
      <c r="L252" t="s">
        <v>3273</v>
      </c>
      <c r="N252" s="40">
        <v>45489</v>
      </c>
      <c r="O252" s="40">
        <v>45489</v>
      </c>
      <c r="P252" s="40">
        <v>45534</v>
      </c>
      <c r="Q252" s="40">
        <v>45534</v>
      </c>
      <c r="R252">
        <v>55604</v>
      </c>
      <c r="S252" s="40" t="str" cm="1">
        <f t="array" aca="1" ref="S252" ca="1">TRIM(SUBSTITUTE(_xlfn.ARRAYTOTEXT(IFERROR(CONCATENATE(SUMIF(INDIRECT("'"&amp;Assemblies[Assy]&amp;"'!"&amp;"C$5:C1000"), $A252, INDIRECT("'"&amp;Assemblies[Assy]&amp;"'!"&amp;"O$5:O1000")), "x",Assemblies[Assy],".",IF(SUMIF(INDIRECT("'"&amp;Assemblies[Assy]&amp;"'!"&amp;"C$5:C1000"), $A252, INDIRECT("'"&amp;Assemblies[Assy]&amp;"'!"&amp;"A$5:A1000"))=0,NA(),SUMIF(INDIRECT("'"&amp;Assemblies[Assy]&amp;"'!"&amp;"C$5:C1000"), $A252, INDIRECT("'"&amp;Assemblies[Assy]&amp;"'!"&amp;"A$5:A1000")))),"")), " ,", ""))</f>
        <v>, 4x5.3.327, 4x6.1.327,</v>
      </c>
    </row>
    <row r="253" spans="1:19" hidden="1" x14ac:dyDescent="0.25">
      <c r="A253" s="160" t="s">
        <v>3284</v>
      </c>
      <c r="B253" s="160" t="s">
        <v>3285</v>
      </c>
      <c r="C253" s="180">
        <v>26.56</v>
      </c>
      <c r="D253">
        <v>1</v>
      </c>
      <c r="E253" cm="1">
        <f t="array" aca="1" ref="E253" ca="1">SUMPRODUCT(SUMIF(INDIRECT("'"&amp;Assemblies[Assy]&amp;"'!"&amp;"C:C"),$A253,(INDIRECT("'"&amp;Assemblies[Assy]&amp;"'!"&amp;"O:O"))))</f>
        <v>0</v>
      </c>
      <c r="F253">
        <f ca="1">ROUNDUP(Purchased[[#This Row],[BOM QTY]]/Purchased[[#This Row],[PK QTY]], 0)</f>
        <v>0</v>
      </c>
      <c r="H253" t="str">
        <f ca="1">IF(F253&lt;=G253," ","YES")</f>
        <v xml:space="preserve"> </v>
      </c>
      <c r="K253" t="s">
        <v>3273</v>
      </c>
      <c r="L253" t="s">
        <v>3273</v>
      </c>
      <c r="N253" s="40" t="s">
        <v>2747</v>
      </c>
      <c r="S253" s="40" t="str" cm="1">
        <f t="array" aca="1" ref="S253" ca="1">TRIM(SUBSTITUTE(_xlfn.ARRAYTOTEXT(IFERROR(CONCATENATE(SUMIF(INDIRECT("'"&amp;Assemblies[Assy]&amp;"'!"&amp;"C$5:C1000"), $A253, INDIRECT("'"&amp;Assemblies[Assy]&amp;"'!"&amp;"O$5:O1000")), "x",Assemblies[Assy],".",IF(SUMIF(INDIRECT("'"&amp;Assemblies[Assy]&amp;"'!"&amp;"C$5:C1000"), $A253, INDIRECT("'"&amp;Assemblies[Assy]&amp;"'!"&amp;"A$5:A1000"))=0,NA(),SUMIF(INDIRECT("'"&amp;Assemblies[Assy]&amp;"'!"&amp;"C$5:C1000"), $A253, INDIRECT("'"&amp;Assemblies[Assy]&amp;"'!"&amp;"A$5:A1000")))),"")), " ,", ""))</f>
        <v>,</v>
      </c>
    </row>
    <row r="254" spans="1:19" hidden="1" x14ac:dyDescent="0.25">
      <c r="A254" s="160" t="s">
        <v>1352</v>
      </c>
      <c r="B254" s="160" t="s">
        <v>3286</v>
      </c>
      <c r="C254" s="180">
        <v>235</v>
      </c>
      <c r="D254">
        <v>1</v>
      </c>
      <c r="E254" cm="1">
        <f t="array" aca="1" ref="E254" ca="1">SUMPRODUCT(SUMIF(INDIRECT("'"&amp;Assemblies[Assy]&amp;"'!"&amp;"C:C"),$A254,(INDIRECT("'"&amp;Assemblies[Assy]&amp;"'!"&amp;"O:O"))))</f>
        <v>1</v>
      </c>
      <c r="F254">
        <f ca="1">ROUNDUP(Purchased[[#This Row],[BOM QTY]]/Purchased[[#This Row],[PK QTY]], 0)</f>
        <v>1</v>
      </c>
      <c r="G254">
        <v>1</v>
      </c>
      <c r="H254" t="str">
        <f ca="1">IF(F254&lt;=G254," ","YES")</f>
        <v xml:space="preserve"> </v>
      </c>
      <c r="I254">
        <v>1</v>
      </c>
      <c r="J254">
        <v>1</v>
      </c>
      <c r="K254" t="s">
        <v>3287</v>
      </c>
      <c r="L254" t="s">
        <v>3287</v>
      </c>
      <c r="N254" s="40">
        <v>45516</v>
      </c>
      <c r="O254" s="40">
        <v>45518</v>
      </c>
      <c r="P254" s="40">
        <v>45526</v>
      </c>
      <c r="Q254" s="40">
        <v>45526</v>
      </c>
      <c r="R254">
        <v>55685</v>
      </c>
      <c r="S254" s="40" t="str" cm="1">
        <f t="array" aca="1" ref="S254" ca="1">TRIM(SUBSTITUTE(_xlfn.ARRAYTOTEXT(IFERROR(CONCATENATE(SUMIF(INDIRECT("'"&amp;Assemblies[Assy]&amp;"'!"&amp;"C$5:C1000"), $A254, INDIRECT("'"&amp;Assemblies[Assy]&amp;"'!"&amp;"O$5:O1000")), "x",Assemblies[Assy],".",IF(SUMIF(INDIRECT("'"&amp;Assemblies[Assy]&amp;"'!"&amp;"C$5:C1000"), $A254, INDIRECT("'"&amp;Assemblies[Assy]&amp;"'!"&amp;"A$5:A1000"))=0,NA(),SUMIF(INDIRECT("'"&amp;Assemblies[Assy]&amp;"'!"&amp;"C$5:C1000"), $A254, INDIRECT("'"&amp;Assemblies[Assy]&amp;"'!"&amp;"A$5:A1000")))),"")), " ,", ""))</f>
        <v>, 1x10.1.9.304,</v>
      </c>
    </row>
    <row r="255" spans="1:19" hidden="1" x14ac:dyDescent="0.25">
      <c r="A255" s="160" t="s">
        <v>1351</v>
      </c>
      <c r="B255" s="160" t="s">
        <v>3288</v>
      </c>
      <c r="C255" s="180">
        <v>215</v>
      </c>
      <c r="D255">
        <v>1</v>
      </c>
      <c r="E255" cm="1">
        <f t="array" aca="1" ref="E255" ca="1">SUMPRODUCT(SUMIF(INDIRECT("'"&amp;Assemblies[Assy]&amp;"'!"&amp;"C:C"),$A255,(INDIRECT("'"&amp;Assemblies[Assy]&amp;"'!"&amp;"O:O"))))</f>
        <v>1</v>
      </c>
      <c r="F255">
        <f ca="1">ROUNDUP(Purchased[[#This Row],[BOM QTY]]/Purchased[[#This Row],[PK QTY]], 0)</f>
        <v>1</v>
      </c>
      <c r="G255">
        <v>1</v>
      </c>
      <c r="H255" t="str">
        <f ca="1">IF(F255&lt;=G255," ","YES")</f>
        <v xml:space="preserve"> </v>
      </c>
      <c r="I255">
        <v>1</v>
      </c>
      <c r="J255">
        <v>1</v>
      </c>
      <c r="K255" t="s">
        <v>3287</v>
      </c>
      <c r="L255" t="s">
        <v>3287</v>
      </c>
      <c r="N255" s="40">
        <v>45516</v>
      </c>
      <c r="O255" s="40">
        <v>45518</v>
      </c>
      <c r="P255" s="40">
        <v>45526</v>
      </c>
      <c r="Q255" s="40">
        <v>45526</v>
      </c>
      <c r="R255">
        <v>55685</v>
      </c>
      <c r="S255" s="40" t="str" cm="1">
        <f t="array" aca="1" ref="S255" ca="1">TRIM(SUBSTITUTE(_xlfn.ARRAYTOTEXT(IFERROR(CONCATENATE(SUMIF(INDIRECT("'"&amp;Assemblies[Assy]&amp;"'!"&amp;"C$5:C1000"), $A255, INDIRECT("'"&amp;Assemblies[Assy]&amp;"'!"&amp;"O$5:O1000")), "x",Assemblies[Assy],".",IF(SUMIF(INDIRECT("'"&amp;Assemblies[Assy]&amp;"'!"&amp;"C$5:C1000"), $A255, INDIRECT("'"&amp;Assemblies[Assy]&amp;"'!"&amp;"A$5:A1000"))=0,NA(),SUMIF(INDIRECT("'"&amp;Assemblies[Assy]&amp;"'!"&amp;"C$5:C1000"), $A255, INDIRECT("'"&amp;Assemblies[Assy]&amp;"'!"&amp;"A$5:A1000")))),"")), " ,", ""))</f>
        <v>, 1x10.1.9.303,</v>
      </c>
    </row>
    <row r="256" spans="1:19" hidden="1" x14ac:dyDescent="0.25">
      <c r="A256" s="162" t="s">
        <v>273</v>
      </c>
      <c r="B256" s="160" t="s">
        <v>3295</v>
      </c>
      <c r="C256" s="180">
        <v>580</v>
      </c>
      <c r="D256">
        <v>1</v>
      </c>
      <c r="E256" cm="1">
        <f t="array" aca="1" ref="E256" ca="1">SUMPRODUCT(SUMIF(INDIRECT("'"&amp;Assemblies[Assy]&amp;"'!"&amp;"C:C"),$A256,(INDIRECT("'"&amp;Assemblies[Assy]&amp;"'!"&amp;"O:O"))))</f>
        <v>2</v>
      </c>
      <c r="F256">
        <f ca="1">ROUNDUP(Purchased[[#This Row],[BOM QTY]]/Purchased[[#This Row],[PK QTY]], 0)</f>
        <v>2</v>
      </c>
      <c r="G256">
        <v>2</v>
      </c>
      <c r="H256" t="str">
        <f ca="1">IF(F256&lt;=G256," ","YES")</f>
        <v xml:space="preserve"> </v>
      </c>
      <c r="I256">
        <v>2</v>
      </c>
      <c r="J256">
        <v>2</v>
      </c>
      <c r="K256" t="s">
        <v>3287</v>
      </c>
      <c r="L256" t="s">
        <v>3287</v>
      </c>
      <c r="N256" s="40">
        <v>45516</v>
      </c>
      <c r="O256" s="40">
        <v>45518</v>
      </c>
      <c r="P256" s="40">
        <v>45526</v>
      </c>
      <c r="Q256" s="40">
        <v>45526</v>
      </c>
      <c r="R256">
        <v>55685</v>
      </c>
      <c r="S256" s="40" t="str" cm="1">
        <f t="array" aca="1" ref="S256" ca="1">TRIM(SUBSTITUTE(_xlfn.ARRAYTOTEXT(IFERROR(CONCATENATE(SUMIF(INDIRECT("'"&amp;Assemblies[Assy]&amp;"'!"&amp;"C$5:C1000"), $A256, INDIRECT("'"&amp;Assemblies[Assy]&amp;"'!"&amp;"O$5:O1000")), "x",Assemblies[Assy],".",IF(SUMIF(INDIRECT("'"&amp;Assemblies[Assy]&amp;"'!"&amp;"C$5:C1000"), $A256, INDIRECT("'"&amp;Assemblies[Assy]&amp;"'!"&amp;"A$5:A1000"))=0,NA(),SUMIF(INDIRECT("'"&amp;Assemblies[Assy]&amp;"'!"&amp;"C$5:C1000"), $A256, INDIRECT("'"&amp;Assemblies[Assy]&amp;"'!"&amp;"A$5:A1000")))),"")), " ,", ""))</f>
        <v>, 2x1.2.3.301,</v>
      </c>
    </row>
    <row r="257" spans="1:21" hidden="1" x14ac:dyDescent="0.25">
      <c r="A257" s="160" t="s">
        <v>1035</v>
      </c>
      <c r="B257" s="160" t="s">
        <v>3299</v>
      </c>
      <c r="C257" s="180">
        <v>263</v>
      </c>
      <c r="D257">
        <v>1</v>
      </c>
      <c r="E257" cm="1">
        <f t="array" aca="1" ref="E257" ca="1">SUMPRODUCT(SUMIF(INDIRECT("'"&amp;Assemblies[Assy]&amp;"'!"&amp;"C:C"),$A257,(INDIRECT("'"&amp;Assemblies[Assy]&amp;"'!"&amp;"O:O"))))</f>
        <v>2</v>
      </c>
      <c r="F257">
        <f ca="1">ROUNDUP(Purchased[[#This Row],[BOM QTY]]/Purchased[[#This Row],[PK QTY]], 0)</f>
        <v>2</v>
      </c>
      <c r="G257">
        <v>2</v>
      </c>
      <c r="H257" t="str">
        <f ca="1">IF(F257&lt;=G257," ","YES")</f>
        <v xml:space="preserve"> </v>
      </c>
      <c r="I257">
        <v>2</v>
      </c>
      <c r="J257">
        <v>2</v>
      </c>
      <c r="K257" t="s">
        <v>3287</v>
      </c>
      <c r="L257" t="s">
        <v>3287</v>
      </c>
      <c r="N257" s="40">
        <v>45516</v>
      </c>
      <c r="O257" s="40">
        <v>45518</v>
      </c>
      <c r="P257" s="40">
        <v>45526</v>
      </c>
      <c r="Q257" s="40">
        <v>45526</v>
      </c>
      <c r="R257">
        <v>55685</v>
      </c>
      <c r="S257" s="40" t="str" cm="1">
        <f t="array" aca="1" ref="S257" ca="1">TRIM(SUBSTITUTE(_xlfn.ARRAYTOTEXT(IFERROR(CONCATENATE(SUMIF(INDIRECT("'"&amp;Assemblies[Assy]&amp;"'!"&amp;"C$5:C1000"), $A257, INDIRECT("'"&amp;Assemblies[Assy]&amp;"'!"&amp;"O$5:O1000")), "x",Assemblies[Assy],".",IF(SUMIF(INDIRECT("'"&amp;Assemblies[Assy]&amp;"'!"&amp;"C$5:C1000"), $A257, INDIRECT("'"&amp;Assemblies[Assy]&amp;"'!"&amp;"A$5:A1000"))=0,NA(),SUMIF(INDIRECT("'"&amp;Assemblies[Assy]&amp;"'!"&amp;"C$5:C1000"), $A257, INDIRECT("'"&amp;Assemblies[Assy]&amp;"'!"&amp;"A$5:A1000")))),"")), " ,", ""))</f>
        <v>, 2x6.6.2.302,</v>
      </c>
      <c r="U257" s="279"/>
    </row>
    <row r="258" spans="1:21" hidden="1" x14ac:dyDescent="0.25">
      <c r="A258" s="160" t="s">
        <v>105</v>
      </c>
      <c r="B258" s="160" t="s">
        <v>3300</v>
      </c>
      <c r="C258" s="180">
        <v>283</v>
      </c>
      <c r="D258">
        <v>1</v>
      </c>
      <c r="E258" cm="1">
        <f t="array" aca="1" ref="E258" ca="1">SUMPRODUCT(SUMIF(INDIRECT("'"&amp;Assemblies[Assy]&amp;"'!"&amp;"C:C"),$A258,(INDIRECT("'"&amp;Assemblies[Assy]&amp;"'!"&amp;"O:O"))))</f>
        <v>2</v>
      </c>
      <c r="F258">
        <f ca="1">ROUNDUP(Purchased[[#This Row],[BOM QTY]]/Purchased[[#This Row],[PK QTY]], 0)</f>
        <v>2</v>
      </c>
      <c r="G258">
        <v>2</v>
      </c>
      <c r="H258" t="str">
        <f ca="1">IF(F258&lt;=G258," ","YES")</f>
        <v xml:space="preserve"> </v>
      </c>
      <c r="I258">
        <v>2</v>
      </c>
      <c r="J258">
        <v>2</v>
      </c>
      <c r="K258" t="s">
        <v>3287</v>
      </c>
      <c r="L258" t="s">
        <v>3287</v>
      </c>
      <c r="N258" s="40">
        <v>45516</v>
      </c>
      <c r="O258" s="40">
        <v>45518</v>
      </c>
      <c r="P258" s="40">
        <v>45526</v>
      </c>
      <c r="Q258" s="40">
        <v>45526</v>
      </c>
      <c r="R258">
        <v>55685</v>
      </c>
      <c r="S258" s="40" t="str" cm="1">
        <f t="array" aca="1" ref="S258" ca="1">TRIM(SUBSTITUTE(_xlfn.ARRAYTOTEXT(IFERROR(CONCATENATE(SUMIF(INDIRECT("'"&amp;Assemblies[Assy]&amp;"'!"&amp;"C$5:C1000"), $A258, INDIRECT("'"&amp;Assemblies[Assy]&amp;"'!"&amp;"O$5:O1000")), "x",Assemblies[Assy],".",IF(SUMIF(INDIRECT("'"&amp;Assemblies[Assy]&amp;"'!"&amp;"C$5:C1000"), $A258, INDIRECT("'"&amp;Assemblies[Assy]&amp;"'!"&amp;"A$5:A1000"))=0,NA(),SUMIF(INDIRECT("'"&amp;Assemblies[Assy]&amp;"'!"&amp;"C$5:C1000"), $A258, INDIRECT("'"&amp;Assemblies[Assy]&amp;"'!"&amp;"A$5:A1000")))),"")), " ,", ""))</f>
        <v>, 2x0.3.311,</v>
      </c>
    </row>
    <row r="259" spans="1:21" hidden="1" x14ac:dyDescent="0.25">
      <c r="A259" s="160" t="s">
        <v>1034</v>
      </c>
      <c r="B259" s="160" t="s">
        <v>3301</v>
      </c>
      <c r="C259" s="180">
        <v>353</v>
      </c>
      <c r="D259">
        <v>1</v>
      </c>
      <c r="E259" cm="1">
        <f t="array" aca="1" ref="E259" ca="1">SUMPRODUCT(SUMIF(INDIRECT("'"&amp;Assemblies[Assy]&amp;"'!"&amp;"C:C"),$A259,(INDIRECT("'"&amp;Assemblies[Assy]&amp;"'!"&amp;"O:O"))))</f>
        <v>2</v>
      </c>
      <c r="F259">
        <f ca="1">ROUNDUP(Purchased[[#This Row],[BOM QTY]]/Purchased[[#This Row],[PK QTY]], 0)</f>
        <v>2</v>
      </c>
      <c r="G259">
        <v>2</v>
      </c>
      <c r="H259" t="str">
        <f ca="1">IF(F259&lt;=G259," ","YES")</f>
        <v xml:space="preserve"> </v>
      </c>
      <c r="I259">
        <v>2</v>
      </c>
      <c r="J259">
        <v>2</v>
      </c>
      <c r="K259" t="s">
        <v>3287</v>
      </c>
      <c r="L259" t="s">
        <v>3287</v>
      </c>
      <c r="N259" s="40">
        <v>45516</v>
      </c>
      <c r="O259" s="40">
        <v>45518</v>
      </c>
      <c r="P259" s="40">
        <v>45526</v>
      </c>
      <c r="Q259" s="40">
        <v>45526</v>
      </c>
      <c r="R259">
        <v>55685</v>
      </c>
      <c r="S259" s="40" t="str" cm="1">
        <f t="array" aca="1" ref="S259" ca="1">TRIM(SUBSTITUTE(_xlfn.ARRAYTOTEXT(IFERROR(CONCATENATE(SUMIF(INDIRECT("'"&amp;Assemblies[Assy]&amp;"'!"&amp;"C$5:C1000"), $A259, INDIRECT("'"&amp;Assemblies[Assy]&amp;"'!"&amp;"O$5:O1000")), "x",Assemblies[Assy],".",IF(SUMIF(INDIRECT("'"&amp;Assemblies[Assy]&amp;"'!"&amp;"C$5:C1000"), $A259, INDIRECT("'"&amp;Assemblies[Assy]&amp;"'!"&amp;"A$5:A1000"))=0,NA(),SUMIF(INDIRECT("'"&amp;Assemblies[Assy]&amp;"'!"&amp;"C$5:C1000"), $A259, INDIRECT("'"&amp;Assemblies[Assy]&amp;"'!"&amp;"A$5:A1000")))),"")), " ,", ""))</f>
        <v>, 2x6.6.2.301,</v>
      </c>
    </row>
    <row r="260" spans="1:21" hidden="1" x14ac:dyDescent="0.25">
      <c r="A260" s="162" t="s">
        <v>194</v>
      </c>
      <c r="B260" s="160" t="s">
        <v>3302</v>
      </c>
      <c r="C260" s="180">
        <v>353</v>
      </c>
      <c r="D260">
        <v>1</v>
      </c>
      <c r="E260" cm="1">
        <f t="array" aca="1" ref="E260" ca="1">SUMPRODUCT(SUMIF(INDIRECT("'"&amp;Assemblies[Assy]&amp;"'!"&amp;"C:C"),$A260,(INDIRECT("'"&amp;Assemblies[Assy]&amp;"'!"&amp;"O:O"))))</f>
        <v>2</v>
      </c>
      <c r="F260">
        <f ca="1">ROUNDUP(Purchased[[#This Row],[BOM QTY]]/Purchased[[#This Row],[PK QTY]], 0)</f>
        <v>2</v>
      </c>
      <c r="G260">
        <v>2</v>
      </c>
      <c r="H260" t="str">
        <f ca="1">IF(F260&lt;=G260," ","YES")</f>
        <v xml:space="preserve"> </v>
      </c>
      <c r="I260">
        <v>2</v>
      </c>
      <c r="J260">
        <v>2</v>
      </c>
      <c r="K260" t="s">
        <v>3287</v>
      </c>
      <c r="L260" t="s">
        <v>3287</v>
      </c>
      <c r="N260" s="40">
        <v>45516</v>
      </c>
      <c r="O260" s="40">
        <v>45518</v>
      </c>
      <c r="P260" s="40">
        <v>45526</v>
      </c>
      <c r="Q260" s="40">
        <v>45526</v>
      </c>
      <c r="R260">
        <v>55685</v>
      </c>
      <c r="S260" s="40" t="str" cm="1">
        <f t="array" aca="1" ref="S260" ca="1">TRIM(SUBSTITUTE(_xlfn.ARRAYTOTEXT(IFERROR(CONCATENATE(SUMIF(INDIRECT("'"&amp;Assemblies[Assy]&amp;"'!"&amp;"C$5:C1000"), $A260, INDIRECT("'"&amp;Assemblies[Assy]&amp;"'!"&amp;"O$5:O1000")), "x",Assemblies[Assy],".",IF(SUMIF(INDIRECT("'"&amp;Assemblies[Assy]&amp;"'!"&amp;"C$5:C1000"), $A260, INDIRECT("'"&amp;Assemblies[Assy]&amp;"'!"&amp;"A$5:A1000"))=0,NA(),SUMIF(INDIRECT("'"&amp;Assemblies[Assy]&amp;"'!"&amp;"C$5:C1000"), $A260, INDIRECT("'"&amp;Assemblies[Assy]&amp;"'!"&amp;"A$5:A1000")))),"")), " ,", ""))</f>
        <v>, 2x1.1.6.303,</v>
      </c>
    </row>
    <row r="261" spans="1:21" hidden="1" x14ac:dyDescent="0.25">
      <c r="A261" s="160" t="s">
        <v>3303</v>
      </c>
      <c r="B261" s="160" t="s">
        <v>3304</v>
      </c>
      <c r="C261" s="180">
        <v>9</v>
      </c>
      <c r="D261">
        <v>1</v>
      </c>
      <c r="E261" cm="1">
        <f t="array" aca="1" ref="E261" ca="1">SUMPRODUCT(SUMIF(INDIRECT("'"&amp;Assemblies[Assy]&amp;"'!"&amp;"C:C"),$A261,(INDIRECT("'"&amp;Assemblies[Assy]&amp;"'!"&amp;"O:O"))))</f>
        <v>0</v>
      </c>
      <c r="F261">
        <f ca="1">ROUNDUP(Purchased[[#This Row],[BOM QTY]]/Purchased[[#This Row],[PK QTY]], 0)</f>
        <v>0</v>
      </c>
      <c r="G261">
        <v>2</v>
      </c>
      <c r="H261" t="str">
        <f ca="1">IF(F261&lt;=G261," ","YES")</f>
        <v xml:space="preserve"> </v>
      </c>
      <c r="I261">
        <v>2</v>
      </c>
      <c r="J261">
        <v>2</v>
      </c>
      <c r="K261" t="s">
        <v>3287</v>
      </c>
      <c r="L261" t="s">
        <v>3287</v>
      </c>
      <c r="N261" s="40">
        <v>45516</v>
      </c>
      <c r="O261" s="40">
        <v>45518</v>
      </c>
      <c r="P261" s="40">
        <v>45526</v>
      </c>
      <c r="Q261" s="40">
        <v>45526</v>
      </c>
      <c r="R261">
        <v>55685</v>
      </c>
      <c r="S261" s="40" t="str" cm="1">
        <f t="array" aca="1" ref="S261" ca="1">TRIM(SUBSTITUTE(_xlfn.ARRAYTOTEXT(IFERROR(CONCATENATE(SUMIF(INDIRECT("'"&amp;Assemblies[Assy]&amp;"'!"&amp;"C$5:C1000"), $A261, INDIRECT("'"&amp;Assemblies[Assy]&amp;"'!"&amp;"O$5:O1000")), "x",Assemblies[Assy],".",IF(SUMIF(INDIRECT("'"&amp;Assemblies[Assy]&amp;"'!"&amp;"C$5:C1000"), $A261, INDIRECT("'"&amp;Assemblies[Assy]&amp;"'!"&amp;"A$5:A1000"))=0,NA(),SUMIF(INDIRECT("'"&amp;Assemblies[Assy]&amp;"'!"&amp;"C$5:C1000"), $A261, INDIRECT("'"&amp;Assemblies[Assy]&amp;"'!"&amp;"A$5:A1000")))),"")), " ,", ""))</f>
        <v>,</v>
      </c>
    </row>
    <row r="262" spans="1:21" hidden="1" x14ac:dyDescent="0.25">
      <c r="A262" s="160" t="s">
        <v>1036</v>
      </c>
      <c r="B262" s="160" t="s">
        <v>3305</v>
      </c>
      <c r="C262" s="180">
        <v>3</v>
      </c>
      <c r="D262">
        <v>1</v>
      </c>
      <c r="E262" cm="1">
        <f t="array" aca="1" ref="E262" ca="1">SUMPRODUCT(SUMIF(INDIRECT("'"&amp;Assemblies[Assy]&amp;"'!"&amp;"C:C"),$A262,(INDIRECT("'"&amp;Assemblies[Assy]&amp;"'!"&amp;"O:O"))))</f>
        <v>2</v>
      </c>
      <c r="F262">
        <f ca="1">ROUNDUP(Purchased[[#This Row],[BOM QTY]]/Purchased[[#This Row],[PK QTY]], 0)</f>
        <v>2</v>
      </c>
      <c r="G262">
        <v>2</v>
      </c>
      <c r="H262" t="str">
        <f ca="1">IF(F262&lt;=G262," ","YES")</f>
        <v xml:space="preserve"> </v>
      </c>
      <c r="I262">
        <v>2</v>
      </c>
      <c r="J262">
        <v>2</v>
      </c>
      <c r="K262" t="s">
        <v>3287</v>
      </c>
      <c r="L262" t="s">
        <v>3287</v>
      </c>
      <c r="N262" s="40">
        <v>45516</v>
      </c>
      <c r="O262" s="40">
        <v>45518</v>
      </c>
      <c r="P262" s="40">
        <v>45526</v>
      </c>
      <c r="Q262" s="40">
        <v>45526</v>
      </c>
      <c r="R262">
        <v>55685</v>
      </c>
      <c r="S262" s="40" t="str" cm="1">
        <f t="array" aca="1" ref="S262" ca="1">TRIM(SUBSTITUTE(_xlfn.ARRAYTOTEXT(IFERROR(CONCATENATE(SUMIF(INDIRECT("'"&amp;Assemblies[Assy]&amp;"'!"&amp;"C$5:C1000"), $A262, INDIRECT("'"&amp;Assemblies[Assy]&amp;"'!"&amp;"O$5:O1000")), "x",Assemblies[Assy],".",IF(SUMIF(INDIRECT("'"&amp;Assemblies[Assy]&amp;"'!"&amp;"C$5:C1000"), $A262, INDIRECT("'"&amp;Assemblies[Assy]&amp;"'!"&amp;"A$5:A1000"))=0,NA(),SUMIF(INDIRECT("'"&amp;Assemblies[Assy]&amp;"'!"&amp;"C$5:C1000"), $A262, INDIRECT("'"&amp;Assemblies[Assy]&amp;"'!"&amp;"A$5:A1000")))),"")), " ,", ""))</f>
        <v>, 2x6.6.2.303,</v>
      </c>
    </row>
    <row r="263" spans="1:21" hidden="1" x14ac:dyDescent="0.25">
      <c r="A263" s="162" t="s">
        <v>195</v>
      </c>
      <c r="B263" s="160" t="s">
        <v>3309</v>
      </c>
      <c r="C263" s="180">
        <v>60</v>
      </c>
      <c r="D263">
        <v>1</v>
      </c>
      <c r="E263" cm="1">
        <f t="array" aca="1" ref="E263" ca="1">SUMPRODUCT(SUMIF(INDIRECT("'"&amp;Assemblies[Assy]&amp;"'!"&amp;"C:C"),$A263,(INDIRECT("'"&amp;Assemblies[Assy]&amp;"'!"&amp;"O:O"))))</f>
        <v>2</v>
      </c>
      <c r="F263">
        <f ca="1">ROUNDUP(Purchased[[#This Row],[BOM QTY]]/Purchased[[#This Row],[PK QTY]], 0)</f>
        <v>2</v>
      </c>
      <c r="G263">
        <v>2</v>
      </c>
      <c r="H263" t="str">
        <f ca="1">IF(F263&lt;=G263," ","YES")</f>
        <v xml:space="preserve"> </v>
      </c>
      <c r="I263">
        <v>2</v>
      </c>
      <c r="J263">
        <v>2</v>
      </c>
      <c r="K263" t="s">
        <v>3287</v>
      </c>
      <c r="L263" t="s">
        <v>3287</v>
      </c>
      <c r="N263" s="40">
        <v>45516</v>
      </c>
      <c r="O263" s="40">
        <v>45518</v>
      </c>
      <c r="P263" s="40">
        <v>45526</v>
      </c>
      <c r="Q263" s="40">
        <v>45526</v>
      </c>
      <c r="R263">
        <v>55685</v>
      </c>
      <c r="S263" s="40" t="str" cm="1">
        <f t="array" aca="1" ref="S263" ca="1">TRIM(SUBSTITUTE(_xlfn.ARRAYTOTEXT(IFERROR(CONCATENATE(SUMIF(INDIRECT("'"&amp;Assemblies[Assy]&amp;"'!"&amp;"C$5:C1000"), $A263, INDIRECT("'"&amp;Assemblies[Assy]&amp;"'!"&amp;"O$5:O1000")), "x",Assemblies[Assy],".",IF(SUMIF(INDIRECT("'"&amp;Assemblies[Assy]&amp;"'!"&amp;"C$5:C1000"), $A263, INDIRECT("'"&amp;Assemblies[Assy]&amp;"'!"&amp;"A$5:A1000"))=0,NA(),SUMIF(INDIRECT("'"&amp;Assemblies[Assy]&amp;"'!"&amp;"C$5:C1000"), $A263, INDIRECT("'"&amp;Assemblies[Assy]&amp;"'!"&amp;"A$5:A1000")))),"")), " ,", ""))</f>
        <v>, 2x1.1.6.304,</v>
      </c>
    </row>
    <row r="264" spans="1:21" hidden="1" x14ac:dyDescent="0.25">
      <c r="A264" s="160" t="s">
        <v>975</v>
      </c>
      <c r="B264" s="160" t="s">
        <v>3298</v>
      </c>
      <c r="C264" s="180">
        <v>575</v>
      </c>
      <c r="D264">
        <v>1</v>
      </c>
      <c r="E264" cm="1">
        <f t="array" aca="1" ref="E264" ca="1">SUMPRODUCT(SUMIF(INDIRECT("'"&amp;Assemblies[Assy]&amp;"'!"&amp;"C:C"),$A264,(INDIRECT("'"&amp;Assemblies[Assy]&amp;"'!"&amp;"O:O"))))</f>
        <v>6</v>
      </c>
      <c r="F264">
        <f ca="1">ROUNDUP(Purchased[[#This Row],[BOM QTY]]/Purchased[[#This Row],[PK QTY]], 0)</f>
        <v>6</v>
      </c>
      <c r="G264">
        <v>6</v>
      </c>
      <c r="H264" t="str">
        <f ca="1">IF(F264&lt;=G264," ","YES")</f>
        <v xml:space="preserve"> </v>
      </c>
      <c r="I264">
        <v>6</v>
      </c>
      <c r="J264">
        <v>6</v>
      </c>
      <c r="K264" t="s">
        <v>3287</v>
      </c>
      <c r="L264" t="s">
        <v>3287</v>
      </c>
      <c r="N264" s="40">
        <v>45516</v>
      </c>
      <c r="O264" s="40">
        <v>45518</v>
      </c>
      <c r="P264" s="40">
        <v>45526</v>
      </c>
      <c r="Q264" s="40">
        <v>45526</v>
      </c>
      <c r="R264">
        <v>55685</v>
      </c>
      <c r="S264" s="40" t="str" cm="1">
        <f t="array" aca="1" ref="S264" ca="1">TRIM(SUBSTITUTE(_xlfn.ARRAYTOTEXT(IFERROR(CONCATENATE(SUMIF(INDIRECT("'"&amp;Assemblies[Assy]&amp;"'!"&amp;"C$5:C1000"), $A264, INDIRECT("'"&amp;Assemblies[Assy]&amp;"'!"&amp;"O$5:O1000")), "x",Assemblies[Assy],".",IF(SUMIF(INDIRECT("'"&amp;Assemblies[Assy]&amp;"'!"&amp;"C$5:C1000"), $A264, INDIRECT("'"&amp;Assemblies[Assy]&amp;"'!"&amp;"A$5:A1000"))=0,NA(),SUMIF(INDIRECT("'"&amp;Assemblies[Assy]&amp;"'!"&amp;"C$5:C1000"), $A264, INDIRECT("'"&amp;Assemblies[Assy]&amp;"'!"&amp;"A$5:A1000")))),"")), " ,", ""))</f>
        <v>, 2x6.2.1.5.301, 2x6.2.3.1.301, 2x6.10.2.301,</v>
      </c>
    </row>
    <row r="265" spans="1:21" hidden="1" x14ac:dyDescent="0.25">
      <c r="A265" s="160" t="s">
        <v>976</v>
      </c>
      <c r="B265" s="160" t="s">
        <v>3306</v>
      </c>
      <c r="C265" s="180">
        <v>84</v>
      </c>
      <c r="D265">
        <v>1</v>
      </c>
      <c r="E265" cm="1">
        <f t="array" aca="1" ref="E265" ca="1">SUMPRODUCT(SUMIF(INDIRECT("'"&amp;Assemblies[Assy]&amp;"'!"&amp;"C:C"),$A265,(INDIRECT("'"&amp;Assemblies[Assy]&amp;"'!"&amp;"O:O"))))</f>
        <v>6</v>
      </c>
      <c r="F265">
        <f ca="1">ROUNDUP(Purchased[[#This Row],[BOM QTY]]/Purchased[[#This Row],[PK QTY]], 0)</f>
        <v>6</v>
      </c>
      <c r="G265">
        <v>6</v>
      </c>
      <c r="H265" t="str">
        <f ca="1">IF(F265&lt;=G265," ","YES")</f>
        <v xml:space="preserve"> </v>
      </c>
      <c r="I265">
        <v>6</v>
      </c>
      <c r="J265">
        <v>6</v>
      </c>
      <c r="K265" t="s">
        <v>3287</v>
      </c>
      <c r="L265" t="s">
        <v>3287</v>
      </c>
      <c r="N265" s="40">
        <v>45516</v>
      </c>
      <c r="O265" s="40">
        <v>45518</v>
      </c>
      <c r="P265" s="40">
        <v>45526</v>
      </c>
      <c r="Q265" s="40">
        <v>45526</v>
      </c>
      <c r="R265">
        <v>55685</v>
      </c>
      <c r="S265" s="40" t="str" cm="1">
        <f t="array" aca="1" ref="S265" ca="1">TRIM(SUBSTITUTE(_xlfn.ARRAYTOTEXT(IFERROR(CONCATENATE(SUMIF(INDIRECT("'"&amp;Assemblies[Assy]&amp;"'!"&amp;"C$5:C1000"), $A265, INDIRECT("'"&amp;Assemblies[Assy]&amp;"'!"&amp;"O$5:O1000")), "x",Assemblies[Assy],".",IF(SUMIF(INDIRECT("'"&amp;Assemblies[Assy]&amp;"'!"&amp;"C$5:C1000"), $A265, INDIRECT("'"&amp;Assemblies[Assy]&amp;"'!"&amp;"A$5:A1000"))=0,NA(),SUMIF(INDIRECT("'"&amp;Assemblies[Assy]&amp;"'!"&amp;"C$5:C1000"), $A265, INDIRECT("'"&amp;Assemblies[Assy]&amp;"'!"&amp;"A$5:A1000")))),"")), " ,", ""))</f>
        <v>, 2x6.2.1.5.303, 2x6.2.3.1.303, 2x6.10.2.303,</v>
      </c>
    </row>
    <row r="266" spans="1:21" hidden="1" x14ac:dyDescent="0.25">
      <c r="A266" s="160" t="s">
        <v>977</v>
      </c>
      <c r="B266" s="160" t="s">
        <v>3307</v>
      </c>
      <c r="C266" s="180">
        <v>36</v>
      </c>
      <c r="D266">
        <v>1</v>
      </c>
      <c r="E266" cm="1">
        <f t="array" aca="1" ref="E266" ca="1">SUMPRODUCT(SUMIF(INDIRECT("'"&amp;Assemblies[Assy]&amp;"'!"&amp;"C:C"),$A266,(INDIRECT("'"&amp;Assemblies[Assy]&amp;"'!"&amp;"O:O"))))</f>
        <v>6</v>
      </c>
      <c r="F266">
        <f ca="1">ROUNDUP(Purchased[[#This Row],[BOM QTY]]/Purchased[[#This Row],[PK QTY]], 0)</f>
        <v>6</v>
      </c>
      <c r="G266">
        <v>6</v>
      </c>
      <c r="H266" t="str">
        <f ca="1">IF(F266&lt;=G266," ","YES")</f>
        <v xml:space="preserve"> </v>
      </c>
      <c r="I266">
        <v>6</v>
      </c>
      <c r="J266">
        <v>6</v>
      </c>
      <c r="K266" t="s">
        <v>3287</v>
      </c>
      <c r="L266" t="s">
        <v>3287</v>
      </c>
      <c r="N266" s="40">
        <v>45516</v>
      </c>
      <c r="O266" s="40">
        <v>45518</v>
      </c>
      <c r="P266" s="40">
        <v>45526</v>
      </c>
      <c r="Q266" s="40">
        <v>45526</v>
      </c>
      <c r="R266">
        <v>55685</v>
      </c>
      <c r="S266" s="40" t="str" cm="1">
        <f t="array" aca="1" ref="S266" ca="1">TRIM(SUBSTITUTE(_xlfn.ARRAYTOTEXT(IFERROR(CONCATENATE(SUMIF(INDIRECT("'"&amp;Assemblies[Assy]&amp;"'!"&amp;"C$5:C1000"), $A266, INDIRECT("'"&amp;Assemblies[Assy]&amp;"'!"&amp;"O$5:O1000")), "x",Assemblies[Assy],".",IF(SUMIF(INDIRECT("'"&amp;Assemblies[Assy]&amp;"'!"&amp;"C$5:C1000"), $A266, INDIRECT("'"&amp;Assemblies[Assy]&amp;"'!"&amp;"A$5:A1000"))=0,NA(),SUMIF(INDIRECT("'"&amp;Assemblies[Assy]&amp;"'!"&amp;"C$5:C1000"), $A266, INDIRECT("'"&amp;Assemblies[Assy]&amp;"'!"&amp;"A$5:A1000")))),"")), " ,", ""))</f>
        <v>, 2x6.2.1.5.304, 2x6.2.3.1.304, 2x6.10.2.304,</v>
      </c>
    </row>
    <row r="267" spans="1:21" hidden="1" x14ac:dyDescent="0.25">
      <c r="A267" s="160" t="s">
        <v>820</v>
      </c>
      <c r="B267" s="160" t="s">
        <v>3296</v>
      </c>
      <c r="C267" s="180">
        <v>575</v>
      </c>
      <c r="D267">
        <v>1</v>
      </c>
      <c r="E267" cm="1">
        <f t="array" aca="1" ref="E267" ca="1">SUMPRODUCT(SUMIF(INDIRECT("'"&amp;Assemblies[Assy]&amp;"'!"&amp;"C:C"),$A267,(INDIRECT("'"&amp;Assemblies[Assy]&amp;"'!"&amp;"O:O"))))</f>
        <v>7</v>
      </c>
      <c r="F267">
        <f ca="1">ROUNDUP(Purchased[[#This Row],[BOM QTY]]/Purchased[[#This Row],[PK QTY]], 0)</f>
        <v>7</v>
      </c>
      <c r="G267">
        <v>7</v>
      </c>
      <c r="H267" t="str">
        <f ca="1">IF(F267&lt;=G267," ","YES")</f>
        <v xml:space="preserve"> </v>
      </c>
      <c r="I267">
        <v>7</v>
      </c>
      <c r="J267">
        <v>7</v>
      </c>
      <c r="K267" t="s">
        <v>3287</v>
      </c>
      <c r="L267" t="s">
        <v>3287</v>
      </c>
      <c r="N267" s="40">
        <v>45516</v>
      </c>
      <c r="O267" s="40">
        <v>45518</v>
      </c>
      <c r="P267" s="40">
        <v>45526</v>
      </c>
      <c r="Q267" s="40">
        <v>45526</v>
      </c>
      <c r="R267">
        <v>55685</v>
      </c>
      <c r="S267" s="40" t="str" cm="1">
        <f t="array" aca="1" ref="S267" ca="1">TRIM(SUBSTITUTE(_xlfn.ARRAYTOTEXT(IFERROR(CONCATENATE(SUMIF(INDIRECT("'"&amp;Assemblies[Assy]&amp;"'!"&amp;"C$5:C1000"), $A267, INDIRECT("'"&amp;Assemblies[Assy]&amp;"'!"&amp;"O$5:O1000")), "x",Assemblies[Assy],".",IF(SUMIF(INDIRECT("'"&amp;Assemblies[Assy]&amp;"'!"&amp;"C$5:C1000"), $A267, INDIRECT("'"&amp;Assemblies[Assy]&amp;"'!"&amp;"A$5:A1000"))=0,NA(),SUMIF(INDIRECT("'"&amp;Assemblies[Assy]&amp;"'!"&amp;"C$5:C1000"), $A267, INDIRECT("'"&amp;Assemblies[Assy]&amp;"'!"&amp;"A$5:A1000")))),"")), " ,", ""))</f>
        <v>, 1x5.5.1.301, 2x5.5.3.301, 1x5.6.1.301, 2x6.10.302, 1x10.3.304,</v>
      </c>
    </row>
    <row r="268" spans="1:21" hidden="1" x14ac:dyDescent="0.25">
      <c r="A268" s="160" t="s">
        <v>3293</v>
      </c>
      <c r="B268" s="160" t="s">
        <v>3294</v>
      </c>
      <c r="C268" s="180"/>
      <c r="D268">
        <v>1</v>
      </c>
      <c r="E268" cm="1">
        <f t="array" aca="1" ref="E268" ca="1">SUMPRODUCT(SUMIF(INDIRECT("'"&amp;Assemblies[Assy]&amp;"'!"&amp;"C:C"),$A268,(INDIRECT("'"&amp;Assemblies[Assy]&amp;"'!"&amp;"O:O"))))</f>
        <v>0</v>
      </c>
      <c r="F268">
        <f ca="1">ROUNDUP(Purchased[[#This Row],[BOM QTY]]/Purchased[[#This Row],[PK QTY]], 0)</f>
        <v>0</v>
      </c>
      <c r="G268">
        <v>10</v>
      </c>
      <c r="H268" t="str">
        <f ca="1">IF(F268&lt;=G268," ","YES")</f>
        <v xml:space="preserve"> </v>
      </c>
      <c r="I268">
        <v>10</v>
      </c>
      <c r="J268">
        <v>10</v>
      </c>
      <c r="K268" t="s">
        <v>3287</v>
      </c>
      <c r="L268" t="s">
        <v>3287</v>
      </c>
      <c r="N268" s="40">
        <v>45516</v>
      </c>
      <c r="O268" s="40">
        <v>45518</v>
      </c>
      <c r="P268" s="40">
        <v>45526</v>
      </c>
      <c r="Q268" s="40">
        <v>45526</v>
      </c>
      <c r="R268">
        <v>55685</v>
      </c>
      <c r="S268" s="40" t="str" cm="1">
        <f t="array" aca="1" ref="S268" ca="1">TRIM(SUBSTITUTE(_xlfn.ARRAYTOTEXT(IFERROR(CONCATENATE(SUMIF(INDIRECT("'"&amp;Assemblies[Assy]&amp;"'!"&amp;"C$5:C1000"), $A268, INDIRECT("'"&amp;Assemblies[Assy]&amp;"'!"&amp;"O$5:O1000")), "x",Assemblies[Assy],".",IF(SUMIF(INDIRECT("'"&amp;Assemblies[Assy]&amp;"'!"&amp;"C$5:C1000"), $A268, INDIRECT("'"&amp;Assemblies[Assy]&amp;"'!"&amp;"A$5:A1000"))=0,NA(),SUMIF(INDIRECT("'"&amp;Assemblies[Assy]&amp;"'!"&amp;"C$5:C1000"), $A268, INDIRECT("'"&amp;Assemblies[Assy]&amp;"'!"&amp;"A$5:A1000")))),"")), " ,", ""))</f>
        <v>,</v>
      </c>
    </row>
    <row r="269" spans="1:21" hidden="1" x14ac:dyDescent="0.25">
      <c r="A269" s="160" t="s">
        <v>796</v>
      </c>
      <c r="B269" s="160" t="s">
        <v>3308</v>
      </c>
      <c r="C269" s="180">
        <v>12</v>
      </c>
      <c r="D269">
        <v>1</v>
      </c>
      <c r="E269" cm="1">
        <f t="array" aca="1" ref="E269" ca="1">SUMPRODUCT(SUMIF(INDIRECT("'"&amp;Assemblies[Assy]&amp;"'!"&amp;"C:C"),$A269,(INDIRECT("'"&amp;Assemblies[Assy]&amp;"'!"&amp;"O:O"))))</f>
        <v>13</v>
      </c>
      <c r="F269">
        <f ca="1">ROUNDUP(Purchased[[#This Row],[BOM QTY]]/Purchased[[#This Row],[PK QTY]], 0)</f>
        <v>13</v>
      </c>
      <c r="G269">
        <v>13</v>
      </c>
      <c r="H269" t="str">
        <f ca="1">IF(F269&lt;=G269," ","YES")</f>
        <v xml:space="preserve"> </v>
      </c>
      <c r="I269">
        <v>13</v>
      </c>
      <c r="J269">
        <v>13</v>
      </c>
      <c r="K269" t="s">
        <v>3287</v>
      </c>
      <c r="L269" t="s">
        <v>3287</v>
      </c>
      <c r="N269" s="40">
        <v>45516</v>
      </c>
      <c r="O269" s="40">
        <v>45518</v>
      </c>
      <c r="P269" s="40">
        <v>45526</v>
      </c>
      <c r="Q269" s="40">
        <v>45526</v>
      </c>
      <c r="R269">
        <v>55685</v>
      </c>
      <c r="S269" s="40" t="str" cm="1">
        <f t="array" aca="1" ref="S269" ca="1">TRIM(SUBSTITUTE(_xlfn.ARRAYTOTEXT(IFERROR(CONCATENATE(SUMIF(INDIRECT("'"&amp;Assemblies[Assy]&amp;"'!"&amp;"C$5:C1000"), $A269, INDIRECT("'"&amp;Assemblies[Assy]&amp;"'!"&amp;"O$5:O1000")), "x",Assemblies[Assy],".",IF(SUMIF(INDIRECT("'"&amp;Assemblies[Assy]&amp;"'!"&amp;"C$5:C1000"), $A269, INDIRECT("'"&amp;Assemblies[Assy]&amp;"'!"&amp;"A$5:A1000"))=0,NA(),SUMIF(INDIRECT("'"&amp;Assemblies[Assy]&amp;"'!"&amp;"C$5:C1000"), $A269, INDIRECT("'"&amp;Assemblies[Assy]&amp;"'!"&amp;"A$5:A1000")))),"")), " ,", ""))</f>
        <v>, 2x5.5.305, 2x5.6.305, 2x6.2.1.5.302, 2x6.2.3.1.302, 2x6.10.313, 2x6.10.2.302, 1x10.3.305,</v>
      </c>
    </row>
    <row r="270" spans="1:21" hidden="1" x14ac:dyDescent="0.25">
      <c r="A270" s="162" t="s">
        <v>346</v>
      </c>
      <c r="B270" s="160" t="s">
        <v>3289</v>
      </c>
      <c r="C270" s="180">
        <v>320</v>
      </c>
      <c r="D270">
        <v>1</v>
      </c>
      <c r="E270" cm="1">
        <f t="array" aca="1" ref="E270" ca="1">SUMPRODUCT(SUMIF(INDIRECT("'"&amp;Assemblies[Assy]&amp;"'!"&amp;"C:C"),$A270,(INDIRECT("'"&amp;Assemblies[Assy]&amp;"'!"&amp;"O:O"))))</f>
        <v>18</v>
      </c>
      <c r="F270">
        <f ca="1">ROUNDUP(Purchased[[#This Row],[BOM QTY]]/Purchased[[#This Row],[PK QTY]], 0)</f>
        <v>18</v>
      </c>
      <c r="G270">
        <v>20</v>
      </c>
      <c r="H270" t="str">
        <f ca="1">IF(F270&lt;=G270," ","YES")</f>
        <v xml:space="preserve"> </v>
      </c>
      <c r="I270">
        <v>20</v>
      </c>
      <c r="J270">
        <v>20</v>
      </c>
      <c r="K270" t="s">
        <v>3287</v>
      </c>
      <c r="L270" t="s">
        <v>3287</v>
      </c>
      <c r="N270" s="40">
        <v>45516</v>
      </c>
      <c r="O270" s="40">
        <v>45518</v>
      </c>
      <c r="P270" s="40">
        <v>45526</v>
      </c>
      <c r="Q270" s="40">
        <v>45526</v>
      </c>
      <c r="R270">
        <v>55685</v>
      </c>
      <c r="S270" t="str" cm="1">
        <f t="array" aca="1" ref="S270" ca="1">TRIM(SUBSTITUTE(_xlfn.ARRAYTOTEXT(IFERROR(CONCATENATE(SUMIF(INDIRECT("'"&amp;Assemblies[Assy]&amp;"'!"&amp;"C$5:C1000"), $A270, INDIRECT("'"&amp;Assemblies[Assy]&amp;"'!"&amp;"O$5:O1000")), "x",Assemblies[Assy],".",IF(SUMIF(INDIRECT("'"&amp;Assemblies[Assy]&amp;"'!"&amp;"C$5:C1000"), $A270, INDIRECT("'"&amp;Assemblies[Assy]&amp;"'!"&amp;"A$5:A1000"))=0,NA(),SUMIF(INDIRECT("'"&amp;Assemblies[Assy]&amp;"'!"&amp;"C$5:C1000"), $A270, INDIRECT("'"&amp;Assemblies[Assy]&amp;"'!"&amp;"A$5:A1000")))),"")), " ,", ""))</f>
        <v>, 16x1.4.1.303, 1x3.2.5.301, 1x3.2.6.301,</v>
      </c>
    </row>
    <row r="271" spans="1:21" hidden="1" x14ac:dyDescent="0.25">
      <c r="A271" s="160" t="s">
        <v>347</v>
      </c>
      <c r="B271" s="160" t="s">
        <v>3290</v>
      </c>
      <c r="C271" s="180">
        <v>70</v>
      </c>
      <c r="D271">
        <v>1</v>
      </c>
      <c r="E271" cm="1">
        <f t="array" aca="1" ref="E271" ca="1">SUMPRODUCT(SUMIF(INDIRECT("'"&amp;Assemblies[Assy]&amp;"'!"&amp;"C:C"),$A271,(INDIRECT("'"&amp;Assemblies[Assy]&amp;"'!"&amp;"O:O"))))</f>
        <v>18</v>
      </c>
      <c r="F271">
        <f ca="1">ROUNDUP(Purchased[[#This Row],[BOM QTY]]/Purchased[[#This Row],[PK QTY]], 0)</f>
        <v>18</v>
      </c>
      <c r="G271">
        <v>20</v>
      </c>
      <c r="H271" t="str">
        <f ca="1">IF(F271&lt;=G271," ","YES")</f>
        <v xml:space="preserve"> </v>
      </c>
      <c r="I271">
        <v>20</v>
      </c>
      <c r="J271">
        <v>20</v>
      </c>
      <c r="K271" t="s">
        <v>3287</v>
      </c>
      <c r="L271" t="s">
        <v>3287</v>
      </c>
      <c r="N271" s="40">
        <v>45516</v>
      </c>
      <c r="O271" s="40">
        <v>45518</v>
      </c>
      <c r="P271" s="40">
        <v>45526</v>
      </c>
      <c r="Q271" s="40">
        <v>45526</v>
      </c>
      <c r="R271">
        <v>55685</v>
      </c>
      <c r="S271" s="40" t="str" cm="1">
        <f t="array" aca="1" ref="S271" ca="1">TRIM(SUBSTITUTE(_xlfn.ARRAYTOTEXT(IFERROR(CONCATENATE(SUMIF(INDIRECT("'"&amp;Assemblies[Assy]&amp;"'!"&amp;"C$5:C1000"), $A271, INDIRECT("'"&amp;Assemblies[Assy]&amp;"'!"&amp;"O$5:O1000")), "x",Assemblies[Assy],".",IF(SUMIF(INDIRECT("'"&amp;Assemblies[Assy]&amp;"'!"&amp;"C$5:C1000"), $A271, INDIRECT("'"&amp;Assemblies[Assy]&amp;"'!"&amp;"A$5:A1000"))=0,NA(),SUMIF(INDIRECT("'"&amp;Assemblies[Assy]&amp;"'!"&amp;"C$5:C1000"), $A271, INDIRECT("'"&amp;Assemblies[Assy]&amp;"'!"&amp;"A$5:A1000")))),"")), " ,", ""))</f>
        <v>, 16x1.4.1.304, 1x3.2.5.307, 1x3.2.6.307,</v>
      </c>
    </row>
    <row r="272" spans="1:21" hidden="1" x14ac:dyDescent="0.25">
      <c r="A272" s="160" t="s">
        <v>3291</v>
      </c>
      <c r="B272" s="160" t="s">
        <v>3292</v>
      </c>
      <c r="C272" s="180">
        <v>100</v>
      </c>
      <c r="D272">
        <v>1</v>
      </c>
      <c r="E272" cm="1">
        <f t="array" aca="1" ref="E272" ca="1">SUMPRODUCT(SUMIF(INDIRECT("'"&amp;Assemblies[Assy]&amp;"'!"&amp;"C:C"),$A272,(INDIRECT("'"&amp;Assemblies[Assy]&amp;"'!"&amp;"O:O"))))</f>
        <v>0</v>
      </c>
      <c r="F272">
        <f ca="1">ROUNDUP(Purchased[[#This Row],[BOM QTY]]/Purchased[[#This Row],[PK QTY]], 0)</f>
        <v>0</v>
      </c>
      <c r="G272">
        <v>20</v>
      </c>
      <c r="H272" t="str">
        <f ca="1">IF(F272&lt;=G272," ","YES")</f>
        <v xml:space="preserve"> </v>
      </c>
      <c r="I272">
        <v>20</v>
      </c>
      <c r="J272">
        <v>20</v>
      </c>
      <c r="K272" t="s">
        <v>3287</v>
      </c>
      <c r="L272" t="s">
        <v>3287</v>
      </c>
      <c r="N272" s="40">
        <v>45516</v>
      </c>
      <c r="O272" s="40">
        <v>45518</v>
      </c>
      <c r="P272" s="40">
        <v>45526</v>
      </c>
      <c r="Q272" s="40">
        <v>45526</v>
      </c>
      <c r="R272">
        <v>55685</v>
      </c>
      <c r="S272" s="40" t="str" cm="1">
        <f t="array" aca="1" ref="S272" ca="1">TRIM(SUBSTITUTE(_xlfn.ARRAYTOTEXT(IFERROR(CONCATENATE(SUMIF(INDIRECT("'"&amp;Assemblies[Assy]&amp;"'!"&amp;"C$5:C1000"), $A272, INDIRECT("'"&amp;Assemblies[Assy]&amp;"'!"&amp;"O$5:O1000")), "x",Assemblies[Assy],".",IF(SUMIF(INDIRECT("'"&amp;Assemblies[Assy]&amp;"'!"&amp;"C$5:C1000"), $A272, INDIRECT("'"&amp;Assemblies[Assy]&amp;"'!"&amp;"A$5:A1000"))=0,NA(),SUMIF(INDIRECT("'"&amp;Assemblies[Assy]&amp;"'!"&amp;"C$5:C1000"), $A272, INDIRECT("'"&amp;Assemblies[Assy]&amp;"'!"&amp;"A$5:A1000")))),"")), " ,", ""))</f>
        <v>,</v>
      </c>
    </row>
    <row r="273" spans="1:21" hidden="1" x14ac:dyDescent="0.25">
      <c r="A273" s="160" t="s">
        <v>1382</v>
      </c>
      <c r="B273" s="160" t="s">
        <v>3310</v>
      </c>
      <c r="C273" s="180">
        <v>0</v>
      </c>
      <c r="D273">
        <v>1</v>
      </c>
      <c r="E273" cm="1">
        <f t="array" aca="1" ref="E273" ca="1">SUMPRODUCT(SUMIF(INDIRECT("'"&amp;Assemblies[Assy]&amp;"'!"&amp;"C:C"),$A273,(INDIRECT("'"&amp;Assemblies[Assy]&amp;"'!"&amp;"O:O"))))</f>
        <v>4</v>
      </c>
      <c r="F273">
        <f ca="1">ROUNDUP(Purchased[[#This Row],[BOM QTY]]/Purchased[[#This Row],[PK QTY]], 0)</f>
        <v>4</v>
      </c>
      <c r="G273">
        <v>4</v>
      </c>
      <c r="H273" t="str">
        <f ca="1">IF(F273&lt;=G273," ","YES")</f>
        <v xml:space="preserve"> </v>
      </c>
      <c r="K273" t="s">
        <v>3287</v>
      </c>
      <c r="L273" t="s">
        <v>3287</v>
      </c>
      <c r="M273" t="s">
        <v>3311</v>
      </c>
      <c r="N273" s="40" t="s">
        <v>2747</v>
      </c>
      <c r="O273" s="40" t="s">
        <v>2747</v>
      </c>
      <c r="P273" s="40" t="s">
        <v>2747</v>
      </c>
      <c r="Q273" s="40" t="s">
        <v>2747</v>
      </c>
      <c r="R273" s="40" t="s">
        <v>2747</v>
      </c>
      <c r="S273" s="40" t="str" cm="1">
        <f t="array" aca="1" ref="S273" ca="1">TRIM(SUBSTITUTE(_xlfn.ARRAYTOTEXT(IFERROR(CONCATENATE(SUMIF(INDIRECT("'"&amp;Assemblies[Assy]&amp;"'!"&amp;"C$5:C1000"), $A273, INDIRECT("'"&amp;Assemblies[Assy]&amp;"'!"&amp;"O$5:O1000")), "x",Assemblies[Assy],".",IF(SUMIF(INDIRECT("'"&amp;Assemblies[Assy]&amp;"'!"&amp;"C$5:C1000"), $A273, INDIRECT("'"&amp;Assemblies[Assy]&amp;"'!"&amp;"A$5:A1000"))=0,NA(),SUMIF(INDIRECT("'"&amp;Assemblies[Assy]&amp;"'!"&amp;"C$5:C1000"), $A273, INDIRECT("'"&amp;Assemblies[Assy]&amp;"'!"&amp;"A$5:A1000")))),"")), " ,", ""))</f>
        <v>, 4x10.2.306,</v>
      </c>
      <c r="U273" t="s">
        <v>3297</v>
      </c>
    </row>
    <row r="274" spans="1:21" hidden="1" x14ac:dyDescent="0.25">
      <c r="A274" s="160" t="s">
        <v>845</v>
      </c>
      <c r="B274" s="160" t="s">
        <v>3410</v>
      </c>
      <c r="C274" s="180">
        <v>9.98</v>
      </c>
      <c r="D274">
        <v>25</v>
      </c>
      <c r="E274" cm="1">
        <f t="array" aca="1" ref="E274" ca="1">SUMPRODUCT(SUMIF(INDIRECT("'"&amp;Assemblies[Assy]&amp;"'!"&amp;"C:C"),$A274,(INDIRECT("'"&amp;Assemblies[Assy]&amp;"'!"&amp;"O:O"))))</f>
        <v>4</v>
      </c>
      <c r="F274">
        <f ca="1">ROUNDUP(Purchased[[#This Row],[BOM QTY]]/Purchased[[#This Row],[PK QTY]], 0)</f>
        <v>1</v>
      </c>
      <c r="G274">
        <v>1</v>
      </c>
      <c r="H274" t="str">
        <f ca="1">IF(F274&lt;=G274," ","YES")</f>
        <v xml:space="preserve"> </v>
      </c>
      <c r="I274">
        <v>0</v>
      </c>
      <c r="J274">
        <v>0</v>
      </c>
      <c r="K274" t="s">
        <v>3313</v>
      </c>
      <c r="L274" t="s">
        <v>3313</v>
      </c>
      <c r="N274" s="40">
        <v>45526</v>
      </c>
      <c r="O274" s="40">
        <v>45526</v>
      </c>
      <c r="R274">
        <v>55697</v>
      </c>
      <c r="S274" s="40" t="str" cm="1">
        <f t="array" aca="1" ref="S274" ca="1">TRIM(SUBSTITUTE(_xlfn.ARRAYTOTEXT(IFERROR(CONCATENATE(SUMIF(INDIRECT("'"&amp;Assemblies[Assy]&amp;"'!"&amp;"C$5:C1000"), $A274, INDIRECT("'"&amp;Assemblies[Assy]&amp;"'!"&amp;"O$5:O1000")), "x",Assemblies[Assy],".",IF(SUMIF(INDIRECT("'"&amp;Assemblies[Assy]&amp;"'!"&amp;"C$5:C1000"), $A274, INDIRECT("'"&amp;Assemblies[Assy]&amp;"'!"&amp;"A$5:A1000"))=0,NA(),SUMIF(INDIRECT("'"&amp;Assemblies[Assy]&amp;"'!"&amp;"C$5:C1000"), $A274, INDIRECT("'"&amp;Assemblies[Assy]&amp;"'!"&amp;"A$5:A1000")))),"")), " ,", ""))</f>
        <v>, 4x5.5.4.302,</v>
      </c>
    </row>
    <row r="275" spans="1:21" hidden="1" x14ac:dyDescent="0.25">
      <c r="A275" s="160" t="s">
        <v>1182</v>
      </c>
      <c r="B275" s="160" t="s">
        <v>3318</v>
      </c>
      <c r="C275" s="180">
        <v>10.92</v>
      </c>
      <c r="D275">
        <v>50</v>
      </c>
      <c r="E275" cm="1">
        <f t="array" aca="1" ref="E275" ca="1">SUMPRODUCT(SUMIF(INDIRECT("'"&amp;Assemblies[Assy]&amp;"'!"&amp;"C:C"),$A275,(INDIRECT("'"&amp;Assemblies[Assy]&amp;"'!"&amp;"O:O"))))</f>
        <v>32</v>
      </c>
      <c r="F275">
        <f ca="1">ROUNDUP(Purchased[[#This Row],[BOM QTY]]/Purchased[[#This Row],[PK QTY]], 0)</f>
        <v>1</v>
      </c>
      <c r="G275">
        <v>1</v>
      </c>
      <c r="H275" t="str">
        <f ca="1">IF(F275&lt;=G275," ","YES")</f>
        <v xml:space="preserve"> </v>
      </c>
      <c r="I275">
        <v>1</v>
      </c>
      <c r="J275">
        <v>1</v>
      </c>
      <c r="K275" t="s">
        <v>3313</v>
      </c>
      <c r="L275" t="s">
        <v>3313</v>
      </c>
      <c r="N275" s="40">
        <v>45460</v>
      </c>
      <c r="O275" s="40">
        <v>45460</v>
      </c>
      <c r="P275" s="40">
        <v>45462</v>
      </c>
      <c r="Q275" s="40">
        <v>45462</v>
      </c>
      <c r="R275">
        <v>55556</v>
      </c>
      <c r="S275" s="40" t="str" cm="1">
        <f t="array" aca="1" ref="S275" ca="1">TRIM(SUBSTITUTE(_xlfn.ARRAYTOTEXT(IFERROR(CONCATENATE(SUMIF(INDIRECT("'"&amp;Assemblies[Assy]&amp;"'!"&amp;"C$5:C1000"), $A275, INDIRECT("'"&amp;Assemblies[Assy]&amp;"'!"&amp;"O$5:O1000")), "x",Assemblies[Assy],".",IF(SUMIF(INDIRECT("'"&amp;Assemblies[Assy]&amp;"'!"&amp;"C$5:C1000"), $A275, INDIRECT("'"&amp;Assemblies[Assy]&amp;"'!"&amp;"A$5:A1000"))=0,NA(),SUMIF(INDIRECT("'"&amp;Assemblies[Assy]&amp;"'!"&amp;"C$5:C1000"), $A275, INDIRECT("'"&amp;Assemblies[Assy]&amp;"'!"&amp;"A$5:A1000")))),"")), " ,", ""))</f>
        <v>, 32x7.2.5.301,</v>
      </c>
    </row>
    <row r="276" spans="1:21" hidden="1" x14ac:dyDescent="0.25">
      <c r="A276" s="162" t="s">
        <v>215</v>
      </c>
      <c r="B276" s="160" t="s">
        <v>3319</v>
      </c>
      <c r="C276" s="180">
        <v>18.72</v>
      </c>
      <c r="D276">
        <v>10</v>
      </c>
      <c r="E276" cm="1">
        <f t="array" aca="1" ref="E276" ca="1">SUMPRODUCT(SUMIF(INDIRECT("'"&amp;Assemblies[Assy]&amp;"'!"&amp;"C:C"),$A276,(INDIRECT("'"&amp;Assemblies[Assy]&amp;"'!"&amp;"O:O"))))</f>
        <v>4</v>
      </c>
      <c r="F276">
        <f ca="1">ROUNDUP(Purchased[[#This Row],[BOM QTY]]/Purchased[[#This Row],[PK QTY]], 0)</f>
        <v>1</v>
      </c>
      <c r="G276">
        <v>1</v>
      </c>
      <c r="H276" t="str">
        <f ca="1">IF(F276&lt;=G276," ","YES")</f>
        <v xml:space="preserve"> </v>
      </c>
      <c r="I276">
        <v>1</v>
      </c>
      <c r="J276">
        <v>1</v>
      </c>
      <c r="K276" t="s">
        <v>3313</v>
      </c>
      <c r="L276" t="s">
        <v>3313</v>
      </c>
      <c r="N276" s="40">
        <v>45460</v>
      </c>
      <c r="O276" s="40">
        <v>45460</v>
      </c>
      <c r="P276" s="40">
        <v>45462</v>
      </c>
      <c r="Q276" s="40">
        <v>45462</v>
      </c>
      <c r="R276">
        <v>55556</v>
      </c>
      <c r="S276" s="40" t="str" cm="1">
        <f t="array" aca="1" ref="S276" ca="1">TRIM(SUBSTITUTE(_xlfn.ARRAYTOTEXT(IFERROR(CONCATENATE(SUMIF(INDIRECT("'"&amp;Assemblies[Assy]&amp;"'!"&amp;"C$5:C1000"), $A276, INDIRECT("'"&amp;Assemblies[Assy]&amp;"'!"&amp;"O$5:O1000")), "x",Assemblies[Assy],".",IF(SUMIF(INDIRECT("'"&amp;Assemblies[Assy]&amp;"'!"&amp;"C$5:C1000"), $A276, INDIRECT("'"&amp;Assemblies[Assy]&amp;"'!"&amp;"A$5:A1000"))=0,NA(),SUMIF(INDIRECT("'"&amp;Assemblies[Assy]&amp;"'!"&amp;"C$5:C1000"), $A276, INDIRECT("'"&amp;Assemblies[Assy]&amp;"'!"&amp;"A$5:A1000")))),"")), " ,", ""))</f>
        <v>, 4x1.1.8.306,</v>
      </c>
    </row>
    <row r="277" spans="1:21" hidden="1" x14ac:dyDescent="0.25">
      <c r="A277" s="162" t="s">
        <v>224</v>
      </c>
      <c r="B277" s="160" t="s">
        <v>3323</v>
      </c>
      <c r="C277" s="180">
        <v>10.34</v>
      </c>
      <c r="D277">
        <v>10</v>
      </c>
      <c r="E277" cm="1">
        <f t="array" aca="1" ref="E277" ca="1">SUMPRODUCT(SUMIF(INDIRECT("'"&amp;Assemblies[Assy]&amp;"'!"&amp;"C:C"),$A277,(INDIRECT("'"&amp;Assemblies[Assy]&amp;"'!"&amp;"O:O"))))</f>
        <v>4</v>
      </c>
      <c r="F277">
        <f ca="1">ROUNDUP(Purchased[[#This Row],[BOM QTY]]/Purchased[[#This Row],[PK QTY]], 0)</f>
        <v>1</v>
      </c>
      <c r="G277">
        <v>1</v>
      </c>
      <c r="H277" t="str">
        <f ca="1">IF(F277&lt;=G277," ","YES")</f>
        <v xml:space="preserve"> </v>
      </c>
      <c r="I277">
        <v>1</v>
      </c>
      <c r="J277">
        <v>1</v>
      </c>
      <c r="K277" t="s">
        <v>3313</v>
      </c>
      <c r="L277" t="s">
        <v>3313</v>
      </c>
      <c r="N277" s="40">
        <v>45460</v>
      </c>
      <c r="O277" s="40">
        <v>45460</v>
      </c>
      <c r="P277" s="40">
        <v>45462</v>
      </c>
      <c r="Q277" s="40">
        <v>45462</v>
      </c>
      <c r="R277">
        <v>55556</v>
      </c>
      <c r="S277" s="40" t="str" cm="1">
        <f t="array" aca="1" ref="S277" ca="1">TRIM(SUBSTITUTE(_xlfn.ARRAYTOTEXT(IFERROR(CONCATENATE(SUMIF(INDIRECT("'"&amp;Assemblies[Assy]&amp;"'!"&amp;"C$5:C1000"), $A277, INDIRECT("'"&amp;Assemblies[Assy]&amp;"'!"&amp;"O$5:O1000")), "x",Assemblies[Assy],".",IF(SUMIF(INDIRECT("'"&amp;Assemblies[Assy]&amp;"'!"&amp;"C$5:C1000"), $A277, INDIRECT("'"&amp;Assemblies[Assy]&amp;"'!"&amp;"A$5:A1000"))=0,NA(),SUMIF(INDIRECT("'"&amp;Assemblies[Assy]&amp;"'!"&amp;"C$5:C1000"), $A277, INDIRECT("'"&amp;Assemblies[Assy]&amp;"'!"&amp;"A$5:A1000")))),"")), " ,", ""))</f>
        <v>, 4x1.1.9.302,</v>
      </c>
    </row>
    <row r="278" spans="1:21" hidden="1" x14ac:dyDescent="0.25">
      <c r="A278" s="162" t="s">
        <v>299</v>
      </c>
      <c r="B278" s="160" t="s">
        <v>3324</v>
      </c>
      <c r="C278" s="180">
        <v>10</v>
      </c>
      <c r="D278">
        <v>25</v>
      </c>
      <c r="E278" cm="1">
        <f t="array" aca="1" ref="E278" ca="1">SUMPRODUCT(SUMIF(INDIRECT("'"&amp;Assemblies[Assy]&amp;"'!"&amp;"C:C"),$A278,(INDIRECT("'"&amp;Assemblies[Assy]&amp;"'!"&amp;"O:O"))))</f>
        <v>10</v>
      </c>
      <c r="F278">
        <f ca="1">ROUNDUP(Purchased[[#This Row],[BOM QTY]]/Purchased[[#This Row],[PK QTY]], 0)</f>
        <v>1</v>
      </c>
      <c r="G278">
        <v>1</v>
      </c>
      <c r="H278" t="str">
        <f ca="1">IF(F278&lt;=G278," ","YES")</f>
        <v xml:space="preserve"> </v>
      </c>
      <c r="I278">
        <v>1</v>
      </c>
      <c r="J278">
        <v>1</v>
      </c>
      <c r="K278" t="s">
        <v>3313</v>
      </c>
      <c r="L278" t="s">
        <v>3313</v>
      </c>
      <c r="N278" s="40">
        <v>45460</v>
      </c>
      <c r="O278" s="40">
        <v>45460</v>
      </c>
      <c r="P278" s="40">
        <v>45462</v>
      </c>
      <c r="Q278" s="40">
        <v>45462</v>
      </c>
      <c r="R278">
        <v>55556</v>
      </c>
      <c r="S278" s="40" t="str" cm="1">
        <f t="array" aca="1" ref="S278" ca="1">TRIM(SUBSTITUTE(_xlfn.ARRAYTOTEXT(IFERROR(CONCATENATE(SUMIF(INDIRECT("'"&amp;Assemblies[Assy]&amp;"'!"&amp;"C$5:C1000"), $A278, INDIRECT("'"&amp;Assemblies[Assy]&amp;"'!"&amp;"O$5:O1000")), "x",Assemblies[Assy],".",IF(SUMIF(INDIRECT("'"&amp;Assemblies[Assy]&amp;"'!"&amp;"C$5:C1000"), $A278, INDIRECT("'"&amp;Assemblies[Assy]&amp;"'!"&amp;"A$5:A1000"))=0,NA(),SUMIF(INDIRECT("'"&amp;Assemblies[Assy]&amp;"'!"&amp;"C$5:C1000"), $A278, INDIRECT("'"&amp;Assemblies[Assy]&amp;"'!"&amp;"A$5:A1000")))),"")), " ,", ""))</f>
        <v>, 4x1.3.307, 6x2.3.309,</v>
      </c>
    </row>
    <row r="279" spans="1:21" hidden="1" x14ac:dyDescent="0.25">
      <c r="A279" s="160" t="s">
        <v>613</v>
      </c>
      <c r="B279" s="160" t="s">
        <v>3334</v>
      </c>
      <c r="C279" s="180">
        <v>4.82</v>
      </c>
      <c r="D279">
        <v>1</v>
      </c>
      <c r="E279" cm="1">
        <f t="array" aca="1" ref="E279" ca="1">SUMPRODUCT(SUMIF(INDIRECT("'"&amp;Assemblies[Assy]&amp;"'!"&amp;"C:C"),$A279,(INDIRECT("'"&amp;Assemblies[Assy]&amp;"'!"&amp;"O:O"))))</f>
        <v>1</v>
      </c>
      <c r="F279">
        <f ca="1">ROUNDUP(Purchased[[#This Row],[BOM QTY]]/Purchased[[#This Row],[PK QTY]], 0)</f>
        <v>1</v>
      </c>
      <c r="G279">
        <v>1</v>
      </c>
      <c r="H279" t="str">
        <f ca="1">IF(F279&lt;=G279," ","YES")</f>
        <v xml:space="preserve"> </v>
      </c>
      <c r="I279">
        <v>1</v>
      </c>
      <c r="J279">
        <v>1</v>
      </c>
      <c r="K279" t="s">
        <v>3313</v>
      </c>
      <c r="L279" t="s">
        <v>3313</v>
      </c>
      <c r="M279" t="s">
        <v>3335</v>
      </c>
      <c r="N279" s="40">
        <v>45481</v>
      </c>
      <c r="O279" s="40">
        <v>45481</v>
      </c>
      <c r="P279" s="40">
        <v>45482</v>
      </c>
      <c r="Q279" s="40">
        <v>45482</v>
      </c>
      <c r="R279">
        <v>55586</v>
      </c>
      <c r="S279" s="40" t="str" cm="1">
        <f t="array" aca="1" ref="S279" ca="1">TRIM(SUBSTITUTE(_xlfn.ARRAYTOTEXT(IFERROR(CONCATENATE(SUMIF(INDIRECT("'"&amp;Assemblies[Assy]&amp;"'!"&amp;"C$5:C1000"), $A279, INDIRECT("'"&amp;Assemblies[Assy]&amp;"'!"&amp;"O$5:O1000")), "x",Assemblies[Assy],".",IF(SUMIF(INDIRECT("'"&amp;Assemblies[Assy]&amp;"'!"&amp;"C$5:C1000"), $A279, INDIRECT("'"&amp;Assemblies[Assy]&amp;"'!"&amp;"A$5:A1000"))=0,NA(),SUMIF(INDIRECT("'"&amp;Assemblies[Assy]&amp;"'!"&amp;"C$5:C1000"), $A279, INDIRECT("'"&amp;Assemblies[Assy]&amp;"'!"&amp;"A$5:A1000")))),"")), " ,", ""))</f>
        <v>, 1x4.3.315,</v>
      </c>
    </row>
    <row r="280" spans="1:21" hidden="1" x14ac:dyDescent="0.25">
      <c r="A280" s="160" t="s">
        <v>612</v>
      </c>
      <c r="B280" s="160" t="s">
        <v>3336</v>
      </c>
      <c r="C280" s="180">
        <v>3.6</v>
      </c>
      <c r="D280">
        <v>1</v>
      </c>
      <c r="E280" cm="1">
        <f t="array" aca="1" ref="E280" ca="1">SUMPRODUCT(SUMIF(INDIRECT("'"&amp;Assemblies[Assy]&amp;"'!"&amp;"C:C"),$A280,(INDIRECT("'"&amp;Assemblies[Assy]&amp;"'!"&amp;"O:O"))))</f>
        <v>1</v>
      </c>
      <c r="F280">
        <f ca="1">ROUNDUP(Purchased[[#This Row],[BOM QTY]]/Purchased[[#This Row],[PK QTY]], 0)</f>
        <v>1</v>
      </c>
      <c r="G280">
        <v>1</v>
      </c>
      <c r="H280" t="str">
        <f ca="1">IF(F280&lt;=G280," ","YES")</f>
        <v xml:space="preserve"> </v>
      </c>
      <c r="I280">
        <v>1</v>
      </c>
      <c r="J280">
        <v>1</v>
      </c>
      <c r="K280" t="s">
        <v>3313</v>
      </c>
      <c r="L280" t="s">
        <v>3313</v>
      </c>
      <c r="N280" s="40">
        <v>45481</v>
      </c>
      <c r="O280" s="40">
        <v>45481</v>
      </c>
      <c r="P280" s="40">
        <v>45482</v>
      </c>
      <c r="Q280" s="40">
        <v>45482</v>
      </c>
      <c r="R280">
        <v>55586</v>
      </c>
      <c r="S280" s="40" t="str" cm="1">
        <f t="array" aca="1" ref="S280" ca="1">TRIM(SUBSTITUTE(_xlfn.ARRAYTOTEXT(IFERROR(CONCATENATE(SUMIF(INDIRECT("'"&amp;Assemblies[Assy]&amp;"'!"&amp;"C$5:C1000"), $A280, INDIRECT("'"&amp;Assemblies[Assy]&amp;"'!"&amp;"O$5:O1000")), "x",Assemblies[Assy],".",IF(SUMIF(INDIRECT("'"&amp;Assemblies[Assy]&amp;"'!"&amp;"C$5:C1000"), $A280, INDIRECT("'"&amp;Assemblies[Assy]&amp;"'!"&amp;"A$5:A1000"))=0,NA(),SUMIF(INDIRECT("'"&amp;Assemblies[Assy]&amp;"'!"&amp;"C$5:C1000"), $A280, INDIRECT("'"&amp;Assemblies[Assy]&amp;"'!"&amp;"A$5:A1000")))),"")), " ,", ""))</f>
        <v>, 1x4.3.313,</v>
      </c>
    </row>
    <row r="281" spans="1:21" hidden="1" x14ac:dyDescent="0.25">
      <c r="A281" s="160" t="s">
        <v>611</v>
      </c>
      <c r="B281" s="160" t="s">
        <v>3338</v>
      </c>
      <c r="C281" s="180">
        <v>79.930000000000007</v>
      </c>
      <c r="D281">
        <v>1</v>
      </c>
      <c r="E281" cm="1">
        <f t="array" aca="1" ref="E281" ca="1">SUMPRODUCT(SUMIF(INDIRECT("'"&amp;Assemblies[Assy]&amp;"'!"&amp;"C:C"),$A281,(INDIRECT("'"&amp;Assemblies[Assy]&amp;"'!"&amp;"O:O"))))</f>
        <v>1</v>
      </c>
      <c r="F281">
        <f ca="1">ROUNDUP(Purchased[[#This Row],[BOM QTY]]/Purchased[[#This Row],[PK QTY]], 0)</f>
        <v>1</v>
      </c>
      <c r="G281">
        <v>1</v>
      </c>
      <c r="H281" t="str">
        <f ca="1">IF(F281&lt;=G281," ","YES")</f>
        <v xml:space="preserve"> </v>
      </c>
      <c r="I281">
        <v>1</v>
      </c>
      <c r="J281">
        <v>1</v>
      </c>
      <c r="K281" t="s">
        <v>3313</v>
      </c>
      <c r="L281" t="s">
        <v>3313</v>
      </c>
      <c r="N281" s="40">
        <v>45481</v>
      </c>
      <c r="O281" s="40">
        <v>45481</v>
      </c>
      <c r="P281" s="40">
        <v>45482</v>
      </c>
      <c r="Q281" s="40">
        <v>45482</v>
      </c>
      <c r="R281">
        <v>55586</v>
      </c>
      <c r="S281" s="40" t="str" cm="1">
        <f t="array" aca="1" ref="S281" ca="1">TRIM(SUBSTITUTE(_xlfn.ARRAYTOTEXT(IFERROR(CONCATENATE(SUMIF(INDIRECT("'"&amp;Assemblies[Assy]&amp;"'!"&amp;"C$5:C1000"), $A281, INDIRECT("'"&amp;Assemblies[Assy]&amp;"'!"&amp;"O$5:O1000")), "x",Assemblies[Assy],".",IF(SUMIF(INDIRECT("'"&amp;Assemblies[Assy]&amp;"'!"&amp;"C$5:C1000"), $A281, INDIRECT("'"&amp;Assemblies[Assy]&amp;"'!"&amp;"A$5:A1000"))=0,NA(),SUMIF(INDIRECT("'"&amp;Assemblies[Assy]&amp;"'!"&amp;"C$5:C1000"), $A281, INDIRECT("'"&amp;Assemblies[Assy]&amp;"'!"&amp;"A$5:A1000")))),"")), " ,", ""))</f>
        <v>, 1x4.3.312,</v>
      </c>
    </row>
    <row r="282" spans="1:21" hidden="1" x14ac:dyDescent="0.25">
      <c r="A282" s="160" t="s">
        <v>1263</v>
      </c>
      <c r="B282" s="160" t="s">
        <v>3343</v>
      </c>
      <c r="C282" s="180">
        <v>12.7</v>
      </c>
      <c r="D282">
        <v>100</v>
      </c>
      <c r="E282" cm="1">
        <f t="array" aca="1" ref="E282" ca="1">SUMPRODUCT(SUMIF(INDIRECT("'"&amp;Assemblies[Assy]&amp;"'!"&amp;"C:C"),$A282,(INDIRECT("'"&amp;Assemblies[Assy]&amp;"'!"&amp;"O:O"))))</f>
        <v>16</v>
      </c>
      <c r="F282">
        <f ca="1">ROUNDUP(Purchased[[#This Row],[BOM QTY]]/Purchased[[#This Row],[PK QTY]], 0)</f>
        <v>1</v>
      </c>
      <c r="G282">
        <v>1</v>
      </c>
      <c r="H282" t="str">
        <f ca="1">IF(F282&lt;=G282," ","YES")</f>
        <v xml:space="preserve"> </v>
      </c>
      <c r="I282">
        <v>1</v>
      </c>
      <c r="J282">
        <v>1</v>
      </c>
      <c r="K282" t="s">
        <v>3313</v>
      </c>
      <c r="L282" t="s">
        <v>3313</v>
      </c>
      <c r="N282" s="40">
        <v>45481</v>
      </c>
      <c r="O282" s="40">
        <v>45481</v>
      </c>
      <c r="P282" s="40">
        <v>45482</v>
      </c>
      <c r="Q282" s="40">
        <v>45482</v>
      </c>
      <c r="R282">
        <v>55586</v>
      </c>
      <c r="S282" s="40" t="str" cm="1">
        <f t="array" aca="1" ref="S282" ca="1">TRIM(SUBSTITUTE(_xlfn.ARRAYTOTEXT(IFERROR(CONCATENATE(SUMIF(INDIRECT("'"&amp;Assemblies[Assy]&amp;"'!"&amp;"C$5:C1000"), $A282, INDIRECT("'"&amp;Assemblies[Assy]&amp;"'!"&amp;"O$5:O1000")), "x",Assemblies[Assy],".",IF(SUMIF(INDIRECT("'"&amp;Assemblies[Assy]&amp;"'!"&amp;"C$5:C1000"), $A282, INDIRECT("'"&amp;Assemblies[Assy]&amp;"'!"&amp;"A$5:A1000"))=0,NA(),SUMIF(INDIRECT("'"&amp;Assemblies[Assy]&amp;"'!"&amp;"C$5:C1000"), $A282, INDIRECT("'"&amp;Assemblies[Assy]&amp;"'!"&amp;"A$5:A1000")))),"")), " ,", ""))</f>
        <v>, 16x8.4.306,</v>
      </c>
    </row>
    <row r="283" spans="1:21" hidden="1" x14ac:dyDescent="0.25">
      <c r="A283" s="161" t="s">
        <v>1304</v>
      </c>
      <c r="B283" s="160" t="s">
        <v>3344</v>
      </c>
      <c r="C283" s="180">
        <v>11.97</v>
      </c>
      <c r="D283">
        <v>10</v>
      </c>
      <c r="E283" cm="1">
        <f t="array" aca="1" ref="E283" ca="1">SUMPRODUCT(SUMIF(INDIRECT("'"&amp;Assemblies[Assy]&amp;"'!"&amp;"C:C"),$A283,(INDIRECT("'"&amp;Assemblies[Assy]&amp;"'!"&amp;"O:O"))))</f>
        <v>4</v>
      </c>
      <c r="F283">
        <f ca="1">ROUNDUP(Purchased[[#This Row],[BOM QTY]]/Purchased[[#This Row],[PK QTY]], 0)</f>
        <v>1</v>
      </c>
      <c r="G283">
        <v>1</v>
      </c>
      <c r="H283" t="str">
        <f ca="1">IF(F283&lt;=G283," ","YES")</f>
        <v xml:space="preserve"> </v>
      </c>
      <c r="I283">
        <v>1</v>
      </c>
      <c r="J283">
        <v>1</v>
      </c>
      <c r="K283" t="s">
        <v>3313</v>
      </c>
      <c r="L283" t="s">
        <v>3313</v>
      </c>
      <c r="N283" s="40">
        <v>45481</v>
      </c>
      <c r="O283" s="40">
        <v>45481</v>
      </c>
      <c r="P283" s="40">
        <v>45482</v>
      </c>
      <c r="Q283" s="40">
        <v>45482</v>
      </c>
      <c r="R283">
        <v>55586</v>
      </c>
      <c r="S283" s="40" t="str" cm="1">
        <f t="array" aca="1" ref="S283" ca="1">TRIM(SUBSTITUTE(_xlfn.ARRAYTOTEXT(IFERROR(CONCATENATE(SUMIF(INDIRECT("'"&amp;Assemblies[Assy]&amp;"'!"&amp;"C$5:C1000"), $A283, INDIRECT("'"&amp;Assemblies[Assy]&amp;"'!"&amp;"O$5:O1000")), "x",Assemblies[Assy],".",IF(SUMIF(INDIRECT("'"&amp;Assemblies[Assy]&amp;"'!"&amp;"C$5:C1000"), $A283, INDIRECT("'"&amp;Assemblies[Assy]&amp;"'!"&amp;"A$5:A1000"))=0,NA(),SUMIF(INDIRECT("'"&amp;Assemblies[Assy]&amp;"'!"&amp;"C$5:C1000"), $A283, INDIRECT("'"&amp;Assemblies[Assy]&amp;"'!"&amp;"A$5:A1000")))),"")), " ,", ""))</f>
        <v>, 4x9.5.305,</v>
      </c>
    </row>
    <row r="284" spans="1:21" hidden="1" x14ac:dyDescent="0.25">
      <c r="A284" s="160" t="s">
        <v>1261</v>
      </c>
      <c r="B284" s="160" t="s">
        <v>3345</v>
      </c>
      <c r="C284" s="180">
        <v>13.06</v>
      </c>
      <c r="D284">
        <v>10</v>
      </c>
      <c r="E284" cm="1">
        <f t="array" aca="1" ref="E284" ca="1">SUMPRODUCT(SUMIF(INDIRECT("'"&amp;Assemblies[Assy]&amp;"'!"&amp;"C:C"),$A284,(INDIRECT("'"&amp;Assemblies[Assy]&amp;"'!"&amp;"O:O"))))</f>
        <v>8</v>
      </c>
      <c r="F284">
        <f ca="1">ROUNDUP(Purchased[[#This Row],[BOM QTY]]/Purchased[[#This Row],[PK QTY]], 0)</f>
        <v>1</v>
      </c>
      <c r="G284">
        <v>1</v>
      </c>
      <c r="H284" t="str">
        <f ca="1">IF(F284&lt;=G284," ","YES")</f>
        <v xml:space="preserve"> </v>
      </c>
      <c r="I284">
        <v>1</v>
      </c>
      <c r="J284">
        <v>1</v>
      </c>
      <c r="K284" t="s">
        <v>3313</v>
      </c>
      <c r="L284" t="s">
        <v>3313</v>
      </c>
      <c r="N284" s="40">
        <v>45481</v>
      </c>
      <c r="O284" s="40">
        <v>45481</v>
      </c>
      <c r="P284" s="40">
        <v>45482</v>
      </c>
      <c r="Q284" s="40">
        <v>45482</v>
      </c>
      <c r="R284">
        <v>55586</v>
      </c>
      <c r="S284" s="40" t="str" cm="1">
        <f t="array" aca="1" ref="S284" ca="1">TRIM(SUBSTITUTE(_xlfn.ARRAYTOTEXT(IFERROR(CONCATENATE(SUMIF(INDIRECT("'"&amp;Assemblies[Assy]&amp;"'!"&amp;"C$5:C1000"), $A284, INDIRECT("'"&amp;Assemblies[Assy]&amp;"'!"&amp;"O$5:O1000")), "x",Assemblies[Assy],".",IF(SUMIF(INDIRECT("'"&amp;Assemblies[Assy]&amp;"'!"&amp;"C$5:C1000"), $A284, INDIRECT("'"&amp;Assemblies[Assy]&amp;"'!"&amp;"A$5:A1000"))=0,NA(),SUMIF(INDIRECT("'"&amp;Assemblies[Assy]&amp;"'!"&amp;"C$5:C1000"), $A284, INDIRECT("'"&amp;Assemblies[Assy]&amp;"'!"&amp;"A$5:A1000")))),"")), " ,", ""))</f>
        <v>, 8x8.4.304,</v>
      </c>
    </row>
    <row r="285" spans="1:21" hidden="1" x14ac:dyDescent="0.25">
      <c r="A285" s="160" t="s">
        <v>915</v>
      </c>
      <c r="B285" s="160" t="s">
        <v>3348</v>
      </c>
      <c r="C285" s="180">
        <v>15.75</v>
      </c>
      <c r="D285">
        <v>100</v>
      </c>
      <c r="E285" cm="1">
        <f t="array" aca="1" ref="E285" ca="1">SUMPRODUCT(SUMIF(INDIRECT("'"&amp;Assemblies[Assy]&amp;"'!"&amp;"C:C"),$A285,(INDIRECT("'"&amp;Assemblies[Assy]&amp;"'!"&amp;"O:O"))))</f>
        <v>16</v>
      </c>
      <c r="F285">
        <f ca="1">ROUNDUP(Purchased[[#This Row],[BOM QTY]]/Purchased[[#This Row],[PK QTY]], 0)</f>
        <v>1</v>
      </c>
      <c r="G285">
        <v>1</v>
      </c>
      <c r="H285" t="str">
        <f ca="1">IF(F285&lt;=G285," ","YES")</f>
        <v xml:space="preserve"> </v>
      </c>
      <c r="I285">
        <v>1</v>
      </c>
      <c r="J285">
        <v>1</v>
      </c>
      <c r="K285" t="s">
        <v>3313</v>
      </c>
      <c r="L285" t="s">
        <v>3313</v>
      </c>
      <c r="M285" t="s">
        <v>3311</v>
      </c>
      <c r="N285" s="40">
        <v>45481</v>
      </c>
      <c r="O285" s="40">
        <v>45481</v>
      </c>
      <c r="P285" s="40">
        <v>45482</v>
      </c>
      <c r="Q285" s="40">
        <v>45482</v>
      </c>
      <c r="R285">
        <v>55586</v>
      </c>
      <c r="S285" s="40" t="str" cm="1">
        <f t="array" aca="1" ref="S285" ca="1">TRIM(SUBSTITUTE(_xlfn.ARRAYTOTEXT(IFERROR(CONCATENATE(SUMIF(INDIRECT("'"&amp;Assemblies[Assy]&amp;"'!"&amp;"C$5:C1000"), $A285, INDIRECT("'"&amp;Assemblies[Assy]&amp;"'!"&amp;"O$5:O1000")), "x",Assemblies[Assy],".",IF(SUMIF(INDIRECT("'"&amp;Assemblies[Assy]&amp;"'!"&amp;"C$5:C1000"), $A285, INDIRECT("'"&amp;Assemblies[Assy]&amp;"'!"&amp;"A$5:A1000"))=0,NA(),SUMIF(INDIRECT("'"&amp;Assemblies[Assy]&amp;"'!"&amp;"C$5:C1000"), $A285, INDIRECT("'"&amp;Assemblies[Assy]&amp;"'!"&amp;"A$5:A1000")))),"")), " ,", ""))</f>
        <v>, 6x6.1.1.303, 4x6.1.2.303, 6x7.1.5.303,</v>
      </c>
    </row>
    <row r="286" spans="1:21" hidden="1" x14ac:dyDescent="0.25">
      <c r="A286" s="160" t="s">
        <v>1022</v>
      </c>
      <c r="B286" s="160" t="s">
        <v>3349</v>
      </c>
      <c r="C286" s="180">
        <v>19.96</v>
      </c>
      <c r="D286">
        <v>25</v>
      </c>
      <c r="E286" cm="1">
        <f t="array" aca="1" ref="E286" ca="1">SUMPRODUCT(SUMIF(INDIRECT("'"&amp;Assemblies[Assy]&amp;"'!"&amp;"C:C"),$A286,(INDIRECT("'"&amp;Assemblies[Assy]&amp;"'!"&amp;"O:O"))))</f>
        <v>4</v>
      </c>
      <c r="F286">
        <f ca="1">ROUNDUP(Purchased[[#This Row],[BOM QTY]]/Purchased[[#This Row],[PK QTY]], 0)</f>
        <v>1</v>
      </c>
      <c r="G286">
        <v>1</v>
      </c>
      <c r="H286" t="str">
        <f ca="1">IF(F286&lt;=G286," ","YES")</f>
        <v xml:space="preserve"> </v>
      </c>
      <c r="I286">
        <v>1</v>
      </c>
      <c r="J286">
        <v>1</v>
      </c>
      <c r="K286" s="181" t="s">
        <v>3313</v>
      </c>
      <c r="L286" t="s">
        <v>3313</v>
      </c>
      <c r="N286" s="40">
        <v>45481</v>
      </c>
      <c r="O286" s="40">
        <v>45481</v>
      </c>
      <c r="P286" s="40">
        <v>45482</v>
      </c>
      <c r="Q286" s="40">
        <v>45482</v>
      </c>
      <c r="R286">
        <v>55586</v>
      </c>
      <c r="S286" s="40" t="str" cm="1">
        <f t="array" aca="1" ref="S286" ca="1">TRIM(SUBSTITUTE(_xlfn.ARRAYTOTEXT(IFERROR(CONCATENATE(SUMIF(INDIRECT("'"&amp;Assemblies[Assy]&amp;"'!"&amp;"C$5:C1000"), $A286, INDIRECT("'"&amp;Assemblies[Assy]&amp;"'!"&amp;"O$5:O1000")), "x",Assemblies[Assy],".",IF(SUMIF(INDIRECT("'"&amp;Assemblies[Assy]&amp;"'!"&amp;"C$5:C1000"), $A286, INDIRECT("'"&amp;Assemblies[Assy]&amp;"'!"&amp;"A$5:A1000"))=0,NA(),SUMIF(INDIRECT("'"&amp;Assemblies[Assy]&amp;"'!"&amp;"C$5:C1000"), $A286, INDIRECT("'"&amp;Assemblies[Assy]&amp;"'!"&amp;"A$5:A1000")))),"")), " ,", ""))</f>
        <v>, 2x6.4.309, 2x6.5.309,</v>
      </c>
    </row>
    <row r="287" spans="1:21" hidden="1" x14ac:dyDescent="0.25">
      <c r="A287" s="160" t="s">
        <v>914</v>
      </c>
      <c r="B287" s="160" t="s">
        <v>3351</v>
      </c>
      <c r="C287" s="180">
        <v>12.41</v>
      </c>
      <c r="D287">
        <v>50</v>
      </c>
      <c r="E287" cm="1">
        <f t="array" aca="1" ref="E287" ca="1">SUMPRODUCT(SUMIF(INDIRECT("'"&amp;Assemblies[Assy]&amp;"'!"&amp;"C:C"),$A287,(INDIRECT("'"&amp;Assemblies[Assy]&amp;"'!"&amp;"O:O"))))</f>
        <v>20</v>
      </c>
      <c r="F287">
        <f ca="1">ROUNDUP(Purchased[[#This Row],[BOM QTY]]/Purchased[[#This Row],[PK QTY]], 0)</f>
        <v>1</v>
      </c>
      <c r="G287">
        <v>1</v>
      </c>
      <c r="H287" t="str">
        <f ca="1">IF(F287&lt;=G287," ","YES")</f>
        <v xml:space="preserve"> </v>
      </c>
      <c r="I287">
        <v>1</v>
      </c>
      <c r="J287">
        <v>1</v>
      </c>
      <c r="K287" t="s">
        <v>3313</v>
      </c>
      <c r="L287" t="s">
        <v>3313</v>
      </c>
      <c r="N287" s="40">
        <v>45481</v>
      </c>
      <c r="O287" s="40">
        <v>45481</v>
      </c>
      <c r="P287" s="40">
        <v>45482</v>
      </c>
      <c r="Q287" s="40">
        <v>45482</v>
      </c>
      <c r="R287">
        <v>55586</v>
      </c>
      <c r="S287" s="40" t="str" cm="1">
        <f t="array" aca="1" ref="S287" ca="1">TRIM(SUBSTITUTE(_xlfn.ARRAYTOTEXT(IFERROR(CONCATENATE(SUMIF(INDIRECT("'"&amp;Assemblies[Assy]&amp;"'!"&amp;"C$5:C1000"), $A287, INDIRECT("'"&amp;Assemblies[Assy]&amp;"'!"&amp;"O$5:O1000")), "x",Assemblies[Assy],".",IF(SUMIF(INDIRECT("'"&amp;Assemblies[Assy]&amp;"'!"&amp;"C$5:C1000"), $A287, INDIRECT("'"&amp;Assemblies[Assy]&amp;"'!"&amp;"A$5:A1000"))=0,NA(),SUMIF(INDIRECT("'"&amp;Assemblies[Assy]&amp;"'!"&amp;"C$5:C1000"), $A287, INDIRECT("'"&amp;Assemblies[Assy]&amp;"'!"&amp;"A$5:A1000")))),"")), " ,", ""))</f>
        <v>, 6x6.1.1.302, 4x6.1.2.302, 4x6.10.316, 6x7.1.5.302,</v>
      </c>
    </row>
    <row r="288" spans="1:21" hidden="1" x14ac:dyDescent="0.25">
      <c r="A288" s="160" t="s">
        <v>951</v>
      </c>
      <c r="B288" s="160" t="s">
        <v>3353</v>
      </c>
      <c r="C288" s="180">
        <v>12.14</v>
      </c>
      <c r="D288">
        <v>50</v>
      </c>
      <c r="E288" cm="1">
        <f t="array" aca="1" ref="E288" ca="1">SUMPRODUCT(SUMIF(INDIRECT("'"&amp;Assemblies[Assy]&amp;"'!"&amp;"C:C"),$A288,(INDIRECT("'"&amp;Assemblies[Assy]&amp;"'!"&amp;"O:O"))))</f>
        <v>4</v>
      </c>
      <c r="F288">
        <f ca="1">ROUNDUP(Purchased[[#This Row],[BOM QTY]]/Purchased[[#This Row],[PK QTY]], 0)</f>
        <v>1</v>
      </c>
      <c r="G288">
        <v>1</v>
      </c>
      <c r="H288" t="str">
        <f ca="1">IF(F288&lt;=G288," ","YES")</f>
        <v xml:space="preserve"> </v>
      </c>
      <c r="I288">
        <v>1</v>
      </c>
      <c r="J288">
        <v>1</v>
      </c>
      <c r="K288" t="s">
        <v>3313</v>
      </c>
      <c r="L288" t="s">
        <v>3313</v>
      </c>
      <c r="N288" s="40">
        <v>45481</v>
      </c>
      <c r="O288" s="40">
        <v>45481</v>
      </c>
      <c r="P288" s="40">
        <v>45482</v>
      </c>
      <c r="Q288" s="40">
        <v>45482</v>
      </c>
      <c r="R288">
        <v>55586</v>
      </c>
      <c r="S288" s="40" t="str" cm="1">
        <f t="array" aca="1" ref="S288" ca="1">TRIM(SUBSTITUTE(_xlfn.ARRAYTOTEXT(IFERROR(CONCATENATE(SUMIF(INDIRECT("'"&amp;Assemblies[Assy]&amp;"'!"&amp;"C$5:C1000"), $A288, INDIRECT("'"&amp;Assemblies[Assy]&amp;"'!"&amp;"O$5:O1000")), "x",Assemblies[Assy],".",IF(SUMIF(INDIRECT("'"&amp;Assemblies[Assy]&amp;"'!"&amp;"C$5:C1000"), $A288, INDIRECT("'"&amp;Assemblies[Assy]&amp;"'!"&amp;"A$5:A1000"))=0,NA(),SUMIF(INDIRECT("'"&amp;Assemblies[Assy]&amp;"'!"&amp;"C$5:C1000"), $A288, INDIRECT("'"&amp;Assemblies[Assy]&amp;"'!"&amp;"A$5:A1000")))),"")), " ,", ""))</f>
        <v>, 2x6.2.1.3.301, 2x6.3.1.3.301,</v>
      </c>
    </row>
    <row r="289" spans="1:19" hidden="1" x14ac:dyDescent="0.25">
      <c r="A289" s="160" t="s">
        <v>100</v>
      </c>
      <c r="B289" s="160" t="s">
        <v>3360</v>
      </c>
      <c r="C289" s="180">
        <v>13.48</v>
      </c>
      <c r="D289">
        <v>25</v>
      </c>
      <c r="E289" cm="1">
        <f t="array" aca="1" ref="E289" ca="1">SUMPRODUCT(SUMIF(INDIRECT("'"&amp;Assemblies[Assy]&amp;"'!"&amp;"C:C"),$A289,(INDIRECT("'"&amp;Assemblies[Assy]&amp;"'!"&amp;"O:O"))))</f>
        <v>40</v>
      </c>
      <c r="F289">
        <f ca="1">ROUNDUP(Purchased[[#This Row],[BOM QTY]]/Purchased[[#This Row],[PK QTY]], 0)</f>
        <v>2</v>
      </c>
      <c r="G289">
        <v>2</v>
      </c>
      <c r="H289" t="str">
        <f ca="1">IF(F289&lt;=G289," ","YES")</f>
        <v xml:space="preserve"> </v>
      </c>
      <c r="I289">
        <v>1</v>
      </c>
      <c r="J289">
        <v>1</v>
      </c>
      <c r="K289" t="s">
        <v>3313</v>
      </c>
      <c r="L289" t="s">
        <v>3313</v>
      </c>
      <c r="M289" t="s">
        <v>3361</v>
      </c>
      <c r="N289" s="40">
        <v>45481</v>
      </c>
      <c r="O289" s="40">
        <v>45481</v>
      </c>
      <c r="P289" s="40">
        <v>45482</v>
      </c>
      <c r="Q289" s="40">
        <v>45482</v>
      </c>
      <c r="R289">
        <v>55586</v>
      </c>
      <c r="S289" s="40" t="str" cm="1">
        <f t="array" aca="1" ref="S289" ca="1">TRIM(SUBSTITUTE(_xlfn.ARRAYTOTEXT(IFERROR(CONCATENATE(SUMIF(INDIRECT("'"&amp;Assemblies[Assy]&amp;"'!"&amp;"C$5:C1000"), $A289, INDIRECT("'"&amp;Assemblies[Assy]&amp;"'!"&amp;"O$5:O1000")), "x",Assemblies[Assy],".",IF(SUMIF(INDIRECT("'"&amp;Assemblies[Assy]&amp;"'!"&amp;"C$5:C1000"), $A289, INDIRECT("'"&amp;Assemblies[Assy]&amp;"'!"&amp;"A$5:A1000"))=0,NA(),SUMIF(INDIRECT("'"&amp;Assemblies[Assy]&amp;"'!"&amp;"C$5:C1000"), $A289, INDIRECT("'"&amp;Assemblies[Assy]&amp;"'!"&amp;"A$5:A1000")))),"")), " ,", ""))</f>
        <v>, 8x0.3.306, 8x0.4.306, 8x0.6.306, 8x0.9.306, 8x0.10.306,</v>
      </c>
    </row>
    <row r="290" spans="1:19" hidden="1" x14ac:dyDescent="0.25">
      <c r="A290" s="160" t="s">
        <v>1107</v>
      </c>
      <c r="B290" s="160" t="s">
        <v>3362</v>
      </c>
      <c r="C290" s="180">
        <v>12.97</v>
      </c>
      <c r="D290">
        <v>10</v>
      </c>
      <c r="E290" cm="1">
        <f t="array" aca="1" ref="E290" ca="1">SUMPRODUCT(SUMIF(INDIRECT("'"&amp;Assemblies[Assy]&amp;"'!"&amp;"C:C"),$A290,(INDIRECT("'"&amp;Assemblies[Assy]&amp;"'!"&amp;"O:O"))))</f>
        <v>15</v>
      </c>
      <c r="F290">
        <f ca="1">ROUNDUP(Purchased[[#This Row],[BOM QTY]]/Purchased[[#This Row],[PK QTY]], 0)</f>
        <v>2</v>
      </c>
      <c r="G290">
        <v>2</v>
      </c>
      <c r="H290" t="str">
        <f ca="1">IF(F290&lt;=G290," ","YES")</f>
        <v xml:space="preserve"> </v>
      </c>
      <c r="I290">
        <v>1</v>
      </c>
      <c r="J290">
        <v>1</v>
      </c>
      <c r="K290" t="s">
        <v>3313</v>
      </c>
      <c r="L290" t="s">
        <v>3313</v>
      </c>
      <c r="M290" t="s">
        <v>3361</v>
      </c>
      <c r="N290" s="40">
        <v>45481</v>
      </c>
      <c r="O290" s="40">
        <v>45481</v>
      </c>
      <c r="P290" s="40">
        <v>45482</v>
      </c>
      <c r="Q290" s="40">
        <v>45482</v>
      </c>
      <c r="R290">
        <v>55586</v>
      </c>
      <c r="S290" s="40" t="str" cm="1">
        <f t="array" aca="1" ref="S290" ca="1">TRIM(SUBSTITUTE(_xlfn.ARRAYTOTEXT(IFERROR(CONCATENATE(SUMIF(INDIRECT("'"&amp;Assemblies[Assy]&amp;"'!"&amp;"C$5:C1000"), $A290, INDIRECT("'"&amp;Assemblies[Assy]&amp;"'!"&amp;"O$5:O1000")), "x",Assemblies[Assy],".",IF(SUMIF(INDIRECT("'"&amp;Assemblies[Assy]&amp;"'!"&amp;"C$5:C1000"), $A290, INDIRECT("'"&amp;Assemblies[Assy]&amp;"'!"&amp;"A$5:A1000"))=0,NA(),SUMIF(INDIRECT("'"&amp;Assemblies[Assy]&amp;"'!"&amp;"C$5:C1000"), $A290, INDIRECT("'"&amp;Assemblies[Assy]&amp;"'!"&amp;"A$5:A1000")))),"")), " ,", ""))</f>
        <v>, 15x7.1.311,</v>
      </c>
    </row>
    <row r="291" spans="1:19" hidden="1" x14ac:dyDescent="0.25">
      <c r="A291" s="160" t="s">
        <v>3369</v>
      </c>
      <c r="B291" s="160" t="s">
        <v>3370</v>
      </c>
      <c r="C291" s="180">
        <v>2.73</v>
      </c>
      <c r="D291">
        <v>100</v>
      </c>
      <c r="E291" cm="1">
        <f t="array" aca="1" ref="E291" ca="1">SUMPRODUCT(SUMIF(INDIRECT("'"&amp;Assemblies[Assy]&amp;"'!"&amp;"C:C"),$A291,(INDIRECT("'"&amp;Assemblies[Assy]&amp;"'!"&amp;"O:O"))))</f>
        <v>0</v>
      </c>
      <c r="F291">
        <f ca="1">ROUNDUP(Purchased[[#This Row],[BOM QTY]]/Purchased[[#This Row],[PK QTY]], 0)</f>
        <v>0</v>
      </c>
      <c r="G291">
        <v>1</v>
      </c>
      <c r="H291" t="str">
        <f ca="1">IF(F291&lt;=G291," ","YES")</f>
        <v xml:space="preserve"> </v>
      </c>
      <c r="I291">
        <v>1</v>
      </c>
      <c r="J291">
        <v>1</v>
      </c>
      <c r="K291" t="s">
        <v>3313</v>
      </c>
      <c r="L291" t="s">
        <v>3313</v>
      </c>
      <c r="N291" s="40">
        <v>45482</v>
      </c>
      <c r="O291" s="40">
        <v>45482</v>
      </c>
      <c r="P291" s="40">
        <v>45483</v>
      </c>
      <c r="Q291" s="40">
        <v>45483</v>
      </c>
      <c r="R291">
        <v>55591</v>
      </c>
      <c r="S291" s="40" t="str" cm="1">
        <f t="array" aca="1" ref="S291" ca="1">TRIM(SUBSTITUTE(_xlfn.ARRAYTOTEXT(IFERROR(CONCATENATE(SUMIF(INDIRECT("'"&amp;Assemblies[Assy]&amp;"'!"&amp;"C$5:C1000"), $A291, INDIRECT("'"&amp;Assemblies[Assy]&amp;"'!"&amp;"O$5:O1000")), "x",Assemblies[Assy],".",IF(SUMIF(INDIRECT("'"&amp;Assemblies[Assy]&amp;"'!"&amp;"C$5:C1000"), $A291, INDIRECT("'"&amp;Assemblies[Assy]&amp;"'!"&amp;"A$5:A1000"))=0,NA(),SUMIF(INDIRECT("'"&amp;Assemblies[Assy]&amp;"'!"&amp;"C$5:C1000"), $A291, INDIRECT("'"&amp;Assemblies[Assy]&amp;"'!"&amp;"A$5:A1000")))),"")), " ,", ""))</f>
        <v>,</v>
      </c>
    </row>
    <row r="292" spans="1:19" hidden="1" x14ac:dyDescent="0.25">
      <c r="A292" s="161" t="s">
        <v>1297</v>
      </c>
      <c r="B292" s="160" t="s">
        <v>3371</v>
      </c>
      <c r="C292" s="180">
        <v>17.350000000000001</v>
      </c>
      <c r="D292">
        <v>10</v>
      </c>
      <c r="E292" cm="1">
        <f t="array" aca="1" ref="E292" ca="1">SUMPRODUCT(SUMIF(INDIRECT("'"&amp;Assemblies[Assy]&amp;"'!"&amp;"C:C"),$A292,(INDIRECT("'"&amp;Assemblies[Assy]&amp;"'!"&amp;"O:O"))))</f>
        <v>9</v>
      </c>
      <c r="F292">
        <f ca="1">ROUNDUP(Purchased[[#This Row],[BOM QTY]]/Purchased[[#This Row],[PK QTY]], 0)</f>
        <v>1</v>
      </c>
      <c r="G292">
        <v>1</v>
      </c>
      <c r="H292" t="str">
        <f ca="1">IF(F292&lt;=G292," ","YES")</f>
        <v xml:space="preserve"> </v>
      </c>
      <c r="I292">
        <v>1</v>
      </c>
      <c r="J292">
        <v>1</v>
      </c>
      <c r="K292" t="s">
        <v>3313</v>
      </c>
      <c r="L292" t="s">
        <v>3313</v>
      </c>
      <c r="N292" s="40">
        <v>45481</v>
      </c>
      <c r="O292" s="40">
        <v>45481</v>
      </c>
      <c r="P292" s="40">
        <v>45482</v>
      </c>
      <c r="Q292" s="40">
        <v>45482</v>
      </c>
      <c r="R292">
        <v>55591</v>
      </c>
      <c r="S292" s="40" t="str" cm="1">
        <f t="array" aca="1" ref="S292" ca="1">TRIM(SUBSTITUTE(_xlfn.ARRAYTOTEXT(IFERROR(CONCATENATE(SUMIF(INDIRECT("'"&amp;Assemblies[Assy]&amp;"'!"&amp;"C$5:C1000"), $A292, INDIRECT("'"&amp;Assemblies[Assy]&amp;"'!"&amp;"O$5:O1000")), "x",Assemblies[Assy],".",IF(SUMIF(INDIRECT("'"&amp;Assemblies[Assy]&amp;"'!"&amp;"C$5:C1000"), $A292, INDIRECT("'"&amp;Assemblies[Assy]&amp;"'!"&amp;"A$5:A1000"))=0,NA(),SUMIF(INDIRECT("'"&amp;Assemblies[Assy]&amp;"'!"&amp;"C$5:C1000"), $A292, INDIRECT("'"&amp;Assemblies[Assy]&amp;"'!"&amp;"A$5:A1000")))),"")), " ,", ""))</f>
        <v>, 8x9.4.303, 1x10.1.9.305,</v>
      </c>
    </row>
    <row r="293" spans="1:19" hidden="1" x14ac:dyDescent="0.25">
      <c r="A293" s="162" t="s">
        <v>229</v>
      </c>
      <c r="B293" s="160" t="s">
        <v>3372</v>
      </c>
      <c r="C293" s="180">
        <v>7.85</v>
      </c>
      <c r="D293">
        <v>50</v>
      </c>
      <c r="E293" cm="1">
        <f t="array" aca="1" ref="E293" ca="1">SUMPRODUCT(SUMIF(INDIRECT("'"&amp;Assemblies[Assy]&amp;"'!"&amp;"C:C"),$A293,(INDIRECT("'"&amp;Assemblies[Assy]&amp;"'!"&amp;"O:O"))))</f>
        <v>6</v>
      </c>
      <c r="F293">
        <f ca="1">ROUNDUP(Purchased[[#This Row],[BOM QTY]]/Purchased[[#This Row],[PK QTY]], 0)</f>
        <v>1</v>
      </c>
      <c r="G293">
        <v>1</v>
      </c>
      <c r="H293" t="str">
        <f ca="1">IF(F293&lt;=G293," ","YES")</f>
        <v xml:space="preserve"> </v>
      </c>
      <c r="I293">
        <v>1</v>
      </c>
      <c r="J293">
        <v>1</v>
      </c>
      <c r="K293" t="s">
        <v>3313</v>
      </c>
      <c r="L293" t="s">
        <v>3313</v>
      </c>
      <c r="N293" s="40">
        <v>45481</v>
      </c>
      <c r="O293" s="40">
        <v>45481</v>
      </c>
      <c r="P293" s="40">
        <v>45482</v>
      </c>
      <c r="Q293" s="40">
        <v>45482</v>
      </c>
      <c r="R293">
        <v>55591</v>
      </c>
      <c r="S293" s="40" t="str" cm="1">
        <f t="array" aca="1" ref="S293" ca="1">TRIM(SUBSTITUTE(_xlfn.ARRAYTOTEXT(IFERROR(CONCATENATE(SUMIF(INDIRECT("'"&amp;Assemblies[Assy]&amp;"'!"&amp;"C$5:C1000"), $A293, INDIRECT("'"&amp;Assemblies[Assy]&amp;"'!"&amp;"O$5:O1000")), "x",Assemblies[Assy],".",IF(SUMIF(INDIRECT("'"&amp;Assemblies[Assy]&amp;"'!"&amp;"C$5:C1000"), $A293, INDIRECT("'"&amp;Assemblies[Assy]&amp;"'!"&amp;"A$5:A1000"))=0,NA(),SUMIF(INDIRECT("'"&amp;Assemblies[Assy]&amp;"'!"&amp;"C$5:C1000"), $A293, INDIRECT("'"&amp;Assemblies[Assy]&amp;"'!"&amp;"A$5:A1000")))),"")), " ,", ""))</f>
        <v>, 6x1.1.10.304,</v>
      </c>
    </row>
    <row r="294" spans="1:19" hidden="1" x14ac:dyDescent="0.25">
      <c r="A294" s="160" t="s">
        <v>771</v>
      </c>
      <c r="B294" s="160" t="s">
        <v>3373</v>
      </c>
      <c r="C294" s="180">
        <v>11.04</v>
      </c>
      <c r="D294">
        <v>100</v>
      </c>
      <c r="E294" cm="1">
        <f t="array" aca="1" ref="E294" ca="1">SUMPRODUCT(SUMIF(INDIRECT("'"&amp;Assemblies[Assy]&amp;"'!"&amp;"C:C"),$A294,(INDIRECT("'"&amp;Assemblies[Assy]&amp;"'!"&amp;"O:O"))))</f>
        <v>4</v>
      </c>
      <c r="F294">
        <f ca="1">ROUNDUP(Purchased[[#This Row],[BOM QTY]]/Purchased[[#This Row],[PK QTY]], 0)</f>
        <v>1</v>
      </c>
      <c r="G294">
        <v>1</v>
      </c>
      <c r="H294" t="str">
        <f ca="1">IF(F294&lt;=G294," ","YES")</f>
        <v xml:space="preserve"> </v>
      </c>
      <c r="I294">
        <v>1</v>
      </c>
      <c r="J294">
        <v>1</v>
      </c>
      <c r="K294" t="s">
        <v>3313</v>
      </c>
      <c r="L294" t="s">
        <v>3313</v>
      </c>
      <c r="N294" s="40">
        <v>45482</v>
      </c>
      <c r="O294" s="40">
        <v>45482</v>
      </c>
      <c r="P294" s="40">
        <v>45483</v>
      </c>
      <c r="Q294" s="40">
        <v>45483</v>
      </c>
      <c r="R294">
        <v>55591</v>
      </c>
      <c r="S294" s="40" t="str" cm="1">
        <f t="array" aca="1" ref="S294" ca="1">TRIM(SUBSTITUTE(_xlfn.ARRAYTOTEXT(IFERROR(CONCATENATE(SUMIF(INDIRECT("'"&amp;Assemblies[Assy]&amp;"'!"&amp;"C$5:C1000"), $A294, INDIRECT("'"&amp;Assemblies[Assy]&amp;"'!"&amp;"O$5:O1000")), "x",Assemblies[Assy],".",IF(SUMIF(INDIRECT("'"&amp;Assemblies[Assy]&amp;"'!"&amp;"C$5:C1000"), $A294, INDIRECT("'"&amp;Assemblies[Assy]&amp;"'!"&amp;"A$5:A1000"))=0,NA(),SUMIF(INDIRECT("'"&amp;Assemblies[Assy]&amp;"'!"&amp;"C$5:C1000"), $A294, INDIRECT("'"&amp;Assemblies[Assy]&amp;"'!"&amp;"A$5:A1000")))),"")), " ,", ""))</f>
        <v>, 2x5.4.1.305, 2x5.4.2.305,</v>
      </c>
    </row>
    <row r="295" spans="1:19" hidden="1" x14ac:dyDescent="0.25">
      <c r="A295" s="160" t="s">
        <v>770</v>
      </c>
      <c r="B295" s="160" t="s">
        <v>3374</v>
      </c>
      <c r="C295" s="180">
        <v>11.62</v>
      </c>
      <c r="D295">
        <v>100</v>
      </c>
      <c r="E295" cm="1">
        <f t="array" aca="1" ref="E295" ca="1">SUMPRODUCT(SUMIF(INDIRECT("'"&amp;Assemblies[Assy]&amp;"'!"&amp;"C:C"),$A295,(INDIRECT("'"&amp;Assemblies[Assy]&amp;"'!"&amp;"O:O"))))</f>
        <v>8</v>
      </c>
      <c r="F295">
        <f ca="1">ROUNDUP(Purchased[[#This Row],[BOM QTY]]/Purchased[[#This Row],[PK QTY]], 0)</f>
        <v>1</v>
      </c>
      <c r="G295">
        <v>1</v>
      </c>
      <c r="H295" t="str">
        <f ca="1">IF(F295&lt;=G295," ","YES")</f>
        <v xml:space="preserve"> </v>
      </c>
      <c r="I295">
        <v>1</v>
      </c>
      <c r="J295">
        <v>1</v>
      </c>
      <c r="K295" t="s">
        <v>3313</v>
      </c>
      <c r="L295" t="s">
        <v>3313</v>
      </c>
      <c r="N295" s="40">
        <v>45482</v>
      </c>
      <c r="O295" s="40">
        <v>45482</v>
      </c>
      <c r="P295" s="40">
        <v>45483</v>
      </c>
      <c r="Q295" s="40">
        <v>45483</v>
      </c>
      <c r="R295">
        <v>55591</v>
      </c>
      <c r="S295" s="40" t="str" cm="1">
        <f t="array" aca="1" ref="S295" ca="1">TRIM(SUBSTITUTE(_xlfn.ARRAYTOTEXT(IFERROR(CONCATENATE(SUMIF(INDIRECT("'"&amp;Assemblies[Assy]&amp;"'!"&amp;"C$5:C1000"), $A295, INDIRECT("'"&amp;Assemblies[Assy]&amp;"'!"&amp;"O$5:O1000")), "x",Assemblies[Assy],".",IF(SUMIF(INDIRECT("'"&amp;Assemblies[Assy]&amp;"'!"&amp;"C$5:C1000"), $A295, INDIRECT("'"&amp;Assemblies[Assy]&amp;"'!"&amp;"A$5:A1000"))=0,NA(),SUMIF(INDIRECT("'"&amp;Assemblies[Assy]&amp;"'!"&amp;"C$5:C1000"), $A295, INDIRECT("'"&amp;Assemblies[Assy]&amp;"'!"&amp;"A$5:A1000")))),"")), " ,", ""))</f>
        <v>, 2x5.4.1.301, 2x5.4.2.301, 4x5.5.4.304,</v>
      </c>
    </row>
    <row r="296" spans="1:19" hidden="1" x14ac:dyDescent="0.25">
      <c r="A296" s="160" t="s">
        <v>866</v>
      </c>
      <c r="B296" s="160" t="s">
        <v>3376</v>
      </c>
      <c r="C296" s="180">
        <v>8.24</v>
      </c>
      <c r="D296">
        <v>25</v>
      </c>
      <c r="E296" cm="1">
        <f t="array" aca="1" ref="E296" ca="1">SUMPRODUCT(SUMIF(INDIRECT("'"&amp;Assemblies[Assy]&amp;"'!"&amp;"C:C"),$A296,(INDIRECT("'"&amp;Assemblies[Assy]&amp;"'!"&amp;"O:O"))))</f>
        <v>4</v>
      </c>
      <c r="F296">
        <f ca="1">ROUNDUP(Purchased[[#This Row],[BOM QTY]]/Purchased[[#This Row],[PK QTY]], 0)</f>
        <v>1</v>
      </c>
      <c r="G296">
        <v>1</v>
      </c>
      <c r="H296" t="str">
        <f ca="1">IF(F296&lt;=G296," ","YES")</f>
        <v xml:space="preserve"> </v>
      </c>
      <c r="I296">
        <v>1</v>
      </c>
      <c r="J296">
        <v>1</v>
      </c>
      <c r="K296" t="s">
        <v>3313</v>
      </c>
      <c r="L296" t="s">
        <v>3313</v>
      </c>
      <c r="N296" s="40">
        <v>45482</v>
      </c>
      <c r="O296" s="40">
        <v>45482</v>
      </c>
      <c r="P296" s="40">
        <v>45483</v>
      </c>
      <c r="Q296" s="40">
        <v>45483</v>
      </c>
      <c r="R296">
        <v>55591</v>
      </c>
      <c r="S296" s="40" t="str" cm="1">
        <f t="array" aca="1" ref="S296" ca="1">TRIM(SUBSTITUTE(_xlfn.ARRAYTOTEXT(IFERROR(CONCATENATE(SUMIF(INDIRECT("'"&amp;Assemblies[Assy]&amp;"'!"&amp;"C$5:C1000"), $A296, INDIRECT("'"&amp;Assemblies[Assy]&amp;"'!"&amp;"O$5:O1000")), "x",Assemblies[Assy],".",IF(SUMIF(INDIRECT("'"&amp;Assemblies[Assy]&amp;"'!"&amp;"C$5:C1000"), $A296, INDIRECT("'"&amp;Assemblies[Assy]&amp;"'!"&amp;"A$5:A1000"))=0,NA(),SUMIF(INDIRECT("'"&amp;Assemblies[Assy]&amp;"'!"&amp;"C$5:C1000"), $A296, INDIRECT("'"&amp;Assemblies[Assy]&amp;"'!"&amp;"A$5:A1000")))),"")), " ,", ""))</f>
        <v>, 4x5.7.303,</v>
      </c>
    </row>
    <row r="297" spans="1:19" hidden="1" x14ac:dyDescent="0.25">
      <c r="A297" s="160" t="s">
        <v>963</v>
      </c>
      <c r="B297" s="160" t="s">
        <v>3377</v>
      </c>
      <c r="C297" s="180">
        <v>10.73</v>
      </c>
      <c r="D297">
        <v>25</v>
      </c>
      <c r="E297" cm="1">
        <f t="array" aca="1" ref="E297" ca="1">SUMPRODUCT(SUMIF(INDIRECT("'"&amp;Assemblies[Assy]&amp;"'!"&amp;"C:C"),$A297,(INDIRECT("'"&amp;Assemblies[Assy]&amp;"'!"&amp;"O:O"))))</f>
        <v>12</v>
      </c>
      <c r="F297">
        <f ca="1">ROUNDUP(Purchased[[#This Row],[BOM QTY]]/Purchased[[#This Row],[PK QTY]], 0)</f>
        <v>1</v>
      </c>
      <c r="G297">
        <v>1</v>
      </c>
      <c r="H297" t="str">
        <f ca="1">IF(F297&lt;=G297," ","YES")</f>
        <v xml:space="preserve"> </v>
      </c>
      <c r="I297">
        <v>1</v>
      </c>
      <c r="J297">
        <v>1</v>
      </c>
      <c r="K297" t="s">
        <v>3313</v>
      </c>
      <c r="L297" t="s">
        <v>3313</v>
      </c>
      <c r="N297" s="40">
        <v>45481</v>
      </c>
      <c r="O297" s="40">
        <v>45481</v>
      </c>
      <c r="P297" s="40">
        <v>45482</v>
      </c>
      <c r="Q297" s="40">
        <v>45482</v>
      </c>
      <c r="R297">
        <v>55591</v>
      </c>
      <c r="S297" s="40" t="str" cm="1">
        <f t="array" aca="1" ref="S297" ca="1">TRIM(SUBSTITUTE(_xlfn.ARRAYTOTEXT(IFERROR(CONCATENATE(SUMIF(INDIRECT("'"&amp;Assemblies[Assy]&amp;"'!"&amp;"C$5:C1000"), $A297, INDIRECT("'"&amp;Assemblies[Assy]&amp;"'!"&amp;"O$5:O1000")), "x",Assemblies[Assy],".",IF(SUMIF(INDIRECT("'"&amp;Assemblies[Assy]&amp;"'!"&amp;"C$5:C1000"), $A297, INDIRECT("'"&amp;Assemblies[Assy]&amp;"'!"&amp;"A$5:A1000"))=0,NA(),SUMIF(INDIRECT("'"&amp;Assemblies[Assy]&amp;"'!"&amp;"C$5:C1000"), $A297, INDIRECT("'"&amp;Assemblies[Assy]&amp;"'!"&amp;"A$5:A1000")))),"")), " ,", ""))</f>
        <v>, 6x6.2.1.4.301, 6x6.3.1.4.301,</v>
      </c>
    </row>
    <row r="298" spans="1:19" hidden="1" x14ac:dyDescent="0.25">
      <c r="A298" s="162" t="s">
        <v>737</v>
      </c>
      <c r="B298" s="160" t="s">
        <v>3378</v>
      </c>
      <c r="C298" s="180">
        <v>8</v>
      </c>
      <c r="D298">
        <v>100</v>
      </c>
      <c r="E298" cm="1">
        <f t="array" aca="1" ref="E298" ca="1">SUMPRODUCT(SUMIF(INDIRECT("'"&amp;Assemblies[Assy]&amp;"'!"&amp;"C:C"),$A298,(INDIRECT("'"&amp;Assemblies[Assy]&amp;"'!"&amp;"O:O"))))</f>
        <v>36</v>
      </c>
      <c r="F298">
        <f ca="1">ROUNDUP(Purchased[[#This Row],[BOM QTY]]/Purchased[[#This Row],[PK QTY]], 0)</f>
        <v>1</v>
      </c>
      <c r="G298">
        <v>1</v>
      </c>
      <c r="H298" t="str">
        <f ca="1">IF(F298&lt;=G298," ","YES")</f>
        <v xml:space="preserve"> </v>
      </c>
      <c r="I298">
        <v>1</v>
      </c>
      <c r="J298">
        <v>1</v>
      </c>
      <c r="K298" t="s">
        <v>3313</v>
      </c>
      <c r="L298" t="s">
        <v>3313</v>
      </c>
      <c r="N298" s="40">
        <v>45481</v>
      </c>
      <c r="O298" s="40">
        <v>45481</v>
      </c>
      <c r="P298" s="40">
        <v>45482</v>
      </c>
      <c r="Q298" s="40">
        <v>45482</v>
      </c>
      <c r="R298">
        <v>55591</v>
      </c>
      <c r="S298" s="40" t="str" cm="1">
        <f t="array" aca="1" ref="S298" ca="1">TRIM(SUBSTITUTE(_xlfn.ARRAYTOTEXT(IFERROR(CONCATENATE(SUMIF(INDIRECT("'"&amp;Assemblies[Assy]&amp;"'!"&amp;"C$5:C1000"), $A298, INDIRECT("'"&amp;Assemblies[Assy]&amp;"'!"&amp;"O$5:O1000")), "x",Assemblies[Assy],".",IF(SUMIF(INDIRECT("'"&amp;Assemblies[Assy]&amp;"'!"&amp;"C$5:C1000"), $A298, INDIRECT("'"&amp;Assemblies[Assy]&amp;"'!"&amp;"A$5:A1000"))=0,NA(),SUMIF(INDIRECT("'"&amp;Assemblies[Assy]&amp;"'!"&amp;"C$5:C1000"), $A298, INDIRECT("'"&amp;Assemblies[Assy]&amp;"'!"&amp;"A$5:A1000")))),"")), " ,", ""))</f>
        <v>, 8x5.3.332, 20x6.1.331, 8x8.3.316,</v>
      </c>
    </row>
    <row r="299" spans="1:19" hidden="1" x14ac:dyDescent="0.25">
      <c r="A299" s="160" t="s">
        <v>821</v>
      </c>
      <c r="B299" s="160" t="s">
        <v>3379</v>
      </c>
      <c r="C299" s="180">
        <v>3.72</v>
      </c>
      <c r="D299">
        <v>100</v>
      </c>
      <c r="E299" cm="1">
        <f t="array" aca="1" ref="E299" ca="1">SUMPRODUCT(SUMIF(INDIRECT("'"&amp;Assemblies[Assy]&amp;"'!"&amp;"C:C"),$A299,(INDIRECT("'"&amp;Assemblies[Assy]&amp;"'!"&amp;"O:O"))))</f>
        <v>20</v>
      </c>
      <c r="F299">
        <f ca="1">ROUNDUP(Purchased[[#This Row],[BOM QTY]]/Purchased[[#This Row],[PK QTY]], 0)</f>
        <v>1</v>
      </c>
      <c r="G299">
        <v>1</v>
      </c>
      <c r="H299" t="str">
        <f ca="1">IF(F299&lt;=G299," ","YES")</f>
        <v xml:space="preserve"> </v>
      </c>
      <c r="I299">
        <v>1</v>
      </c>
      <c r="J299">
        <v>1</v>
      </c>
      <c r="K299" t="s">
        <v>3313</v>
      </c>
      <c r="L299" t="s">
        <v>3313</v>
      </c>
      <c r="N299" s="40">
        <v>45482</v>
      </c>
      <c r="O299" s="40">
        <v>45482</v>
      </c>
      <c r="P299" s="40">
        <v>45483</v>
      </c>
      <c r="Q299" s="40">
        <v>45483</v>
      </c>
      <c r="R299">
        <v>55591</v>
      </c>
      <c r="S299" s="40" t="str" cm="1">
        <f t="array" aca="1" ref="S299" ca="1">TRIM(SUBSTITUTE(_xlfn.ARRAYTOTEXT(IFERROR(CONCATENATE(SUMIF(INDIRECT("'"&amp;Assemblies[Assy]&amp;"'!"&amp;"C$5:C1000"), $A299, INDIRECT("'"&amp;Assemblies[Assy]&amp;"'!"&amp;"O$5:O1000")), "x",Assemblies[Assy],".",IF(SUMIF(INDIRECT("'"&amp;Assemblies[Assy]&amp;"'!"&amp;"C$5:C1000"), $A299, INDIRECT("'"&amp;Assemblies[Assy]&amp;"'!"&amp;"A$5:A1000"))=0,NA(),SUMIF(INDIRECT("'"&amp;Assemblies[Assy]&amp;"'!"&amp;"C$5:C1000"), $A299, INDIRECT("'"&amp;Assemblies[Assy]&amp;"'!"&amp;"A$5:A1000")))),"")), " ,", ""))</f>
        <v>, 6x5.5.1.303, 4x5.5.2.1.301, 4x5.5.3.302, 6x5.6.1.302,</v>
      </c>
    </row>
    <row r="300" spans="1:19" hidden="1" x14ac:dyDescent="0.25">
      <c r="A300" s="160" t="s">
        <v>745</v>
      </c>
      <c r="B300" s="160" t="s">
        <v>3380</v>
      </c>
      <c r="C300" s="180">
        <v>4</v>
      </c>
      <c r="D300">
        <v>100</v>
      </c>
      <c r="E300" cm="1">
        <f t="array" aca="1" ref="E300" ca="1">SUMPRODUCT(SUMIF(INDIRECT("'"&amp;Assemblies[Assy]&amp;"'!"&amp;"C:C"),$A300,(INDIRECT("'"&amp;Assemblies[Assy]&amp;"'!"&amp;"O:O"))))</f>
        <v>36</v>
      </c>
      <c r="F300">
        <f ca="1">ROUNDUP(Purchased[[#This Row],[BOM QTY]]/Purchased[[#This Row],[PK QTY]], 0)</f>
        <v>1</v>
      </c>
      <c r="G300">
        <v>1</v>
      </c>
      <c r="H300" t="str">
        <f ca="1">IF(F300&lt;=G300," ","YES")</f>
        <v xml:space="preserve"> </v>
      </c>
      <c r="I300">
        <v>1</v>
      </c>
      <c r="J300">
        <v>1</v>
      </c>
      <c r="K300" t="s">
        <v>3313</v>
      </c>
      <c r="L300" t="s">
        <v>3313</v>
      </c>
      <c r="N300" s="40">
        <v>45482</v>
      </c>
      <c r="O300" s="40">
        <v>45482</v>
      </c>
      <c r="P300" s="40">
        <v>45483</v>
      </c>
      <c r="Q300" s="40">
        <v>45483</v>
      </c>
      <c r="R300">
        <v>55591</v>
      </c>
      <c r="S300" s="40" t="str" cm="1">
        <f t="array" aca="1" ref="S300" ca="1">TRIM(SUBSTITUTE(_xlfn.ARRAYTOTEXT(IFERROR(CONCATENATE(SUMIF(INDIRECT("'"&amp;Assemblies[Assy]&amp;"'!"&amp;"C$5:C1000"), $A300, INDIRECT("'"&amp;Assemblies[Assy]&amp;"'!"&amp;"O$5:O1000")), "x",Assemblies[Assy],".",IF(SUMIF(INDIRECT("'"&amp;Assemblies[Assy]&amp;"'!"&amp;"C$5:C1000"), $A300, INDIRECT("'"&amp;Assemblies[Assy]&amp;"'!"&amp;"A$5:A1000"))=0,NA(),SUMIF(INDIRECT("'"&amp;Assemblies[Assy]&amp;"'!"&amp;"C$5:C1000"), $A300, INDIRECT("'"&amp;Assemblies[Assy]&amp;"'!"&amp;"A$5:A1000")))),"")), " ,", ""))</f>
        <v>, 12x5.3.344, 2x5.5.1.302, 2x5.6.1.303, 12x6.1.342, 8x8.3.319,</v>
      </c>
    </row>
    <row r="301" spans="1:19" hidden="1" x14ac:dyDescent="0.25">
      <c r="A301" s="160" t="s">
        <v>1454</v>
      </c>
      <c r="B301" s="160" t="s">
        <v>3384</v>
      </c>
      <c r="C301" s="180"/>
      <c r="D301">
        <v>1</v>
      </c>
      <c r="E301" cm="1">
        <f t="array" aca="1" ref="E301" ca="1">SUMPRODUCT(SUMIF(INDIRECT("'"&amp;Assemblies[Assy]&amp;"'!"&amp;"C:C"),$A301,(INDIRECT("'"&amp;Assemblies[Assy]&amp;"'!"&amp;"O:O"))))</f>
        <v>1</v>
      </c>
      <c r="F301">
        <f ca="1">ROUNDUP(Purchased[[#This Row],[BOM QTY]]/Purchased[[#This Row],[PK QTY]], 0)</f>
        <v>1</v>
      </c>
      <c r="G301">
        <v>1</v>
      </c>
      <c r="H301" t="str">
        <f ca="1">IF(F301&lt;=G301," ","YES")</f>
        <v xml:space="preserve"> </v>
      </c>
      <c r="I301">
        <v>1</v>
      </c>
      <c r="J301">
        <v>1</v>
      </c>
      <c r="K301" t="s">
        <v>3313</v>
      </c>
      <c r="L301" t="s">
        <v>3313</v>
      </c>
      <c r="N301" s="40">
        <v>45526</v>
      </c>
      <c r="O301" s="40">
        <v>45526</v>
      </c>
      <c r="R301">
        <v>55697</v>
      </c>
      <c r="S301" s="40" t="str" cm="1">
        <f t="array" aca="1" ref="S301" ca="1">TRIM(SUBSTITUTE(_xlfn.ARRAYTOTEXT(IFERROR(CONCATENATE(SUMIF(INDIRECT("'"&amp;Assemblies[Assy]&amp;"'!"&amp;"C$5:C1000"), $A301, INDIRECT("'"&amp;Assemblies[Assy]&amp;"'!"&amp;"O$5:O1000")), "x",Assemblies[Assy],".",IF(SUMIF(INDIRECT("'"&amp;Assemblies[Assy]&amp;"'!"&amp;"C$5:C1000"), $A301, INDIRECT("'"&amp;Assemblies[Assy]&amp;"'!"&amp;"A$5:A1000"))=0,NA(),SUMIF(INDIRECT("'"&amp;Assemblies[Assy]&amp;"'!"&amp;"C$5:C1000"), $A301, INDIRECT("'"&amp;Assemblies[Assy]&amp;"'!"&amp;"A$5:A1000")))),"")), " ,", ""))</f>
        <v>, 1x12.306</v>
      </c>
    </row>
    <row r="302" spans="1:19" hidden="1" x14ac:dyDescent="0.25">
      <c r="A302" s="161" t="s">
        <v>1400</v>
      </c>
      <c r="B302" s="161" t="s">
        <v>3385</v>
      </c>
      <c r="C302" s="180">
        <v>114.58</v>
      </c>
      <c r="D302">
        <v>1</v>
      </c>
      <c r="E302" cm="1">
        <f t="array" aca="1" ref="E302" ca="1">SUMPRODUCT(SUMIF(INDIRECT("'"&amp;Assemblies[Assy]&amp;"'!"&amp;"C:C"),$A302,(INDIRECT("'"&amp;Assemblies[Assy]&amp;"'!"&amp;"O:O"))))</f>
        <v>1</v>
      </c>
      <c r="F302">
        <f ca="1">ROUNDUP(Purchased[[#This Row],[BOM QTY]]/Purchased[[#This Row],[PK QTY]], 0)</f>
        <v>1</v>
      </c>
      <c r="G302">
        <v>1</v>
      </c>
      <c r="H302" t="str">
        <f ca="1">IF(F302&lt;=G302," ","YES")</f>
        <v xml:space="preserve"> </v>
      </c>
      <c r="I302">
        <v>1</v>
      </c>
      <c r="J302">
        <v>1</v>
      </c>
      <c r="K302" t="s">
        <v>3313</v>
      </c>
      <c r="L302" t="s">
        <v>3313</v>
      </c>
      <c r="N302" s="40">
        <v>45526</v>
      </c>
      <c r="O302" s="40">
        <v>45526</v>
      </c>
      <c r="R302">
        <v>55697</v>
      </c>
      <c r="S302" s="40" t="str" cm="1">
        <f t="array" aca="1" ref="S302" ca="1">TRIM(SUBSTITUTE(_xlfn.ARRAYTOTEXT(IFERROR(CONCATENATE(SUMIF(INDIRECT("'"&amp;Assemblies[Assy]&amp;"'!"&amp;"C$5:C1000"), $A302, INDIRECT("'"&amp;Assemblies[Assy]&amp;"'!"&amp;"O$5:O1000")), "x",Assemblies[Assy],".",IF(SUMIF(INDIRECT("'"&amp;Assemblies[Assy]&amp;"'!"&amp;"C$5:C1000"), $A302, INDIRECT("'"&amp;Assemblies[Assy]&amp;"'!"&amp;"A$5:A1000"))=0,NA(),SUMIF(INDIRECT("'"&amp;Assemblies[Assy]&amp;"'!"&amp;"C$5:C1000"), $A302, INDIRECT("'"&amp;Assemblies[Assy]&amp;"'!"&amp;"A$5:A1000")))),"")), " ,", ""))</f>
        <v>, 1x10.2.3.303,</v>
      </c>
    </row>
    <row r="303" spans="1:19" hidden="1" x14ac:dyDescent="0.25">
      <c r="A303" s="160" t="s">
        <v>1416</v>
      </c>
      <c r="B303" s="160" t="s">
        <v>3392</v>
      </c>
      <c r="C303" s="180">
        <v>33.17</v>
      </c>
      <c r="D303">
        <v>1</v>
      </c>
      <c r="E303" cm="1">
        <f t="array" aca="1" ref="E303" ca="1">SUMPRODUCT(SUMIF(INDIRECT("'"&amp;Assemblies[Assy]&amp;"'!"&amp;"C:C"),$A303,(INDIRECT("'"&amp;Assemblies[Assy]&amp;"'!"&amp;"O:O"))))</f>
        <v>1</v>
      </c>
      <c r="F303">
        <f ca="1">ROUNDUP(Purchased[[#This Row],[BOM QTY]]/Purchased[[#This Row],[PK QTY]], 0)</f>
        <v>1</v>
      </c>
      <c r="G303">
        <v>1</v>
      </c>
      <c r="H303" t="str">
        <f ca="1">IF(F303&lt;=G303," ","YES")</f>
        <v xml:space="preserve"> </v>
      </c>
      <c r="I303">
        <v>1</v>
      </c>
      <c r="J303">
        <v>1</v>
      </c>
      <c r="K303" t="s">
        <v>3313</v>
      </c>
      <c r="L303" t="s">
        <v>3313</v>
      </c>
      <c r="N303" s="40">
        <v>45526</v>
      </c>
      <c r="O303" s="40">
        <v>45526</v>
      </c>
      <c r="R303">
        <v>55697</v>
      </c>
      <c r="S303" s="40" t="str" cm="1">
        <f t="array" aca="1" ref="S303" ca="1">TRIM(SUBSTITUTE(_xlfn.ARRAYTOTEXT(IFERROR(CONCATENATE(SUMIF(INDIRECT("'"&amp;Assemblies[Assy]&amp;"'!"&amp;"C$5:C1000"), $A303, INDIRECT("'"&amp;Assemblies[Assy]&amp;"'!"&amp;"O$5:O1000")), "x",Assemblies[Assy],".",IF(SUMIF(INDIRECT("'"&amp;Assemblies[Assy]&amp;"'!"&amp;"C$5:C1000"), $A303, INDIRECT("'"&amp;Assemblies[Assy]&amp;"'!"&amp;"A$5:A1000"))=0,NA(),SUMIF(INDIRECT("'"&amp;Assemblies[Assy]&amp;"'!"&amp;"C$5:C1000"), $A303, INDIRECT("'"&amp;Assemblies[Assy]&amp;"'!"&amp;"A$5:A1000")))),"")), " ,", ""))</f>
        <v>, 1x10.3.306,</v>
      </c>
    </row>
    <row r="304" spans="1:19" hidden="1" x14ac:dyDescent="0.25">
      <c r="A304" s="160" t="s">
        <v>1396</v>
      </c>
      <c r="B304" s="160" t="s">
        <v>3393</v>
      </c>
      <c r="C304" s="180">
        <v>38.36</v>
      </c>
      <c r="D304">
        <v>1</v>
      </c>
      <c r="E304" cm="1">
        <f t="array" aca="1" ref="E304" ca="1">SUMPRODUCT(SUMIF(INDIRECT("'"&amp;Assemblies[Assy]&amp;"'!"&amp;"C:C"),$A304,(INDIRECT("'"&amp;Assemblies[Assy]&amp;"'!"&amp;"O:O"))))</f>
        <v>1</v>
      </c>
      <c r="F304">
        <f ca="1">ROUNDUP(Purchased[[#This Row],[BOM QTY]]/Purchased[[#This Row],[PK QTY]], 0)</f>
        <v>1</v>
      </c>
      <c r="G304">
        <v>1</v>
      </c>
      <c r="H304" t="str">
        <f ca="1">IF(F304&lt;=G304," ","YES")</f>
        <v xml:space="preserve"> </v>
      </c>
      <c r="I304">
        <v>1</v>
      </c>
      <c r="J304">
        <v>1</v>
      </c>
      <c r="K304" t="s">
        <v>3313</v>
      </c>
      <c r="L304" t="s">
        <v>3313</v>
      </c>
      <c r="N304" s="40">
        <v>45526</v>
      </c>
      <c r="O304" s="40">
        <v>45526</v>
      </c>
      <c r="R304">
        <v>55697</v>
      </c>
      <c r="S304" s="40" t="str" cm="1">
        <f t="array" aca="1" ref="S304" ca="1">TRIM(SUBSTITUTE(_xlfn.ARRAYTOTEXT(IFERROR(CONCATENATE(SUMIF(INDIRECT("'"&amp;Assemblies[Assy]&amp;"'!"&amp;"C$5:C1000"), $A304, INDIRECT("'"&amp;Assemblies[Assy]&amp;"'!"&amp;"O$5:O1000")), "x",Assemblies[Assy],".",IF(SUMIF(INDIRECT("'"&amp;Assemblies[Assy]&amp;"'!"&amp;"C$5:C1000"), $A304, INDIRECT("'"&amp;Assemblies[Assy]&amp;"'!"&amp;"A$5:A1000"))=0,NA(),SUMIF(INDIRECT("'"&amp;Assemblies[Assy]&amp;"'!"&amp;"C$5:C1000"), $A304, INDIRECT("'"&amp;Assemblies[Assy]&amp;"'!"&amp;"A$5:A1000")))),"")), " ,", ""))</f>
        <v>, 1x10.2.2.303,</v>
      </c>
    </row>
    <row r="305" spans="1:19" hidden="1" x14ac:dyDescent="0.25">
      <c r="A305" s="160" t="s">
        <v>741</v>
      </c>
      <c r="B305" s="160" t="s">
        <v>3398</v>
      </c>
      <c r="C305" s="180">
        <v>86.05</v>
      </c>
      <c r="D305">
        <v>1</v>
      </c>
      <c r="E305" cm="1">
        <f t="array" aca="1" ref="E305" ca="1">SUMPRODUCT(SUMIF(INDIRECT("'"&amp;Assemblies[Assy]&amp;"'!"&amp;"C:C"),$A305,(INDIRECT("'"&amp;Assemblies[Assy]&amp;"'!"&amp;"O:O"))))</f>
        <v>1</v>
      </c>
      <c r="F305">
        <f ca="1">ROUNDUP(Purchased[[#This Row],[BOM QTY]]/Purchased[[#This Row],[PK QTY]], 0)</f>
        <v>1</v>
      </c>
      <c r="G305">
        <v>1</v>
      </c>
      <c r="H305" t="str">
        <f ca="1">IF(F305&lt;=G305," ","YES")</f>
        <v xml:space="preserve"> </v>
      </c>
      <c r="I305">
        <v>1</v>
      </c>
      <c r="J305">
        <v>1</v>
      </c>
      <c r="K305" t="s">
        <v>3313</v>
      </c>
      <c r="L305" t="s">
        <v>3313</v>
      </c>
      <c r="N305" s="40">
        <v>45526</v>
      </c>
      <c r="O305" s="40">
        <v>45526</v>
      </c>
      <c r="R305">
        <v>55697</v>
      </c>
      <c r="S305" s="40" t="str" cm="1">
        <f t="array" aca="1" ref="S305" ca="1">TRIM(SUBSTITUTE(_xlfn.ARRAYTOTEXT(IFERROR(CONCATENATE(SUMIF(INDIRECT("'"&amp;Assemblies[Assy]&amp;"'!"&amp;"C$5:C1000"), $A305, INDIRECT("'"&amp;Assemblies[Assy]&amp;"'!"&amp;"O$5:O1000")), "x",Assemblies[Assy],".",IF(SUMIF(INDIRECT("'"&amp;Assemblies[Assy]&amp;"'!"&amp;"C$5:C1000"), $A305, INDIRECT("'"&amp;Assemblies[Assy]&amp;"'!"&amp;"A$5:A1000"))=0,NA(),SUMIF(INDIRECT("'"&amp;Assemblies[Assy]&amp;"'!"&amp;"C$5:C1000"), $A305, INDIRECT("'"&amp;Assemblies[Assy]&amp;"'!"&amp;"A$5:A1000")))),"")), " ,", ""))</f>
        <v>, 1x5.3.340,</v>
      </c>
    </row>
    <row r="306" spans="1:19" hidden="1" x14ac:dyDescent="0.25">
      <c r="A306" s="160" t="s">
        <v>774</v>
      </c>
      <c r="B306" s="161" t="s">
        <v>3402</v>
      </c>
      <c r="C306" s="180">
        <v>4.2300000000000004</v>
      </c>
      <c r="D306">
        <v>100</v>
      </c>
      <c r="E306" cm="1">
        <f t="array" aca="1" ref="E306" ca="1">SUMPRODUCT(SUMIF(INDIRECT("'"&amp;Assemblies[Assy]&amp;"'!"&amp;"C:C"),$A306,(INDIRECT("'"&amp;Assemblies[Assy]&amp;"'!"&amp;"O:O"))))</f>
        <v>8</v>
      </c>
      <c r="F306">
        <f ca="1">ROUNDUP(Purchased[[#This Row],[BOM QTY]]/Purchased[[#This Row],[PK QTY]], 0)</f>
        <v>1</v>
      </c>
      <c r="G306">
        <v>1</v>
      </c>
      <c r="H306" t="str">
        <f ca="1">IF(F306&lt;=G306," ","YES")</f>
        <v xml:space="preserve"> </v>
      </c>
      <c r="I306">
        <v>1</v>
      </c>
      <c r="J306">
        <v>1</v>
      </c>
      <c r="K306" t="s">
        <v>3313</v>
      </c>
      <c r="L306" t="s">
        <v>3313</v>
      </c>
      <c r="N306" s="40">
        <v>45526</v>
      </c>
      <c r="O306" s="40">
        <v>45526</v>
      </c>
      <c r="R306">
        <v>55697</v>
      </c>
      <c r="S306" s="40" t="str" cm="1">
        <f t="array" aca="1" ref="S306" ca="1">TRIM(SUBSTITUTE(_xlfn.ARRAYTOTEXT(IFERROR(CONCATENATE(SUMIF(INDIRECT("'"&amp;Assemblies[Assy]&amp;"'!"&amp;"C$5:C1000"), $A306, INDIRECT("'"&amp;Assemblies[Assy]&amp;"'!"&amp;"O$5:O1000")), "x",Assemblies[Assy],".",IF(SUMIF(INDIRECT("'"&amp;Assemblies[Assy]&amp;"'!"&amp;"C$5:C1000"), $A306, INDIRECT("'"&amp;Assemblies[Assy]&amp;"'!"&amp;"A$5:A1000"))=0,NA(),SUMIF(INDIRECT("'"&amp;Assemblies[Assy]&amp;"'!"&amp;"C$5:C1000"), $A306, INDIRECT("'"&amp;Assemblies[Assy]&amp;"'!"&amp;"A$5:A1000")))),"")), " ,", ""))</f>
        <v>, 4x5.4.1.309, 4x5.4.2.309,</v>
      </c>
    </row>
    <row r="307" spans="1:19" hidden="1" x14ac:dyDescent="0.25">
      <c r="A307" s="160" t="s">
        <v>386</v>
      </c>
      <c r="B307" s="160" t="s">
        <v>3403</v>
      </c>
      <c r="C307" s="180">
        <v>3.78</v>
      </c>
      <c r="D307">
        <v>100</v>
      </c>
      <c r="E307" cm="1">
        <f t="array" aca="1" ref="E307" ca="1">SUMPRODUCT(SUMIF(INDIRECT("'"&amp;Assemblies[Assy]&amp;"'!"&amp;"C:C"),$A307,(INDIRECT("'"&amp;Assemblies[Assy]&amp;"'!"&amp;"O:O"))))</f>
        <v>8</v>
      </c>
      <c r="F307">
        <f ca="1">ROUNDUP(Purchased[[#This Row],[BOM QTY]]/Purchased[[#This Row],[PK QTY]], 0)</f>
        <v>1</v>
      </c>
      <c r="G307">
        <v>1</v>
      </c>
      <c r="H307" t="str">
        <f ca="1">IF(F307&lt;=G307," ","YES")</f>
        <v xml:space="preserve"> </v>
      </c>
      <c r="I307">
        <v>1</v>
      </c>
      <c r="J307">
        <v>1</v>
      </c>
      <c r="K307" t="s">
        <v>3313</v>
      </c>
      <c r="L307" t="s">
        <v>3313</v>
      </c>
      <c r="N307" s="40">
        <v>45526</v>
      </c>
      <c r="O307" s="40">
        <v>45526</v>
      </c>
      <c r="R307">
        <v>55697</v>
      </c>
      <c r="S307" s="40" t="str" cm="1">
        <f t="array" aca="1" ref="S307" ca="1">TRIM(SUBSTITUTE(_xlfn.ARRAYTOTEXT(IFERROR(CONCATENATE(SUMIF(INDIRECT("'"&amp;Assemblies[Assy]&amp;"'!"&amp;"C$5:C1000"), $A307, INDIRECT("'"&amp;Assemblies[Assy]&amp;"'!"&amp;"O$5:O1000")), "x",Assemblies[Assy],".",IF(SUMIF(INDIRECT("'"&amp;Assemblies[Assy]&amp;"'!"&amp;"C$5:C1000"), $A307, INDIRECT("'"&amp;Assemblies[Assy]&amp;"'!"&amp;"A$5:A1000"))=0,NA(),SUMIF(INDIRECT("'"&amp;Assemblies[Assy]&amp;"'!"&amp;"C$5:C1000"), $A307, INDIRECT("'"&amp;Assemblies[Assy]&amp;"'!"&amp;"A$5:A1000")))),"")), " ,", ""))</f>
        <v>, 2x2.1.4.301, 2x2.1.5.301, 4x3.2.1.2.302,</v>
      </c>
    </row>
    <row r="308" spans="1:19" hidden="1" x14ac:dyDescent="0.25">
      <c r="A308" s="160" t="s">
        <v>388</v>
      </c>
      <c r="B308" s="160" t="s">
        <v>3404</v>
      </c>
      <c r="C308" s="180">
        <v>4.7</v>
      </c>
      <c r="D308">
        <v>100</v>
      </c>
      <c r="E308" cm="1">
        <f t="array" aca="1" ref="E308" ca="1">SUMPRODUCT(SUMIF(INDIRECT("'"&amp;Assemblies[Assy]&amp;"'!"&amp;"C:C"),$A308,(INDIRECT("'"&amp;Assemblies[Assy]&amp;"'!"&amp;"O:O"))))</f>
        <v>16</v>
      </c>
      <c r="F308">
        <f ca="1">ROUNDUP(Purchased[[#This Row],[BOM QTY]]/Purchased[[#This Row],[PK QTY]], 0)</f>
        <v>1</v>
      </c>
      <c r="G308">
        <v>1</v>
      </c>
      <c r="H308" t="str">
        <f ca="1">IF(F308&lt;=G308," ","YES")</f>
        <v xml:space="preserve"> </v>
      </c>
      <c r="I308">
        <v>1</v>
      </c>
      <c r="J308">
        <v>1</v>
      </c>
      <c r="K308" t="s">
        <v>3313</v>
      </c>
      <c r="L308" t="s">
        <v>3313</v>
      </c>
      <c r="N308" s="40">
        <v>45526</v>
      </c>
      <c r="O308" s="40">
        <v>45526</v>
      </c>
      <c r="R308">
        <v>55697</v>
      </c>
      <c r="S308" s="40" t="str" cm="1">
        <f t="array" aca="1" ref="S308" ca="1">TRIM(SUBSTITUTE(_xlfn.ARRAYTOTEXT(IFERROR(CONCATENATE(SUMIF(INDIRECT("'"&amp;Assemblies[Assy]&amp;"'!"&amp;"C$5:C1000"), $A308, INDIRECT("'"&amp;Assemblies[Assy]&amp;"'!"&amp;"O$5:O1000")), "x",Assemblies[Assy],".",IF(SUMIF(INDIRECT("'"&amp;Assemblies[Assy]&amp;"'!"&amp;"C$5:C1000"), $A308, INDIRECT("'"&amp;Assemblies[Assy]&amp;"'!"&amp;"A$5:A1000"))=0,NA(),SUMIF(INDIRECT("'"&amp;Assemblies[Assy]&amp;"'!"&amp;"C$5:C1000"), $A308, INDIRECT("'"&amp;Assemblies[Assy]&amp;"'!"&amp;"A$5:A1000")))),"")), " ,", ""))</f>
        <v>, 4x2.1.4.303, 4x2.1.5.303, 8x3.2.1.2.301,</v>
      </c>
    </row>
    <row r="309" spans="1:19" hidden="1" x14ac:dyDescent="0.25">
      <c r="A309" s="160" t="s">
        <v>1198</v>
      </c>
      <c r="B309" s="160" t="s">
        <v>3405</v>
      </c>
      <c r="C309" s="180">
        <v>13.66</v>
      </c>
      <c r="D309">
        <v>100</v>
      </c>
      <c r="E309" cm="1">
        <f t="array" aca="1" ref="E309" ca="1">SUMPRODUCT(SUMIF(INDIRECT("'"&amp;Assemblies[Assy]&amp;"'!"&amp;"C:C"),$A309,(INDIRECT("'"&amp;Assemblies[Assy]&amp;"'!"&amp;"O:O"))))</f>
        <v>16</v>
      </c>
      <c r="F309">
        <f ca="1">ROUNDUP(Purchased[[#This Row],[BOM QTY]]/Purchased[[#This Row],[PK QTY]], 0)</f>
        <v>1</v>
      </c>
      <c r="G309">
        <v>1</v>
      </c>
      <c r="H309" t="str">
        <f ca="1">IF(F309&lt;=G309," ","YES")</f>
        <v xml:space="preserve"> </v>
      </c>
      <c r="I309">
        <v>1</v>
      </c>
      <c r="J309">
        <v>1</v>
      </c>
      <c r="K309" t="s">
        <v>3313</v>
      </c>
      <c r="L309" t="s">
        <v>3313</v>
      </c>
      <c r="N309" s="40">
        <v>45526</v>
      </c>
      <c r="O309" s="40">
        <v>45526</v>
      </c>
      <c r="R309">
        <v>55697</v>
      </c>
      <c r="S309" s="40" t="str" cm="1">
        <f t="array" aca="1" ref="S309" ca="1">TRIM(SUBSTITUTE(_xlfn.ARRAYTOTEXT(IFERROR(CONCATENATE(SUMIF(INDIRECT("'"&amp;Assemblies[Assy]&amp;"'!"&amp;"C$5:C1000"), $A309, INDIRECT("'"&amp;Assemblies[Assy]&amp;"'!"&amp;"O$5:O1000")), "x",Assemblies[Assy],".",IF(SUMIF(INDIRECT("'"&amp;Assemblies[Assy]&amp;"'!"&amp;"C$5:C1000"), $A309, INDIRECT("'"&amp;Assemblies[Assy]&amp;"'!"&amp;"A$5:A1000"))=0,NA(),SUMIF(INDIRECT("'"&amp;Assemblies[Assy]&amp;"'!"&amp;"C$5:C1000"), $A309, INDIRECT("'"&amp;Assemblies[Assy]&amp;"'!"&amp;"A$5:A1000")))),"")), " ,", ""))</f>
        <v>, 12x7.2.10.301, 4x10.2.2.304,</v>
      </c>
    </row>
    <row r="310" spans="1:19" hidden="1" x14ac:dyDescent="0.25">
      <c r="A310" s="160" t="s">
        <v>697</v>
      </c>
      <c r="B310" s="160" t="s">
        <v>3406</v>
      </c>
      <c r="C310" s="180">
        <v>8.58</v>
      </c>
      <c r="D310">
        <v>100</v>
      </c>
      <c r="E310" cm="1">
        <f t="array" aca="1" ref="E310" ca="1">SUMPRODUCT(SUMIF(INDIRECT("'"&amp;Assemblies[Assy]&amp;"'!"&amp;"C:C"),$A310,(INDIRECT("'"&amp;Assemblies[Assy]&amp;"'!"&amp;"O:O"))))</f>
        <v>20</v>
      </c>
      <c r="F310">
        <f ca="1">ROUNDUP(Purchased[[#This Row],[BOM QTY]]/Purchased[[#This Row],[PK QTY]], 0)</f>
        <v>1</v>
      </c>
      <c r="G310">
        <v>1</v>
      </c>
      <c r="H310" t="str">
        <f ca="1">IF(F310&lt;=G310," ","YES")</f>
        <v xml:space="preserve"> </v>
      </c>
      <c r="I310">
        <v>1</v>
      </c>
      <c r="J310">
        <v>1</v>
      </c>
      <c r="K310" t="s">
        <v>3313</v>
      </c>
      <c r="L310" t="s">
        <v>3313</v>
      </c>
      <c r="N310" s="40">
        <v>45526</v>
      </c>
      <c r="O310" s="40">
        <v>45526</v>
      </c>
      <c r="R310">
        <v>55697</v>
      </c>
      <c r="S310" s="40" t="str" cm="1">
        <f t="array" aca="1" ref="S310" ca="1">TRIM(SUBSTITUTE(_xlfn.ARRAYTOTEXT(IFERROR(CONCATENATE(SUMIF(INDIRECT("'"&amp;Assemblies[Assy]&amp;"'!"&amp;"C$5:C1000"), $A310, INDIRECT("'"&amp;Assemblies[Assy]&amp;"'!"&amp;"O$5:O1000")), "x",Assemblies[Assy],".",IF(SUMIF(INDIRECT("'"&amp;Assemblies[Assy]&amp;"'!"&amp;"C$5:C1000"), $A310, INDIRECT("'"&amp;Assemblies[Assy]&amp;"'!"&amp;"A$5:A1000"))=0,NA(),SUMIF(INDIRECT("'"&amp;Assemblies[Assy]&amp;"'!"&amp;"C$5:C1000"), $A310, INDIRECT("'"&amp;Assemblies[Assy]&amp;"'!"&amp;"A$5:A1000")))),"")), " ,", ""))</f>
        <v>, 4x5.2.309, 16x6.9.309,</v>
      </c>
    </row>
    <row r="311" spans="1:19" hidden="1" x14ac:dyDescent="0.25">
      <c r="A311" s="160" t="s">
        <v>773</v>
      </c>
      <c r="B311" s="160" t="s">
        <v>3409</v>
      </c>
      <c r="C311" s="180">
        <v>2.61</v>
      </c>
      <c r="D311">
        <v>100</v>
      </c>
      <c r="E311" cm="1">
        <f t="array" aca="1" ref="E311" ca="1">SUMPRODUCT(SUMIF(INDIRECT("'"&amp;Assemblies[Assy]&amp;"'!"&amp;"C:C"),$A311,(INDIRECT("'"&amp;Assemblies[Assy]&amp;"'!"&amp;"O:O"))))</f>
        <v>12</v>
      </c>
      <c r="F311">
        <f ca="1">ROUNDUP(Purchased[[#This Row],[BOM QTY]]/Purchased[[#This Row],[PK QTY]], 0)</f>
        <v>1</v>
      </c>
      <c r="G311">
        <v>1</v>
      </c>
      <c r="H311" t="str">
        <f ca="1">IF(F311&lt;=G311," ","YES")</f>
        <v xml:space="preserve"> </v>
      </c>
      <c r="I311">
        <v>1</v>
      </c>
      <c r="J311">
        <v>1</v>
      </c>
      <c r="K311" t="s">
        <v>3313</v>
      </c>
      <c r="L311" t="s">
        <v>3313</v>
      </c>
      <c r="N311" s="40">
        <v>45526</v>
      </c>
      <c r="O311" s="40">
        <v>45526</v>
      </c>
      <c r="R311">
        <v>55697</v>
      </c>
      <c r="S311" s="40" t="str" cm="1">
        <f t="array" aca="1" ref="S311" ca="1">TRIM(SUBSTITUTE(_xlfn.ARRAYTOTEXT(IFERROR(CONCATENATE(SUMIF(INDIRECT("'"&amp;Assemblies[Assy]&amp;"'!"&amp;"C$5:C1000"), $A311, INDIRECT("'"&amp;Assemblies[Assy]&amp;"'!"&amp;"O$5:O1000")), "x",Assemblies[Assy],".",IF(SUMIF(INDIRECT("'"&amp;Assemblies[Assy]&amp;"'!"&amp;"C$5:C1000"), $A311, INDIRECT("'"&amp;Assemblies[Assy]&amp;"'!"&amp;"A$5:A1000"))=0,NA(),SUMIF(INDIRECT("'"&amp;Assemblies[Assy]&amp;"'!"&amp;"C$5:C1000"), $A311, INDIRECT("'"&amp;Assemblies[Assy]&amp;"'!"&amp;"A$5:A1000")))),"")), " ,", ""))</f>
        <v>, 4x5.4.1.308, 4x5.4.2.308, 4x6.10.317,</v>
      </c>
    </row>
    <row r="312" spans="1:19" hidden="1" x14ac:dyDescent="0.25">
      <c r="A312" s="160" t="s">
        <v>1075</v>
      </c>
      <c r="B312" s="160" t="s">
        <v>3412</v>
      </c>
      <c r="C312" s="180">
        <v>12.25</v>
      </c>
      <c r="D312">
        <v>25</v>
      </c>
      <c r="E312" cm="1">
        <f t="array" aca="1" ref="E312" ca="1">SUMPRODUCT(SUMIF(INDIRECT("'"&amp;Assemblies[Assy]&amp;"'!"&amp;"C:C"),$A312,(INDIRECT("'"&amp;Assemblies[Assy]&amp;"'!"&amp;"O:O"))))</f>
        <v>8</v>
      </c>
      <c r="F312">
        <f ca="1">ROUNDUP(Purchased[[#This Row],[BOM QTY]]/Purchased[[#This Row],[PK QTY]], 0)</f>
        <v>1</v>
      </c>
      <c r="G312">
        <v>1</v>
      </c>
      <c r="H312" t="str">
        <f ca="1">IF(F312&lt;=G312," ","YES")</f>
        <v xml:space="preserve"> </v>
      </c>
      <c r="I312">
        <v>1</v>
      </c>
      <c r="J312">
        <v>1</v>
      </c>
      <c r="K312" t="s">
        <v>3313</v>
      </c>
      <c r="L312" t="s">
        <v>3313</v>
      </c>
      <c r="N312" s="40">
        <v>45526</v>
      </c>
      <c r="O312" s="40">
        <v>45526</v>
      </c>
      <c r="R312">
        <v>55697</v>
      </c>
      <c r="S312" s="40" t="str" cm="1">
        <f t="array" aca="1" ref="S312" ca="1">TRIM(SUBSTITUTE(_xlfn.ARRAYTOTEXT(IFERROR(CONCATENATE(SUMIF(INDIRECT("'"&amp;Assemblies[Assy]&amp;"'!"&amp;"C$5:C1000"), $A312, INDIRECT("'"&amp;Assemblies[Assy]&amp;"'!"&amp;"O$5:O1000")), "x",Assemblies[Assy],".",IF(SUMIF(INDIRECT("'"&amp;Assemblies[Assy]&amp;"'!"&amp;"C$5:C1000"), $A312, INDIRECT("'"&amp;Assemblies[Assy]&amp;"'!"&amp;"A$5:A1000"))=0,NA(),SUMIF(INDIRECT("'"&amp;Assemblies[Assy]&amp;"'!"&amp;"C$5:C1000"), $A312, INDIRECT("'"&amp;Assemblies[Assy]&amp;"'!"&amp;"A$5:A1000")))),"")), " ,", ""))</f>
        <v>, 8x6.10.306,</v>
      </c>
    </row>
    <row r="313" spans="1:19" hidden="1" x14ac:dyDescent="0.25">
      <c r="A313" s="160" t="s">
        <v>746</v>
      </c>
      <c r="B313" s="160" t="s">
        <v>3414</v>
      </c>
      <c r="C313" s="180">
        <v>19.670000000000002</v>
      </c>
      <c r="D313">
        <v>1</v>
      </c>
      <c r="E313" cm="1">
        <f t="array" aca="1" ref="E313" ca="1">SUMPRODUCT(SUMIF(INDIRECT("'"&amp;Assemblies[Assy]&amp;"'!"&amp;"C:C"),$A313,(INDIRECT("'"&amp;Assemblies[Assy]&amp;"'!"&amp;"O:O"))))</f>
        <v>1</v>
      </c>
      <c r="F313">
        <f ca="1">ROUNDUP(Purchased[[#This Row],[BOM QTY]]/Purchased[[#This Row],[PK QTY]], 0)</f>
        <v>1</v>
      </c>
      <c r="G313">
        <v>1</v>
      </c>
      <c r="H313" t="str">
        <f ca="1">IF(F313&lt;=G313," ","YES")</f>
        <v xml:space="preserve"> </v>
      </c>
      <c r="I313">
        <v>1</v>
      </c>
      <c r="J313">
        <v>1</v>
      </c>
      <c r="K313" t="s">
        <v>3313</v>
      </c>
      <c r="L313" t="s">
        <v>3313</v>
      </c>
      <c r="N313" s="40">
        <v>45526</v>
      </c>
      <c r="O313" s="40">
        <v>45526</v>
      </c>
      <c r="R313">
        <v>55697</v>
      </c>
      <c r="S313" s="40" t="str" cm="1">
        <f t="array" aca="1" ref="S313" ca="1">TRIM(SUBSTITUTE(_xlfn.ARRAYTOTEXT(IFERROR(CONCATENATE(SUMIF(INDIRECT("'"&amp;Assemblies[Assy]&amp;"'!"&amp;"C$5:C1000"), $A313, INDIRECT("'"&amp;Assemblies[Assy]&amp;"'!"&amp;"O$5:O1000")), "x",Assemblies[Assy],".",IF(SUMIF(INDIRECT("'"&amp;Assemblies[Assy]&amp;"'!"&amp;"C$5:C1000"), $A313, INDIRECT("'"&amp;Assemblies[Assy]&amp;"'!"&amp;"A$5:A1000"))=0,NA(),SUMIF(INDIRECT("'"&amp;Assemblies[Assy]&amp;"'!"&amp;"C$5:C1000"), $A313, INDIRECT("'"&amp;Assemblies[Assy]&amp;"'!"&amp;"A$5:A1000")))),"")), " ,", ""))</f>
        <v>, 1x5.3.345,</v>
      </c>
    </row>
    <row r="314" spans="1:19" hidden="1" x14ac:dyDescent="0.25">
      <c r="A314" s="162" t="s">
        <v>775</v>
      </c>
      <c r="B314" s="160" t="s">
        <v>3418</v>
      </c>
      <c r="C314" s="180">
        <v>6.19</v>
      </c>
      <c r="D314">
        <v>100</v>
      </c>
      <c r="E314" cm="1">
        <f t="array" aca="1" ref="E314" ca="1">SUMPRODUCT(SUMIF(INDIRECT("'"&amp;Assemblies[Assy]&amp;"'!"&amp;"C:C"),$A314,(INDIRECT("'"&amp;Assemblies[Assy]&amp;"'!"&amp;"O:O"))))</f>
        <v>8</v>
      </c>
      <c r="F314">
        <f ca="1">ROUNDUP(Purchased[[#This Row],[BOM QTY]]/Purchased[[#This Row],[PK QTY]], 0)</f>
        <v>1</v>
      </c>
      <c r="G314">
        <v>1</v>
      </c>
      <c r="H314" t="str">
        <f ca="1">IF(F314&lt;=G314," ","YES")</f>
        <v xml:space="preserve"> </v>
      </c>
      <c r="I314">
        <v>1</v>
      </c>
      <c r="J314">
        <v>1</v>
      </c>
      <c r="K314" t="s">
        <v>3313</v>
      </c>
      <c r="L314" t="s">
        <v>3313</v>
      </c>
      <c r="N314" s="40">
        <v>45526</v>
      </c>
      <c r="O314" s="40">
        <v>45526</v>
      </c>
      <c r="R314">
        <v>55697</v>
      </c>
      <c r="S314" s="40" t="str" cm="1">
        <f t="array" aca="1" ref="S314" ca="1">TRIM(SUBSTITUTE(_xlfn.ARRAYTOTEXT(IFERROR(CONCATENATE(SUMIF(INDIRECT("'"&amp;Assemblies[Assy]&amp;"'!"&amp;"C$5:C1000"), $A314, INDIRECT("'"&amp;Assemblies[Assy]&amp;"'!"&amp;"O$5:O1000")), "x",Assemblies[Assy],".",IF(SUMIF(INDIRECT("'"&amp;Assemblies[Assy]&amp;"'!"&amp;"C$5:C1000"), $A314, INDIRECT("'"&amp;Assemblies[Assy]&amp;"'!"&amp;"A$5:A1000"))=0,NA(),SUMIF(INDIRECT("'"&amp;Assemblies[Assy]&amp;"'!"&amp;"C$5:C1000"), $A314, INDIRECT("'"&amp;Assemblies[Assy]&amp;"'!"&amp;"A$5:A1000")))),"")), " ,", ""))</f>
        <v>, 4x5.4.1.310, 4x5.4.2.310,</v>
      </c>
    </row>
    <row r="315" spans="1:19" hidden="1" x14ac:dyDescent="0.25">
      <c r="A315" s="161" t="s">
        <v>1409</v>
      </c>
      <c r="B315" s="161" t="s">
        <v>3419</v>
      </c>
      <c r="C315" s="180">
        <v>8.39</v>
      </c>
      <c r="D315">
        <v>10</v>
      </c>
      <c r="E315" cm="1">
        <f t="array" aca="1" ref="E315" ca="1">SUMPRODUCT(SUMIF(INDIRECT("'"&amp;Assemblies[Assy]&amp;"'!"&amp;"C:C"),$A315,(INDIRECT("'"&amp;Assemblies[Assy]&amp;"'!"&amp;"O:O"))))</f>
        <v>1</v>
      </c>
      <c r="F315">
        <f ca="1">ROUNDUP(Purchased[[#This Row],[BOM QTY]]/Purchased[[#This Row],[PK QTY]], 0)</f>
        <v>1</v>
      </c>
      <c r="G315">
        <v>1</v>
      </c>
      <c r="H315" t="str">
        <f ca="1">IF(F315&lt;=G315," ","YES")</f>
        <v xml:space="preserve"> </v>
      </c>
      <c r="I315">
        <v>1</v>
      </c>
      <c r="J315">
        <v>1</v>
      </c>
      <c r="K315" t="s">
        <v>3313</v>
      </c>
      <c r="L315" t="s">
        <v>3313</v>
      </c>
      <c r="N315" s="40">
        <v>45526</v>
      </c>
      <c r="O315" s="40">
        <v>45526</v>
      </c>
      <c r="R315">
        <v>55697</v>
      </c>
      <c r="S315" s="40" t="str" cm="1">
        <f t="array" aca="1" ref="S315" ca="1">TRIM(SUBSTITUTE(_xlfn.ARRAYTOTEXT(IFERROR(CONCATENATE(SUMIF(INDIRECT("'"&amp;Assemblies[Assy]&amp;"'!"&amp;"C$5:C1000"), $A315, INDIRECT("'"&amp;Assemblies[Assy]&amp;"'!"&amp;"O$5:O1000")), "x",Assemblies[Assy],".",IF(SUMIF(INDIRECT("'"&amp;Assemblies[Assy]&amp;"'!"&amp;"C$5:C1000"), $A315, INDIRECT("'"&amp;Assemblies[Assy]&amp;"'!"&amp;"A$5:A1000"))=0,NA(),SUMIF(INDIRECT("'"&amp;Assemblies[Assy]&amp;"'!"&amp;"C$5:C1000"), $A315, INDIRECT("'"&amp;Assemblies[Assy]&amp;"'!"&amp;"A$5:A1000")))),"")), " ,", ""))</f>
        <v>, 1x10.2.8.305,</v>
      </c>
    </row>
    <row r="316" spans="1:19" hidden="1" x14ac:dyDescent="0.25">
      <c r="A316" s="160" t="s">
        <v>1074</v>
      </c>
      <c r="B316" s="160" t="s">
        <v>3422</v>
      </c>
      <c r="C316" s="180">
        <v>7.36</v>
      </c>
      <c r="D316">
        <v>100</v>
      </c>
      <c r="E316" cm="1">
        <f t="array" aca="1" ref="E316" ca="1">SUMPRODUCT(SUMIF(INDIRECT("'"&amp;Assemblies[Assy]&amp;"'!"&amp;"C:C"),$A316,(INDIRECT("'"&amp;Assemblies[Assy]&amp;"'!"&amp;"O:O"))))</f>
        <v>20</v>
      </c>
      <c r="F316">
        <f ca="1">ROUNDUP(Purchased[[#This Row],[BOM QTY]]/Purchased[[#This Row],[PK QTY]], 0)</f>
        <v>1</v>
      </c>
      <c r="G316">
        <v>1</v>
      </c>
      <c r="H316" t="str">
        <f ca="1">IF(F316&lt;=G316," ","YES")</f>
        <v xml:space="preserve"> </v>
      </c>
      <c r="I316">
        <v>1</v>
      </c>
      <c r="J316">
        <v>1</v>
      </c>
      <c r="K316" t="s">
        <v>3313</v>
      </c>
      <c r="L316" t="s">
        <v>3313</v>
      </c>
      <c r="N316" s="40">
        <v>45526</v>
      </c>
      <c r="O316" s="40">
        <v>45526</v>
      </c>
      <c r="R316">
        <v>55697</v>
      </c>
      <c r="S316" s="40" t="str" cm="1">
        <f t="array" aca="1" ref="S316" ca="1">TRIM(SUBSTITUTE(_xlfn.ARRAYTOTEXT(IFERROR(CONCATENATE(SUMIF(INDIRECT("'"&amp;Assemblies[Assy]&amp;"'!"&amp;"C$5:C1000"), $A316, INDIRECT("'"&amp;Assemblies[Assy]&amp;"'!"&amp;"O$5:O1000")), "x",Assemblies[Assy],".",IF(SUMIF(INDIRECT("'"&amp;Assemblies[Assy]&amp;"'!"&amp;"C$5:C1000"), $A316, INDIRECT("'"&amp;Assemblies[Assy]&amp;"'!"&amp;"A$5:A1000"))=0,NA(),SUMIF(INDIRECT("'"&amp;Assemblies[Assy]&amp;"'!"&amp;"C$5:C1000"), $A316, INDIRECT("'"&amp;Assemblies[Assy]&amp;"'!"&amp;"A$5:A1000")))),"")), " ,", ""))</f>
        <v>, 20x6.10.305,</v>
      </c>
    </row>
    <row r="317" spans="1:19" hidden="1" x14ac:dyDescent="0.25">
      <c r="A317" s="160" t="s">
        <v>553</v>
      </c>
      <c r="B317" s="160" t="s">
        <v>3426</v>
      </c>
      <c r="C317" s="180">
        <v>6.56</v>
      </c>
      <c r="D317">
        <v>100</v>
      </c>
      <c r="E317" cm="1">
        <f t="array" aca="1" ref="E317" ca="1">SUMPRODUCT(SUMIF(INDIRECT("'"&amp;Assemblies[Assy]&amp;"'!"&amp;"C:C"),$A317,(INDIRECT("'"&amp;Assemblies[Assy]&amp;"'!"&amp;"O:O"))))</f>
        <v>12</v>
      </c>
      <c r="F317">
        <f ca="1">ROUNDUP(Purchased[[#This Row],[BOM QTY]]/Purchased[[#This Row],[PK QTY]], 0)</f>
        <v>1</v>
      </c>
      <c r="G317">
        <v>1</v>
      </c>
      <c r="H317" t="str">
        <f ca="1">IF(F317&lt;=G317," ","YES")</f>
        <v xml:space="preserve"> </v>
      </c>
      <c r="I317">
        <v>1</v>
      </c>
      <c r="J317">
        <v>1</v>
      </c>
      <c r="K317" t="s">
        <v>3313</v>
      </c>
      <c r="L317" t="s">
        <v>3313</v>
      </c>
      <c r="N317" s="40">
        <v>45526</v>
      </c>
      <c r="O317" s="40">
        <v>45526</v>
      </c>
      <c r="R317">
        <v>55697</v>
      </c>
      <c r="S317" s="40" t="str" cm="1">
        <f t="array" aca="1" ref="S317" ca="1">TRIM(SUBSTITUTE(_xlfn.ARRAYTOTEXT(IFERROR(CONCATENATE(SUMIF(INDIRECT("'"&amp;Assemblies[Assy]&amp;"'!"&amp;"C$5:C1000"), $A317, INDIRECT("'"&amp;Assemblies[Assy]&amp;"'!"&amp;"O$5:O1000")), "x",Assemblies[Assy],".",IF(SUMIF(INDIRECT("'"&amp;Assemblies[Assy]&amp;"'!"&amp;"C$5:C1000"), $A317, INDIRECT("'"&amp;Assemblies[Assy]&amp;"'!"&amp;"A$5:A1000"))=0,NA(),SUMIF(INDIRECT("'"&amp;Assemblies[Assy]&amp;"'!"&amp;"C$5:C1000"), $A317, INDIRECT("'"&amp;Assemblies[Assy]&amp;"'!"&amp;"A$5:A1000")))),"")), " ,", ""))</f>
        <v>, 4x4.1.7.305, 4x4.1.8.305, 4x10.1.5.302,</v>
      </c>
    </row>
    <row r="318" spans="1:19" hidden="1" x14ac:dyDescent="0.25">
      <c r="A318" s="160" t="s">
        <v>555</v>
      </c>
      <c r="B318" s="160" t="s">
        <v>3427</v>
      </c>
      <c r="C318" s="180">
        <v>12.59</v>
      </c>
      <c r="D318">
        <v>100</v>
      </c>
      <c r="E318" cm="1">
        <f t="array" aca="1" ref="E318" ca="1">SUMPRODUCT(SUMIF(INDIRECT("'"&amp;Assemblies[Assy]&amp;"'!"&amp;"C:C"),$A318,(INDIRECT("'"&amp;Assemblies[Assy]&amp;"'!"&amp;"O:O"))))</f>
        <v>12</v>
      </c>
      <c r="F318">
        <f ca="1">ROUNDUP(Purchased[[#This Row],[BOM QTY]]/Purchased[[#This Row],[PK QTY]], 0)</f>
        <v>1</v>
      </c>
      <c r="G318">
        <v>1</v>
      </c>
      <c r="H318" t="str">
        <f ca="1">IF(F318&lt;=G318," ","YES")</f>
        <v xml:space="preserve"> </v>
      </c>
      <c r="I318">
        <v>1</v>
      </c>
      <c r="J318">
        <v>1</v>
      </c>
      <c r="K318" t="s">
        <v>3313</v>
      </c>
      <c r="L318" t="s">
        <v>3313</v>
      </c>
      <c r="N318" s="40">
        <v>45526</v>
      </c>
      <c r="O318" s="40">
        <v>45526</v>
      </c>
      <c r="R318">
        <v>55697</v>
      </c>
      <c r="S318" s="40" t="str" cm="1">
        <f t="array" aca="1" ref="S318" ca="1">TRIM(SUBSTITUTE(_xlfn.ARRAYTOTEXT(IFERROR(CONCATENATE(SUMIF(INDIRECT("'"&amp;Assemblies[Assy]&amp;"'!"&amp;"C$5:C1000"), $A318, INDIRECT("'"&amp;Assemblies[Assy]&amp;"'!"&amp;"O$5:O1000")), "x",Assemblies[Assy],".",IF(SUMIF(INDIRECT("'"&amp;Assemblies[Assy]&amp;"'!"&amp;"C$5:C1000"), $A318, INDIRECT("'"&amp;Assemblies[Assy]&amp;"'!"&amp;"A$5:A1000"))=0,NA(),SUMIF(INDIRECT("'"&amp;Assemblies[Assy]&amp;"'!"&amp;"C$5:C1000"), $A318, INDIRECT("'"&amp;Assemblies[Assy]&amp;"'!"&amp;"A$5:A1000")))),"")), " ,", ""))</f>
        <v>, 6x4.1.7.307, 6x4.1.8.307,</v>
      </c>
    </row>
    <row r="319" spans="1:19" hidden="1" x14ac:dyDescent="0.25">
      <c r="A319" s="162" t="s">
        <v>297</v>
      </c>
      <c r="B319" s="160" t="s">
        <v>3312</v>
      </c>
      <c r="C319" s="180">
        <v>9.74</v>
      </c>
      <c r="D319">
        <v>10</v>
      </c>
      <c r="E319" cm="1">
        <f t="array" aca="1" ref="E319" ca="1">SUMPRODUCT(SUMIF(INDIRECT("'"&amp;Assemblies[Assy]&amp;"'!"&amp;"C:C"),$A319,(INDIRECT("'"&amp;Assemblies[Assy]&amp;"'!"&amp;"O:O"))))</f>
        <v>20</v>
      </c>
      <c r="F319">
        <f ca="1">ROUNDUP(Purchased[[#This Row],[BOM QTY]]/Purchased[[#This Row],[PK QTY]], 0)</f>
        <v>2</v>
      </c>
      <c r="G319">
        <v>2</v>
      </c>
      <c r="H319" t="str">
        <f ca="1">IF(F319&lt;=G319," ","YES")</f>
        <v xml:space="preserve"> </v>
      </c>
      <c r="I319">
        <v>2</v>
      </c>
      <c r="J319">
        <v>2</v>
      </c>
      <c r="K319" t="s">
        <v>3313</v>
      </c>
      <c r="L319" t="s">
        <v>3313</v>
      </c>
      <c r="N319" s="40">
        <v>45460</v>
      </c>
      <c r="O319" s="40">
        <v>45460</v>
      </c>
      <c r="P319" s="40">
        <v>45462</v>
      </c>
      <c r="Q319" s="40">
        <v>45462</v>
      </c>
      <c r="R319">
        <v>55556</v>
      </c>
      <c r="S319" s="40" t="str" cm="1">
        <f t="array" aca="1" ref="S319" ca="1">TRIM(SUBSTITUTE(_xlfn.ARRAYTOTEXT(IFERROR(CONCATENATE(SUMIF(INDIRECT("'"&amp;Assemblies[Assy]&amp;"'!"&amp;"C$5:C1000"), $A319, INDIRECT("'"&amp;Assemblies[Assy]&amp;"'!"&amp;"O$5:O1000")), "x",Assemblies[Assy],".",IF(SUMIF(INDIRECT("'"&amp;Assemblies[Assy]&amp;"'!"&amp;"C$5:C1000"), $A319, INDIRECT("'"&amp;Assemblies[Assy]&amp;"'!"&amp;"A$5:A1000"))=0,NA(),SUMIF(INDIRECT("'"&amp;Assemblies[Assy]&amp;"'!"&amp;"C$5:C1000"), $A319, INDIRECT("'"&amp;Assemblies[Assy]&amp;"'!"&amp;"A$5:A1000")))),"")), " ,", ""))</f>
        <v>, 8x1.3.305, 12x2.3.307,</v>
      </c>
    </row>
    <row r="320" spans="1:19" hidden="1" x14ac:dyDescent="0.25">
      <c r="A320" s="160" t="s">
        <v>941</v>
      </c>
      <c r="B320" s="160" t="s">
        <v>3328</v>
      </c>
      <c r="C320" s="180">
        <v>0</v>
      </c>
      <c r="D320">
        <v>1</v>
      </c>
      <c r="E320" cm="1">
        <f t="array" aca="1" ref="E320" ca="1">SUMPRODUCT(SUMIF(INDIRECT("'"&amp;Assemblies[Assy]&amp;"'!"&amp;"C:C"),$A320,(INDIRECT("'"&amp;Assemblies[Assy]&amp;"'!"&amp;"O:O"))))</f>
        <v>2</v>
      </c>
      <c r="F320">
        <f ca="1">ROUNDUP(Purchased[[#This Row],[BOM QTY]]/Purchased[[#This Row],[PK QTY]], 0)</f>
        <v>2</v>
      </c>
      <c r="G320">
        <v>2</v>
      </c>
      <c r="H320" t="str">
        <f ca="1">IF(F320&lt;=G320," ","YES")</f>
        <v xml:space="preserve"> </v>
      </c>
      <c r="I320">
        <v>2</v>
      </c>
      <c r="J320">
        <v>2</v>
      </c>
      <c r="K320" t="s">
        <v>3313</v>
      </c>
      <c r="L320" t="s">
        <v>3313</v>
      </c>
      <c r="N320" s="40">
        <v>45481</v>
      </c>
      <c r="O320" s="40">
        <v>45481</v>
      </c>
      <c r="P320" s="40">
        <v>45482</v>
      </c>
      <c r="Q320" s="40">
        <v>45482</v>
      </c>
      <c r="R320">
        <v>55586</v>
      </c>
      <c r="S320" s="40" t="str" cm="1">
        <f t="array" aca="1" ref="S320" ca="1">TRIM(SUBSTITUTE(_xlfn.ARRAYTOTEXT(IFERROR(CONCATENATE(SUMIF(INDIRECT("'"&amp;Assemblies[Assy]&amp;"'!"&amp;"C$5:C1000"), $A320, INDIRECT("'"&amp;Assemblies[Assy]&amp;"'!"&amp;"O$5:O1000")), "x",Assemblies[Assy],".",IF(SUMIF(INDIRECT("'"&amp;Assemblies[Assy]&amp;"'!"&amp;"C$5:C1000"), $A320, INDIRECT("'"&amp;Assemblies[Assy]&amp;"'!"&amp;"A$5:A1000"))=0,NA(),SUMIF(INDIRECT("'"&amp;Assemblies[Assy]&amp;"'!"&amp;"C$5:C1000"), $A320, INDIRECT("'"&amp;Assemblies[Assy]&amp;"'!"&amp;"A$5:A1000")))),"")), " ,", ""))</f>
        <v>, 1x6.2.1.1.304, 1x6.3.1.1.304,</v>
      </c>
    </row>
    <row r="321" spans="1:19" hidden="1" x14ac:dyDescent="0.25">
      <c r="A321" s="160" t="s">
        <v>609</v>
      </c>
      <c r="B321" s="160" t="s">
        <v>3330</v>
      </c>
      <c r="C321" s="180">
        <v>14.83</v>
      </c>
      <c r="D321">
        <v>1</v>
      </c>
      <c r="E321" cm="1">
        <f t="array" aca="1" ref="E321" ca="1">SUMPRODUCT(SUMIF(INDIRECT("'"&amp;Assemblies[Assy]&amp;"'!"&amp;"C:C"),$A321,(INDIRECT("'"&amp;Assemblies[Assy]&amp;"'!"&amp;"O:O"))))</f>
        <v>2</v>
      </c>
      <c r="F321">
        <f ca="1">ROUNDUP(Purchased[[#This Row],[BOM QTY]]/Purchased[[#This Row],[PK QTY]], 0)</f>
        <v>2</v>
      </c>
      <c r="G321">
        <v>2</v>
      </c>
      <c r="H321" t="str">
        <f ca="1">IF(F321&lt;=G321," ","YES")</f>
        <v xml:space="preserve"> </v>
      </c>
      <c r="I321">
        <v>2</v>
      </c>
      <c r="J321">
        <v>2</v>
      </c>
      <c r="K321" t="s">
        <v>3313</v>
      </c>
      <c r="L321" t="s">
        <v>3313</v>
      </c>
      <c r="N321" s="40">
        <v>45481</v>
      </c>
      <c r="O321" s="40">
        <v>45481</v>
      </c>
      <c r="P321" s="40">
        <v>45482</v>
      </c>
      <c r="Q321" s="40">
        <v>45482</v>
      </c>
      <c r="R321">
        <v>55586</v>
      </c>
      <c r="S321" s="40" t="str" cm="1">
        <f t="array" aca="1" ref="S321" ca="1">TRIM(SUBSTITUTE(_xlfn.ARRAYTOTEXT(IFERROR(CONCATENATE(SUMIF(INDIRECT("'"&amp;Assemblies[Assy]&amp;"'!"&amp;"C$5:C1000"), $A321, INDIRECT("'"&amp;Assemblies[Assy]&amp;"'!"&amp;"O$5:O1000")), "x",Assemblies[Assy],".",IF(SUMIF(INDIRECT("'"&amp;Assemblies[Assy]&amp;"'!"&amp;"C$5:C1000"), $A321, INDIRECT("'"&amp;Assemblies[Assy]&amp;"'!"&amp;"A$5:A1000"))=0,NA(),SUMIF(INDIRECT("'"&amp;Assemblies[Assy]&amp;"'!"&amp;"C$5:C1000"), $A321, INDIRECT("'"&amp;Assemblies[Assy]&amp;"'!"&amp;"A$5:A1000")))),"")), " ,", ""))</f>
        <v>, 2x4.3.310,</v>
      </c>
    </row>
    <row r="322" spans="1:19" hidden="1" x14ac:dyDescent="0.25">
      <c r="A322" s="160" t="s">
        <v>1023</v>
      </c>
      <c r="B322" s="160" t="s">
        <v>3331</v>
      </c>
      <c r="C322" s="180">
        <v>6.68</v>
      </c>
      <c r="D322">
        <v>1</v>
      </c>
      <c r="E322" cm="1">
        <f t="array" aca="1" ref="E322" ca="1">SUMPRODUCT(SUMIF(INDIRECT("'"&amp;Assemblies[Assy]&amp;"'!"&amp;"C:C"),$A322,(INDIRECT("'"&amp;Assemblies[Assy]&amp;"'!"&amp;"O:O"))))</f>
        <v>2</v>
      </c>
      <c r="F322">
        <f ca="1">ROUNDUP(Purchased[[#This Row],[BOM QTY]]/Purchased[[#This Row],[PK QTY]], 0)</f>
        <v>2</v>
      </c>
      <c r="G322">
        <v>2</v>
      </c>
      <c r="H322" t="str">
        <f ca="1">IF(F322&lt;=G322," ","YES")</f>
        <v xml:space="preserve"> </v>
      </c>
      <c r="I322">
        <v>2</v>
      </c>
      <c r="J322">
        <v>2</v>
      </c>
      <c r="K322" s="181" t="s">
        <v>3313</v>
      </c>
      <c r="L322" t="s">
        <v>3313</v>
      </c>
      <c r="N322" s="40">
        <v>45481</v>
      </c>
      <c r="O322" s="40">
        <v>45481</v>
      </c>
      <c r="P322" s="40">
        <v>45482</v>
      </c>
      <c r="Q322" s="40">
        <v>45482</v>
      </c>
      <c r="R322">
        <v>55586</v>
      </c>
      <c r="S322" s="40" t="str" cm="1">
        <f t="array" aca="1" ref="S322" ca="1">TRIM(SUBSTITUTE(_xlfn.ARRAYTOTEXT(IFERROR(CONCATENATE(SUMIF(INDIRECT("'"&amp;Assemblies[Assy]&amp;"'!"&amp;"C$5:C1000"), $A322, INDIRECT("'"&amp;Assemblies[Assy]&amp;"'!"&amp;"O$5:O1000")), "x",Assemblies[Assy],".",IF(SUMIF(INDIRECT("'"&amp;Assemblies[Assy]&amp;"'!"&amp;"C$5:C1000"), $A322, INDIRECT("'"&amp;Assemblies[Assy]&amp;"'!"&amp;"A$5:A1000"))=0,NA(),SUMIF(INDIRECT("'"&amp;Assemblies[Assy]&amp;"'!"&amp;"C$5:C1000"), $A322, INDIRECT("'"&amp;Assemblies[Assy]&amp;"'!"&amp;"A$5:A1000")))),"")), " ,", ""))</f>
        <v>, 1x6.4.310, 1x6.5.310,</v>
      </c>
    </row>
    <row r="323" spans="1:19" hidden="1" x14ac:dyDescent="0.25">
      <c r="A323" s="161" t="s">
        <v>1277</v>
      </c>
      <c r="B323" s="160" t="s">
        <v>3339</v>
      </c>
      <c r="C323" s="180">
        <v>58.5</v>
      </c>
      <c r="D323">
        <v>1</v>
      </c>
      <c r="E323" cm="1">
        <f t="array" aca="1" ref="E323" ca="1">SUMPRODUCT(SUMIF(INDIRECT("'"&amp;Assemblies[Assy]&amp;"'!"&amp;"C:C"),$A323,(INDIRECT("'"&amp;Assemblies[Assy]&amp;"'!"&amp;"O:O"))))</f>
        <v>2</v>
      </c>
      <c r="F323">
        <f ca="1">ROUNDUP(Purchased[[#This Row],[BOM QTY]]/Purchased[[#This Row],[PK QTY]], 0)</f>
        <v>2</v>
      </c>
      <c r="G323">
        <v>2</v>
      </c>
      <c r="H323" t="str">
        <f ca="1">IF(F323&lt;=G323," ","YES")</f>
        <v xml:space="preserve"> </v>
      </c>
      <c r="I323">
        <v>2</v>
      </c>
      <c r="J323">
        <v>2</v>
      </c>
      <c r="K323" t="s">
        <v>3313</v>
      </c>
      <c r="L323" t="s">
        <v>3313</v>
      </c>
      <c r="N323" s="40">
        <v>45481</v>
      </c>
      <c r="O323" s="40">
        <v>45481</v>
      </c>
      <c r="P323" s="40">
        <v>45482</v>
      </c>
      <c r="Q323" s="40">
        <v>45482</v>
      </c>
      <c r="R323">
        <v>55586</v>
      </c>
      <c r="S323" s="40" t="str" cm="1">
        <f t="array" aca="1" ref="S323" ca="1">TRIM(SUBSTITUTE(_xlfn.ARRAYTOTEXT(IFERROR(CONCATENATE(SUMIF(INDIRECT("'"&amp;Assemblies[Assy]&amp;"'!"&amp;"C$5:C1000"), $A323, INDIRECT("'"&amp;Assemblies[Assy]&amp;"'!"&amp;"O$5:O1000")), "x",Assemblies[Assy],".",IF(SUMIF(INDIRECT("'"&amp;Assemblies[Assy]&amp;"'!"&amp;"C$5:C1000"), $A323, INDIRECT("'"&amp;Assemblies[Assy]&amp;"'!"&amp;"A$5:A1000"))=0,NA(),SUMIF(INDIRECT("'"&amp;Assemblies[Assy]&amp;"'!"&amp;"C$5:C1000"), $A323, INDIRECT("'"&amp;Assemblies[Assy]&amp;"'!"&amp;"A$5:A1000")))),"")), " ,", ""))</f>
        <v>, 2x9.1.304,</v>
      </c>
    </row>
    <row r="324" spans="1:19" hidden="1" x14ac:dyDescent="0.25">
      <c r="A324" s="160" t="s">
        <v>899</v>
      </c>
      <c r="B324" s="160" t="s">
        <v>3352</v>
      </c>
      <c r="C324" s="180">
        <v>11.34</v>
      </c>
      <c r="D324">
        <v>5</v>
      </c>
      <c r="E324" cm="1">
        <f t="array" aca="1" ref="E324" ca="1">SUMPRODUCT(SUMIF(INDIRECT("'"&amp;Assemblies[Assy]&amp;"'!"&amp;"C:C"),$A324,(INDIRECT("'"&amp;Assemblies[Assy]&amp;"'!"&amp;"O:O"))))</f>
        <v>8</v>
      </c>
      <c r="F324">
        <f ca="1">ROUNDUP(Purchased[[#This Row],[BOM QTY]]/Purchased[[#This Row],[PK QTY]], 0)</f>
        <v>2</v>
      </c>
      <c r="G324">
        <v>2</v>
      </c>
      <c r="H324" t="str">
        <f ca="1">IF(F324&lt;=G324," ","YES")</f>
        <v xml:space="preserve"> </v>
      </c>
      <c r="I324">
        <v>2</v>
      </c>
      <c r="J324">
        <v>2</v>
      </c>
      <c r="K324" s="181" t="s">
        <v>3313</v>
      </c>
      <c r="L324" t="s">
        <v>3313</v>
      </c>
      <c r="N324" s="40">
        <v>45481</v>
      </c>
      <c r="O324" s="40">
        <v>45481</v>
      </c>
      <c r="P324" s="40">
        <v>45482</v>
      </c>
      <c r="Q324" s="40">
        <v>45482</v>
      </c>
      <c r="R324">
        <v>55586</v>
      </c>
      <c r="S324" s="40" t="str" cm="1">
        <f t="array" aca="1" ref="S324" ca="1">TRIM(SUBSTITUTE(_xlfn.ARRAYTOTEXT(IFERROR(CONCATENATE(SUMIF(INDIRECT("'"&amp;Assemblies[Assy]&amp;"'!"&amp;"C$5:C1000"), $A324, INDIRECT("'"&amp;Assemblies[Assy]&amp;"'!"&amp;"O$5:O1000")), "x",Assemblies[Assy],".",IF(SUMIF(INDIRECT("'"&amp;Assemblies[Assy]&amp;"'!"&amp;"C$5:C1000"), $A324, INDIRECT("'"&amp;Assemblies[Assy]&amp;"'!"&amp;"A$5:A1000"))=0,NA(),SUMIF(INDIRECT("'"&amp;Assemblies[Assy]&amp;"'!"&amp;"C$5:C1000"), $A324, INDIRECT("'"&amp;Assemblies[Assy]&amp;"'!"&amp;"A$5:A1000")))),"")), " ,", ""))</f>
        <v>, 8x6.1.332,</v>
      </c>
    </row>
    <row r="325" spans="1:19" hidden="1" x14ac:dyDescent="0.25">
      <c r="A325" s="162" t="s">
        <v>649</v>
      </c>
      <c r="B325" s="160" t="s">
        <v>3359</v>
      </c>
      <c r="C325" s="180">
        <v>17.79</v>
      </c>
      <c r="D325">
        <v>1</v>
      </c>
      <c r="E325" cm="1">
        <f t="array" aca="1" ref="E325" ca="1">SUMPRODUCT(SUMIF(INDIRECT("'"&amp;Assemblies[Assy]&amp;"'!"&amp;"C:C"),$A325,(INDIRECT("'"&amp;Assemblies[Assy]&amp;"'!"&amp;"O:O"))))</f>
        <v>4</v>
      </c>
      <c r="F325">
        <f ca="1">ROUNDUP(Purchased[[#This Row],[BOM QTY]]/Purchased[[#This Row],[PK QTY]], 0)</f>
        <v>4</v>
      </c>
      <c r="G325">
        <v>4</v>
      </c>
      <c r="H325" t="str">
        <f ca="1">IF(F325&lt;=G325," ","YES")</f>
        <v xml:space="preserve"> </v>
      </c>
      <c r="I325">
        <v>2</v>
      </c>
      <c r="J325">
        <v>2</v>
      </c>
      <c r="K325" t="s">
        <v>3313</v>
      </c>
      <c r="L325" t="s">
        <v>3313</v>
      </c>
      <c r="M325" t="s">
        <v>3358</v>
      </c>
      <c r="N325" s="40">
        <v>45481</v>
      </c>
      <c r="O325" s="40">
        <v>45481</v>
      </c>
      <c r="P325" s="40">
        <v>45482</v>
      </c>
      <c r="Q325" s="40">
        <v>45482</v>
      </c>
      <c r="R325">
        <v>55586</v>
      </c>
      <c r="S325" s="40" t="str" cm="1">
        <f t="array" aca="1" ref="S325" ca="1">TRIM(SUBSTITUTE(_xlfn.ARRAYTOTEXT(IFERROR(CONCATENATE(SUMIF(INDIRECT("'"&amp;Assemblies[Assy]&amp;"'!"&amp;"C$5:C1000"), $A325, INDIRECT("'"&amp;Assemblies[Assy]&amp;"'!"&amp;"O$5:O1000")), "x",Assemblies[Assy],".",IF(SUMIF(INDIRECT("'"&amp;Assemblies[Assy]&amp;"'!"&amp;"C$5:C1000"), $A325, INDIRECT("'"&amp;Assemblies[Assy]&amp;"'!"&amp;"A$5:A1000"))=0,NA(),SUMIF(INDIRECT("'"&amp;Assemblies[Assy]&amp;"'!"&amp;"C$5:C1000"), $A325, INDIRECT("'"&amp;Assemblies[Assy]&amp;"'!"&amp;"A$5:A1000")))),"")), " ,", ""))</f>
        <v>, 1x4.4.2.306, 1x4.5.1.301, 1x5.3.338, 1x6.1.337,</v>
      </c>
    </row>
    <row r="326" spans="1:19" hidden="1" x14ac:dyDescent="0.25">
      <c r="A326" s="160" t="s">
        <v>1262</v>
      </c>
      <c r="B326" s="160" t="s">
        <v>3363</v>
      </c>
      <c r="C326" s="180">
        <v>22.41</v>
      </c>
      <c r="D326">
        <v>1</v>
      </c>
      <c r="E326" cm="1">
        <f t="array" aca="1" ref="E326" ca="1">SUMPRODUCT(SUMIF(INDIRECT("'"&amp;Assemblies[Assy]&amp;"'!"&amp;"C:C"),$A326,(INDIRECT("'"&amp;Assemblies[Assy]&amp;"'!"&amp;"O:O"))))</f>
        <v>8</v>
      </c>
      <c r="F326">
        <f ca="1">ROUNDUP(Purchased[[#This Row],[BOM QTY]]/Purchased[[#This Row],[PK QTY]], 0)</f>
        <v>8</v>
      </c>
      <c r="G326">
        <v>8</v>
      </c>
      <c r="H326" t="str">
        <f ca="1">IF(F326&lt;=G326," ","YES")</f>
        <v xml:space="preserve"> </v>
      </c>
      <c r="I326">
        <v>2</v>
      </c>
      <c r="J326">
        <v>2</v>
      </c>
      <c r="K326" t="s">
        <v>3313</v>
      </c>
      <c r="L326" t="s">
        <v>3313</v>
      </c>
      <c r="M326" t="s">
        <v>3364</v>
      </c>
      <c r="N326" s="40">
        <v>45481</v>
      </c>
      <c r="O326" s="40">
        <v>45481</v>
      </c>
      <c r="P326" s="40">
        <v>45482</v>
      </c>
      <c r="Q326" s="40">
        <v>45482</v>
      </c>
      <c r="R326">
        <v>55586</v>
      </c>
      <c r="S326" s="40" t="str" cm="1">
        <f t="array" aca="1" ref="S326" ca="1">TRIM(SUBSTITUTE(_xlfn.ARRAYTOTEXT(IFERROR(CONCATENATE(SUMIF(INDIRECT("'"&amp;Assemblies[Assy]&amp;"'!"&amp;"C$5:C1000"), $A326, INDIRECT("'"&amp;Assemblies[Assy]&amp;"'!"&amp;"O$5:O1000")), "x",Assemblies[Assy],".",IF(SUMIF(INDIRECT("'"&amp;Assemblies[Assy]&amp;"'!"&amp;"C$5:C1000"), $A326, INDIRECT("'"&amp;Assemblies[Assy]&amp;"'!"&amp;"A$5:A1000"))=0,NA(),SUMIF(INDIRECT("'"&amp;Assemblies[Assy]&amp;"'!"&amp;"C$5:C1000"), $A326, INDIRECT("'"&amp;Assemblies[Assy]&amp;"'!"&amp;"A$5:A1000")))),"")), " ,", ""))</f>
        <v>, 8x8.4.305,</v>
      </c>
    </row>
    <row r="327" spans="1:19" hidden="1" x14ac:dyDescent="0.25">
      <c r="A327" s="160" t="s">
        <v>1260</v>
      </c>
      <c r="B327" s="160" t="s">
        <v>3365</v>
      </c>
      <c r="C327" s="180">
        <v>9.1</v>
      </c>
      <c r="D327">
        <v>1</v>
      </c>
      <c r="E327" cm="1">
        <f t="array" aca="1" ref="E327" ca="1">SUMPRODUCT(SUMIF(INDIRECT("'"&amp;Assemblies[Assy]&amp;"'!"&amp;"C:C"),$A327,(INDIRECT("'"&amp;Assemblies[Assy]&amp;"'!"&amp;"O:O"))))</f>
        <v>8</v>
      </c>
      <c r="F327">
        <f ca="1">ROUNDUP(Purchased[[#This Row],[BOM QTY]]/Purchased[[#This Row],[PK QTY]], 0)</f>
        <v>8</v>
      </c>
      <c r="G327">
        <v>8</v>
      </c>
      <c r="H327" t="str">
        <f ca="1">IF(F327&lt;=G327," ","YES")</f>
        <v xml:space="preserve"> </v>
      </c>
      <c r="I327">
        <v>2</v>
      </c>
      <c r="J327">
        <v>2</v>
      </c>
      <c r="K327" t="s">
        <v>3313</v>
      </c>
      <c r="L327" t="s">
        <v>3313</v>
      </c>
      <c r="M327" t="s">
        <v>3364</v>
      </c>
      <c r="N327" s="40">
        <v>45481</v>
      </c>
      <c r="O327" s="40">
        <v>45481</v>
      </c>
      <c r="P327" s="40">
        <v>45482</v>
      </c>
      <c r="Q327" s="40">
        <v>45482</v>
      </c>
      <c r="R327">
        <v>55586</v>
      </c>
      <c r="S327" s="40" t="str" cm="1">
        <f t="array" aca="1" ref="S327" ca="1">TRIM(SUBSTITUTE(_xlfn.ARRAYTOTEXT(IFERROR(CONCATENATE(SUMIF(INDIRECT("'"&amp;Assemblies[Assy]&amp;"'!"&amp;"C$5:C1000"), $A327, INDIRECT("'"&amp;Assemblies[Assy]&amp;"'!"&amp;"O$5:O1000")), "x",Assemblies[Assy],".",IF(SUMIF(INDIRECT("'"&amp;Assemblies[Assy]&amp;"'!"&amp;"C$5:C1000"), $A327, INDIRECT("'"&amp;Assemblies[Assy]&amp;"'!"&amp;"A$5:A1000"))=0,NA(),SUMIF(INDIRECT("'"&amp;Assemblies[Assy]&amp;"'!"&amp;"C$5:C1000"), $A327, INDIRECT("'"&amp;Assemblies[Assy]&amp;"'!"&amp;"A$5:A1000")))),"")), " ,", ""))</f>
        <v>, 8x8.4.303,</v>
      </c>
    </row>
    <row r="328" spans="1:19" hidden="1" x14ac:dyDescent="0.25">
      <c r="A328" s="161" t="s">
        <v>1398</v>
      </c>
      <c r="B328" s="161" t="s">
        <v>3388</v>
      </c>
      <c r="C328" s="180">
        <v>0.26</v>
      </c>
      <c r="D328">
        <v>1</v>
      </c>
      <c r="E328" cm="1">
        <f t="array" aca="1" ref="E328" ca="1">SUMPRODUCT(SUMIF(INDIRECT("'"&amp;Assemblies[Assy]&amp;"'!"&amp;"C:C"),$A328,(INDIRECT("'"&amp;Assemblies[Assy]&amp;"'!"&amp;"O:O"))))</f>
        <v>2</v>
      </c>
      <c r="F328">
        <f ca="1">ROUNDUP(Purchased[[#This Row],[BOM QTY]]/Purchased[[#This Row],[PK QTY]], 0)</f>
        <v>2</v>
      </c>
      <c r="G328">
        <v>2</v>
      </c>
      <c r="H328" t="str">
        <f ca="1">IF(F328&lt;=G328," ","YES")</f>
        <v xml:space="preserve"> </v>
      </c>
      <c r="I328">
        <v>2</v>
      </c>
      <c r="J328">
        <v>2</v>
      </c>
      <c r="K328" t="s">
        <v>3313</v>
      </c>
      <c r="L328" t="s">
        <v>3313</v>
      </c>
      <c r="N328" s="40">
        <v>45526</v>
      </c>
      <c r="O328" s="40">
        <v>45526</v>
      </c>
      <c r="R328">
        <v>55697</v>
      </c>
      <c r="S328" s="40" t="str" cm="1">
        <f t="array" aca="1" ref="S328" ca="1">TRIM(SUBSTITUTE(_xlfn.ARRAYTOTEXT(IFERROR(CONCATENATE(SUMIF(INDIRECT("'"&amp;Assemblies[Assy]&amp;"'!"&amp;"C$5:C1000"), $A328, INDIRECT("'"&amp;Assemblies[Assy]&amp;"'!"&amp;"O$5:O1000")), "x",Assemblies[Assy],".",IF(SUMIF(INDIRECT("'"&amp;Assemblies[Assy]&amp;"'!"&amp;"C$5:C1000"), $A328, INDIRECT("'"&amp;Assemblies[Assy]&amp;"'!"&amp;"A$5:A1000"))=0,NA(),SUMIF(INDIRECT("'"&amp;Assemblies[Assy]&amp;"'!"&amp;"C$5:C1000"), $A328, INDIRECT("'"&amp;Assemblies[Assy]&amp;"'!"&amp;"A$5:A1000")))),"")), " ,", ""))</f>
        <v>, 2x10.2.3.301,</v>
      </c>
    </row>
    <row r="329" spans="1:19" hidden="1" x14ac:dyDescent="0.25">
      <c r="A329" s="160" t="s">
        <v>503</v>
      </c>
      <c r="B329" s="193" t="s">
        <v>3395</v>
      </c>
      <c r="C329" s="180">
        <v>39.14</v>
      </c>
      <c r="D329">
        <v>1</v>
      </c>
      <c r="E329" cm="1">
        <f t="array" aca="1" ref="E329" ca="1">SUMPRODUCT(SUMIF(INDIRECT("'"&amp;Assemblies[Assy]&amp;"'!"&amp;"C:C"),$A329,(INDIRECT("'"&amp;Assemblies[Assy]&amp;"'!"&amp;"O:O"))))</f>
        <v>2</v>
      </c>
      <c r="F329">
        <f ca="1">ROUNDUP(Purchased[[#This Row],[BOM QTY]]/Purchased[[#This Row],[PK QTY]], 0)</f>
        <v>2</v>
      </c>
      <c r="G329">
        <v>2</v>
      </c>
      <c r="H329" t="str">
        <f ca="1">IF(F329&lt;=G329," ","YES")</f>
        <v xml:space="preserve"> </v>
      </c>
      <c r="I329">
        <v>2</v>
      </c>
      <c r="J329">
        <v>2</v>
      </c>
      <c r="K329" t="s">
        <v>3313</v>
      </c>
      <c r="L329" t="s">
        <v>3313</v>
      </c>
      <c r="N329" s="40">
        <v>45526</v>
      </c>
      <c r="O329" s="40">
        <v>45526</v>
      </c>
      <c r="R329">
        <v>55697</v>
      </c>
      <c r="S329" s="40" t="str" cm="1">
        <f t="array" aca="1" ref="S329" ca="1">TRIM(SUBSTITUTE(_xlfn.ARRAYTOTEXT(IFERROR(CONCATENATE(SUMIF(INDIRECT("'"&amp;Assemblies[Assy]&amp;"'!"&amp;"C$5:C1000"), $A329, INDIRECT("'"&amp;Assemblies[Assy]&amp;"'!"&amp;"O$5:O1000")), "x",Assemblies[Assy],".",IF(SUMIF(INDIRECT("'"&amp;Assemblies[Assy]&amp;"'!"&amp;"C$5:C1000"), $A329, INDIRECT("'"&amp;Assemblies[Assy]&amp;"'!"&amp;"A$5:A1000"))=0,NA(),SUMIF(INDIRECT("'"&amp;Assemblies[Assy]&amp;"'!"&amp;"C$5:C1000"), $A329, INDIRECT("'"&amp;Assemblies[Assy]&amp;"'!"&amp;"A$5:A1000")))),"")), " ,", ""))</f>
        <v>, 2x3.4.306,</v>
      </c>
    </row>
    <row r="330" spans="1:19" hidden="1" x14ac:dyDescent="0.25">
      <c r="A330" s="161" t="s">
        <v>1399</v>
      </c>
      <c r="B330" s="161" t="s">
        <v>3399</v>
      </c>
      <c r="C330" s="180">
        <v>138.21</v>
      </c>
      <c r="D330">
        <v>1</v>
      </c>
      <c r="E330" cm="1">
        <f t="array" aca="1" ref="E330" ca="1">SUMPRODUCT(SUMIF(INDIRECT("'"&amp;Assemblies[Assy]&amp;"'!"&amp;"C:C"),$A330,(INDIRECT("'"&amp;Assemblies[Assy]&amp;"'!"&amp;"O:O"))))</f>
        <v>2</v>
      </c>
      <c r="F330">
        <f ca="1">ROUNDUP(Purchased[[#This Row],[BOM QTY]]/Purchased[[#This Row],[PK QTY]], 0)</f>
        <v>2</v>
      </c>
      <c r="G330">
        <v>2</v>
      </c>
      <c r="H330" t="str">
        <f ca="1">IF(F330&lt;=G330," ","YES")</f>
        <v xml:space="preserve"> </v>
      </c>
      <c r="I330">
        <v>2</v>
      </c>
      <c r="J330">
        <v>2</v>
      </c>
      <c r="K330" t="s">
        <v>3313</v>
      </c>
      <c r="L330" t="s">
        <v>3313</v>
      </c>
      <c r="N330" s="40">
        <v>45526</v>
      </c>
      <c r="O330" s="40">
        <v>45526</v>
      </c>
      <c r="R330">
        <v>55697</v>
      </c>
      <c r="S330" s="40" t="str" cm="1">
        <f t="array" aca="1" ref="S330" ca="1">TRIM(SUBSTITUTE(_xlfn.ARRAYTOTEXT(IFERROR(CONCATENATE(SUMIF(INDIRECT("'"&amp;Assemblies[Assy]&amp;"'!"&amp;"C$5:C1000"), $A330, INDIRECT("'"&amp;Assemblies[Assy]&amp;"'!"&amp;"O$5:O1000")), "x",Assemblies[Assy],".",IF(SUMIF(INDIRECT("'"&amp;Assemblies[Assy]&amp;"'!"&amp;"C$5:C1000"), $A330, INDIRECT("'"&amp;Assemblies[Assy]&amp;"'!"&amp;"A$5:A1000"))=0,NA(),SUMIF(INDIRECT("'"&amp;Assemblies[Assy]&amp;"'!"&amp;"C$5:C1000"), $A330, INDIRECT("'"&amp;Assemblies[Assy]&amp;"'!"&amp;"A$5:A1000")))),"")), " ,", ""))</f>
        <v>, 2x10.2.3.302,</v>
      </c>
    </row>
    <row r="331" spans="1:19" hidden="1" x14ac:dyDescent="0.25">
      <c r="A331" s="160" t="s">
        <v>554</v>
      </c>
      <c r="B331" s="160" t="s">
        <v>3424</v>
      </c>
      <c r="C331" s="180">
        <v>3.91</v>
      </c>
      <c r="D331">
        <v>25</v>
      </c>
      <c r="E331" cm="1">
        <f t="array" aca="1" ref="E331" ca="1">SUMPRODUCT(SUMIF(INDIRECT("'"&amp;Assemblies[Assy]&amp;"'!"&amp;"C:C"),$A331,(INDIRECT("'"&amp;Assemblies[Assy]&amp;"'!"&amp;"O:O"))))</f>
        <v>28</v>
      </c>
      <c r="F331">
        <f ca="1">ROUNDUP(Purchased[[#This Row],[BOM QTY]]/Purchased[[#This Row],[PK QTY]], 0)</f>
        <v>2</v>
      </c>
      <c r="G331">
        <v>2</v>
      </c>
      <c r="H331" t="str">
        <f ca="1">IF(F331&lt;=G331," ","YES")</f>
        <v xml:space="preserve"> </v>
      </c>
      <c r="I331">
        <v>2</v>
      </c>
      <c r="J331">
        <v>2</v>
      </c>
      <c r="K331" t="s">
        <v>3313</v>
      </c>
      <c r="L331" t="s">
        <v>3313</v>
      </c>
      <c r="N331" s="40">
        <v>45526</v>
      </c>
      <c r="O331" s="40">
        <v>45526</v>
      </c>
      <c r="R331">
        <v>55697</v>
      </c>
      <c r="S331" s="40" t="str" cm="1">
        <f t="array" aca="1" ref="S331" ca="1">TRIM(SUBSTITUTE(_xlfn.ARRAYTOTEXT(IFERROR(CONCATENATE(SUMIF(INDIRECT("'"&amp;Assemblies[Assy]&amp;"'!"&amp;"C$5:C1000"), $A331, INDIRECT("'"&amp;Assemblies[Assy]&amp;"'!"&amp;"O$5:O1000")), "x",Assemblies[Assy],".",IF(SUMIF(INDIRECT("'"&amp;Assemblies[Assy]&amp;"'!"&amp;"C$5:C1000"), $A331, INDIRECT("'"&amp;Assemblies[Assy]&amp;"'!"&amp;"A$5:A1000"))=0,NA(),SUMIF(INDIRECT("'"&amp;Assemblies[Assy]&amp;"'!"&amp;"C$5:C1000"), $A331, INDIRECT("'"&amp;Assemblies[Assy]&amp;"'!"&amp;"A$5:A1000")))),"")), " ,", ""))</f>
        <v>, 2x4.1.7.306, 14x4.1.8.306, 12x4.2.1.301,</v>
      </c>
    </row>
    <row r="332" spans="1:19" hidden="1" x14ac:dyDescent="0.25">
      <c r="A332" s="160" t="s">
        <v>1124</v>
      </c>
      <c r="B332" s="160" t="s">
        <v>3332</v>
      </c>
      <c r="C332" s="180">
        <v>14.29</v>
      </c>
      <c r="D332">
        <v>1</v>
      </c>
      <c r="E332" cm="1">
        <f t="array" aca="1" ref="E332" ca="1">SUMPRODUCT(SUMIF(INDIRECT("'"&amp;Assemblies[Assy]&amp;"'!"&amp;"C:C"),$A332,(INDIRECT("'"&amp;Assemblies[Assy]&amp;"'!"&amp;"O:O"))))</f>
        <v>3</v>
      </c>
      <c r="F332">
        <f ca="1">ROUNDUP(Purchased[[#This Row],[BOM QTY]]/Purchased[[#This Row],[PK QTY]], 0)</f>
        <v>3</v>
      </c>
      <c r="G332">
        <v>3</v>
      </c>
      <c r="H332" t="str">
        <f ca="1">IF(F332&lt;=G332," ","YES")</f>
        <v xml:space="preserve"> </v>
      </c>
      <c r="I332">
        <v>3</v>
      </c>
      <c r="J332">
        <v>3</v>
      </c>
      <c r="K332" t="s">
        <v>3313</v>
      </c>
      <c r="L332" t="s">
        <v>3313</v>
      </c>
      <c r="N332" s="40">
        <v>45481</v>
      </c>
      <c r="O332" s="40">
        <v>45481</v>
      </c>
      <c r="P332" s="40">
        <v>45482</v>
      </c>
      <c r="Q332" s="40">
        <v>45482</v>
      </c>
      <c r="R332">
        <v>55586</v>
      </c>
      <c r="S332" s="40" t="str" cm="1">
        <f t="array" aca="1" ref="S332" ca="1">TRIM(SUBSTITUTE(_xlfn.ARRAYTOTEXT(IFERROR(CONCATENATE(SUMIF(INDIRECT("'"&amp;Assemblies[Assy]&amp;"'!"&amp;"C$5:C1000"), $A332, INDIRECT("'"&amp;Assemblies[Assy]&amp;"'!"&amp;"O$5:O1000")), "x",Assemblies[Assy],".",IF(SUMIF(INDIRECT("'"&amp;Assemblies[Assy]&amp;"'!"&amp;"C$5:C1000"), $A332, INDIRECT("'"&amp;Assemblies[Assy]&amp;"'!"&amp;"A$5:A1000"))=0,NA(),SUMIF(INDIRECT("'"&amp;Assemblies[Assy]&amp;"'!"&amp;"C$5:C1000"), $A332, INDIRECT("'"&amp;Assemblies[Assy]&amp;"'!"&amp;"A$5:A1000")))),"")), " ,", ""))</f>
        <v>, 3x7.1.1.304,</v>
      </c>
    </row>
    <row r="333" spans="1:19" hidden="1" x14ac:dyDescent="0.25">
      <c r="A333" s="162" t="s">
        <v>166</v>
      </c>
      <c r="B333" s="160" t="s">
        <v>3382</v>
      </c>
      <c r="C333" s="180">
        <v>10.3</v>
      </c>
      <c r="D333">
        <v>25</v>
      </c>
      <c r="E333" cm="1">
        <f t="array" aca="1" ref="E333" ca="1">SUMPRODUCT(SUMIF(INDIRECT("'"&amp;Assemblies[Assy]&amp;"'!"&amp;"C:C"),$A333,(INDIRECT("'"&amp;Assemblies[Assy]&amp;"'!"&amp;"O:O"))))</f>
        <v>63</v>
      </c>
      <c r="F333">
        <f ca="1">ROUNDUP(Purchased[[#This Row],[BOM QTY]]/Purchased[[#This Row],[PK QTY]], 0)</f>
        <v>3</v>
      </c>
      <c r="G333">
        <v>4</v>
      </c>
      <c r="H333" t="str">
        <f ca="1">IF(F333&lt;=G333," ","YES")</f>
        <v xml:space="preserve"> </v>
      </c>
      <c r="I333">
        <v>4</v>
      </c>
      <c r="J333">
        <v>3</v>
      </c>
      <c r="K333" t="s">
        <v>3313</v>
      </c>
      <c r="L333" t="s">
        <v>3313</v>
      </c>
      <c r="N333" s="40">
        <v>45503</v>
      </c>
      <c r="O333" s="40">
        <v>45503</v>
      </c>
      <c r="P333" s="40">
        <v>45504</v>
      </c>
      <c r="Q333" s="40">
        <v>45504</v>
      </c>
      <c r="R333">
        <v>55640</v>
      </c>
      <c r="S333" s="40" t="str" cm="1">
        <f t="array" aca="1" ref="S333" ca="1">TRIM(SUBSTITUTE(_xlfn.ARRAYTOTEXT(IFERROR(CONCATENATE(SUMIF(INDIRECT("'"&amp;Assemblies[Assy]&amp;"'!"&amp;"C$5:C1000"), $A333, INDIRECT("'"&amp;Assemblies[Assy]&amp;"'!"&amp;"O$5:O1000")), "x",Assemblies[Assy],".",IF(SUMIF(INDIRECT("'"&amp;Assemblies[Assy]&amp;"'!"&amp;"C$5:C1000"), $A333, INDIRECT("'"&amp;Assemblies[Assy]&amp;"'!"&amp;"A$5:A1000"))=0,NA(),SUMIF(INDIRECT("'"&amp;Assemblies[Assy]&amp;"'!"&amp;"C$5:C1000"), $A333, INDIRECT("'"&amp;Assemblies[Assy]&amp;"'!"&amp;"A$5:A1000")))),"")), " ,", ""))</f>
        <v>, 38x1.1.1.303, 24x5.1.1.302, 1x10.1.12.302,</v>
      </c>
    </row>
    <row r="334" spans="1:19" hidden="1" x14ac:dyDescent="0.25">
      <c r="A334" s="162" t="s">
        <v>213</v>
      </c>
      <c r="B334" s="160" t="s">
        <v>3314</v>
      </c>
      <c r="C334" s="180">
        <v>34.64</v>
      </c>
      <c r="D334">
        <v>1</v>
      </c>
      <c r="E334" cm="1">
        <f t="array" aca="1" ref="E334" ca="1">SUMPRODUCT(SUMIF(INDIRECT("'"&amp;Assemblies[Assy]&amp;"'!"&amp;"C:C"),$A334,(INDIRECT("'"&amp;Assemblies[Assy]&amp;"'!"&amp;"O:O"))))</f>
        <v>4</v>
      </c>
      <c r="F334">
        <f ca="1">ROUNDUP(Purchased[[#This Row],[BOM QTY]]/Purchased[[#This Row],[PK QTY]], 0)</f>
        <v>4</v>
      </c>
      <c r="G334">
        <v>4</v>
      </c>
      <c r="H334" t="str">
        <f ca="1">IF(F334&lt;=G334," ","YES")</f>
        <v xml:space="preserve"> </v>
      </c>
      <c r="I334">
        <v>4</v>
      </c>
      <c r="J334">
        <v>4</v>
      </c>
      <c r="K334" s="160" t="s">
        <v>3313</v>
      </c>
      <c r="L334" t="s">
        <v>3313</v>
      </c>
      <c r="N334" s="40">
        <v>45460</v>
      </c>
      <c r="O334" s="40">
        <v>45460</v>
      </c>
      <c r="P334" s="40">
        <v>45462</v>
      </c>
      <c r="Q334" s="40">
        <v>45462</v>
      </c>
      <c r="R334">
        <v>55556</v>
      </c>
      <c r="S334" s="40" t="str" cm="1">
        <f t="array" aca="1" ref="S334" ca="1">TRIM(SUBSTITUTE(_xlfn.ARRAYTOTEXT(IFERROR(CONCATENATE(SUMIF(INDIRECT("'"&amp;Assemblies[Assy]&amp;"'!"&amp;"C$5:C1000"), $A334, INDIRECT("'"&amp;Assemblies[Assy]&amp;"'!"&amp;"O$5:O1000")), "x",Assemblies[Assy],".",IF(SUMIF(INDIRECT("'"&amp;Assemblies[Assy]&amp;"'!"&amp;"C$5:C1000"), $A334, INDIRECT("'"&amp;Assemblies[Assy]&amp;"'!"&amp;"A$5:A1000"))=0,NA(),SUMIF(INDIRECT("'"&amp;Assemblies[Assy]&amp;"'!"&amp;"C$5:C1000"), $A334, INDIRECT("'"&amp;Assemblies[Assy]&amp;"'!"&amp;"A$5:A1000")))),"")), " ,", ""))</f>
        <v>, 4x1.1.8.304,</v>
      </c>
    </row>
    <row r="335" spans="1:19" hidden="1" x14ac:dyDescent="0.25">
      <c r="A335" s="162" t="s">
        <v>216</v>
      </c>
      <c r="B335" s="160" t="s">
        <v>3315</v>
      </c>
      <c r="C335" s="180">
        <v>33.130000000000003</v>
      </c>
      <c r="D335">
        <v>1</v>
      </c>
      <c r="E335" cm="1">
        <f t="array" aca="1" ref="E335" ca="1">SUMPRODUCT(SUMIF(INDIRECT("'"&amp;Assemblies[Assy]&amp;"'!"&amp;"C:C"),$A335,(INDIRECT("'"&amp;Assemblies[Assy]&amp;"'!"&amp;"O:O"))))</f>
        <v>4</v>
      </c>
      <c r="F335">
        <f ca="1">ROUNDUP(Purchased[[#This Row],[BOM QTY]]/Purchased[[#This Row],[PK QTY]], 0)</f>
        <v>4</v>
      </c>
      <c r="G335">
        <v>4</v>
      </c>
      <c r="H335" t="str">
        <f ca="1">IF(F335&lt;=G335," ","YES")</f>
        <v xml:space="preserve"> </v>
      </c>
      <c r="I335">
        <v>4</v>
      </c>
      <c r="J335">
        <v>4</v>
      </c>
      <c r="K335" t="s">
        <v>3313</v>
      </c>
      <c r="L335" t="s">
        <v>3313</v>
      </c>
      <c r="N335" s="40">
        <v>45460</v>
      </c>
      <c r="O335" s="40">
        <v>45460</v>
      </c>
      <c r="P335" s="40">
        <v>45462</v>
      </c>
      <c r="Q335" s="40">
        <v>45462</v>
      </c>
      <c r="R335">
        <v>55556</v>
      </c>
      <c r="S335" s="40" t="str" cm="1">
        <f t="array" aca="1" ref="S335" ca="1">TRIM(SUBSTITUTE(_xlfn.ARRAYTOTEXT(IFERROR(CONCATENATE(SUMIF(INDIRECT("'"&amp;Assemblies[Assy]&amp;"'!"&amp;"C$5:C1000"), $A335, INDIRECT("'"&amp;Assemblies[Assy]&amp;"'!"&amp;"O$5:O1000")), "x",Assemblies[Assy],".",IF(SUMIF(INDIRECT("'"&amp;Assemblies[Assy]&amp;"'!"&amp;"C$5:C1000"), $A335, INDIRECT("'"&amp;Assemblies[Assy]&amp;"'!"&amp;"A$5:A1000"))=0,NA(),SUMIF(INDIRECT("'"&amp;Assemblies[Assy]&amp;"'!"&amp;"C$5:C1000"), $A335, INDIRECT("'"&amp;Assemblies[Assy]&amp;"'!"&amp;"A$5:A1000")))),"")), " ,", ""))</f>
        <v>, 4x1.1.8.307,</v>
      </c>
    </row>
    <row r="336" spans="1:19" hidden="1" x14ac:dyDescent="0.25">
      <c r="A336" s="162" t="s">
        <v>322</v>
      </c>
      <c r="B336" s="160" t="s">
        <v>3316</v>
      </c>
      <c r="C336" s="180">
        <v>7.28</v>
      </c>
      <c r="D336">
        <v>5</v>
      </c>
      <c r="E336" cm="1">
        <f t="array" aca="1" ref="E336" ca="1">SUMPRODUCT(SUMIF(INDIRECT("'"&amp;Assemblies[Assy]&amp;"'!"&amp;"C:C"),$A336,(INDIRECT("'"&amp;Assemblies[Assy]&amp;"'!"&amp;"O:O"))))</f>
        <v>20</v>
      </c>
      <c r="F336">
        <f ca="1">ROUNDUP(Purchased[[#This Row],[BOM QTY]]/Purchased[[#This Row],[PK QTY]], 0)</f>
        <v>4</v>
      </c>
      <c r="G336">
        <v>4</v>
      </c>
      <c r="H336" t="str">
        <f ca="1">IF(F336&lt;=G336," ","YES")</f>
        <v xml:space="preserve"> </v>
      </c>
      <c r="I336">
        <v>4</v>
      </c>
      <c r="J336">
        <v>4</v>
      </c>
      <c r="K336" t="s">
        <v>3313</v>
      </c>
      <c r="L336" t="s">
        <v>3313</v>
      </c>
      <c r="N336" s="40">
        <v>45460</v>
      </c>
      <c r="O336" s="40">
        <v>45460</v>
      </c>
      <c r="P336" s="40">
        <v>45462</v>
      </c>
      <c r="Q336" s="40">
        <v>45462</v>
      </c>
      <c r="R336">
        <v>55556</v>
      </c>
      <c r="S336" s="40" t="str" cm="1">
        <f t="array" aca="1" ref="S336" ca="1">TRIM(SUBSTITUTE(_xlfn.ARRAYTOTEXT(IFERROR(CONCATENATE(SUMIF(INDIRECT("'"&amp;Assemblies[Assy]&amp;"'!"&amp;"C$5:C1000"), $A336, INDIRECT("'"&amp;Assemblies[Assy]&amp;"'!"&amp;"O$5:O1000")), "x",Assemblies[Assy],".",IF(SUMIF(INDIRECT("'"&amp;Assemblies[Assy]&amp;"'!"&amp;"C$5:C1000"), $A336, INDIRECT("'"&amp;Assemblies[Assy]&amp;"'!"&amp;"A$5:A1000"))=0,NA(),SUMIF(INDIRECT("'"&amp;Assemblies[Assy]&amp;"'!"&amp;"C$5:C1000"), $A336, INDIRECT("'"&amp;Assemblies[Assy]&amp;"'!"&amp;"A$5:A1000")))),"")), " ,", ""))</f>
        <v>, 20x1.3.2.303,</v>
      </c>
    </row>
    <row r="337" spans="1:19" hidden="1" x14ac:dyDescent="0.25">
      <c r="A337" s="162" t="s">
        <v>214</v>
      </c>
      <c r="B337" s="160" t="s">
        <v>3317</v>
      </c>
      <c r="C337" s="180">
        <v>11.97</v>
      </c>
      <c r="D337">
        <v>1</v>
      </c>
      <c r="E337" cm="1">
        <f t="array" aca="1" ref="E337" ca="1">SUMPRODUCT(SUMIF(INDIRECT("'"&amp;Assemblies[Assy]&amp;"'!"&amp;"C:C"),$A337,(INDIRECT("'"&amp;Assemblies[Assy]&amp;"'!"&amp;"O:O"))))</f>
        <v>4</v>
      </c>
      <c r="F337">
        <f ca="1">ROUNDUP(Purchased[[#This Row],[BOM QTY]]/Purchased[[#This Row],[PK QTY]], 0)</f>
        <v>4</v>
      </c>
      <c r="G337">
        <v>4</v>
      </c>
      <c r="H337" t="str">
        <f ca="1">IF(F337&lt;=G337," ","YES")</f>
        <v xml:space="preserve"> </v>
      </c>
      <c r="I337">
        <v>4</v>
      </c>
      <c r="J337">
        <v>4</v>
      </c>
      <c r="K337" t="s">
        <v>3313</v>
      </c>
      <c r="L337" t="s">
        <v>3313</v>
      </c>
      <c r="N337" s="40">
        <v>45460</v>
      </c>
      <c r="O337" s="40">
        <v>45460</v>
      </c>
      <c r="P337" s="40">
        <v>45462</v>
      </c>
      <c r="Q337" s="40">
        <v>45462</v>
      </c>
      <c r="R337">
        <v>55556</v>
      </c>
      <c r="S337" s="40" t="str" cm="1">
        <f t="array" aca="1" ref="S337" ca="1">TRIM(SUBSTITUTE(_xlfn.ARRAYTOTEXT(IFERROR(CONCATENATE(SUMIF(INDIRECT("'"&amp;Assemblies[Assy]&amp;"'!"&amp;"C$5:C1000"), $A337, INDIRECT("'"&amp;Assemblies[Assy]&amp;"'!"&amp;"O$5:O1000")), "x",Assemblies[Assy],".",IF(SUMIF(INDIRECT("'"&amp;Assemblies[Assy]&amp;"'!"&amp;"C$5:C1000"), $A337, INDIRECT("'"&amp;Assemblies[Assy]&amp;"'!"&amp;"A$5:A1000"))=0,NA(),SUMIF(INDIRECT("'"&amp;Assemblies[Assy]&amp;"'!"&amp;"C$5:C1000"), $A337, INDIRECT("'"&amp;Assemblies[Assy]&amp;"'!"&amp;"A$5:A1000")))),"")), " ,", ""))</f>
        <v>, 4x1.1.8.305,</v>
      </c>
    </row>
    <row r="338" spans="1:19" hidden="1" x14ac:dyDescent="0.25">
      <c r="A338" s="162" t="s">
        <v>183</v>
      </c>
      <c r="B338" s="160" t="s">
        <v>3321</v>
      </c>
      <c r="C338" s="180">
        <v>4.07</v>
      </c>
      <c r="D338">
        <v>1</v>
      </c>
      <c r="E338" cm="1">
        <f t="array" aca="1" ref="E338" ca="1">SUMPRODUCT(SUMIF(INDIRECT("'"&amp;Assemblies[Assy]&amp;"'!"&amp;"C:C"),$A338,(INDIRECT("'"&amp;Assemblies[Assy]&amp;"'!"&amp;"O:O"))))</f>
        <v>4</v>
      </c>
      <c r="F338">
        <f ca="1">ROUNDUP(Purchased[[#This Row],[BOM QTY]]/Purchased[[#This Row],[PK QTY]], 0)</f>
        <v>4</v>
      </c>
      <c r="G338">
        <v>4</v>
      </c>
      <c r="H338" t="str">
        <f ca="1">IF(F338&lt;=G338," ","YES")</f>
        <v xml:space="preserve"> </v>
      </c>
      <c r="I338">
        <v>4</v>
      </c>
      <c r="J338">
        <v>4</v>
      </c>
      <c r="K338" s="160" t="s">
        <v>3313</v>
      </c>
      <c r="L338" t="s">
        <v>3313</v>
      </c>
      <c r="N338" s="40">
        <v>45460</v>
      </c>
      <c r="O338" s="40">
        <v>45460</v>
      </c>
      <c r="P338" s="40">
        <v>45462</v>
      </c>
      <c r="Q338" s="40">
        <v>45462</v>
      </c>
      <c r="R338">
        <v>55556</v>
      </c>
      <c r="S338" s="40" t="str" cm="1">
        <f t="array" aca="1" ref="S338" ca="1">TRIM(SUBSTITUTE(_xlfn.ARRAYTOTEXT(IFERROR(CONCATENATE(SUMIF(INDIRECT("'"&amp;Assemblies[Assy]&amp;"'!"&amp;"C$5:C1000"), $A338, INDIRECT("'"&amp;Assemblies[Assy]&amp;"'!"&amp;"O$5:O1000")), "x",Assemblies[Assy],".",IF(SUMIF(INDIRECT("'"&amp;Assemblies[Assy]&amp;"'!"&amp;"C$5:C1000"), $A338, INDIRECT("'"&amp;Assemblies[Assy]&amp;"'!"&amp;"A$5:A1000"))=0,NA(),SUMIF(INDIRECT("'"&amp;Assemblies[Assy]&amp;"'!"&amp;"C$5:C1000"), $A338, INDIRECT("'"&amp;Assemblies[Assy]&amp;"'!"&amp;"A$5:A1000")))),"")), " ,", ""))</f>
        <v>, 4x1.1.5.302,</v>
      </c>
    </row>
    <row r="339" spans="1:19" hidden="1" x14ac:dyDescent="0.25">
      <c r="A339" s="162" t="s">
        <v>298</v>
      </c>
      <c r="B339" s="160" t="s">
        <v>3322</v>
      </c>
      <c r="C339" s="180">
        <v>14.77</v>
      </c>
      <c r="D339">
        <v>5</v>
      </c>
      <c r="E339" cm="1">
        <f t="array" aca="1" ref="E339" ca="1">SUMPRODUCT(SUMIF(INDIRECT("'"&amp;Assemblies[Assy]&amp;"'!"&amp;"C:C"),$A339,(INDIRECT("'"&amp;Assemblies[Assy]&amp;"'!"&amp;"O:O"))))</f>
        <v>20</v>
      </c>
      <c r="F339">
        <f ca="1">ROUNDUP(Purchased[[#This Row],[BOM QTY]]/Purchased[[#This Row],[PK QTY]], 0)</f>
        <v>4</v>
      </c>
      <c r="G339">
        <v>4</v>
      </c>
      <c r="H339" t="str">
        <f ca="1">IF(F339&lt;=G339," ","YES")</f>
        <v xml:space="preserve"> </v>
      </c>
      <c r="I339">
        <v>4</v>
      </c>
      <c r="J339">
        <v>4</v>
      </c>
      <c r="K339" t="s">
        <v>3313</v>
      </c>
      <c r="L339" t="s">
        <v>3313</v>
      </c>
      <c r="N339" s="40">
        <v>45460</v>
      </c>
      <c r="O339" s="40">
        <v>45460</v>
      </c>
      <c r="P339" s="40">
        <v>45462</v>
      </c>
      <c r="Q339" s="40">
        <v>45462</v>
      </c>
      <c r="R339">
        <v>55556</v>
      </c>
      <c r="S339" s="40" t="str" cm="1">
        <f t="array" aca="1" ref="S339" ca="1">TRIM(SUBSTITUTE(_xlfn.ARRAYTOTEXT(IFERROR(CONCATENATE(SUMIF(INDIRECT("'"&amp;Assemblies[Assy]&amp;"'!"&amp;"C$5:C1000"), $A339, INDIRECT("'"&amp;Assemblies[Assy]&amp;"'!"&amp;"O$5:O1000")), "x",Assemblies[Assy],".",IF(SUMIF(INDIRECT("'"&amp;Assemblies[Assy]&amp;"'!"&amp;"C$5:C1000"), $A339, INDIRECT("'"&amp;Assemblies[Assy]&amp;"'!"&amp;"A$5:A1000"))=0,NA(),SUMIF(INDIRECT("'"&amp;Assemblies[Assy]&amp;"'!"&amp;"C$5:C1000"), $A339, INDIRECT("'"&amp;Assemblies[Assy]&amp;"'!"&amp;"A$5:A1000")))),"")), " ,", ""))</f>
        <v>, 8x1.3.306, 12x2.3.308,</v>
      </c>
    </row>
    <row r="340" spans="1:19" hidden="1" x14ac:dyDescent="0.25">
      <c r="A340" s="162" t="s">
        <v>212</v>
      </c>
      <c r="B340" s="160" t="s">
        <v>3325</v>
      </c>
      <c r="C340" s="180">
        <v>2.41</v>
      </c>
      <c r="D340">
        <v>1</v>
      </c>
      <c r="E340" cm="1">
        <f t="array" aca="1" ref="E340" ca="1">SUMPRODUCT(SUMIF(INDIRECT("'"&amp;Assemblies[Assy]&amp;"'!"&amp;"C:C"),$A340,(INDIRECT("'"&amp;Assemblies[Assy]&amp;"'!"&amp;"O:O"))))</f>
        <v>4</v>
      </c>
      <c r="F340">
        <f ca="1">ROUNDUP(Purchased[[#This Row],[BOM QTY]]/Purchased[[#This Row],[PK QTY]], 0)</f>
        <v>4</v>
      </c>
      <c r="G340">
        <v>4</v>
      </c>
      <c r="H340" t="str">
        <f ca="1">IF(F340&lt;=G340," ","YES")</f>
        <v xml:space="preserve"> </v>
      </c>
      <c r="I340">
        <v>4</v>
      </c>
      <c r="J340">
        <v>4</v>
      </c>
      <c r="K340" s="160" t="s">
        <v>3313</v>
      </c>
      <c r="L340" t="s">
        <v>3313</v>
      </c>
      <c r="N340" s="40">
        <v>45460</v>
      </c>
      <c r="O340" s="40">
        <v>45460</v>
      </c>
      <c r="P340" s="40">
        <v>45462</v>
      </c>
      <c r="Q340" s="40">
        <v>45462</v>
      </c>
      <c r="R340">
        <v>55556</v>
      </c>
      <c r="S340" s="40" t="str" cm="1">
        <f t="array" aca="1" ref="S340" ca="1">TRIM(SUBSTITUTE(_xlfn.ARRAYTOTEXT(IFERROR(CONCATENATE(SUMIF(INDIRECT("'"&amp;Assemblies[Assy]&amp;"'!"&amp;"C$5:C1000"), $A340, INDIRECT("'"&amp;Assemblies[Assy]&amp;"'!"&amp;"O$5:O1000")), "x",Assemblies[Assy],".",IF(SUMIF(INDIRECT("'"&amp;Assemblies[Assy]&amp;"'!"&amp;"C$5:C1000"), $A340, INDIRECT("'"&amp;Assemblies[Assy]&amp;"'!"&amp;"A$5:A1000"))=0,NA(),SUMIF(INDIRECT("'"&amp;Assemblies[Assy]&amp;"'!"&amp;"C$5:C1000"), $A340, INDIRECT("'"&amp;Assemblies[Assy]&amp;"'!"&amp;"A$5:A1000")))),"")), " ,", ""))</f>
        <v>, 4x1.1.8.303,</v>
      </c>
    </row>
    <row r="341" spans="1:19" hidden="1" x14ac:dyDescent="0.25">
      <c r="A341" s="162" t="s">
        <v>300</v>
      </c>
      <c r="B341" s="160" t="s">
        <v>3326</v>
      </c>
      <c r="C341" s="180">
        <v>12.91</v>
      </c>
      <c r="D341">
        <v>10</v>
      </c>
      <c r="E341" cm="1">
        <f t="array" aca="1" ref="E341" ca="1">SUMPRODUCT(SUMIF(INDIRECT("'"&amp;Assemblies[Assy]&amp;"'!"&amp;"C:C"),$A341,(INDIRECT("'"&amp;Assemblies[Assy]&amp;"'!"&amp;"O:O"))))</f>
        <v>76</v>
      </c>
      <c r="F341">
        <f ca="1">ROUNDUP(Purchased[[#This Row],[BOM QTY]]/Purchased[[#This Row],[PK QTY]], 0)</f>
        <v>8</v>
      </c>
      <c r="G341">
        <v>8</v>
      </c>
      <c r="H341" t="str">
        <f ca="1">IF(F341&lt;=G341," ","YES")</f>
        <v xml:space="preserve"> </v>
      </c>
      <c r="I341">
        <v>4</v>
      </c>
      <c r="J341">
        <v>4</v>
      </c>
      <c r="K341" t="s">
        <v>3313</v>
      </c>
      <c r="L341" t="s">
        <v>3313</v>
      </c>
      <c r="M341" t="s">
        <v>3327</v>
      </c>
      <c r="N341" s="40">
        <v>45460</v>
      </c>
      <c r="O341" s="40">
        <v>45460</v>
      </c>
      <c r="P341" s="40">
        <v>45462</v>
      </c>
      <c r="Q341" s="40">
        <v>45462</v>
      </c>
      <c r="R341">
        <v>55556</v>
      </c>
      <c r="S341" s="40" t="str" cm="1">
        <f t="array" aca="1" ref="S341" ca="1">TRIM(SUBSTITUTE(_xlfn.ARRAYTOTEXT(IFERROR(CONCATENATE(SUMIF(INDIRECT("'"&amp;Assemblies[Assy]&amp;"'!"&amp;"C$5:C1000"), $A341, INDIRECT("'"&amp;Assemblies[Assy]&amp;"'!"&amp;"O$5:O1000")), "x",Assemblies[Assy],".",IF(SUMIF(INDIRECT("'"&amp;Assemblies[Assy]&amp;"'!"&amp;"C$5:C1000"), $A341, INDIRECT("'"&amp;Assemblies[Assy]&amp;"'!"&amp;"A$5:A1000"))=0,NA(),SUMIF(INDIRECT("'"&amp;Assemblies[Assy]&amp;"'!"&amp;"C$5:C1000"), $A341, INDIRECT("'"&amp;Assemblies[Assy]&amp;"'!"&amp;"A$5:A1000")))),"")), " ,", ""))</f>
        <v>, 16x1.3.308, 4x2.1.2.301, 24x2.3.310, 4x3.1.2.302, 4x4.1.2.301, 4x4.1.4.301, 4x4.1.5.301, 4x5.3.335, 8x6.10.304, 4x10.2.306,</v>
      </c>
    </row>
    <row r="342" spans="1:19" hidden="1" x14ac:dyDescent="0.25">
      <c r="A342" s="161" t="s">
        <v>1305</v>
      </c>
      <c r="B342" s="160" t="s">
        <v>3340</v>
      </c>
      <c r="C342" s="180">
        <v>3.8</v>
      </c>
      <c r="D342">
        <v>1</v>
      </c>
      <c r="E342" cm="1">
        <f t="array" aca="1" ref="E342" ca="1">SUMPRODUCT(SUMIF(INDIRECT("'"&amp;Assemblies[Assy]&amp;"'!"&amp;"C:C"),$A342,(INDIRECT("'"&amp;Assemblies[Assy]&amp;"'!"&amp;"O:O"))))</f>
        <v>4</v>
      </c>
      <c r="F342">
        <f ca="1">ROUNDUP(Purchased[[#This Row],[BOM QTY]]/Purchased[[#This Row],[PK QTY]], 0)</f>
        <v>4</v>
      </c>
      <c r="G342">
        <v>4</v>
      </c>
      <c r="H342" t="str">
        <f ca="1">IF(F342&lt;=G342," ","YES")</f>
        <v xml:space="preserve"> </v>
      </c>
      <c r="I342">
        <v>4</v>
      </c>
      <c r="J342">
        <v>4</v>
      </c>
      <c r="K342" t="s">
        <v>3313</v>
      </c>
      <c r="L342" t="s">
        <v>3313</v>
      </c>
      <c r="N342" s="40">
        <v>45481</v>
      </c>
      <c r="O342" s="40">
        <v>45481</v>
      </c>
      <c r="P342" s="40">
        <v>45482</v>
      </c>
      <c r="Q342" s="40">
        <v>45482</v>
      </c>
      <c r="R342">
        <v>55586</v>
      </c>
      <c r="S342" s="40" t="str" cm="1">
        <f t="array" aca="1" ref="S342" ca="1">TRIM(SUBSTITUTE(_xlfn.ARRAYTOTEXT(IFERROR(CONCATENATE(SUMIF(INDIRECT("'"&amp;Assemblies[Assy]&amp;"'!"&amp;"C$5:C1000"), $A342, INDIRECT("'"&amp;Assemblies[Assy]&amp;"'!"&amp;"O$5:O1000")), "x",Assemblies[Assy],".",IF(SUMIF(INDIRECT("'"&amp;Assemblies[Assy]&amp;"'!"&amp;"C$5:C1000"), $A342, INDIRECT("'"&amp;Assemblies[Assy]&amp;"'!"&amp;"A$5:A1000"))=0,NA(),SUMIF(INDIRECT("'"&amp;Assemblies[Assy]&amp;"'!"&amp;"C$5:C1000"), $A342, INDIRECT("'"&amp;Assemblies[Assy]&amp;"'!"&amp;"A$5:A1000")))),"")), " ,", ""))</f>
        <v>, 4x9.5.307,</v>
      </c>
    </row>
    <row r="343" spans="1:19" hidden="1" x14ac:dyDescent="0.25">
      <c r="A343" s="160" t="s">
        <v>928</v>
      </c>
      <c r="B343" s="160" t="s">
        <v>3342</v>
      </c>
      <c r="C343" s="180">
        <v>108.8</v>
      </c>
      <c r="D343">
        <v>1</v>
      </c>
      <c r="E343" cm="1">
        <f t="array" aca="1" ref="E343" ca="1">SUMPRODUCT(SUMIF(INDIRECT("'"&amp;Assemblies[Assy]&amp;"'!"&amp;"C:C"),$A343,(INDIRECT("'"&amp;Assemblies[Assy]&amp;"'!"&amp;"O:O"))))</f>
        <v>4</v>
      </c>
      <c r="F343">
        <f ca="1">ROUNDUP(Purchased[[#This Row],[BOM QTY]]/Purchased[[#This Row],[PK QTY]], 0)</f>
        <v>4</v>
      </c>
      <c r="G343">
        <v>4</v>
      </c>
      <c r="H343" t="str">
        <f ca="1">IF(F343&lt;=G343," ","YES")</f>
        <v xml:space="preserve"> </v>
      </c>
      <c r="I343">
        <v>4</v>
      </c>
      <c r="J343">
        <v>4</v>
      </c>
      <c r="K343" t="s">
        <v>3313</v>
      </c>
      <c r="L343" t="s">
        <v>3313</v>
      </c>
      <c r="N343" s="40">
        <v>45481</v>
      </c>
      <c r="O343" s="40">
        <v>45481</v>
      </c>
      <c r="P343" s="40">
        <v>45482</v>
      </c>
      <c r="Q343" s="40">
        <v>45482</v>
      </c>
      <c r="R343">
        <v>55586</v>
      </c>
      <c r="S343" s="40" t="str" cm="1">
        <f t="array" aca="1" ref="S343" ca="1">TRIM(SUBSTITUTE(_xlfn.ARRAYTOTEXT(IFERROR(CONCATENATE(SUMIF(INDIRECT("'"&amp;Assemblies[Assy]&amp;"'!"&amp;"C$5:C1000"), $A343, INDIRECT("'"&amp;Assemblies[Assy]&amp;"'!"&amp;"O$5:O1000")), "x",Assemblies[Assy],".",IF(SUMIF(INDIRECT("'"&amp;Assemblies[Assy]&amp;"'!"&amp;"C$5:C1000"), $A343, INDIRECT("'"&amp;Assemblies[Assy]&amp;"'!"&amp;"A$5:A1000"))=0,NA(),SUMIF(INDIRECT("'"&amp;Assemblies[Assy]&amp;"'!"&amp;"C$5:C1000"), $A343, INDIRECT("'"&amp;Assemblies[Assy]&amp;"'!"&amp;"A$5:A1000")))),"")), " ,", ""))</f>
        <v>, 2x6.2.1.301, 2x6.3.1.301,</v>
      </c>
    </row>
    <row r="344" spans="1:19" hidden="1" x14ac:dyDescent="0.25">
      <c r="A344" s="161" t="s">
        <v>1302</v>
      </c>
      <c r="B344" s="160" t="s">
        <v>3346</v>
      </c>
      <c r="C344" s="180">
        <v>16.5</v>
      </c>
      <c r="D344">
        <v>1</v>
      </c>
      <c r="E344" cm="1">
        <f t="array" aca="1" ref="E344" ca="1">SUMPRODUCT(SUMIF(INDIRECT("'"&amp;Assemblies[Assy]&amp;"'!"&amp;"C:C"),$A344,(INDIRECT("'"&amp;Assemblies[Assy]&amp;"'!"&amp;"O:O"))))</f>
        <v>4</v>
      </c>
      <c r="F344">
        <f ca="1">ROUNDUP(Purchased[[#This Row],[BOM QTY]]/Purchased[[#This Row],[PK QTY]], 0)</f>
        <v>4</v>
      </c>
      <c r="G344">
        <v>4</v>
      </c>
      <c r="H344" t="str">
        <f ca="1">IF(F344&lt;=G344," ","YES")</f>
        <v xml:space="preserve"> </v>
      </c>
      <c r="I344">
        <v>4</v>
      </c>
      <c r="J344">
        <v>4</v>
      </c>
      <c r="K344" t="s">
        <v>3313</v>
      </c>
      <c r="L344" t="s">
        <v>3313</v>
      </c>
      <c r="N344" s="40">
        <v>45481</v>
      </c>
      <c r="O344" s="40">
        <v>45481</v>
      </c>
      <c r="P344" s="40">
        <v>45482</v>
      </c>
      <c r="Q344" s="40">
        <v>45482</v>
      </c>
      <c r="R344">
        <v>55586</v>
      </c>
      <c r="S344" s="40" t="str" cm="1">
        <f t="array" aca="1" ref="S344" ca="1">TRIM(SUBSTITUTE(_xlfn.ARRAYTOTEXT(IFERROR(CONCATENATE(SUMIF(INDIRECT("'"&amp;Assemblies[Assy]&amp;"'!"&amp;"C$5:C1000"), $A344, INDIRECT("'"&amp;Assemblies[Assy]&amp;"'!"&amp;"O$5:O1000")), "x",Assemblies[Assy],".",IF(SUMIF(INDIRECT("'"&amp;Assemblies[Assy]&amp;"'!"&amp;"C$5:C1000"), $A344, INDIRECT("'"&amp;Assemblies[Assy]&amp;"'!"&amp;"A$5:A1000"))=0,NA(),SUMIF(INDIRECT("'"&amp;Assemblies[Assy]&amp;"'!"&amp;"C$5:C1000"), $A344, INDIRECT("'"&amp;Assemblies[Assy]&amp;"'!"&amp;"A$5:A1000")))),"")), " ,", ""))</f>
        <v>, 4x9.5.303,</v>
      </c>
    </row>
    <row r="345" spans="1:19" hidden="1" x14ac:dyDescent="0.25">
      <c r="A345" s="161" t="s">
        <v>1303</v>
      </c>
      <c r="B345" s="160" t="s">
        <v>3347</v>
      </c>
      <c r="C345" s="180">
        <v>13.02</v>
      </c>
      <c r="D345">
        <v>1</v>
      </c>
      <c r="E345" cm="1">
        <f t="array" aca="1" ref="E345" ca="1">SUMPRODUCT(SUMIF(INDIRECT("'"&amp;Assemblies[Assy]&amp;"'!"&amp;"C:C"),$A345,(INDIRECT("'"&amp;Assemblies[Assy]&amp;"'!"&amp;"O:O"))))</f>
        <v>4</v>
      </c>
      <c r="F345">
        <f ca="1">ROUNDUP(Purchased[[#This Row],[BOM QTY]]/Purchased[[#This Row],[PK QTY]], 0)</f>
        <v>4</v>
      </c>
      <c r="G345">
        <v>4</v>
      </c>
      <c r="H345" t="str">
        <f ca="1">IF(F345&lt;=G345," ","YES")</f>
        <v xml:space="preserve"> </v>
      </c>
      <c r="I345">
        <v>4</v>
      </c>
      <c r="J345">
        <v>4</v>
      </c>
      <c r="K345" t="s">
        <v>3313</v>
      </c>
      <c r="L345" t="s">
        <v>3313</v>
      </c>
      <c r="N345" s="40">
        <v>45481</v>
      </c>
      <c r="O345" s="40">
        <v>45481</v>
      </c>
      <c r="P345" s="40">
        <v>45482</v>
      </c>
      <c r="Q345" s="40">
        <v>45482</v>
      </c>
      <c r="R345">
        <v>55586</v>
      </c>
      <c r="S345" s="40" t="str" cm="1">
        <f t="array" aca="1" ref="S345" ca="1">TRIM(SUBSTITUTE(_xlfn.ARRAYTOTEXT(IFERROR(CONCATENATE(SUMIF(INDIRECT("'"&amp;Assemblies[Assy]&amp;"'!"&amp;"C$5:C1000"), $A345, INDIRECT("'"&amp;Assemblies[Assy]&amp;"'!"&amp;"O$5:O1000")), "x",Assemblies[Assy],".",IF(SUMIF(INDIRECT("'"&amp;Assemblies[Assy]&amp;"'!"&amp;"C$5:C1000"), $A345, INDIRECT("'"&amp;Assemblies[Assy]&amp;"'!"&amp;"A$5:A1000"))=0,NA(),SUMIF(INDIRECT("'"&amp;Assemblies[Assy]&amp;"'!"&amp;"C$5:C1000"), $A345, INDIRECT("'"&amp;Assemblies[Assy]&amp;"'!"&amp;"A$5:A1000")))),"")), " ,", ""))</f>
        <v>, 4x9.5.304,</v>
      </c>
    </row>
    <row r="346" spans="1:19" hidden="1" x14ac:dyDescent="0.25">
      <c r="A346" s="160" t="s">
        <v>610</v>
      </c>
      <c r="B346" s="160" t="s">
        <v>3357</v>
      </c>
      <c r="C346" s="180">
        <v>4.97</v>
      </c>
      <c r="D346">
        <v>1</v>
      </c>
      <c r="E346" cm="1">
        <f t="array" aca="1" ref="E346" ca="1">SUMPRODUCT(SUMIF(INDIRECT("'"&amp;Assemblies[Assy]&amp;"'!"&amp;"C:C"),$A346,(INDIRECT("'"&amp;Assemblies[Assy]&amp;"'!"&amp;"O:O"))))</f>
        <v>6</v>
      </c>
      <c r="F346">
        <f ca="1">ROUNDUP(Purchased[[#This Row],[BOM QTY]]/Purchased[[#This Row],[PK QTY]], 0)</f>
        <v>6</v>
      </c>
      <c r="G346">
        <v>6</v>
      </c>
      <c r="H346" t="str">
        <f ca="1">IF(F346&lt;=G346," ","YES")</f>
        <v xml:space="preserve"> </v>
      </c>
      <c r="I346">
        <v>4</v>
      </c>
      <c r="J346">
        <v>4</v>
      </c>
      <c r="K346" t="s">
        <v>3313</v>
      </c>
      <c r="L346" t="s">
        <v>3313</v>
      </c>
      <c r="M346" t="s">
        <v>3358</v>
      </c>
      <c r="N346" s="40">
        <v>45481</v>
      </c>
      <c r="O346" s="40">
        <v>45481</v>
      </c>
      <c r="P346" s="40">
        <v>45482</v>
      </c>
      <c r="Q346" s="40">
        <v>45482</v>
      </c>
      <c r="R346">
        <v>55586</v>
      </c>
      <c r="S346" s="40" t="str" cm="1">
        <f t="array" aca="1" ref="S346" ca="1">TRIM(SUBSTITUTE(_xlfn.ARRAYTOTEXT(IFERROR(CONCATENATE(SUMIF(INDIRECT("'"&amp;Assemblies[Assy]&amp;"'!"&amp;"C$5:C1000"), $A346, INDIRECT("'"&amp;Assemblies[Assy]&amp;"'!"&amp;"O$5:O1000")), "x",Assemblies[Assy],".",IF(SUMIF(INDIRECT("'"&amp;Assemblies[Assy]&amp;"'!"&amp;"C$5:C1000"), $A346, INDIRECT("'"&amp;Assemblies[Assy]&amp;"'!"&amp;"A$5:A1000"))=0,NA(),SUMIF(INDIRECT("'"&amp;Assemblies[Assy]&amp;"'!"&amp;"C$5:C1000"), $A346, INDIRECT("'"&amp;Assemblies[Assy]&amp;"'!"&amp;"A$5:A1000")))),"")), " ,", ""))</f>
        <v>, 4x4.3.311, 2x4.5.1.302,</v>
      </c>
    </row>
    <row r="347" spans="1:19" hidden="1" x14ac:dyDescent="0.25">
      <c r="A347" s="160" t="s">
        <v>846</v>
      </c>
      <c r="B347" s="160" t="s">
        <v>3387</v>
      </c>
      <c r="C347" s="180">
        <v>5.6</v>
      </c>
      <c r="D347">
        <v>1</v>
      </c>
      <c r="E347" cm="1">
        <f t="array" aca="1" ref="E347" ca="1">SUMPRODUCT(SUMIF(INDIRECT("'"&amp;Assemblies[Assy]&amp;"'!"&amp;"C:C"),$A347,(INDIRECT("'"&amp;Assemblies[Assy]&amp;"'!"&amp;"O:O"))))</f>
        <v>4</v>
      </c>
      <c r="F347">
        <f ca="1">ROUNDUP(Purchased[[#This Row],[BOM QTY]]/Purchased[[#This Row],[PK QTY]], 0)</f>
        <v>4</v>
      </c>
      <c r="G347">
        <v>4</v>
      </c>
      <c r="H347" t="str">
        <f ca="1">IF(F347&lt;=G347," ","YES")</f>
        <v xml:space="preserve"> </v>
      </c>
      <c r="I347">
        <v>4</v>
      </c>
      <c r="J347">
        <v>4</v>
      </c>
      <c r="K347" t="s">
        <v>3313</v>
      </c>
      <c r="L347" t="s">
        <v>3313</v>
      </c>
      <c r="N347" s="40">
        <v>45526</v>
      </c>
      <c r="O347" s="40">
        <v>45526</v>
      </c>
      <c r="R347">
        <v>55697</v>
      </c>
      <c r="S347" s="40" t="str" cm="1">
        <f t="array" aca="1" ref="S347" ca="1">TRIM(SUBSTITUTE(_xlfn.ARRAYTOTEXT(IFERROR(CONCATENATE(SUMIF(INDIRECT("'"&amp;Assemblies[Assy]&amp;"'!"&amp;"C$5:C1000"), $A347, INDIRECT("'"&amp;Assemblies[Assy]&amp;"'!"&amp;"O$5:O1000")), "x",Assemblies[Assy],".",IF(SUMIF(INDIRECT("'"&amp;Assemblies[Assy]&amp;"'!"&amp;"C$5:C1000"), $A347, INDIRECT("'"&amp;Assemblies[Assy]&amp;"'!"&amp;"A$5:A1000"))=0,NA(),SUMIF(INDIRECT("'"&amp;Assemblies[Assy]&amp;"'!"&amp;"C$5:C1000"), $A347, INDIRECT("'"&amp;Assemblies[Assy]&amp;"'!"&amp;"A$5:A1000")))),"")), " ,", ""))</f>
        <v>, 4x5.5.4.303,</v>
      </c>
    </row>
    <row r="348" spans="1:19" hidden="1" x14ac:dyDescent="0.25">
      <c r="A348" s="160" t="s">
        <v>640</v>
      </c>
      <c r="B348" s="160" t="s">
        <v>3396</v>
      </c>
      <c r="C348" s="180">
        <v>20.11</v>
      </c>
      <c r="D348">
        <v>1</v>
      </c>
      <c r="E348" cm="1">
        <f t="array" aca="1" ref="E348" ca="1">SUMPRODUCT(SUMIF(INDIRECT("'"&amp;Assemblies[Assy]&amp;"'!"&amp;"C:C"),$A348,(INDIRECT("'"&amp;Assemblies[Assy]&amp;"'!"&amp;"O:O"))))</f>
        <v>4</v>
      </c>
      <c r="F348">
        <f ca="1">ROUNDUP(Purchased[[#This Row],[BOM QTY]]/Purchased[[#This Row],[PK QTY]], 0)</f>
        <v>4</v>
      </c>
      <c r="G348">
        <v>4</v>
      </c>
      <c r="H348" t="str">
        <f ca="1">IF(F348&lt;=G348," ","YES")</f>
        <v xml:space="preserve"> </v>
      </c>
      <c r="I348">
        <v>4</v>
      </c>
      <c r="J348">
        <v>4</v>
      </c>
      <c r="K348" t="s">
        <v>3313</v>
      </c>
      <c r="L348" t="s">
        <v>3313</v>
      </c>
      <c r="N348" s="40">
        <v>45526</v>
      </c>
      <c r="O348" s="40">
        <v>45526</v>
      </c>
      <c r="R348">
        <v>55697</v>
      </c>
      <c r="S348" s="40" t="str" cm="1">
        <f t="array" aca="1" ref="S348" ca="1">TRIM(SUBSTITUTE(_xlfn.ARRAYTOTEXT(IFERROR(CONCATENATE(SUMIF(INDIRECT("'"&amp;Assemblies[Assy]&amp;"'!"&amp;"C$5:C1000"), $A348, INDIRECT("'"&amp;Assemblies[Assy]&amp;"'!"&amp;"O$5:O1000")), "x",Assemblies[Assy],".",IF(SUMIF(INDIRECT("'"&amp;Assemblies[Assy]&amp;"'!"&amp;"C$5:C1000"), $A348, INDIRECT("'"&amp;Assemblies[Assy]&amp;"'!"&amp;"A$5:A1000"))=0,NA(),SUMIF(INDIRECT("'"&amp;Assemblies[Assy]&amp;"'!"&amp;"C$5:C1000"), $A348, INDIRECT("'"&amp;Assemblies[Assy]&amp;"'!"&amp;"A$5:A1000")))),"")), " ,", ""))</f>
        <v>, 4x4.4.1.304,</v>
      </c>
    </row>
    <row r="349" spans="1:19" hidden="1" x14ac:dyDescent="0.25">
      <c r="A349" s="160" t="s">
        <v>387</v>
      </c>
      <c r="B349" s="160" t="s">
        <v>3420</v>
      </c>
      <c r="C349" s="180">
        <v>2.2599999999999998</v>
      </c>
      <c r="D349">
        <v>1</v>
      </c>
      <c r="E349" cm="1">
        <f t="array" aca="1" ref="E349" ca="1">SUMPRODUCT(SUMIF(INDIRECT("'"&amp;Assemblies[Assy]&amp;"'!"&amp;"C:C"),$A349,(INDIRECT("'"&amp;Assemblies[Assy]&amp;"'!"&amp;"O:O"))))</f>
        <v>4</v>
      </c>
      <c r="F349">
        <f ca="1">ROUNDUP(Purchased[[#This Row],[BOM QTY]]/Purchased[[#This Row],[PK QTY]], 0)</f>
        <v>4</v>
      </c>
      <c r="G349">
        <v>4</v>
      </c>
      <c r="H349" t="str">
        <f ca="1">IF(F349&lt;=G349," ","YES")</f>
        <v xml:space="preserve"> </v>
      </c>
      <c r="I349">
        <v>4</v>
      </c>
      <c r="J349">
        <v>4</v>
      </c>
      <c r="K349" t="s">
        <v>3313</v>
      </c>
      <c r="L349" t="s">
        <v>3313</v>
      </c>
      <c r="N349" s="40">
        <v>45526</v>
      </c>
      <c r="O349" s="40">
        <v>45526</v>
      </c>
      <c r="R349">
        <v>55697</v>
      </c>
      <c r="S349" s="40" t="str" cm="1">
        <f t="array" aca="1" ref="S349" ca="1">TRIM(SUBSTITUTE(_xlfn.ARRAYTOTEXT(IFERROR(CONCATENATE(SUMIF(INDIRECT("'"&amp;Assemblies[Assy]&amp;"'!"&amp;"C$5:C1000"), $A349, INDIRECT("'"&amp;Assemblies[Assy]&amp;"'!"&amp;"O$5:O1000")), "x",Assemblies[Assy],".",IF(SUMIF(INDIRECT("'"&amp;Assemblies[Assy]&amp;"'!"&amp;"C$5:C1000"), $A349, INDIRECT("'"&amp;Assemblies[Assy]&amp;"'!"&amp;"A$5:A1000"))=0,NA(),SUMIF(INDIRECT("'"&amp;Assemblies[Assy]&amp;"'!"&amp;"C$5:C1000"), $A349, INDIRECT("'"&amp;Assemblies[Assy]&amp;"'!"&amp;"A$5:A1000")))),"")), " ,", ""))</f>
        <v>, 2x2.1.4.302, 2x2.1.5.302,</v>
      </c>
    </row>
    <row r="350" spans="1:19" hidden="1" x14ac:dyDescent="0.25">
      <c r="A350" s="160" t="s">
        <v>474</v>
      </c>
      <c r="B350" s="160" t="s">
        <v>3421</v>
      </c>
      <c r="C350" s="180">
        <v>2.37</v>
      </c>
      <c r="D350">
        <v>1</v>
      </c>
      <c r="E350" cm="1">
        <f t="array" aca="1" ref="E350" ca="1">SUMPRODUCT(SUMIF(INDIRECT("'"&amp;Assemblies[Assy]&amp;"'!"&amp;"C:C"),$A350,(INDIRECT("'"&amp;Assemblies[Assy]&amp;"'!"&amp;"O:O"))))</f>
        <v>4</v>
      </c>
      <c r="F350">
        <f ca="1">ROUNDUP(Purchased[[#This Row],[BOM QTY]]/Purchased[[#This Row],[PK QTY]], 0)</f>
        <v>4</v>
      </c>
      <c r="G350">
        <v>4</v>
      </c>
      <c r="H350" t="str">
        <f ca="1">IF(F350&lt;=G350," ","YES")</f>
        <v xml:space="preserve"> </v>
      </c>
      <c r="I350">
        <v>4</v>
      </c>
      <c r="J350">
        <v>4</v>
      </c>
      <c r="K350" t="s">
        <v>3313</v>
      </c>
      <c r="L350" t="s">
        <v>3313</v>
      </c>
      <c r="N350" s="40">
        <v>45526</v>
      </c>
      <c r="O350" s="40">
        <v>45526</v>
      </c>
      <c r="R350">
        <v>55697</v>
      </c>
      <c r="S350" s="40" t="str" cm="1">
        <f t="array" aca="1" ref="S350" ca="1">TRIM(SUBSTITUTE(_xlfn.ARRAYTOTEXT(IFERROR(CONCATENATE(SUMIF(INDIRECT("'"&amp;Assemblies[Assy]&amp;"'!"&amp;"C$5:C1000"), $A350, INDIRECT("'"&amp;Assemblies[Assy]&amp;"'!"&amp;"O$5:O1000")), "x",Assemblies[Assy],".",IF(SUMIF(INDIRECT("'"&amp;Assemblies[Assy]&amp;"'!"&amp;"C$5:C1000"), $A350, INDIRECT("'"&amp;Assemblies[Assy]&amp;"'!"&amp;"A$5:A1000"))=0,NA(),SUMIF(INDIRECT("'"&amp;Assemblies[Assy]&amp;"'!"&amp;"C$5:C1000"), $A350, INDIRECT("'"&amp;Assemblies[Assy]&amp;"'!"&amp;"A$5:A1000")))),"")), " ,", ""))</f>
        <v>, 4x3.2.1.2.303,</v>
      </c>
    </row>
    <row r="351" spans="1:19" hidden="1" x14ac:dyDescent="0.25">
      <c r="A351" s="160" t="s">
        <v>1037</v>
      </c>
      <c r="B351" s="160" t="s">
        <v>3425</v>
      </c>
      <c r="C351" s="180">
        <v>3.04</v>
      </c>
      <c r="D351">
        <v>1</v>
      </c>
      <c r="E351" cm="1">
        <f t="array" aca="1" ref="E351" ca="1">SUMPRODUCT(SUMIF(INDIRECT("'"&amp;Assemblies[Assy]&amp;"'!"&amp;"C:C"),$A351,(INDIRECT("'"&amp;Assemblies[Assy]&amp;"'!"&amp;"O:O"))))</f>
        <v>4</v>
      </c>
      <c r="F351">
        <f ca="1">ROUNDUP(Purchased[[#This Row],[BOM QTY]]/Purchased[[#This Row],[PK QTY]], 0)</f>
        <v>4</v>
      </c>
      <c r="G351">
        <v>4</v>
      </c>
      <c r="H351" t="str">
        <f ca="1">IF(F351&lt;=G351," ","YES")</f>
        <v xml:space="preserve"> </v>
      </c>
      <c r="I351">
        <v>4</v>
      </c>
      <c r="J351">
        <v>4</v>
      </c>
      <c r="K351" t="s">
        <v>3313</v>
      </c>
      <c r="L351" t="s">
        <v>3313</v>
      </c>
      <c r="N351" s="40">
        <v>45526</v>
      </c>
      <c r="O351" s="40">
        <v>45526</v>
      </c>
      <c r="R351">
        <v>55697</v>
      </c>
      <c r="S351" s="40" t="str" cm="1">
        <f t="array" aca="1" ref="S351" ca="1">TRIM(SUBSTITUTE(_xlfn.ARRAYTOTEXT(IFERROR(CONCATENATE(SUMIF(INDIRECT("'"&amp;Assemblies[Assy]&amp;"'!"&amp;"C$5:C1000"), $A351, INDIRECT("'"&amp;Assemblies[Assy]&amp;"'!"&amp;"O$5:O1000")), "x",Assemblies[Assy],".",IF(SUMIF(INDIRECT("'"&amp;Assemblies[Assy]&amp;"'!"&amp;"C$5:C1000"), $A351, INDIRECT("'"&amp;Assemblies[Assy]&amp;"'!"&amp;"A$5:A1000"))=0,NA(),SUMIF(INDIRECT("'"&amp;Assemblies[Assy]&amp;"'!"&amp;"C$5:C1000"), $A351, INDIRECT("'"&amp;Assemblies[Assy]&amp;"'!"&amp;"A$5:A1000")))),"")), " ,", ""))</f>
        <v>, 4x6.6.2.304,</v>
      </c>
    </row>
    <row r="352" spans="1:19" hidden="1" x14ac:dyDescent="0.25">
      <c r="A352" s="160" t="s">
        <v>504</v>
      </c>
      <c r="B352" s="160" t="s">
        <v>3355</v>
      </c>
      <c r="C352" s="180">
        <v>16.88</v>
      </c>
      <c r="D352">
        <v>1</v>
      </c>
      <c r="E352" cm="1">
        <f t="array" aca="1" ref="E352" ca="1">SUMPRODUCT(SUMIF(INDIRECT("'"&amp;Assemblies[Assy]&amp;"'!"&amp;"C:C"),$A352,(INDIRECT("'"&amp;Assemblies[Assy]&amp;"'!"&amp;"O:O"))))</f>
        <v>16</v>
      </c>
      <c r="F352">
        <f ca="1">ROUNDUP(Purchased[[#This Row],[BOM QTY]]/Purchased[[#This Row],[PK QTY]], 0)</f>
        <v>16</v>
      </c>
      <c r="G352">
        <v>16</v>
      </c>
      <c r="H352" t="str">
        <f ca="1">IF(F352&lt;=G352," ","YES")</f>
        <v xml:space="preserve"> </v>
      </c>
      <c r="I352">
        <v>5</v>
      </c>
      <c r="J352">
        <v>5</v>
      </c>
      <c r="K352" t="s">
        <v>3313</v>
      </c>
      <c r="L352" t="s">
        <v>3313</v>
      </c>
      <c r="M352" t="s">
        <v>3356</v>
      </c>
      <c r="N352" s="40">
        <v>45481</v>
      </c>
      <c r="O352" s="40">
        <v>45481</v>
      </c>
      <c r="P352" s="40">
        <v>45482</v>
      </c>
      <c r="Q352" s="40">
        <v>45482</v>
      </c>
      <c r="R352">
        <v>55586</v>
      </c>
      <c r="S352" s="40" t="str" cm="1">
        <f t="array" aca="1" ref="S352" ca="1">TRIM(SUBSTITUTE(_xlfn.ARRAYTOTEXT(IFERROR(CONCATENATE(SUMIF(INDIRECT("'"&amp;Assemblies[Assy]&amp;"'!"&amp;"C$5:C1000"), $A352, INDIRECT("'"&amp;Assemblies[Assy]&amp;"'!"&amp;"O$5:O1000")), "x",Assemblies[Assy],".",IF(SUMIF(INDIRECT("'"&amp;Assemblies[Assy]&amp;"'!"&amp;"C$5:C1000"), $A352, INDIRECT("'"&amp;Assemblies[Assy]&amp;"'!"&amp;"A$5:A1000"))=0,NA(),SUMIF(INDIRECT("'"&amp;Assemblies[Assy]&amp;"'!"&amp;"C$5:C1000"), $A352, INDIRECT("'"&amp;Assemblies[Assy]&amp;"'!"&amp;"A$5:A1000")))),"")), " ,", ""))</f>
        <v>, 2x3.4.307, 1x4.3.314, 4x4.4.1.305, 1x4.4.2.305, 1x4.5.1.303, 3x5.3.337, 3x6.1.333, 1x8.3.304,</v>
      </c>
    </row>
    <row r="353" spans="1:19" hidden="1" x14ac:dyDescent="0.25">
      <c r="A353" s="161" t="s">
        <v>1390</v>
      </c>
      <c r="B353" s="161" t="s">
        <v>3391</v>
      </c>
      <c r="C353" s="180">
        <v>36.5</v>
      </c>
      <c r="D353">
        <v>1</v>
      </c>
      <c r="E353" cm="1">
        <f t="array" aca="1" ref="E353" ca="1">SUMPRODUCT(SUMIF(INDIRECT("'"&amp;Assemblies[Assy]&amp;"'!"&amp;"C:C"),$A353,(INDIRECT("'"&amp;Assemblies[Assy]&amp;"'!"&amp;"O:O"))))</f>
        <v>5</v>
      </c>
      <c r="F353">
        <f ca="1">ROUNDUP(Purchased[[#This Row],[BOM QTY]]/Purchased[[#This Row],[PK QTY]], 0)</f>
        <v>5</v>
      </c>
      <c r="G353">
        <v>5</v>
      </c>
      <c r="H353" t="str">
        <f ca="1">IF(F353&lt;=G353," ","YES")</f>
        <v xml:space="preserve"> </v>
      </c>
      <c r="I353">
        <v>5</v>
      </c>
      <c r="J353">
        <v>5</v>
      </c>
      <c r="K353" t="s">
        <v>3313</v>
      </c>
      <c r="L353" t="s">
        <v>3313</v>
      </c>
      <c r="N353" s="40">
        <v>45526</v>
      </c>
      <c r="O353" s="40">
        <v>45526</v>
      </c>
      <c r="R353">
        <v>55697</v>
      </c>
      <c r="S353" s="40" t="str" cm="1">
        <f t="array" aca="1" ref="S353" ca="1">TRIM(SUBSTITUTE(_xlfn.ARRAYTOTEXT(IFERROR(CONCATENATE(SUMIF(INDIRECT("'"&amp;Assemblies[Assy]&amp;"'!"&amp;"C$5:C1000"), $A353, INDIRECT("'"&amp;Assemblies[Assy]&amp;"'!"&amp;"O$5:O1000")), "x",Assemblies[Assy],".",IF(SUMIF(INDIRECT("'"&amp;Assemblies[Assy]&amp;"'!"&amp;"C$5:C1000"), $A353, INDIRECT("'"&amp;Assemblies[Assy]&amp;"'!"&amp;"A$5:A1000"))=0,NA(),SUMIF(INDIRECT("'"&amp;Assemblies[Assy]&amp;"'!"&amp;"C$5:C1000"), $A353, INDIRECT("'"&amp;Assemblies[Assy]&amp;"'!"&amp;"A$5:A1000")))),"")), " ,", ""))</f>
        <v>, 1x10.2.1.304, 2x10.2.4.302, 2x10.2.8.303,</v>
      </c>
    </row>
    <row r="354" spans="1:19" hidden="1" x14ac:dyDescent="0.25">
      <c r="A354" s="160" t="s">
        <v>986</v>
      </c>
      <c r="B354" s="160" t="s">
        <v>3337</v>
      </c>
      <c r="C354" s="180">
        <v>12.57</v>
      </c>
      <c r="D354">
        <v>1</v>
      </c>
      <c r="E354" cm="1">
        <f t="array" aca="1" ref="E354" ca="1">SUMPRODUCT(SUMIF(INDIRECT("'"&amp;Assemblies[Assy]&amp;"'!"&amp;"C:C"),$A354,(INDIRECT("'"&amp;Assemblies[Assy]&amp;"'!"&amp;"O:O"))))</f>
        <v>6</v>
      </c>
      <c r="F354">
        <f ca="1">ROUNDUP(Purchased[[#This Row],[BOM QTY]]/Purchased[[#This Row],[PK QTY]], 0)</f>
        <v>6</v>
      </c>
      <c r="G354">
        <v>9</v>
      </c>
      <c r="H354" t="str">
        <f ca="1">IF(F354&lt;=G354," ","YES")</f>
        <v xml:space="preserve"> </v>
      </c>
      <c r="I354">
        <v>6</v>
      </c>
      <c r="J354">
        <v>6</v>
      </c>
      <c r="K354" t="s">
        <v>3313</v>
      </c>
      <c r="L354" t="s">
        <v>3313</v>
      </c>
      <c r="N354" s="40">
        <v>45481</v>
      </c>
      <c r="O354" s="40">
        <v>45481</v>
      </c>
      <c r="P354" s="40">
        <v>45482</v>
      </c>
      <c r="Q354" s="40">
        <v>45482</v>
      </c>
      <c r="R354">
        <v>55586</v>
      </c>
      <c r="S354" s="40" t="str" cm="1">
        <f t="array" aca="1" ref="S354" ca="1">TRIM(SUBSTITUTE(_xlfn.ARRAYTOTEXT(IFERROR(CONCATENATE(SUMIF(INDIRECT("'"&amp;Assemblies[Assy]&amp;"'!"&amp;"C$5:C1000"), $A354, INDIRECT("'"&amp;Assemblies[Assy]&amp;"'!"&amp;"O$5:O1000")), "x",Assemblies[Assy],".",IF(SUMIF(INDIRECT("'"&amp;Assemblies[Assy]&amp;"'!"&amp;"C$5:C1000"), $A354, INDIRECT("'"&amp;Assemblies[Assy]&amp;"'!"&amp;"A$5:A1000"))=0,NA(),SUMIF(INDIRECT("'"&amp;Assemblies[Assy]&amp;"'!"&amp;"C$5:C1000"), $A354, INDIRECT("'"&amp;Assemblies[Assy]&amp;"'!"&amp;"A$5:A1000")))),"")), " ,", ""))</f>
        <v>, 3x6.2.2.311, 3x6.3.2.311,</v>
      </c>
    </row>
    <row r="355" spans="1:19" hidden="1" x14ac:dyDescent="0.25">
      <c r="A355" s="160" t="s">
        <v>957</v>
      </c>
      <c r="B355" s="160" t="s">
        <v>3341</v>
      </c>
      <c r="C355" s="180">
        <v>118.97</v>
      </c>
      <c r="D355">
        <v>1</v>
      </c>
      <c r="E355" cm="1">
        <f t="array" aca="1" ref="E355" ca="1">SUMPRODUCT(SUMIF(INDIRECT("'"&amp;Assemblies[Assy]&amp;"'!"&amp;"C:C"),$A355,(INDIRECT("'"&amp;Assemblies[Assy]&amp;"'!"&amp;"O:O"))))</f>
        <v>6</v>
      </c>
      <c r="F355">
        <f ca="1">ROUNDUP(Purchased[[#This Row],[BOM QTY]]/Purchased[[#This Row],[PK QTY]], 0)</f>
        <v>6</v>
      </c>
      <c r="G355">
        <v>6</v>
      </c>
      <c r="H355" t="str">
        <f ca="1">IF(F355&lt;=G355," ","YES")</f>
        <v xml:space="preserve"> </v>
      </c>
      <c r="I355">
        <v>6</v>
      </c>
      <c r="J355">
        <v>6</v>
      </c>
      <c r="K355" t="s">
        <v>3313</v>
      </c>
      <c r="L355" t="s">
        <v>3313</v>
      </c>
      <c r="N355" s="40">
        <v>45481</v>
      </c>
      <c r="O355" s="40">
        <v>45481</v>
      </c>
      <c r="P355" s="40">
        <v>45482</v>
      </c>
      <c r="Q355" s="40">
        <v>45482</v>
      </c>
      <c r="R355">
        <v>55586</v>
      </c>
      <c r="S355" s="40" t="str" cm="1">
        <f t="array" aca="1" ref="S355" ca="1">TRIM(SUBSTITUTE(_xlfn.ARRAYTOTEXT(IFERROR(CONCATENATE(SUMIF(INDIRECT("'"&amp;Assemblies[Assy]&amp;"'!"&amp;"C$5:C1000"), $A355, INDIRECT("'"&amp;Assemblies[Assy]&amp;"'!"&amp;"O$5:O1000")), "x",Assemblies[Assy],".",IF(SUMIF(INDIRECT("'"&amp;Assemblies[Assy]&amp;"'!"&amp;"C$5:C1000"), $A355, INDIRECT("'"&amp;Assemblies[Assy]&amp;"'!"&amp;"A$5:A1000"))=0,NA(),SUMIF(INDIRECT("'"&amp;Assemblies[Assy]&amp;"'!"&amp;"C$5:C1000"), $A355, INDIRECT("'"&amp;Assemblies[Assy]&amp;"'!"&amp;"A$5:A1000")))),"")), " ,", ""))</f>
        <v>, 3x6.2.1.3.309, 3x6.3.1.3.309,</v>
      </c>
    </row>
    <row r="356" spans="1:19" hidden="1" x14ac:dyDescent="0.25">
      <c r="A356" s="160" t="s">
        <v>1169</v>
      </c>
      <c r="B356" s="160" t="s">
        <v>3350</v>
      </c>
      <c r="C356" s="180">
        <v>13.62</v>
      </c>
      <c r="D356">
        <v>25</v>
      </c>
      <c r="E356" cm="1">
        <f t="array" aca="1" ref="E356" ca="1">SUMPRODUCT(SUMIF(INDIRECT("'"&amp;Assemblies[Assy]&amp;"'!"&amp;"C:C"),$A356,(INDIRECT("'"&amp;Assemblies[Assy]&amp;"'!"&amp;"O:O"))))</f>
        <v>128</v>
      </c>
      <c r="F356">
        <f ca="1">ROUNDUP(Purchased[[#This Row],[BOM QTY]]/Purchased[[#This Row],[PK QTY]], 0)</f>
        <v>6</v>
      </c>
      <c r="G356">
        <v>6</v>
      </c>
      <c r="H356" t="str">
        <f ca="1">IF(F356&lt;=G356," ","YES")</f>
        <v xml:space="preserve"> </v>
      </c>
      <c r="I356">
        <v>6</v>
      </c>
      <c r="J356">
        <v>6</v>
      </c>
      <c r="K356" t="s">
        <v>3313</v>
      </c>
      <c r="L356" t="s">
        <v>3313</v>
      </c>
      <c r="N356" s="40">
        <v>45481</v>
      </c>
      <c r="O356" s="40">
        <v>45481</v>
      </c>
      <c r="P356" s="40">
        <v>45482</v>
      </c>
      <c r="Q356" s="40">
        <v>45482</v>
      </c>
      <c r="R356">
        <v>55586</v>
      </c>
      <c r="S356" s="40" t="str" cm="1">
        <f t="array" aca="1" ref="S356" ca="1">TRIM(SUBSTITUTE(_xlfn.ARRAYTOTEXT(IFERROR(CONCATENATE(SUMIF(INDIRECT("'"&amp;Assemblies[Assy]&amp;"'!"&amp;"C$5:C1000"), $A356, INDIRECT("'"&amp;Assemblies[Assy]&amp;"'!"&amp;"O$5:O1000")), "x",Assemblies[Assy],".",IF(SUMIF(INDIRECT("'"&amp;Assemblies[Assy]&amp;"'!"&amp;"C$5:C1000"), $A356, INDIRECT("'"&amp;Assemblies[Assy]&amp;"'!"&amp;"A$5:A1000"))=0,NA(),SUMIF(INDIRECT("'"&amp;Assemblies[Assy]&amp;"'!"&amp;"C$5:C1000"), $A356, INDIRECT("'"&amp;Assemblies[Assy]&amp;"'!"&amp;"A$5:A1000")))),"")), " ,", ""))</f>
        <v>, 28x7.2.3.301, 28x7.3.2.301, 14x7.6.1.301, 14x7.7.1.301, 22x8.1.3.305, 22x8.2.2.305,</v>
      </c>
    </row>
    <row r="357" spans="1:19" hidden="1" x14ac:dyDescent="0.25">
      <c r="A357" s="161" t="s">
        <v>1391</v>
      </c>
      <c r="B357" s="161" t="s">
        <v>3397</v>
      </c>
      <c r="C357" s="180">
        <v>47.97</v>
      </c>
      <c r="D357">
        <v>1</v>
      </c>
      <c r="E357" cm="1">
        <f t="array" aca="1" ref="E357" ca="1">SUMPRODUCT(SUMIF(INDIRECT("'"&amp;Assemblies[Assy]&amp;"'!"&amp;"C:C"),$A357,(INDIRECT("'"&amp;Assemblies[Assy]&amp;"'!"&amp;"O:O"))))</f>
        <v>6</v>
      </c>
      <c r="F357">
        <f ca="1">ROUNDUP(Purchased[[#This Row],[BOM QTY]]/Purchased[[#This Row],[PK QTY]], 0)</f>
        <v>6</v>
      </c>
      <c r="G357">
        <v>6</v>
      </c>
      <c r="H357" t="str">
        <f ca="1">IF(F357&lt;=G357," ","YES")</f>
        <v xml:space="preserve"> </v>
      </c>
      <c r="I357">
        <v>6</v>
      </c>
      <c r="J357">
        <v>6</v>
      </c>
      <c r="K357" t="s">
        <v>3313</v>
      </c>
      <c r="L357" t="s">
        <v>3313</v>
      </c>
      <c r="N357" s="40">
        <v>45526</v>
      </c>
      <c r="O357" s="40">
        <v>45526</v>
      </c>
      <c r="R357">
        <v>55697</v>
      </c>
      <c r="S357" s="40" t="str" cm="1">
        <f t="array" aca="1" ref="S357" ca="1">TRIM(SUBSTITUTE(_xlfn.ARRAYTOTEXT(IFERROR(CONCATENATE(SUMIF(INDIRECT("'"&amp;Assemblies[Assy]&amp;"'!"&amp;"C$5:C1000"), $A357, INDIRECT("'"&amp;Assemblies[Assy]&amp;"'!"&amp;"O$5:O1000")), "x",Assemblies[Assy],".",IF(SUMIF(INDIRECT("'"&amp;Assemblies[Assy]&amp;"'!"&amp;"C$5:C1000"), $A357, INDIRECT("'"&amp;Assemblies[Assy]&amp;"'!"&amp;"A$5:A1000"))=0,NA(),SUMIF(INDIRECT("'"&amp;Assemblies[Assy]&amp;"'!"&amp;"C$5:C1000"), $A357, INDIRECT("'"&amp;Assemblies[Assy]&amp;"'!"&amp;"A$5:A1000")))),"")), " ,", ""))</f>
        <v>, 2x10.2.1.305, 2x10.2.4.303, 2x10.2.8.304,</v>
      </c>
    </row>
    <row r="358" spans="1:19" hidden="1" x14ac:dyDescent="0.25">
      <c r="A358" s="160" t="s">
        <v>384</v>
      </c>
      <c r="B358" s="160" t="s">
        <v>3413</v>
      </c>
      <c r="C358" s="180">
        <v>11.15</v>
      </c>
      <c r="D358">
        <v>5</v>
      </c>
      <c r="E358" cm="1">
        <f t="array" aca="1" ref="E358" ca="1">SUMPRODUCT(SUMIF(INDIRECT("'"&amp;Assemblies[Assy]&amp;"'!"&amp;"C:C"),$A358,(INDIRECT("'"&amp;Assemblies[Assy]&amp;"'!"&amp;"O:O"))))</f>
        <v>30</v>
      </c>
      <c r="F358">
        <f ca="1">ROUNDUP(Purchased[[#This Row],[BOM QTY]]/Purchased[[#This Row],[PK QTY]], 0)</f>
        <v>6</v>
      </c>
      <c r="G358">
        <v>6</v>
      </c>
      <c r="H358" t="str">
        <f ca="1">IF(F358&lt;=G358," ","YES")</f>
        <v xml:space="preserve"> </v>
      </c>
      <c r="I358">
        <v>6</v>
      </c>
      <c r="J358">
        <v>6</v>
      </c>
      <c r="K358" t="s">
        <v>3313</v>
      </c>
      <c r="L358" t="s">
        <v>3313</v>
      </c>
      <c r="N358" s="40">
        <v>45526</v>
      </c>
      <c r="O358" s="40">
        <v>45526</v>
      </c>
      <c r="R358">
        <v>55697</v>
      </c>
      <c r="S358" s="40" t="str" cm="1">
        <f t="array" aca="1" ref="S358" ca="1">TRIM(SUBSTITUTE(_xlfn.ARRAYTOTEXT(IFERROR(CONCATENATE(SUMIF(INDIRECT("'"&amp;Assemblies[Assy]&amp;"'!"&amp;"C$5:C1000"), $A358, INDIRECT("'"&amp;Assemblies[Assy]&amp;"'!"&amp;"O$5:O1000")), "x",Assemblies[Assy],".",IF(SUMIF(INDIRECT("'"&amp;Assemblies[Assy]&amp;"'!"&amp;"C$5:C1000"), $A358, INDIRECT("'"&amp;Assemblies[Assy]&amp;"'!"&amp;"A$5:A1000"))=0,NA(),SUMIF(INDIRECT("'"&amp;Assemblies[Assy]&amp;"'!"&amp;"C$5:C1000"), $A358, INDIRECT("'"&amp;Assemblies[Assy]&amp;"'!"&amp;"A$5:A1000")))),"")), " ,", ""))</f>
        <v>, 8x2.1.3.301, 10x3.1.1.302, 12x4.1.3.301,</v>
      </c>
    </row>
    <row r="359" spans="1:19" hidden="1" x14ac:dyDescent="0.25">
      <c r="A359" s="160" t="s">
        <v>952</v>
      </c>
      <c r="B359" s="160" t="s">
        <v>3354</v>
      </c>
      <c r="C359" s="180">
        <v>47.52</v>
      </c>
      <c r="D359">
        <v>1</v>
      </c>
      <c r="E359" cm="1">
        <f t="array" aca="1" ref="E359" ca="1">SUMPRODUCT(SUMIF(INDIRECT("'"&amp;Assemblies[Assy]&amp;"'!"&amp;"C:C"),$A359,(INDIRECT("'"&amp;Assemblies[Assy]&amp;"'!"&amp;"O:O"))))</f>
        <v>8</v>
      </c>
      <c r="F359">
        <f ca="1">ROUNDUP(Purchased[[#This Row],[BOM QTY]]/Purchased[[#This Row],[PK QTY]], 0)</f>
        <v>8</v>
      </c>
      <c r="G359">
        <v>8</v>
      </c>
      <c r="H359" t="str">
        <f ca="1">IF(F359&lt;=G359," ","YES")</f>
        <v xml:space="preserve"> </v>
      </c>
      <c r="I359">
        <v>8</v>
      </c>
      <c r="J359">
        <v>8</v>
      </c>
      <c r="K359" t="s">
        <v>3313</v>
      </c>
      <c r="L359" t="s">
        <v>3313</v>
      </c>
      <c r="N359" s="40">
        <v>45481</v>
      </c>
      <c r="O359" s="40">
        <v>45481</v>
      </c>
      <c r="P359" s="40">
        <v>45482</v>
      </c>
      <c r="Q359" s="40">
        <v>45482</v>
      </c>
      <c r="R359">
        <v>55586</v>
      </c>
      <c r="S359" s="40" t="str" cm="1">
        <f t="array" aca="1" ref="S359" ca="1">TRIM(SUBSTITUTE(_xlfn.ARRAYTOTEXT(IFERROR(CONCATENATE(SUMIF(INDIRECT("'"&amp;Assemblies[Assy]&amp;"'!"&amp;"C$5:C1000"), $A359, INDIRECT("'"&amp;Assemblies[Assy]&amp;"'!"&amp;"O$5:O1000")), "x",Assemblies[Assy],".",IF(SUMIF(INDIRECT("'"&amp;Assemblies[Assy]&amp;"'!"&amp;"C$5:C1000"), $A359, INDIRECT("'"&amp;Assemblies[Assy]&amp;"'!"&amp;"A$5:A1000"))=0,NA(),SUMIF(INDIRECT("'"&amp;Assemblies[Assy]&amp;"'!"&amp;"C$5:C1000"), $A359, INDIRECT("'"&amp;Assemblies[Assy]&amp;"'!"&amp;"A$5:A1000")))),"")), " ,", ""))</f>
        <v>, 4x6.2.1.3.302, 4x6.3.1.3.302,</v>
      </c>
    </row>
    <row r="360" spans="1:19" hidden="1" x14ac:dyDescent="0.25">
      <c r="A360" s="160" t="s">
        <v>772</v>
      </c>
      <c r="B360" s="160" t="s">
        <v>3375</v>
      </c>
      <c r="C360" s="180">
        <v>2.48</v>
      </c>
      <c r="D360">
        <v>1</v>
      </c>
      <c r="E360" cm="1">
        <f t="array" aca="1" ref="E360" ca="1">SUMPRODUCT(SUMIF(INDIRECT("'"&amp;Assemblies[Assy]&amp;"'!"&amp;"C:C"),$A360,(INDIRECT("'"&amp;Assemblies[Assy]&amp;"'!"&amp;"O:O"))))</f>
        <v>0</v>
      </c>
      <c r="F360">
        <f ca="1">ROUNDUP(Purchased[[#This Row],[BOM QTY]]/Purchased[[#This Row],[PK QTY]], 0)</f>
        <v>0</v>
      </c>
      <c r="G360">
        <v>8</v>
      </c>
      <c r="H360" t="str">
        <f ca="1">IF(F360&lt;=G360," ","YES")</f>
        <v xml:space="preserve"> </v>
      </c>
      <c r="I360">
        <v>8</v>
      </c>
      <c r="J360">
        <v>8</v>
      </c>
      <c r="K360" s="162" t="s">
        <v>3313</v>
      </c>
      <c r="L360" t="s">
        <v>3313</v>
      </c>
      <c r="N360" s="40">
        <v>45482</v>
      </c>
      <c r="O360" s="40">
        <v>45482</v>
      </c>
      <c r="P360" s="40">
        <v>45483</v>
      </c>
      <c r="Q360" s="40">
        <v>45483</v>
      </c>
      <c r="R360">
        <v>55591</v>
      </c>
      <c r="S360" s="40" t="str" cm="1">
        <f t="array" aca="1" ref="S360" ca="1">TRIM(SUBSTITUTE(_xlfn.ARRAYTOTEXT(IFERROR(CONCATENATE(SUMIF(INDIRECT("'"&amp;Assemblies[Assy]&amp;"'!"&amp;"C$5:C1000"), $A360, INDIRECT("'"&amp;Assemblies[Assy]&amp;"'!"&amp;"O$5:O1000")), "x",Assemblies[Assy],".",IF(SUMIF(INDIRECT("'"&amp;Assemblies[Assy]&amp;"'!"&amp;"C$5:C1000"), $A360, INDIRECT("'"&amp;Assemblies[Assy]&amp;"'!"&amp;"A$5:A1000"))=0,NA(),SUMIF(INDIRECT("'"&amp;Assemblies[Assy]&amp;"'!"&amp;"C$5:C1000"), $A360, INDIRECT("'"&amp;Assemblies[Assy]&amp;"'!"&amp;"A$5:A1000")))),"")), " ,", ""))</f>
        <v>,</v>
      </c>
    </row>
    <row r="361" spans="1:19" hidden="1" x14ac:dyDescent="0.25">
      <c r="A361" s="160" t="s">
        <v>3880</v>
      </c>
      <c r="B361" s="160" t="s">
        <v>3375</v>
      </c>
      <c r="C361" s="180">
        <v>1.75</v>
      </c>
      <c r="D361">
        <v>1</v>
      </c>
      <c r="E361" cm="1">
        <f t="array" aca="1" ref="E361" ca="1">SUMPRODUCT(SUMIF(INDIRECT("'"&amp;Assemblies[Assy]&amp;"'!"&amp;"C:C"),$A361,(INDIRECT("'"&amp;Assemblies[Assy]&amp;"'!"&amp;"O:O"))))</f>
        <v>8</v>
      </c>
      <c r="F361">
        <v>8</v>
      </c>
      <c r="G361">
        <v>8</v>
      </c>
      <c r="H361" t="str">
        <f>IF(F361&lt;=G361," ","YES")</f>
        <v xml:space="preserve"> </v>
      </c>
      <c r="K361" s="162" t="s">
        <v>3313</v>
      </c>
      <c r="L361" s="162" t="s">
        <v>3313</v>
      </c>
      <c r="N361" s="40" t="s">
        <v>2747</v>
      </c>
      <c r="O361" s="40">
        <v>45559</v>
      </c>
      <c r="P361" s="40">
        <v>45560</v>
      </c>
      <c r="Q361" s="40">
        <v>45560</v>
      </c>
      <c r="R361">
        <v>55754</v>
      </c>
      <c r="S361" s="40" t="str" cm="1">
        <f t="array" aca="1" ref="S361" ca="1">TRIM(SUBSTITUTE(_xlfn.ARRAYTOTEXT(IFERROR(CONCATENATE(SUMIF(INDIRECT("'"&amp;Assemblies[Assy]&amp;"'!"&amp;"C$5:C1000"), $A361, INDIRECT("'"&amp;Assemblies[Assy]&amp;"'!"&amp;"O$5:O1000")), "x",Assemblies[Assy],".",IF(SUMIF(INDIRECT("'"&amp;Assemblies[Assy]&amp;"'!"&amp;"C$5:C1000"), $A361, INDIRECT("'"&amp;Assemblies[Assy]&amp;"'!"&amp;"A$5:A1000"))=0,NA(),SUMIF(INDIRECT("'"&amp;Assemblies[Assy]&amp;"'!"&amp;"C$5:C1000"), $A361, INDIRECT("'"&amp;Assemblies[Assy]&amp;"'!"&amp;"A$5:A1000")))),"")), " ,", ""))</f>
        <v>, 4x5.4.1.307, 4x5.4.2.307,</v>
      </c>
    </row>
    <row r="362" spans="1:19" hidden="1" x14ac:dyDescent="0.25">
      <c r="A362" s="161" t="s">
        <v>1405</v>
      </c>
      <c r="B362" s="161" t="s">
        <v>3389</v>
      </c>
      <c r="C362" s="180">
        <v>71.8</v>
      </c>
      <c r="D362">
        <v>1</v>
      </c>
      <c r="E362" cm="1">
        <f t="array" aca="1" ref="E362" ca="1">SUMPRODUCT(SUMIF(INDIRECT("'"&amp;Assemblies[Assy]&amp;"'!"&amp;"C:C"),$A362,(INDIRECT("'"&amp;Assemblies[Assy]&amp;"'!"&amp;"O:O"))))</f>
        <v>8</v>
      </c>
      <c r="F362">
        <f ca="1">ROUNDUP(Purchased[[#This Row],[BOM QTY]]/Purchased[[#This Row],[PK QTY]], 0)</f>
        <v>8</v>
      </c>
      <c r="G362">
        <v>8</v>
      </c>
      <c r="H362" t="str">
        <f ca="1">IF(F362&lt;=G362," ","YES")</f>
        <v xml:space="preserve"> </v>
      </c>
      <c r="I362">
        <v>8</v>
      </c>
      <c r="J362">
        <v>8</v>
      </c>
      <c r="K362" t="s">
        <v>3313</v>
      </c>
      <c r="L362" t="s">
        <v>3313</v>
      </c>
      <c r="N362" s="40">
        <v>45526</v>
      </c>
      <c r="O362" s="40">
        <v>45526</v>
      </c>
      <c r="R362">
        <v>55697</v>
      </c>
      <c r="S362" s="40" t="str" cm="1">
        <f t="array" aca="1" ref="S362" ca="1">TRIM(SUBSTITUTE(_xlfn.ARRAYTOTEXT(IFERROR(CONCATENATE(SUMIF(INDIRECT("'"&amp;Assemblies[Assy]&amp;"'!"&amp;"C$5:C1000"), $A362, INDIRECT("'"&amp;Assemblies[Assy]&amp;"'!"&amp;"O$5:O1000")), "x",Assemblies[Assy],".",IF(SUMIF(INDIRECT("'"&amp;Assemblies[Assy]&amp;"'!"&amp;"C$5:C1000"), $A362, INDIRECT("'"&amp;Assemblies[Assy]&amp;"'!"&amp;"A$5:A1000"))=0,NA(),SUMIF(INDIRECT("'"&amp;Assemblies[Assy]&amp;"'!"&amp;"C$5:C1000"), $A362, INDIRECT("'"&amp;Assemblies[Assy]&amp;"'!"&amp;"A$5:A1000")))),"")), " ,", ""))</f>
        <v>, 2x10.2.5.301, 4x10.2.6.301, 2x10.2.7.301,</v>
      </c>
    </row>
    <row r="363" spans="1:19" hidden="1" x14ac:dyDescent="0.25">
      <c r="A363" s="160" t="s">
        <v>844</v>
      </c>
      <c r="B363" s="160" t="s">
        <v>3390</v>
      </c>
      <c r="C363" s="180">
        <v>2</v>
      </c>
      <c r="D363">
        <v>1</v>
      </c>
      <c r="E363" cm="1">
        <f t="array" aca="1" ref="E363" ca="1">SUMPRODUCT(SUMIF(INDIRECT("'"&amp;Assemblies[Assy]&amp;"'!"&amp;"C:C"),$A363,(INDIRECT("'"&amp;Assemblies[Assy]&amp;"'!"&amp;"O:O"))))</f>
        <v>8</v>
      </c>
      <c r="F363">
        <f ca="1">ROUNDUP(Purchased[[#This Row],[BOM QTY]]/Purchased[[#This Row],[PK QTY]], 0)</f>
        <v>8</v>
      </c>
      <c r="G363">
        <v>8</v>
      </c>
      <c r="H363" t="str">
        <f ca="1">IF(F363&lt;=G363," ","YES")</f>
        <v xml:space="preserve"> </v>
      </c>
      <c r="I363">
        <v>8</v>
      </c>
      <c r="J363">
        <v>8</v>
      </c>
      <c r="K363" t="s">
        <v>3313</v>
      </c>
      <c r="L363" t="s">
        <v>3313</v>
      </c>
      <c r="N363" s="40">
        <v>45526</v>
      </c>
      <c r="O363" s="40">
        <v>45526</v>
      </c>
      <c r="R363">
        <v>55697</v>
      </c>
      <c r="S363" s="40" t="str" cm="1">
        <f t="array" aca="1" ref="S363" ca="1">TRIM(SUBSTITUTE(_xlfn.ARRAYTOTEXT(IFERROR(CONCATENATE(SUMIF(INDIRECT("'"&amp;Assemblies[Assy]&amp;"'!"&amp;"C$5:C1000"), $A363, INDIRECT("'"&amp;Assemblies[Assy]&amp;"'!"&amp;"O$5:O1000")), "x",Assemblies[Assy],".",IF(SUMIF(INDIRECT("'"&amp;Assemblies[Assy]&amp;"'!"&amp;"C$5:C1000"), $A363, INDIRECT("'"&amp;Assemblies[Assy]&amp;"'!"&amp;"A$5:A1000"))=0,NA(),SUMIF(INDIRECT("'"&amp;Assemblies[Assy]&amp;"'!"&amp;"C$5:C1000"), $A363, INDIRECT("'"&amp;Assemblies[Assy]&amp;"'!"&amp;"A$5:A1000")))),"")), " ,", ""))</f>
        <v>, 8x5.5.4.301,</v>
      </c>
    </row>
    <row r="364" spans="1:19" hidden="1" x14ac:dyDescent="0.25">
      <c r="A364" s="160" t="s">
        <v>904</v>
      </c>
      <c r="B364" s="160" t="s">
        <v>3417</v>
      </c>
      <c r="C364" s="180">
        <v>5.98</v>
      </c>
      <c r="D364">
        <v>1</v>
      </c>
      <c r="E364" cm="1">
        <f t="array" aca="1" ref="E364" ca="1">SUMPRODUCT(SUMIF(INDIRECT("'"&amp;Assemblies[Assy]&amp;"'!"&amp;"C:C"),$A364,(INDIRECT("'"&amp;Assemblies[Assy]&amp;"'!"&amp;"O:O"))))</f>
        <v>8</v>
      </c>
      <c r="F364">
        <f ca="1">ROUNDUP(Purchased[[#This Row],[BOM QTY]]/Purchased[[#This Row],[PK QTY]], 0)</f>
        <v>8</v>
      </c>
      <c r="G364">
        <v>8</v>
      </c>
      <c r="H364" t="str">
        <f ca="1">IF(F364&lt;=G364," ","YES")</f>
        <v xml:space="preserve"> </v>
      </c>
      <c r="I364">
        <v>8</v>
      </c>
      <c r="J364">
        <v>8</v>
      </c>
      <c r="K364" t="s">
        <v>3313</v>
      </c>
      <c r="L364" t="s">
        <v>3313</v>
      </c>
      <c r="N364" s="40">
        <v>45526</v>
      </c>
      <c r="O364" s="40">
        <v>45526</v>
      </c>
      <c r="R364">
        <v>55697</v>
      </c>
      <c r="S364" s="40" t="str" cm="1">
        <f t="array" aca="1" ref="S364" ca="1">TRIM(SUBSTITUTE(_xlfn.ARRAYTOTEXT(IFERROR(CONCATENATE(SUMIF(INDIRECT("'"&amp;Assemblies[Assy]&amp;"'!"&amp;"C$5:C1000"), $A364, INDIRECT("'"&amp;Assemblies[Assy]&amp;"'!"&amp;"O$5:O1000")), "x",Assemblies[Assy],".",IF(SUMIF(INDIRECT("'"&amp;Assemblies[Assy]&amp;"'!"&amp;"C$5:C1000"), $A364, INDIRECT("'"&amp;Assemblies[Assy]&amp;"'!"&amp;"A$5:A1000"))=0,NA(),SUMIF(INDIRECT("'"&amp;Assemblies[Assy]&amp;"'!"&amp;"C$5:C1000"), $A364, INDIRECT("'"&amp;Assemblies[Assy]&amp;"'!"&amp;"A$5:A1000")))),"")), " ,", ""))</f>
        <v>, 8x6.1.343,</v>
      </c>
    </row>
    <row r="365" spans="1:19" hidden="1" x14ac:dyDescent="0.25">
      <c r="A365" s="162" t="s">
        <v>178</v>
      </c>
      <c r="B365" s="160" t="s">
        <v>3366</v>
      </c>
      <c r="C365" s="180">
        <v>10.57</v>
      </c>
      <c r="D365">
        <v>10</v>
      </c>
      <c r="E365" cm="1">
        <f t="array" aca="1" ref="E365" ca="1">SUMPRODUCT(SUMIF(INDIRECT("'"&amp;Assemblies[Assy]&amp;"'!"&amp;"C:C"),$A365,(INDIRECT("'"&amp;Assemblies[Assy]&amp;"'!"&amp;"O:O"))))</f>
        <v>120</v>
      </c>
      <c r="F365">
        <f ca="1">ROUNDUP(Purchased[[#This Row],[BOM QTY]]/Purchased[[#This Row],[PK QTY]], 0)</f>
        <v>12</v>
      </c>
      <c r="G365">
        <v>12</v>
      </c>
      <c r="H365" t="str">
        <f ca="1">IF(F365&lt;=G365," ","YES")</f>
        <v xml:space="preserve"> </v>
      </c>
      <c r="I365">
        <v>9</v>
      </c>
      <c r="J365">
        <v>9</v>
      </c>
      <c r="K365" s="160" t="s">
        <v>3313</v>
      </c>
      <c r="L365" t="s">
        <v>3313</v>
      </c>
      <c r="M365" t="s">
        <v>3367</v>
      </c>
      <c r="N365" s="40">
        <v>45481</v>
      </c>
      <c r="O365" s="40">
        <v>45481</v>
      </c>
      <c r="P365" s="40">
        <v>45482</v>
      </c>
      <c r="Q365" s="40">
        <v>45482</v>
      </c>
      <c r="R365">
        <v>55586</v>
      </c>
      <c r="S365" s="40" t="str" cm="1">
        <f t="array" aca="1" ref="S365" ca="1">TRIM(SUBSTITUTE(_xlfn.ARRAYTOTEXT(IFERROR(CONCATENATE(SUMIF(INDIRECT("'"&amp;Assemblies[Assy]&amp;"'!"&amp;"C$5:C1000"), $A365, INDIRECT("'"&amp;Assemblies[Assy]&amp;"'!"&amp;"O$5:O1000")), "x",Assemblies[Assy],".",IF(SUMIF(INDIRECT("'"&amp;Assemblies[Assy]&amp;"'!"&amp;"C$5:C1000"), $A365, INDIRECT("'"&amp;Assemblies[Assy]&amp;"'!"&amp;"A$5:A1000"))=0,NA(),SUMIF(INDIRECT("'"&amp;Assemblies[Assy]&amp;"'!"&amp;"C$5:C1000"), $A365, INDIRECT("'"&amp;Assemblies[Assy]&amp;"'!"&amp;"A$5:A1000")))),"")), " ,", ""))</f>
        <v>, 24x1.1.4.303, 4x4.1.1.301, 4x4.1.6.301, 4x4.7.1.302, 4x5.1.307, 8x5.3.336, 8x6.8.307, 8x6.9.312, 48x7.1.2.302, 4x9.1.305, 4x9.5.306,</v>
      </c>
    </row>
    <row r="366" spans="1:19" hidden="1" x14ac:dyDescent="0.25">
      <c r="A366" s="160" t="s">
        <v>1004</v>
      </c>
      <c r="B366" s="160" t="s">
        <v>3423</v>
      </c>
      <c r="C366" s="180">
        <v>9.98</v>
      </c>
      <c r="D366">
        <v>1</v>
      </c>
      <c r="E366" cm="1">
        <f t="array" aca="1" ref="E366" ca="1">SUMPRODUCT(SUMIF(INDIRECT("'"&amp;Assemblies[Assy]&amp;"'!"&amp;"C:C"),$A366,(INDIRECT("'"&amp;Assemblies[Assy]&amp;"'!"&amp;"O:O"))))</f>
        <v>10</v>
      </c>
      <c r="F366">
        <f ca="1">ROUNDUP(Purchased[[#This Row],[BOM QTY]]/Purchased[[#This Row],[PK QTY]], 0)</f>
        <v>10</v>
      </c>
      <c r="G366">
        <v>10</v>
      </c>
      <c r="H366" t="str">
        <f ca="1">IF(F366&lt;=G366," ","YES")</f>
        <v xml:space="preserve"> </v>
      </c>
      <c r="I366">
        <v>10</v>
      </c>
      <c r="J366">
        <v>10</v>
      </c>
      <c r="K366" t="s">
        <v>3313</v>
      </c>
      <c r="L366" t="s">
        <v>3313</v>
      </c>
      <c r="N366" s="40">
        <v>45526</v>
      </c>
      <c r="O366" s="40">
        <v>45526</v>
      </c>
      <c r="R366">
        <v>55697</v>
      </c>
      <c r="S366" s="40" t="str" cm="1">
        <f t="array" aca="1" ref="S366" ca="1">TRIM(SUBSTITUTE(_xlfn.ARRAYTOTEXT(IFERROR(CONCATENATE(SUMIF(INDIRECT("'"&amp;Assemblies[Assy]&amp;"'!"&amp;"C$5:C1000"), $A366, INDIRECT("'"&amp;Assemblies[Assy]&amp;"'!"&amp;"O$5:O1000")), "x",Assemblies[Assy],".",IF(SUMIF(INDIRECT("'"&amp;Assemblies[Assy]&amp;"'!"&amp;"C$5:C1000"), $A366, INDIRECT("'"&amp;Assemblies[Assy]&amp;"'!"&amp;"A$5:A1000"))=0,NA(),SUMIF(INDIRECT("'"&amp;Assemblies[Assy]&amp;"'!"&amp;"C$5:C1000"), $A366, INDIRECT("'"&amp;Assemblies[Assy]&amp;"'!"&amp;"A$5:A1000")))),"")), " ,", ""))</f>
        <v>, 1x6.2.3.309, 4x6.2.3.2.302, 4x6.2.3.3.302, 1x6.3.3.309,</v>
      </c>
    </row>
    <row r="367" spans="1:19" hidden="1" x14ac:dyDescent="0.25">
      <c r="A367" s="160" t="s">
        <v>686</v>
      </c>
      <c r="B367" s="160" t="s">
        <v>3386</v>
      </c>
      <c r="C367" s="180">
        <v>14</v>
      </c>
      <c r="D367">
        <v>1</v>
      </c>
      <c r="E367" cm="1">
        <f t="array" aca="1" ref="E367" ca="1">SUMPRODUCT(SUMIF(INDIRECT("'"&amp;Assemblies[Assy]&amp;"'!"&amp;"C:C"),$A367,(INDIRECT("'"&amp;Assemblies[Assy]&amp;"'!"&amp;"O:O"))))</f>
        <v>12</v>
      </c>
      <c r="F367">
        <f ca="1">ROUNDUP(Purchased[[#This Row],[BOM QTY]]/Purchased[[#This Row],[PK QTY]], 0)</f>
        <v>12</v>
      </c>
      <c r="G367">
        <v>12</v>
      </c>
      <c r="H367" t="str">
        <f ca="1">IF(F367&lt;=G367," ","YES")</f>
        <v xml:space="preserve"> </v>
      </c>
      <c r="I367">
        <v>12</v>
      </c>
      <c r="J367">
        <v>12</v>
      </c>
      <c r="K367" t="s">
        <v>3313</v>
      </c>
      <c r="L367" t="s">
        <v>3313</v>
      </c>
      <c r="N367" s="40">
        <v>45526</v>
      </c>
      <c r="O367" s="40">
        <v>45526</v>
      </c>
      <c r="R367">
        <v>55697</v>
      </c>
      <c r="S367" s="40" t="str" cm="1">
        <f t="array" aca="1" ref="S367" ca="1">TRIM(SUBSTITUTE(_xlfn.ARRAYTOTEXT(IFERROR(CONCATENATE(SUMIF(INDIRECT("'"&amp;Assemblies[Assy]&amp;"'!"&amp;"C$5:C1000"), $A367, INDIRECT("'"&amp;Assemblies[Assy]&amp;"'!"&amp;"O$5:O1000")), "x",Assemblies[Assy],".",IF(SUMIF(INDIRECT("'"&amp;Assemblies[Assy]&amp;"'!"&amp;"C$5:C1000"), $A367, INDIRECT("'"&amp;Assemblies[Assy]&amp;"'!"&amp;"A$5:A1000"))=0,NA(),SUMIF(INDIRECT("'"&amp;Assemblies[Assy]&amp;"'!"&amp;"C$5:C1000"), $A367, INDIRECT("'"&amp;Assemblies[Assy]&amp;"'!"&amp;"A$5:A1000")))),"")), " ,", ""))</f>
        <v>, 4x5.1.306, 8x6.8.306,</v>
      </c>
    </row>
    <row r="368" spans="1:19" hidden="1" x14ac:dyDescent="0.25">
      <c r="A368" s="160" t="s">
        <v>1159</v>
      </c>
      <c r="B368" s="160" t="s">
        <v>3329</v>
      </c>
      <c r="C368" s="180">
        <v>6.04</v>
      </c>
      <c r="D368">
        <v>1</v>
      </c>
      <c r="E368" cm="1">
        <f t="array" aca="1" ref="E368" ca="1">SUMPRODUCT(SUMIF(INDIRECT("'"&amp;Assemblies[Assy]&amp;"'!"&amp;"C:C"),$A368,(INDIRECT("'"&amp;Assemblies[Assy]&amp;"'!"&amp;"O:O"))))</f>
        <v>16</v>
      </c>
      <c r="F368">
        <f ca="1">ROUNDUP(Purchased[[#This Row],[BOM QTY]]/Purchased[[#This Row],[PK QTY]], 0)</f>
        <v>16</v>
      </c>
      <c r="G368">
        <v>16</v>
      </c>
      <c r="H368" t="str">
        <f ca="1">IF(F368&lt;=G368," ","YES")</f>
        <v xml:space="preserve"> </v>
      </c>
      <c r="I368">
        <v>16</v>
      </c>
      <c r="J368">
        <v>16</v>
      </c>
      <c r="K368" t="s">
        <v>3313</v>
      </c>
      <c r="L368" t="s">
        <v>3313</v>
      </c>
      <c r="N368" s="40">
        <v>45481</v>
      </c>
      <c r="O368" s="40">
        <v>45481</v>
      </c>
      <c r="P368" s="40">
        <v>45482</v>
      </c>
      <c r="Q368" s="40">
        <v>45482</v>
      </c>
      <c r="R368">
        <v>55586</v>
      </c>
      <c r="S368" s="40" t="str" cm="1">
        <f t="array" aca="1" ref="S368" ca="1">TRIM(SUBSTITUTE(_xlfn.ARRAYTOTEXT(IFERROR(CONCATENATE(SUMIF(INDIRECT("'"&amp;Assemblies[Assy]&amp;"'!"&amp;"C$5:C1000"), $A368, INDIRECT("'"&amp;Assemblies[Assy]&amp;"'!"&amp;"O$5:O1000")), "x",Assemblies[Assy],".",IF(SUMIF(INDIRECT("'"&amp;Assemblies[Assy]&amp;"'!"&amp;"C$5:C1000"), $A368, INDIRECT("'"&amp;Assemblies[Assy]&amp;"'!"&amp;"A$5:A1000"))=0,NA(),SUMIF(INDIRECT("'"&amp;Assemblies[Assy]&amp;"'!"&amp;"C$5:C1000"), $A368, INDIRECT("'"&amp;Assemblies[Assy]&amp;"'!"&amp;"A$5:A1000")))),"")), " ,", ""))</f>
        <v>, 6x7.2.2.303, 6x7.3.1.303, 2x8.1.2.303, 2x8.2.1.303,</v>
      </c>
    </row>
    <row r="369" spans="1:19" hidden="1" x14ac:dyDescent="0.25">
      <c r="A369" s="162" t="s">
        <v>301</v>
      </c>
      <c r="B369" s="160" t="s">
        <v>3320</v>
      </c>
      <c r="C369" s="180">
        <v>4.71</v>
      </c>
      <c r="D369">
        <v>1</v>
      </c>
      <c r="E369" cm="1">
        <f t="array" aca="1" ref="E369" ca="1">SUMPRODUCT(SUMIF(INDIRECT("'"&amp;Assemblies[Assy]&amp;"'!"&amp;"C:C"),$A369,(INDIRECT("'"&amp;Assemblies[Assy]&amp;"'!"&amp;"O:O"))))</f>
        <v>20</v>
      </c>
      <c r="F369">
        <f ca="1">ROUNDUP(Purchased[[#This Row],[BOM QTY]]/Purchased[[#This Row],[PK QTY]], 0)</f>
        <v>20</v>
      </c>
      <c r="G369">
        <v>20</v>
      </c>
      <c r="H369" t="str">
        <f ca="1">IF(F369&lt;=G369," ","YES")</f>
        <v xml:space="preserve"> </v>
      </c>
      <c r="I369">
        <v>20</v>
      </c>
      <c r="J369">
        <v>20</v>
      </c>
      <c r="K369" t="s">
        <v>3313</v>
      </c>
      <c r="L369" t="s">
        <v>3313</v>
      </c>
      <c r="N369" s="40">
        <v>45460</v>
      </c>
      <c r="O369" s="40">
        <v>45460</v>
      </c>
      <c r="P369" s="40">
        <v>45462</v>
      </c>
      <c r="Q369" s="40">
        <v>45462</v>
      </c>
      <c r="R369">
        <v>55556</v>
      </c>
      <c r="S369" s="40" t="str" cm="1">
        <f t="array" aca="1" ref="S369" ca="1">TRIM(SUBSTITUTE(_xlfn.ARRAYTOTEXT(IFERROR(CONCATENATE(SUMIF(INDIRECT("'"&amp;Assemblies[Assy]&amp;"'!"&amp;"C$5:C1000"), $A369, INDIRECT("'"&amp;Assemblies[Assy]&amp;"'!"&amp;"O$5:O1000")), "x",Assemblies[Assy],".",IF(SUMIF(INDIRECT("'"&amp;Assemblies[Assy]&amp;"'!"&amp;"C$5:C1000"), $A369, INDIRECT("'"&amp;Assemblies[Assy]&amp;"'!"&amp;"A$5:A1000"))=0,NA(),SUMIF(INDIRECT("'"&amp;Assemblies[Assy]&amp;"'!"&amp;"C$5:C1000"), $A369, INDIRECT("'"&amp;Assemblies[Assy]&amp;"'!"&amp;"A$5:A1000")))),"")), " ,", ""))</f>
        <v>, 8x1.3.309, 12x2.3.311,</v>
      </c>
    </row>
    <row r="370" spans="1:19" ht="15" hidden="1" customHeight="1" x14ac:dyDescent="0.25">
      <c r="A370" s="160" t="s">
        <v>1109</v>
      </c>
      <c r="B370" s="160" t="s">
        <v>3333</v>
      </c>
      <c r="C370" s="180">
        <v>24</v>
      </c>
      <c r="D370">
        <v>1</v>
      </c>
      <c r="E370" cm="1">
        <f t="array" aca="1" ref="E370" ca="1">SUMPRODUCT(SUMIF(INDIRECT("'"&amp;Assemblies[Assy]&amp;"'!"&amp;"C:C"),$A370,(INDIRECT("'"&amp;Assemblies[Assy]&amp;"'!"&amp;"O:O"))))</f>
        <v>24</v>
      </c>
      <c r="F370">
        <f ca="1">ROUNDUP(Purchased[[#This Row],[BOM QTY]]/Purchased[[#This Row],[PK QTY]], 0)</f>
        <v>24</v>
      </c>
      <c r="G370">
        <v>24</v>
      </c>
      <c r="H370" t="str">
        <f ca="1">IF(F370&lt;=G370," ","YES")</f>
        <v xml:space="preserve"> </v>
      </c>
      <c r="I370">
        <v>24</v>
      </c>
      <c r="J370">
        <v>24</v>
      </c>
      <c r="K370" t="s">
        <v>3313</v>
      </c>
      <c r="L370" t="s">
        <v>3313</v>
      </c>
      <c r="N370" s="40">
        <v>45481</v>
      </c>
      <c r="O370" s="40">
        <v>45481</v>
      </c>
      <c r="P370" s="40">
        <v>45482</v>
      </c>
      <c r="Q370" s="40">
        <v>45482</v>
      </c>
      <c r="R370">
        <v>55586</v>
      </c>
      <c r="S370" s="40" t="str" cm="1">
        <f t="array" aca="1" ref="S370" ca="1">TRIM(SUBSTITUTE(_xlfn.ARRAYTOTEXT(IFERROR(CONCATENATE(SUMIF(INDIRECT("'"&amp;Assemblies[Assy]&amp;"'!"&amp;"C$5:C1000"), $A370, INDIRECT("'"&amp;Assemblies[Assy]&amp;"'!"&amp;"O$5:O1000")), "x",Assemblies[Assy],".",IF(SUMIF(INDIRECT("'"&amp;Assemblies[Assy]&amp;"'!"&amp;"C$5:C1000"), $A370, INDIRECT("'"&amp;Assemblies[Assy]&amp;"'!"&amp;"A$5:A1000"))=0,NA(),SUMIF(INDIRECT("'"&amp;Assemblies[Assy]&amp;"'!"&amp;"C$5:C1000"), $A370, INDIRECT("'"&amp;Assemblies[Assy]&amp;"'!"&amp;"A$5:A1000")))),"")), " ,", ""))</f>
        <v>, 24x7.1.313,</v>
      </c>
    </row>
    <row r="371" spans="1:19" hidden="1" x14ac:dyDescent="0.25">
      <c r="A371" s="160" t="s">
        <v>1183</v>
      </c>
      <c r="B371" s="160" t="s">
        <v>3368</v>
      </c>
      <c r="C371" s="180">
        <v>7.33</v>
      </c>
      <c r="D371">
        <v>1</v>
      </c>
      <c r="E371" cm="1">
        <f t="array" aca="1" ref="E371" ca="1">SUMPRODUCT(SUMIF(INDIRECT("'"&amp;Assemblies[Assy]&amp;"'!"&amp;"C:C"),$A371,(INDIRECT("'"&amp;Assemblies[Assy]&amp;"'!"&amp;"O:O"))))</f>
        <v>32</v>
      </c>
      <c r="F371">
        <f ca="1">ROUNDUP(Purchased[[#This Row],[BOM QTY]]/Purchased[[#This Row],[PK QTY]], 0)</f>
        <v>32</v>
      </c>
      <c r="G371">
        <v>32</v>
      </c>
      <c r="H371" t="str">
        <f ca="1">IF(F371&lt;=G371," ","YES")</f>
        <v xml:space="preserve"> </v>
      </c>
      <c r="I371">
        <v>32</v>
      </c>
      <c r="J371">
        <v>32</v>
      </c>
      <c r="K371" t="s">
        <v>3313</v>
      </c>
      <c r="L371" t="s">
        <v>3313</v>
      </c>
      <c r="N371" s="40">
        <v>45481</v>
      </c>
      <c r="O371" s="40">
        <v>45482</v>
      </c>
      <c r="P371" s="40">
        <v>45483</v>
      </c>
      <c r="Q371" s="40">
        <v>45483</v>
      </c>
      <c r="R371">
        <v>55591</v>
      </c>
      <c r="S371" s="40" t="str" cm="1">
        <f t="array" aca="1" ref="S371" ca="1">TRIM(SUBSTITUTE(_xlfn.ARRAYTOTEXT(IFERROR(CONCATENATE(SUMIF(INDIRECT("'"&amp;Assemblies[Assy]&amp;"'!"&amp;"C$5:C1000"), $A371, INDIRECT("'"&amp;Assemblies[Assy]&amp;"'!"&amp;"O$5:O1000")), "x",Assemblies[Assy],".",IF(SUMIF(INDIRECT("'"&amp;Assemblies[Assy]&amp;"'!"&amp;"C$5:C1000"), $A371, INDIRECT("'"&amp;Assemblies[Assy]&amp;"'!"&amp;"A$5:A1000"))=0,NA(),SUMIF(INDIRECT("'"&amp;Assemblies[Assy]&amp;"'!"&amp;"C$5:C1000"), $A371, INDIRECT("'"&amp;Assemblies[Assy]&amp;"'!"&amp;"A$5:A1000")))),"")), " ,", ""))</f>
        <v>, 32x7.2.5.302,</v>
      </c>
    </row>
    <row r="372" spans="1:19" hidden="1" x14ac:dyDescent="0.25">
      <c r="A372" s="160" t="s">
        <v>972</v>
      </c>
      <c r="B372" s="160" t="s">
        <v>3383</v>
      </c>
      <c r="C372" s="180">
        <v>11.03</v>
      </c>
      <c r="D372">
        <v>150</v>
      </c>
      <c r="E372" cm="1">
        <f t="array" aca="1" ref="E372" ca="1">SUMPRODUCT(SUMIF(INDIRECT("'"&amp;Assemblies[Assy]&amp;"'!"&amp;"C:C"),$A372,(INDIRECT("'"&amp;Assemblies[Assy]&amp;"'!"&amp;"O:O"))))</f>
        <v>2</v>
      </c>
      <c r="F372">
        <f ca="1">ROUNDUP(Purchased[[#This Row],[BOM QTY]]/Purchased[[#This Row],[PK QTY]], 0)</f>
        <v>1</v>
      </c>
      <c r="G372">
        <v>1</v>
      </c>
      <c r="H372" t="str">
        <f ca="1">IF(F372&lt;=G372," ","YES")</f>
        <v xml:space="preserve"> </v>
      </c>
      <c r="I372">
        <v>1</v>
      </c>
      <c r="J372">
        <v>1</v>
      </c>
      <c r="K372" t="s">
        <v>3313</v>
      </c>
      <c r="L372" t="s">
        <v>3313</v>
      </c>
      <c r="M372" t="s">
        <v>3311</v>
      </c>
      <c r="N372" s="40" t="s">
        <v>2747</v>
      </c>
      <c r="O372" s="40" t="s">
        <v>2747</v>
      </c>
      <c r="P372" s="40" t="s">
        <v>2747</v>
      </c>
      <c r="Q372" s="40" t="s">
        <v>2747</v>
      </c>
      <c r="R372" s="40" t="s">
        <v>2747</v>
      </c>
      <c r="S372" s="40" t="str" cm="1">
        <f t="array" aca="1" ref="S372" ca="1">TRIM(SUBSTITUTE(_xlfn.ARRAYTOTEXT(IFERROR(CONCATENATE(SUMIF(INDIRECT("'"&amp;Assemblies[Assy]&amp;"'!"&amp;"C$5:C1000"), $A372, INDIRECT("'"&amp;Assemblies[Assy]&amp;"'!"&amp;"O$5:O1000")), "x",Assemblies[Assy],".",IF(SUMIF(INDIRECT("'"&amp;Assemblies[Assy]&amp;"'!"&amp;"C$5:C1000"), $A372, INDIRECT("'"&amp;Assemblies[Assy]&amp;"'!"&amp;"A$5:A1000"))=0,NA(),SUMIF(INDIRECT("'"&amp;Assemblies[Assy]&amp;"'!"&amp;"C$5:C1000"), $A372, INDIRECT("'"&amp;Assemblies[Assy]&amp;"'!"&amp;"A$5:A1000")))),"")), " ,", ""))</f>
        <v>, 1x6.2.1.4.312, 1x6.3.1.4.312,</v>
      </c>
    </row>
    <row r="373" spans="1:19" hidden="1" x14ac:dyDescent="0.25">
      <c r="A373" s="193" t="s">
        <v>185</v>
      </c>
      <c r="B373" s="160" t="s">
        <v>3431</v>
      </c>
      <c r="C373" s="180">
        <v>1.1599999999999999</v>
      </c>
      <c r="D373">
        <v>1</v>
      </c>
      <c r="E373" cm="1">
        <f t="array" aca="1" ref="E373" ca="1">SUMPRODUCT(SUMIF(INDIRECT("'"&amp;Assemblies[Assy]&amp;"'!"&amp;"C:C"),$A373,(INDIRECT("'"&amp;Assemblies[Assy]&amp;"'!"&amp;"O:O"))))</f>
        <v>6</v>
      </c>
      <c r="F373">
        <f ca="1">ROUNDUP(Purchased[[#This Row],[BOM QTY]]/Purchased[[#This Row],[PK QTY]], 0)</f>
        <v>6</v>
      </c>
      <c r="G373">
        <v>6</v>
      </c>
      <c r="H373" t="str">
        <f ca="1">IF(F373&lt;=G373," ","YES")</f>
        <v xml:space="preserve"> </v>
      </c>
      <c r="K373" t="s">
        <v>3313</v>
      </c>
      <c r="L373" t="s">
        <v>3313</v>
      </c>
      <c r="N373" s="40">
        <v>45526</v>
      </c>
      <c r="O373" s="40">
        <v>45526</v>
      </c>
      <c r="R373">
        <v>55697</v>
      </c>
      <c r="S373" s="40" t="str" cm="1">
        <f t="array" aca="1" ref="S373" ca="1">TRIM(SUBSTITUTE(_xlfn.ARRAYTOTEXT(IFERROR(CONCATENATE(SUMIF(INDIRECT("'"&amp;Assemblies[Assy]&amp;"'!"&amp;"C$5:C1000"), $A373, INDIRECT("'"&amp;Assemblies[Assy]&amp;"'!"&amp;"O$5:O1000")), "x",Assemblies[Assy],".",IF(SUMIF(INDIRECT("'"&amp;Assemblies[Assy]&amp;"'!"&amp;"C$5:C1000"), $A373, INDIRECT("'"&amp;Assemblies[Assy]&amp;"'!"&amp;"A$5:A1000"))=0,NA(),SUMIF(INDIRECT("'"&amp;Assemblies[Assy]&amp;"'!"&amp;"C$5:C1000"), $A373, INDIRECT("'"&amp;Assemblies[Assy]&amp;"'!"&amp;"A$5:A1000")))),"")), " ,", ""))</f>
        <v>, 2x1.1.5.304, 4x10.1.5.303,</v>
      </c>
    </row>
    <row r="374" spans="1:19" hidden="1" x14ac:dyDescent="0.25">
      <c r="A374" s="160" t="s">
        <v>3400</v>
      </c>
      <c r="B374" s="160" t="s">
        <v>3401</v>
      </c>
      <c r="C374" s="180">
        <v>74.319999999999993</v>
      </c>
      <c r="D374">
        <v>1</v>
      </c>
      <c r="E374" cm="1">
        <f t="array" aca="1" ref="E374" ca="1">SUMPRODUCT(SUMIF(INDIRECT("'"&amp;Assemblies[Assy]&amp;"'!"&amp;"C:C"),$A374,(INDIRECT("'"&amp;Assemblies[Assy]&amp;"'!"&amp;"O:O"))))</f>
        <v>0</v>
      </c>
      <c r="F374">
        <f ca="1">ROUNDUP(Purchased[[#This Row],[BOM QTY]]/Purchased[[#This Row],[PK QTY]], 0)</f>
        <v>0</v>
      </c>
      <c r="H374" t="str">
        <f ca="1">IF(F374&lt;=G374," ","YES")</f>
        <v xml:space="preserve"> </v>
      </c>
      <c r="K374" t="s">
        <v>3313</v>
      </c>
      <c r="L374" t="s">
        <v>3313</v>
      </c>
      <c r="N374" s="40" t="s">
        <v>2747</v>
      </c>
      <c r="S374" s="40" t="str" cm="1">
        <f t="array" aca="1" ref="S374" ca="1">TRIM(SUBSTITUTE(_xlfn.ARRAYTOTEXT(IFERROR(CONCATENATE(SUMIF(INDIRECT("'"&amp;Assemblies[Assy]&amp;"'!"&amp;"C$5:C1000"), $A374, INDIRECT("'"&amp;Assemblies[Assy]&amp;"'!"&amp;"O$5:O1000")), "x",Assemblies[Assy],".",IF(SUMIF(INDIRECT("'"&amp;Assemblies[Assy]&amp;"'!"&amp;"C$5:C1000"), $A374, INDIRECT("'"&amp;Assemblies[Assy]&amp;"'!"&amp;"A$5:A1000"))=0,NA(),SUMIF(INDIRECT("'"&amp;Assemblies[Assy]&amp;"'!"&amp;"C$5:C1000"), $A374, INDIRECT("'"&amp;Assemblies[Assy]&amp;"'!"&amp;"A$5:A1000")))),"")), " ,", ""))</f>
        <v>,</v>
      </c>
    </row>
    <row r="375" spans="1:19" hidden="1" x14ac:dyDescent="0.25">
      <c r="A375" s="161" t="s">
        <v>3407</v>
      </c>
      <c r="B375" s="161" t="s">
        <v>3408</v>
      </c>
      <c r="C375" s="180">
        <v>521.32000000000005</v>
      </c>
      <c r="D375">
        <v>1524</v>
      </c>
      <c r="E375" cm="1">
        <f t="array" aca="1" ref="E375" ca="1">SUMPRODUCT(SUMIF(INDIRECT("'"&amp;Assemblies[Assy]&amp;"'!"&amp;"C:C"),$A375,(INDIRECT("'"&amp;Assemblies[Assy]&amp;"'!"&amp;"O:O"))))</f>
        <v>0</v>
      </c>
      <c r="F375">
        <f ca="1">ROUNDUP(Purchased[[#This Row],[BOM QTY]]/Purchased[[#This Row],[PK QTY]], 0)</f>
        <v>0</v>
      </c>
      <c r="H375" t="str">
        <f ca="1">IF(F375&lt;=G375," ","YES")</f>
        <v xml:space="preserve"> </v>
      </c>
      <c r="K375" t="s">
        <v>3313</v>
      </c>
      <c r="L375" t="s">
        <v>3313</v>
      </c>
      <c r="N375" s="40" t="s">
        <v>2747</v>
      </c>
      <c r="S375" s="40" t="str" cm="1">
        <f t="array" aca="1" ref="S375" ca="1">TRIM(SUBSTITUTE(_xlfn.ARRAYTOTEXT(IFERROR(CONCATENATE(SUMIF(INDIRECT("'"&amp;Assemblies[Assy]&amp;"'!"&amp;"C$5:C1000"), $A375, INDIRECT("'"&amp;Assemblies[Assy]&amp;"'!"&amp;"O$5:O1000")), "x",Assemblies[Assy],".",IF(SUMIF(INDIRECT("'"&amp;Assemblies[Assy]&amp;"'!"&amp;"C$5:C1000"), $A375, INDIRECT("'"&amp;Assemblies[Assy]&amp;"'!"&amp;"A$5:A1000"))=0,NA(),SUMIF(INDIRECT("'"&amp;Assemblies[Assy]&amp;"'!"&amp;"C$5:C1000"), $A375, INDIRECT("'"&amp;Assemblies[Assy]&amp;"'!"&amp;"A$5:A1000")))),"")), " ,", ""))</f>
        <v>,</v>
      </c>
    </row>
    <row r="376" spans="1:19" hidden="1" x14ac:dyDescent="0.25">
      <c r="A376" s="160" t="s">
        <v>3415</v>
      </c>
      <c r="B376" s="160" t="s">
        <v>3416</v>
      </c>
      <c r="C376" s="180">
        <v>2.61</v>
      </c>
      <c r="D376">
        <v>100</v>
      </c>
      <c r="E376" cm="1">
        <f t="array" aca="1" ref="E376" ca="1">SUMPRODUCT(SUMIF(INDIRECT("'"&amp;Assemblies[Assy]&amp;"'!"&amp;"C:C"),$A376,(INDIRECT("'"&amp;Assemblies[Assy]&amp;"'!"&amp;"O:O"))))</f>
        <v>0</v>
      </c>
      <c r="F376">
        <f ca="1">ROUNDUP(Purchased[[#This Row],[BOM QTY]]/Purchased[[#This Row],[PK QTY]], 0)</f>
        <v>0</v>
      </c>
      <c r="H376" t="str">
        <f ca="1">IF(F376&lt;=G376," ","YES")</f>
        <v xml:space="preserve"> </v>
      </c>
      <c r="K376" t="s">
        <v>3313</v>
      </c>
      <c r="L376" t="s">
        <v>3313</v>
      </c>
      <c r="S376" s="40" t="str" cm="1">
        <f t="array" aca="1" ref="S376" ca="1">TRIM(SUBSTITUTE(_xlfn.ARRAYTOTEXT(IFERROR(CONCATENATE(SUMIF(INDIRECT("'"&amp;Assemblies[Assy]&amp;"'!"&amp;"C$5:C1000"), $A376, INDIRECT("'"&amp;Assemblies[Assy]&amp;"'!"&amp;"O$5:O1000")), "x",Assemblies[Assy],".",IF(SUMIF(INDIRECT("'"&amp;Assemblies[Assy]&amp;"'!"&amp;"C$5:C1000"), $A376, INDIRECT("'"&amp;Assemblies[Assy]&amp;"'!"&amp;"A$5:A1000"))=0,NA(),SUMIF(INDIRECT("'"&amp;Assemblies[Assy]&amp;"'!"&amp;"C$5:C1000"), $A376, INDIRECT("'"&amp;Assemblies[Assy]&amp;"'!"&amp;"A$5:A1000")))),"")), " ,", ""))</f>
        <v>,</v>
      </c>
    </row>
    <row r="377" spans="1:19" hidden="1" x14ac:dyDescent="0.25">
      <c r="A377" s="160" t="s">
        <v>3428</v>
      </c>
      <c r="B377" s="160" t="s">
        <v>3429</v>
      </c>
      <c r="C377" s="180">
        <v>113.87</v>
      </c>
      <c r="D377">
        <v>1</v>
      </c>
      <c r="E377" cm="1">
        <f t="array" aca="1" ref="E377" ca="1">SUMPRODUCT(SUMIF(INDIRECT("'"&amp;Assemblies[Assy]&amp;"'!"&amp;"C:C"),$A377,(INDIRECT("'"&amp;Assemblies[Assy]&amp;"'!"&amp;"O:O"))))</f>
        <v>0</v>
      </c>
      <c r="F377">
        <f ca="1">ROUNDUP(Purchased[[#This Row],[BOM QTY]]/Purchased[[#This Row],[PK QTY]], 0)</f>
        <v>0</v>
      </c>
      <c r="H377" t="str">
        <f ca="1">IF(F377&lt;=G377," ","YES")</f>
        <v xml:space="preserve"> </v>
      </c>
      <c r="K377" t="s">
        <v>3313</v>
      </c>
      <c r="L377" t="s">
        <v>3313</v>
      </c>
      <c r="M377" t="s">
        <v>3430</v>
      </c>
      <c r="N377" s="40" t="s">
        <v>2747</v>
      </c>
      <c r="S377" s="40" t="str" cm="1">
        <f t="array" aca="1" ref="S377" ca="1">TRIM(SUBSTITUTE(_xlfn.ARRAYTOTEXT(IFERROR(CONCATENATE(SUMIF(INDIRECT("'"&amp;Assemblies[Assy]&amp;"'!"&amp;"C$5:C1000"), $A377, INDIRECT("'"&amp;Assemblies[Assy]&amp;"'!"&amp;"O$5:O1000")), "x",Assemblies[Assy],".",IF(SUMIF(INDIRECT("'"&amp;Assemblies[Assy]&amp;"'!"&amp;"C$5:C1000"), $A377, INDIRECT("'"&amp;Assemblies[Assy]&amp;"'!"&amp;"A$5:A1000"))=0,NA(),SUMIF(INDIRECT("'"&amp;Assemblies[Assy]&amp;"'!"&amp;"C$5:C1000"), $A377, INDIRECT("'"&amp;Assemblies[Assy]&amp;"'!"&amp;"A$5:A1000")))),"")), " ,", ""))</f>
        <v>,</v>
      </c>
    </row>
    <row r="378" spans="1:19" hidden="1" x14ac:dyDescent="0.25">
      <c r="A378" s="161" t="s">
        <v>1389</v>
      </c>
      <c r="B378" s="161" t="s">
        <v>3433</v>
      </c>
      <c r="C378" s="180">
        <v>6.56</v>
      </c>
      <c r="D378">
        <v>1</v>
      </c>
      <c r="E378" cm="1">
        <f t="array" aca="1" ref="E378" ca="1">SUMPRODUCT(SUMIF(INDIRECT("'"&amp;Assemblies[Assy]&amp;"'!"&amp;"C:C"),$A378,(INDIRECT("'"&amp;Assemblies[Assy]&amp;"'!"&amp;"O:O"))))</f>
        <v>0</v>
      </c>
      <c r="F378">
        <f ca="1">ROUNDUP(Purchased[[#This Row],[BOM QTY]]/Purchased[[#This Row],[PK QTY]], 0)</f>
        <v>0</v>
      </c>
      <c r="H378" t="str">
        <f ca="1">IF(F378&lt;=G378," ","YES")</f>
        <v xml:space="preserve"> </v>
      </c>
      <c r="K378" t="s">
        <v>3434</v>
      </c>
      <c r="L378" t="s">
        <v>3313</v>
      </c>
      <c r="M378" s="191" t="s">
        <v>3435</v>
      </c>
      <c r="N378" s="40" t="s">
        <v>2747</v>
      </c>
      <c r="S378" s="40" t="str" cm="1">
        <f t="array" aca="1" ref="S378" ca="1">TRIM(SUBSTITUTE(_xlfn.ARRAYTOTEXT(IFERROR(CONCATENATE(SUMIF(INDIRECT("'"&amp;Assemblies[Assy]&amp;"'!"&amp;"C$5:C1000"), $A378, INDIRECT("'"&amp;Assemblies[Assy]&amp;"'!"&amp;"O$5:O1000")), "x",Assemblies[Assy],".",IF(SUMIF(INDIRECT("'"&amp;Assemblies[Assy]&amp;"'!"&amp;"C$5:C1000"), $A378, INDIRECT("'"&amp;Assemblies[Assy]&amp;"'!"&amp;"A$5:A1000"))=0,NA(),SUMIF(INDIRECT("'"&amp;Assemblies[Assy]&amp;"'!"&amp;"C$5:C1000"), $A378, INDIRECT("'"&amp;Assemblies[Assy]&amp;"'!"&amp;"A$5:A1000")))),"")), " ,", ""))</f>
        <v>, 0x10.2.1.303, 0x10.2.4.304,</v>
      </c>
    </row>
    <row r="379" spans="1:19" hidden="1" x14ac:dyDescent="0.25">
      <c r="A379" s="160" t="s">
        <v>1357</v>
      </c>
      <c r="B379" s="160" t="s">
        <v>3438</v>
      </c>
      <c r="C379" s="180">
        <v>1514</v>
      </c>
      <c r="D379">
        <v>1</v>
      </c>
      <c r="E379" cm="1">
        <f t="array" aca="1" ref="E379" ca="1">SUMPRODUCT(SUMIF(INDIRECT("'"&amp;Assemblies[Assy]&amp;"'!"&amp;"C:C"),$A379,(INDIRECT("'"&amp;Assemblies[Assy]&amp;"'!"&amp;"O:O"))))</f>
        <v>1</v>
      </c>
      <c r="F379">
        <f ca="1">ROUNDUP(Purchased[[#This Row],[BOM QTY]]/Purchased[[#This Row],[PK QTY]], 0)</f>
        <v>1</v>
      </c>
      <c r="G379">
        <v>1</v>
      </c>
      <c r="H379" t="str">
        <f ca="1">IF(F379&lt;=G379," ","YES")</f>
        <v xml:space="preserve"> </v>
      </c>
      <c r="I379">
        <v>1</v>
      </c>
      <c r="J379">
        <v>1</v>
      </c>
      <c r="K379" t="s">
        <v>3437</v>
      </c>
      <c r="L379" t="s">
        <v>3437</v>
      </c>
      <c r="N379" s="40">
        <v>45510</v>
      </c>
      <c r="O379" s="40">
        <v>45523</v>
      </c>
      <c r="P379" s="40">
        <v>45548</v>
      </c>
      <c r="R379">
        <v>55669</v>
      </c>
      <c r="S379" s="40" t="str" cm="1">
        <f t="array" aca="1" ref="S379" ca="1">TRIM(SUBSTITUTE(_xlfn.ARRAYTOTEXT(IFERROR(CONCATENATE(SUMIF(INDIRECT("'"&amp;Assemblies[Assy]&amp;"'!"&amp;"C$5:C1000"), $A379, INDIRECT("'"&amp;Assemblies[Assy]&amp;"'!"&amp;"O$5:O1000")), "x",Assemblies[Assy],".",IF(SUMIF(INDIRECT("'"&amp;Assemblies[Assy]&amp;"'!"&amp;"C$5:C1000"), $A379, INDIRECT("'"&amp;Assemblies[Assy]&amp;"'!"&amp;"A$5:A1000"))=0,NA(),SUMIF(INDIRECT("'"&amp;Assemblies[Assy]&amp;"'!"&amp;"C$5:C1000"), $A379, INDIRECT("'"&amp;Assemblies[Assy]&amp;"'!"&amp;"A$5:A1000")))),"")), " ,", ""))</f>
        <v>, 1x10.1.10.302,</v>
      </c>
    </row>
    <row r="380" spans="1:19" hidden="1" x14ac:dyDescent="0.25">
      <c r="A380" s="160" t="s">
        <v>245</v>
      </c>
      <c r="B380" s="160" t="s">
        <v>3436</v>
      </c>
      <c r="C380" s="180">
        <v>1187</v>
      </c>
      <c r="D380">
        <v>1</v>
      </c>
      <c r="E380" cm="1">
        <f t="array" aca="1" ref="E380" ca="1">SUMPRODUCT(SUMIF(INDIRECT("'"&amp;Assemblies[Assy]&amp;"'!"&amp;"C:C"),$A380,(INDIRECT("'"&amp;Assemblies[Assy]&amp;"'!"&amp;"O:O"))))</f>
        <v>2</v>
      </c>
      <c r="F380">
        <f ca="1">ROUNDUP(Purchased[[#This Row],[BOM QTY]]/Purchased[[#This Row],[PK QTY]], 0)</f>
        <v>2</v>
      </c>
      <c r="G380">
        <v>2</v>
      </c>
      <c r="H380" t="str">
        <f ca="1">IF(F380&lt;=G380," ","YES")</f>
        <v xml:space="preserve"> </v>
      </c>
      <c r="I380">
        <v>2</v>
      </c>
      <c r="J380">
        <v>2</v>
      </c>
      <c r="K380" t="s">
        <v>3437</v>
      </c>
      <c r="L380" t="s">
        <v>3437</v>
      </c>
      <c r="N380" s="40">
        <v>45510</v>
      </c>
      <c r="O380" s="40">
        <v>45523</v>
      </c>
      <c r="P380" s="40">
        <v>45548</v>
      </c>
      <c r="R380">
        <v>55669</v>
      </c>
      <c r="S380" s="40" t="str" cm="1">
        <f t="array" aca="1" ref="S380" ca="1">TRIM(SUBSTITUTE(_xlfn.ARRAYTOTEXT(IFERROR(CONCATENATE(SUMIF(INDIRECT("'"&amp;Assemblies[Assy]&amp;"'!"&amp;"C$5:C1000"), $A380, INDIRECT("'"&amp;Assemblies[Assy]&amp;"'!"&amp;"O$5:O1000")), "x",Assemblies[Assy],".",IF(SUMIF(INDIRECT("'"&amp;Assemblies[Assy]&amp;"'!"&amp;"C$5:C1000"), $A380, INDIRECT("'"&amp;Assemblies[Assy]&amp;"'!"&amp;"A$5:A1000"))=0,NA(),SUMIF(INDIRECT("'"&amp;Assemblies[Assy]&amp;"'!"&amp;"C$5:C1000"), $A380, INDIRECT("'"&amp;Assemblies[Assy]&amp;"'!"&amp;"A$5:A1000")))),"")), " ,", ""))</f>
        <v>, 2x1.1.17.302,</v>
      </c>
    </row>
    <row r="381" spans="1:19" hidden="1" x14ac:dyDescent="0.25">
      <c r="A381" s="160" t="s">
        <v>897</v>
      </c>
      <c r="B381" s="160" t="s">
        <v>3443</v>
      </c>
      <c r="C381" s="180">
        <v>129.91</v>
      </c>
      <c r="D381">
        <v>1</v>
      </c>
      <c r="E381" cm="1">
        <f t="array" aca="1" ref="E381" ca="1">SUMPRODUCT(SUMIF(INDIRECT("'"&amp;Assemblies[Assy]&amp;"'!"&amp;"C:C"),$A381,(INDIRECT("'"&amp;Assemblies[Assy]&amp;"'!"&amp;"O:O"))))</f>
        <v>1</v>
      </c>
      <c r="F381">
        <f ca="1">ROUNDUP(Purchased[[#This Row],[BOM QTY]]/Purchased[[#This Row],[PK QTY]], 0)</f>
        <v>1</v>
      </c>
      <c r="G381">
        <v>1</v>
      </c>
      <c r="H381" t="str">
        <f ca="1">IF(F381&lt;=G381," ","YES")</f>
        <v xml:space="preserve"> </v>
      </c>
      <c r="I381">
        <v>1</v>
      </c>
      <c r="J381">
        <v>1</v>
      </c>
      <c r="K381" t="s">
        <v>3442</v>
      </c>
      <c r="L381" t="s">
        <v>3442</v>
      </c>
      <c r="N381" s="40">
        <v>45483</v>
      </c>
      <c r="O381" s="40">
        <v>45483</v>
      </c>
      <c r="P381" s="40">
        <v>45512</v>
      </c>
      <c r="Q381" s="40">
        <v>45512</v>
      </c>
      <c r="R381">
        <v>55592</v>
      </c>
      <c r="S381" s="40" t="str" cm="1">
        <f t="array" aca="1" ref="S381" ca="1">TRIM(SUBSTITUTE(_xlfn.ARRAYTOTEXT(IFERROR(CONCATENATE(SUMIF(INDIRECT("'"&amp;Assemblies[Assy]&amp;"'!"&amp;"C$5:C1000"), $A381, INDIRECT("'"&amp;Assemblies[Assy]&amp;"'!"&amp;"O$5:O1000")), "x",Assemblies[Assy],".",IF(SUMIF(INDIRECT("'"&amp;Assemblies[Assy]&amp;"'!"&amp;"C$5:C1000"), $A381, INDIRECT("'"&amp;Assemblies[Assy]&amp;"'!"&amp;"A$5:A1000"))=0,NA(),SUMIF(INDIRECT("'"&amp;Assemblies[Assy]&amp;"'!"&amp;"C$5:C1000"), $A381, INDIRECT("'"&amp;Assemblies[Assy]&amp;"'!"&amp;"A$5:A1000")))),"")), " ,", ""))</f>
        <v>, 1x6.1.312,</v>
      </c>
    </row>
    <row r="382" spans="1:19" hidden="1" x14ac:dyDescent="0.25">
      <c r="A382" s="160" t="s">
        <v>896</v>
      </c>
      <c r="B382" s="160" t="s">
        <v>3441</v>
      </c>
      <c r="C382" s="180">
        <v>112.81</v>
      </c>
      <c r="D382">
        <v>1</v>
      </c>
      <c r="E382" cm="1">
        <f t="array" aca="1" ref="E382" ca="1">SUMPRODUCT(SUMIF(INDIRECT("'"&amp;Assemblies[Assy]&amp;"'!"&amp;"C:C"),$A382,(INDIRECT("'"&amp;Assemblies[Assy]&amp;"'!"&amp;"O:O"))))</f>
        <v>2</v>
      </c>
      <c r="F382">
        <f ca="1">ROUNDUP(Purchased[[#This Row],[BOM QTY]]/Purchased[[#This Row],[PK QTY]], 0)</f>
        <v>2</v>
      </c>
      <c r="G382">
        <v>2</v>
      </c>
      <c r="H382" t="str">
        <f ca="1">IF(F382&lt;=G382," ","YES")</f>
        <v xml:space="preserve"> </v>
      </c>
      <c r="I382">
        <v>2</v>
      </c>
      <c r="J382">
        <v>2</v>
      </c>
      <c r="K382" t="s">
        <v>3442</v>
      </c>
      <c r="L382" t="s">
        <v>3442</v>
      </c>
      <c r="N382" s="40">
        <v>45483</v>
      </c>
      <c r="O382" s="40">
        <v>45483</v>
      </c>
      <c r="P382" s="40">
        <v>45512</v>
      </c>
      <c r="Q382" s="40">
        <v>45512</v>
      </c>
      <c r="R382">
        <v>55592</v>
      </c>
      <c r="S382" s="40" t="str" cm="1">
        <f t="array" aca="1" ref="S382" ca="1">TRIM(SUBSTITUTE(_xlfn.ARRAYTOTEXT(IFERROR(CONCATENATE(SUMIF(INDIRECT("'"&amp;Assemblies[Assy]&amp;"'!"&amp;"C$5:C1000"), $A382, INDIRECT("'"&amp;Assemblies[Assy]&amp;"'!"&amp;"O$5:O1000")), "x",Assemblies[Assy],".",IF(SUMIF(INDIRECT("'"&amp;Assemblies[Assy]&amp;"'!"&amp;"C$5:C1000"), $A382, INDIRECT("'"&amp;Assemblies[Assy]&amp;"'!"&amp;"A$5:A1000"))=0,NA(),SUMIF(INDIRECT("'"&amp;Assemblies[Assy]&amp;"'!"&amp;"C$5:C1000"), $A382, INDIRECT("'"&amp;Assemblies[Assy]&amp;"'!"&amp;"A$5:A1000")))),"")), " ,", ""))</f>
        <v>, 2x6.1.311,</v>
      </c>
    </row>
    <row r="383" spans="1:19" hidden="1" x14ac:dyDescent="0.25">
      <c r="A383" s="160" t="s">
        <v>939</v>
      </c>
      <c r="B383" s="160" t="s">
        <v>3444</v>
      </c>
      <c r="C383" s="180">
        <v>11.77</v>
      </c>
      <c r="D383">
        <v>1</v>
      </c>
      <c r="E383" cm="1">
        <f t="array" aca="1" ref="E383" ca="1">SUMPRODUCT(SUMIF(INDIRECT("'"&amp;Assemblies[Assy]&amp;"'!"&amp;"C:C"),$A383,(INDIRECT("'"&amp;Assemblies[Assy]&amp;"'!"&amp;"O:O"))))</f>
        <v>2</v>
      </c>
      <c r="F383">
        <f ca="1">ROUNDUP(Purchased[[#This Row],[BOM QTY]]/Purchased[[#This Row],[PK QTY]], 0)</f>
        <v>2</v>
      </c>
      <c r="G383">
        <v>2</v>
      </c>
      <c r="H383" t="str">
        <f ca="1">IF(F383&lt;=G383," ","YES")</f>
        <v xml:space="preserve"> </v>
      </c>
      <c r="I383">
        <v>2</v>
      </c>
      <c r="J383">
        <v>2</v>
      </c>
      <c r="K383" t="s">
        <v>3442</v>
      </c>
      <c r="L383" t="s">
        <v>3442</v>
      </c>
      <c r="N383" s="40">
        <v>45483</v>
      </c>
      <c r="O383" s="40">
        <v>45483</v>
      </c>
      <c r="P383" s="40">
        <v>45512</v>
      </c>
      <c r="Q383" s="40">
        <v>45512</v>
      </c>
      <c r="R383">
        <v>55592</v>
      </c>
      <c r="S383" s="40" t="str" cm="1">
        <f t="array" aca="1" ref="S383" ca="1">TRIM(SUBSTITUTE(_xlfn.ARRAYTOTEXT(IFERROR(CONCATENATE(SUMIF(INDIRECT("'"&amp;Assemblies[Assy]&amp;"'!"&amp;"C$5:C1000"), $A383, INDIRECT("'"&amp;Assemblies[Assy]&amp;"'!"&amp;"O$5:O1000")), "x",Assemblies[Assy],".",IF(SUMIF(INDIRECT("'"&amp;Assemblies[Assy]&amp;"'!"&amp;"C$5:C1000"), $A383, INDIRECT("'"&amp;Assemblies[Assy]&amp;"'!"&amp;"A$5:A1000"))=0,NA(),SUMIF(INDIRECT("'"&amp;Assemblies[Assy]&amp;"'!"&amp;"C$5:C1000"), $A383, INDIRECT("'"&amp;Assemblies[Assy]&amp;"'!"&amp;"A$5:A1000")))),"")), " ,", ""))</f>
        <v>, 1x6.2.1.1.301, 1x6.3.1.1.301,</v>
      </c>
    </row>
    <row r="384" spans="1:19" ht="15" hidden="1" customHeight="1" x14ac:dyDescent="0.25">
      <c r="A384" s="185" t="s">
        <v>647</v>
      </c>
      <c r="B384" s="185" t="s">
        <v>3473</v>
      </c>
      <c r="C384" s="160">
        <v>32.81</v>
      </c>
      <c r="D384">
        <v>1</v>
      </c>
      <c r="E384" cm="1">
        <f t="array" aca="1" ref="E384" ca="1">SUMPRODUCT(SUMIF(INDIRECT("'"&amp;Assemblies[Assy]&amp;"'!"&amp;"C:C"),$A384,(INDIRECT("'"&amp;Assemblies[Assy]&amp;"'!"&amp;"O:O"))))</f>
        <v>2</v>
      </c>
      <c r="F384">
        <f ca="1">ROUNDUP(Purchased[[#This Row],[BOM QTY]]/Purchased[[#This Row],[PK QTY]], 0)</f>
        <v>2</v>
      </c>
      <c r="G384">
        <v>2</v>
      </c>
      <c r="H384" t="str">
        <f ca="1">IF(F384&lt;=G384," ","YES")</f>
        <v xml:space="preserve"> </v>
      </c>
      <c r="I384">
        <v>2</v>
      </c>
      <c r="J384">
        <v>2</v>
      </c>
      <c r="K384" t="s">
        <v>3442</v>
      </c>
      <c r="L384" t="s">
        <v>3442</v>
      </c>
      <c r="M384" s="191" t="s">
        <v>3839</v>
      </c>
      <c r="N384" s="40" t="s">
        <v>2747</v>
      </c>
      <c r="O384" s="40">
        <v>45524</v>
      </c>
      <c r="P384" s="40">
        <v>45540</v>
      </c>
      <c r="Q384" s="40">
        <v>45527</v>
      </c>
      <c r="R384">
        <v>55693</v>
      </c>
      <c r="S384" s="40" t="str" cm="1">
        <f t="array" aca="1" ref="S384" ca="1">TRIM(SUBSTITUTE(_xlfn.ARRAYTOTEXT(IFERROR(CONCATENATE(SUMIF(INDIRECT("'"&amp;Assemblies[Assy]&amp;"'!"&amp;"C$5:C1000"), $A384, INDIRECT("'"&amp;Assemblies[Assy]&amp;"'!"&amp;"O$5:O1000")), "x",Assemblies[Assy],".",IF(SUMIF(INDIRECT("'"&amp;Assemblies[Assy]&amp;"'!"&amp;"C$5:C1000"), $A384, INDIRECT("'"&amp;Assemblies[Assy]&amp;"'!"&amp;"A$5:A1000"))=0,NA(),SUMIF(INDIRECT("'"&amp;Assemblies[Assy]&amp;"'!"&amp;"C$5:C1000"), $A384, INDIRECT("'"&amp;Assemblies[Assy]&amp;"'!"&amp;"A$5:A1000")))),"")), " ,", ""))</f>
        <v>, 2x4.4.2.301,</v>
      </c>
    </row>
    <row r="385" spans="1:19" hidden="1" x14ac:dyDescent="0.25">
      <c r="A385" s="160" t="s">
        <v>665</v>
      </c>
      <c r="B385" s="160" t="s">
        <v>3474</v>
      </c>
      <c r="C385" s="180">
        <v>23.02</v>
      </c>
      <c r="D385">
        <v>1</v>
      </c>
      <c r="E385" cm="1">
        <f t="array" aca="1" ref="E385" ca="1">SUMPRODUCT(SUMIF(INDIRECT("'"&amp;Assemblies[Assy]&amp;"'!"&amp;"C:C"),$A385,(INDIRECT("'"&amp;Assemblies[Assy]&amp;"'!"&amp;"O:O"))))</f>
        <v>2</v>
      </c>
      <c r="F385">
        <f ca="1">ROUNDUP(Purchased[[#This Row],[BOM QTY]]/Purchased[[#This Row],[PK QTY]], 0)</f>
        <v>2</v>
      </c>
      <c r="G385">
        <v>2</v>
      </c>
      <c r="H385" t="str">
        <f ca="1">IF(F385&lt;=G385," ","YES")</f>
        <v xml:space="preserve"> </v>
      </c>
      <c r="I385">
        <v>2</v>
      </c>
      <c r="J385">
        <v>2</v>
      </c>
      <c r="K385" t="s">
        <v>3442</v>
      </c>
      <c r="L385" t="s">
        <v>3442</v>
      </c>
      <c r="N385" s="40" t="s">
        <v>2747</v>
      </c>
      <c r="O385" s="40">
        <v>45524</v>
      </c>
      <c r="P385" s="40">
        <v>45540</v>
      </c>
      <c r="Q385" s="40">
        <v>45527</v>
      </c>
      <c r="R385">
        <v>55693</v>
      </c>
      <c r="S385" s="40" t="str" cm="1">
        <f t="array" aca="1" ref="S385" ca="1">TRIM(SUBSTITUTE(_xlfn.ARRAYTOTEXT(IFERROR(CONCATENATE(SUMIF(INDIRECT("'"&amp;Assemblies[Assy]&amp;"'!"&amp;"C$5:C1000"), $A385, INDIRECT("'"&amp;Assemblies[Assy]&amp;"'!"&amp;"O$5:O1000")), "x",Assemblies[Assy],".",IF(SUMIF(INDIRECT("'"&amp;Assemblies[Assy]&amp;"'!"&amp;"C$5:C1000"), $A385, INDIRECT("'"&amp;Assemblies[Assy]&amp;"'!"&amp;"A$5:A1000"))=0,NA(),SUMIF(INDIRECT("'"&amp;Assemblies[Assy]&amp;"'!"&amp;"C$5:C1000"), $A385, INDIRECT("'"&amp;Assemblies[Assy]&amp;"'!"&amp;"A$5:A1000")))),"")), " ,", ""))</f>
        <v>, 2x4.5.1.304,</v>
      </c>
    </row>
    <row r="386" spans="1:19" hidden="1" x14ac:dyDescent="0.25">
      <c r="A386" s="160" t="s">
        <v>848</v>
      </c>
      <c r="B386" s="160" t="s">
        <v>3475</v>
      </c>
      <c r="C386" s="180">
        <v>68.38</v>
      </c>
      <c r="D386">
        <v>1</v>
      </c>
      <c r="E386" cm="1">
        <f t="array" aca="1" ref="E386" ca="1">SUMPRODUCT(SUMIF(INDIRECT("'"&amp;Assemblies[Assy]&amp;"'!"&amp;"C:C"),$A386,(INDIRECT("'"&amp;Assemblies[Assy]&amp;"'!"&amp;"O:O"))))</f>
        <v>2</v>
      </c>
      <c r="F386">
        <f ca="1">ROUNDUP(Purchased[[#This Row],[BOM QTY]]/Purchased[[#This Row],[PK QTY]], 0)</f>
        <v>2</v>
      </c>
      <c r="G386">
        <v>2</v>
      </c>
      <c r="H386" t="str">
        <f ca="1">IF(F386&lt;=G386," ","YES")</f>
        <v xml:space="preserve"> </v>
      </c>
      <c r="I386">
        <v>2</v>
      </c>
      <c r="J386">
        <v>2</v>
      </c>
      <c r="K386" t="s">
        <v>3442</v>
      </c>
      <c r="L386" t="s">
        <v>3442</v>
      </c>
      <c r="N386" s="40" t="s">
        <v>2747</v>
      </c>
      <c r="O386" s="40">
        <v>45524</v>
      </c>
      <c r="P386" s="40">
        <v>45540</v>
      </c>
      <c r="Q386" s="40">
        <v>45527</v>
      </c>
      <c r="R386">
        <v>55693</v>
      </c>
      <c r="S386" s="40" t="str" cm="1">
        <f t="array" aca="1" ref="S386" ca="1">TRIM(SUBSTITUTE(_xlfn.ARRAYTOTEXT(IFERROR(CONCATENATE(SUMIF(INDIRECT("'"&amp;Assemblies[Assy]&amp;"'!"&amp;"C$5:C1000"), $A386, INDIRECT("'"&amp;Assemblies[Assy]&amp;"'!"&amp;"O$5:O1000")), "x",Assemblies[Assy],".",IF(SUMIF(INDIRECT("'"&amp;Assemblies[Assy]&amp;"'!"&amp;"C$5:C1000"), $A386, INDIRECT("'"&amp;Assemblies[Assy]&amp;"'!"&amp;"A$5:A1000"))=0,NA(),SUMIF(INDIRECT("'"&amp;Assemblies[Assy]&amp;"'!"&amp;"C$5:C1000"), $A386, INDIRECT("'"&amp;Assemblies[Assy]&amp;"'!"&amp;"A$5:A1000")))),"")), " ,", ""))</f>
        <v>, 2x5.5.4.306,</v>
      </c>
    </row>
    <row r="387" spans="1:19" hidden="1" x14ac:dyDescent="0.25">
      <c r="A387" s="160" t="s">
        <v>849</v>
      </c>
      <c r="B387" s="160" t="s">
        <v>3476</v>
      </c>
      <c r="C387" s="180">
        <v>60.36</v>
      </c>
      <c r="D387">
        <v>1</v>
      </c>
      <c r="E387" cm="1">
        <f t="array" aca="1" ref="E387" ca="1">SUMPRODUCT(SUMIF(INDIRECT("'"&amp;Assemblies[Assy]&amp;"'!"&amp;"C:C"),$A387,(INDIRECT("'"&amp;Assemblies[Assy]&amp;"'!"&amp;"O:O"))))</f>
        <v>2</v>
      </c>
      <c r="F387">
        <f ca="1">ROUNDUP(Purchased[[#This Row],[BOM QTY]]/Purchased[[#This Row],[PK QTY]], 0)</f>
        <v>2</v>
      </c>
      <c r="G387">
        <v>2</v>
      </c>
      <c r="H387" t="str">
        <f ca="1">IF(F387&lt;=G387," ","YES")</f>
        <v xml:space="preserve"> </v>
      </c>
      <c r="I387">
        <v>2</v>
      </c>
      <c r="J387">
        <v>2</v>
      </c>
      <c r="K387" t="s">
        <v>3442</v>
      </c>
      <c r="L387" t="s">
        <v>3442</v>
      </c>
      <c r="N387" s="40" t="s">
        <v>2747</v>
      </c>
      <c r="O387" s="40">
        <v>45524</v>
      </c>
      <c r="P387" s="40">
        <v>45540</v>
      </c>
      <c r="Q387" s="40">
        <v>45527</v>
      </c>
      <c r="R387">
        <v>55693</v>
      </c>
      <c r="S387" s="40" t="str" cm="1">
        <f t="array" aca="1" ref="S387" ca="1">TRIM(SUBSTITUTE(_xlfn.ARRAYTOTEXT(IFERROR(CONCATENATE(SUMIF(INDIRECT("'"&amp;Assemblies[Assy]&amp;"'!"&amp;"C$5:C1000"), $A387, INDIRECT("'"&amp;Assemblies[Assy]&amp;"'!"&amp;"O$5:O1000")), "x",Assemblies[Assy],".",IF(SUMIF(INDIRECT("'"&amp;Assemblies[Assy]&amp;"'!"&amp;"C$5:C1000"), $A387, INDIRECT("'"&amp;Assemblies[Assy]&amp;"'!"&amp;"A$5:A1000"))=0,NA(),SUMIF(INDIRECT("'"&amp;Assemblies[Assy]&amp;"'!"&amp;"C$5:C1000"), $A387, INDIRECT("'"&amp;Assemblies[Assy]&amp;"'!"&amp;"A$5:A1000")))),"")), " ,", ""))</f>
        <v>, 2x5.5.4.307,</v>
      </c>
    </row>
    <row r="388" spans="1:19" hidden="1" x14ac:dyDescent="0.25">
      <c r="A388" s="160" t="s">
        <v>666</v>
      </c>
      <c r="B388" s="160" t="s">
        <v>3480</v>
      </c>
      <c r="C388" s="180">
        <v>39.4</v>
      </c>
      <c r="D388">
        <v>1</v>
      </c>
      <c r="E388" cm="1">
        <f t="array" aca="1" ref="E388" ca="1">SUMPRODUCT(SUMIF(INDIRECT("'"&amp;Assemblies[Assy]&amp;"'!"&amp;"C:C"),$A388,(INDIRECT("'"&amp;Assemblies[Assy]&amp;"'!"&amp;"O:O"))))</f>
        <v>2</v>
      </c>
      <c r="F388">
        <f ca="1">ROUNDUP(Purchased[[#This Row],[BOM QTY]]/Purchased[[#This Row],[PK QTY]], 0)</f>
        <v>2</v>
      </c>
      <c r="G388">
        <v>2</v>
      </c>
      <c r="H388" t="str">
        <f ca="1">IF(F388&lt;=G388," ","YES")</f>
        <v xml:space="preserve"> </v>
      </c>
      <c r="I388">
        <v>2</v>
      </c>
      <c r="J388">
        <v>2</v>
      </c>
      <c r="K388" t="s">
        <v>3442</v>
      </c>
      <c r="L388" t="s">
        <v>3442</v>
      </c>
      <c r="N388" s="40" t="s">
        <v>2747</v>
      </c>
      <c r="O388" s="40">
        <v>45524</v>
      </c>
      <c r="P388" s="40">
        <v>45540</v>
      </c>
      <c r="Q388" s="40">
        <v>45527</v>
      </c>
      <c r="R388">
        <v>55693</v>
      </c>
      <c r="S388" s="40" t="str" cm="1">
        <f t="array" aca="1" ref="S388" ca="1">TRIM(SUBSTITUTE(_xlfn.ARRAYTOTEXT(IFERROR(CONCATENATE(SUMIF(INDIRECT("'"&amp;Assemblies[Assy]&amp;"'!"&amp;"C$5:C1000"), $A388, INDIRECT("'"&amp;Assemblies[Assy]&amp;"'!"&amp;"O$5:O1000")), "x",Assemblies[Assy],".",IF(SUMIF(INDIRECT("'"&amp;Assemblies[Assy]&amp;"'!"&amp;"C$5:C1000"), $A388, INDIRECT("'"&amp;Assemblies[Assy]&amp;"'!"&amp;"A$5:A1000"))=0,NA(),SUMIF(INDIRECT("'"&amp;Assemblies[Assy]&amp;"'!"&amp;"C$5:C1000"), $A388, INDIRECT("'"&amp;Assemblies[Assy]&amp;"'!"&amp;"A$5:A1000")))),"")), " ,", ""))</f>
        <v>, 2x4.5.1.306,</v>
      </c>
    </row>
    <row r="389" spans="1:19" hidden="1" x14ac:dyDescent="0.25">
      <c r="A389" s="160" t="s">
        <v>1110</v>
      </c>
      <c r="B389" s="160" t="s">
        <v>3463</v>
      </c>
      <c r="C389" s="180">
        <v>17.34</v>
      </c>
      <c r="D389">
        <v>1</v>
      </c>
      <c r="E389" cm="1">
        <f t="array" aca="1" ref="E389" ca="1">SUMPRODUCT(SUMIF(INDIRECT("'"&amp;Assemblies[Assy]&amp;"'!"&amp;"C:C"),$A389,(INDIRECT("'"&amp;Assemblies[Assy]&amp;"'!"&amp;"O:O"))))</f>
        <v>3</v>
      </c>
      <c r="F389">
        <f ca="1">ROUNDUP(Purchased[[#This Row],[BOM QTY]]/Purchased[[#This Row],[PK QTY]], 0)</f>
        <v>3</v>
      </c>
      <c r="G389">
        <v>3</v>
      </c>
      <c r="H389" t="str">
        <f ca="1">IF(F389&lt;=G389," ","YES")</f>
        <v xml:space="preserve"> </v>
      </c>
      <c r="I389">
        <v>3</v>
      </c>
      <c r="J389">
        <v>3</v>
      </c>
      <c r="K389" t="s">
        <v>3442</v>
      </c>
      <c r="L389" t="s">
        <v>3442</v>
      </c>
      <c r="N389" s="40">
        <v>45483</v>
      </c>
      <c r="O389" s="40">
        <v>45483</v>
      </c>
      <c r="P389" s="40">
        <v>45512</v>
      </c>
      <c r="Q389" s="40">
        <v>45512</v>
      </c>
      <c r="R389">
        <v>55592</v>
      </c>
      <c r="S389" s="40" t="str" cm="1">
        <f t="array" aca="1" ref="S389" ca="1">TRIM(SUBSTITUTE(_xlfn.ARRAYTOTEXT(IFERROR(CONCATENATE(SUMIF(INDIRECT("'"&amp;Assemblies[Assy]&amp;"'!"&amp;"C$5:C1000"), $A389, INDIRECT("'"&amp;Assemblies[Assy]&amp;"'!"&amp;"O$5:O1000")), "x",Assemblies[Assy],".",IF(SUMIF(INDIRECT("'"&amp;Assemblies[Assy]&amp;"'!"&amp;"C$5:C1000"), $A389, INDIRECT("'"&amp;Assemblies[Assy]&amp;"'!"&amp;"A$5:A1000"))=0,NA(),SUMIF(INDIRECT("'"&amp;Assemblies[Assy]&amp;"'!"&amp;"C$5:C1000"), $A389, INDIRECT("'"&amp;Assemblies[Assy]&amp;"'!"&amp;"A$5:A1000")))),"")), " ,", ""))</f>
        <v>, 3x7.1.314,</v>
      </c>
    </row>
    <row r="390" spans="1:19" hidden="1" x14ac:dyDescent="0.25">
      <c r="A390" s="160" t="s">
        <v>725</v>
      </c>
      <c r="B390" s="160" t="s">
        <v>3450</v>
      </c>
      <c r="C390" s="180">
        <v>21.12</v>
      </c>
      <c r="D390">
        <v>1</v>
      </c>
      <c r="E390" cm="1">
        <f t="array" aca="1" ref="E390" ca="1">SUMPRODUCT(SUMIF(INDIRECT("'"&amp;Assemblies[Assy]&amp;"'!"&amp;"C:C"),$A390,(INDIRECT("'"&amp;Assemblies[Assy]&amp;"'!"&amp;"O:O"))))</f>
        <v>2</v>
      </c>
      <c r="F390">
        <f ca="1">ROUNDUP(Purchased[[#This Row],[BOM QTY]]/Purchased[[#This Row],[PK QTY]], 0)</f>
        <v>2</v>
      </c>
      <c r="G390">
        <v>4</v>
      </c>
      <c r="H390" t="str">
        <f ca="1">IF(F390&lt;=G390," ","YES")</f>
        <v xml:space="preserve"> </v>
      </c>
      <c r="I390">
        <v>4</v>
      </c>
      <c r="J390">
        <v>4</v>
      </c>
      <c r="K390" t="s">
        <v>3442</v>
      </c>
      <c r="L390" t="s">
        <v>3442</v>
      </c>
      <c r="N390" s="40">
        <v>45483</v>
      </c>
      <c r="O390" s="40">
        <v>45483</v>
      </c>
      <c r="P390" s="40">
        <v>45512</v>
      </c>
      <c r="Q390" s="40">
        <v>45512</v>
      </c>
      <c r="R390">
        <v>55592</v>
      </c>
      <c r="S390" s="40" t="str" cm="1">
        <f t="array" aca="1" ref="S390" ca="1">TRIM(SUBSTITUTE(_xlfn.ARRAYTOTEXT(IFERROR(CONCATENATE(SUMIF(INDIRECT("'"&amp;Assemblies[Assy]&amp;"'!"&amp;"C$5:C1000"), $A390, INDIRECT("'"&amp;Assemblies[Assy]&amp;"'!"&amp;"O$5:O1000")), "x",Assemblies[Assy],".",IF(SUMIF(INDIRECT("'"&amp;Assemblies[Assy]&amp;"'!"&amp;"C$5:C1000"), $A390, INDIRECT("'"&amp;Assemblies[Assy]&amp;"'!"&amp;"A$5:A1000"))=0,NA(),SUMIF(INDIRECT("'"&amp;Assemblies[Assy]&amp;"'!"&amp;"C$5:C1000"), $A390, INDIRECT("'"&amp;Assemblies[Assy]&amp;"'!"&amp;"A$5:A1000")))),"")), " ,", ""))</f>
        <v>, 0x5.3.316, 2x6.1.324,</v>
      </c>
    </row>
    <row r="391" spans="1:19" hidden="1" x14ac:dyDescent="0.25">
      <c r="A391" s="160" t="s">
        <v>724</v>
      </c>
      <c r="B391" s="160" t="s">
        <v>3452</v>
      </c>
      <c r="C391" s="180">
        <v>25.28</v>
      </c>
      <c r="D391">
        <v>1</v>
      </c>
      <c r="E391" cm="1">
        <f t="array" aca="1" ref="E391" ca="1">SUMPRODUCT(SUMIF(INDIRECT("'"&amp;Assemblies[Assy]&amp;"'!"&amp;"C:C"),$A391,(INDIRECT("'"&amp;Assemblies[Assy]&amp;"'!"&amp;"O:O"))))</f>
        <v>4</v>
      </c>
      <c r="F391">
        <f ca="1">ROUNDUP(Purchased[[#This Row],[BOM QTY]]/Purchased[[#This Row],[PK QTY]], 0)</f>
        <v>4</v>
      </c>
      <c r="G391">
        <v>4</v>
      </c>
      <c r="H391" t="str">
        <f ca="1">IF(F391&lt;=G391," ","YES")</f>
        <v xml:space="preserve"> </v>
      </c>
      <c r="I391">
        <v>4</v>
      </c>
      <c r="J391">
        <v>4</v>
      </c>
      <c r="K391" t="s">
        <v>3442</v>
      </c>
      <c r="L391" t="s">
        <v>3442</v>
      </c>
      <c r="N391" s="40">
        <v>45483</v>
      </c>
      <c r="O391" s="40">
        <v>45483</v>
      </c>
      <c r="P391" s="40">
        <v>45512</v>
      </c>
      <c r="Q391" s="40">
        <v>45512</v>
      </c>
      <c r="R391">
        <v>55592</v>
      </c>
      <c r="S391" s="40" t="str" cm="1">
        <f t="array" aca="1" ref="S391" ca="1">TRIM(SUBSTITUTE(_xlfn.ARRAYTOTEXT(IFERROR(CONCATENATE(SUMIF(INDIRECT("'"&amp;Assemblies[Assy]&amp;"'!"&amp;"C$5:C1000"), $A391, INDIRECT("'"&amp;Assemblies[Assy]&amp;"'!"&amp;"O$5:O1000")), "x",Assemblies[Assy],".",IF(SUMIF(INDIRECT("'"&amp;Assemblies[Assy]&amp;"'!"&amp;"C$5:C1000"), $A391, INDIRECT("'"&amp;Assemblies[Assy]&amp;"'!"&amp;"A$5:A1000"))=0,NA(),SUMIF(INDIRECT("'"&amp;Assemblies[Assy]&amp;"'!"&amp;"C$5:C1000"), $A391, INDIRECT("'"&amp;Assemblies[Assy]&amp;"'!"&amp;"A$5:A1000")))),"")), " ,", ""))</f>
        <v>, 2x5.3.315, 2x6.1.322,</v>
      </c>
    </row>
    <row r="392" spans="1:19" hidden="1" x14ac:dyDescent="0.25">
      <c r="A392" s="162" t="s">
        <v>217</v>
      </c>
      <c r="B392" s="160" t="s">
        <v>3456</v>
      </c>
      <c r="C392" s="180">
        <v>14.73</v>
      </c>
      <c r="D392">
        <v>1</v>
      </c>
      <c r="E392" cm="1">
        <f t="array" aca="1" ref="E392" ca="1">SUMPRODUCT(SUMIF(INDIRECT("'"&amp;Assemblies[Assy]&amp;"'!"&amp;"C:C"),$A392,(INDIRECT("'"&amp;Assemblies[Assy]&amp;"'!"&amp;"O:O"))))</f>
        <v>4</v>
      </c>
      <c r="F392">
        <f ca="1">ROUNDUP(Purchased[[#This Row],[BOM QTY]]/Purchased[[#This Row],[PK QTY]], 0)</f>
        <v>4</v>
      </c>
      <c r="G392">
        <v>4</v>
      </c>
      <c r="H392" t="str">
        <f ca="1">IF(F392&lt;=G392," ","YES")</f>
        <v xml:space="preserve"> </v>
      </c>
      <c r="I392">
        <v>4</v>
      </c>
      <c r="J392">
        <v>4</v>
      </c>
      <c r="K392" t="s">
        <v>3442</v>
      </c>
      <c r="L392" t="s">
        <v>3442</v>
      </c>
      <c r="N392" s="40">
        <v>45483</v>
      </c>
      <c r="O392" s="40">
        <v>45483</v>
      </c>
      <c r="P392" s="40">
        <v>45512</v>
      </c>
      <c r="Q392" s="40">
        <v>45512</v>
      </c>
      <c r="R392">
        <v>55592</v>
      </c>
      <c r="S392" s="40" t="str" cm="1">
        <f t="array" aca="1" ref="S392" ca="1">TRIM(SUBSTITUTE(_xlfn.ARRAYTOTEXT(IFERROR(CONCATENATE(SUMIF(INDIRECT("'"&amp;Assemblies[Assy]&amp;"'!"&amp;"C$5:C1000"), $A392, INDIRECT("'"&amp;Assemblies[Assy]&amp;"'!"&amp;"O$5:O1000")), "x",Assemblies[Assy],".",IF(SUMIF(INDIRECT("'"&amp;Assemblies[Assy]&amp;"'!"&amp;"C$5:C1000"), $A392, INDIRECT("'"&amp;Assemblies[Assy]&amp;"'!"&amp;"A$5:A1000"))=0,NA(),SUMIF(INDIRECT("'"&amp;Assemblies[Assy]&amp;"'!"&amp;"C$5:C1000"), $A392, INDIRECT("'"&amp;Assemblies[Assy]&amp;"'!"&amp;"A$5:A1000")))),"")), " ,", ""))</f>
        <v>, 4x1.1.8.309,</v>
      </c>
    </row>
    <row r="393" spans="1:19" hidden="1" x14ac:dyDescent="0.25">
      <c r="A393" s="161" t="s">
        <v>1306</v>
      </c>
      <c r="B393" s="160" t="s">
        <v>3460</v>
      </c>
      <c r="C393" s="180">
        <v>27.94</v>
      </c>
      <c r="D393">
        <v>1</v>
      </c>
      <c r="E393" cm="1">
        <f t="array" aca="1" ref="E393" ca="1">SUMPRODUCT(SUMIF(INDIRECT("'"&amp;Assemblies[Assy]&amp;"'!"&amp;"C:C"),$A393,(INDIRECT("'"&amp;Assemblies[Assy]&amp;"'!"&amp;"O:O"))))</f>
        <v>4</v>
      </c>
      <c r="F393">
        <f ca="1">ROUNDUP(Purchased[[#This Row],[BOM QTY]]/Purchased[[#This Row],[PK QTY]], 0)</f>
        <v>4</v>
      </c>
      <c r="G393">
        <v>4</v>
      </c>
      <c r="H393" t="str">
        <f ca="1">IF(F393&lt;=G393," ","YES")</f>
        <v xml:space="preserve"> </v>
      </c>
      <c r="I393">
        <v>4</v>
      </c>
      <c r="J393">
        <v>4</v>
      </c>
      <c r="K393" t="s">
        <v>3442</v>
      </c>
      <c r="L393" t="s">
        <v>3442</v>
      </c>
      <c r="N393" s="40">
        <v>45483</v>
      </c>
      <c r="O393" s="40">
        <v>45483</v>
      </c>
      <c r="P393" s="40">
        <v>45512</v>
      </c>
      <c r="Q393" s="40">
        <v>45512</v>
      </c>
      <c r="R393">
        <v>55592</v>
      </c>
      <c r="S393" s="40" t="str" cm="1">
        <f t="array" aca="1" ref="S393" ca="1">TRIM(SUBSTITUTE(_xlfn.ARRAYTOTEXT(IFERROR(CONCATENATE(SUMIF(INDIRECT("'"&amp;Assemblies[Assy]&amp;"'!"&amp;"C$5:C1000"), $A393, INDIRECT("'"&amp;Assemblies[Assy]&amp;"'!"&amp;"O$5:O1000")), "x",Assemblies[Assy],".",IF(SUMIF(INDIRECT("'"&amp;Assemblies[Assy]&amp;"'!"&amp;"C$5:C1000"), $A393, INDIRECT("'"&amp;Assemblies[Assy]&amp;"'!"&amp;"A$5:A1000"))=0,NA(),SUMIF(INDIRECT("'"&amp;Assemblies[Assy]&amp;"'!"&amp;"C$5:C1000"), $A393, INDIRECT("'"&amp;Assemblies[Assy]&amp;"'!"&amp;"A$5:A1000")))),"")), " ,", ""))</f>
        <v>, 4x9.5.308,</v>
      </c>
    </row>
    <row r="394" spans="1:19" hidden="1" x14ac:dyDescent="0.25">
      <c r="A394" s="160" t="s">
        <v>505</v>
      </c>
      <c r="B394" s="160" t="s">
        <v>3481</v>
      </c>
      <c r="C394" s="180">
        <v>38.200000000000003</v>
      </c>
      <c r="D394">
        <v>1</v>
      </c>
      <c r="E394" cm="1">
        <f t="array" aca="1" ref="E394" ca="1">SUMPRODUCT(SUMIF(INDIRECT("'"&amp;Assemblies[Assy]&amp;"'!"&amp;"C:C"),$A394,(INDIRECT("'"&amp;Assemblies[Assy]&amp;"'!"&amp;"O:O"))))</f>
        <v>4</v>
      </c>
      <c r="F394">
        <f ca="1">ROUNDUP(Purchased[[#This Row],[BOM QTY]]/Purchased[[#This Row],[PK QTY]], 0)</f>
        <v>4</v>
      </c>
      <c r="G394">
        <v>4</v>
      </c>
      <c r="H394" t="str">
        <f ca="1">IF(F394&lt;=G394," ","YES")</f>
        <v xml:space="preserve"> </v>
      </c>
      <c r="I394">
        <v>4</v>
      </c>
      <c r="J394">
        <v>4</v>
      </c>
      <c r="K394" t="s">
        <v>3442</v>
      </c>
      <c r="L394" t="s">
        <v>3442</v>
      </c>
      <c r="N394" s="40" t="s">
        <v>2747</v>
      </c>
      <c r="O394" s="40">
        <v>45524</v>
      </c>
      <c r="P394" s="40">
        <v>45540</v>
      </c>
      <c r="Q394" s="40">
        <v>45527</v>
      </c>
      <c r="R394">
        <v>55693</v>
      </c>
      <c r="S394" s="40" t="str" cm="1">
        <f t="array" aca="1" ref="S394" ca="1">TRIM(SUBSTITUTE(_xlfn.ARRAYTOTEXT(IFERROR(CONCATENATE(SUMIF(INDIRECT("'"&amp;Assemblies[Assy]&amp;"'!"&amp;"C$5:C1000"), $A394, INDIRECT("'"&amp;Assemblies[Assy]&amp;"'!"&amp;"O$5:O1000")), "x",Assemblies[Assy],".",IF(SUMIF(INDIRECT("'"&amp;Assemblies[Assy]&amp;"'!"&amp;"C$5:C1000"), $A394, INDIRECT("'"&amp;Assemblies[Assy]&amp;"'!"&amp;"A$5:A1000"))=0,NA(),SUMIF(INDIRECT("'"&amp;Assemblies[Assy]&amp;"'!"&amp;"C$5:C1000"), $A394, INDIRECT("'"&amp;Assemblies[Assy]&amp;"'!"&amp;"A$5:A1000")))),"")), " ,", ""))</f>
        <v>, 4x3.4.308,</v>
      </c>
    </row>
    <row r="395" spans="1:19" hidden="1" x14ac:dyDescent="0.25">
      <c r="A395" s="160" t="s">
        <v>847</v>
      </c>
      <c r="B395" s="160" t="s">
        <v>3483</v>
      </c>
      <c r="C395" s="180">
        <v>1.61</v>
      </c>
      <c r="D395">
        <v>1</v>
      </c>
      <c r="E395" cm="1">
        <f t="array" aca="1" ref="E395" ca="1">SUMPRODUCT(SUMIF(INDIRECT("'"&amp;Assemblies[Assy]&amp;"'!"&amp;"C:C"),$A395,(INDIRECT("'"&amp;Assemblies[Assy]&amp;"'!"&amp;"O:O"))))</f>
        <v>4</v>
      </c>
      <c r="F395">
        <f ca="1">ROUNDUP(Purchased[[#This Row],[BOM QTY]]/Purchased[[#This Row],[PK QTY]], 0)</f>
        <v>4</v>
      </c>
      <c r="G395">
        <v>4</v>
      </c>
      <c r="H395" t="str">
        <f ca="1">IF(F395&lt;=G395," ","YES")</f>
        <v xml:space="preserve"> </v>
      </c>
      <c r="I395">
        <v>4</v>
      </c>
      <c r="J395">
        <v>4</v>
      </c>
      <c r="K395" t="s">
        <v>3442</v>
      </c>
      <c r="L395" t="s">
        <v>3442</v>
      </c>
      <c r="N395" s="40" t="s">
        <v>2747</v>
      </c>
      <c r="O395" s="40">
        <v>45524</v>
      </c>
      <c r="P395" s="40">
        <v>45540</v>
      </c>
      <c r="Q395" s="40">
        <v>45527</v>
      </c>
      <c r="R395">
        <v>55693</v>
      </c>
      <c r="S395" s="40" t="str" cm="1">
        <f t="array" aca="1" ref="S395" ca="1">TRIM(SUBSTITUTE(_xlfn.ARRAYTOTEXT(IFERROR(CONCATENATE(SUMIF(INDIRECT("'"&amp;Assemblies[Assy]&amp;"'!"&amp;"C$5:C1000"), $A395, INDIRECT("'"&amp;Assemblies[Assy]&amp;"'!"&amp;"O$5:O1000")), "x",Assemblies[Assy],".",IF(SUMIF(INDIRECT("'"&amp;Assemblies[Assy]&amp;"'!"&amp;"C$5:C1000"), $A395, INDIRECT("'"&amp;Assemblies[Assy]&amp;"'!"&amp;"A$5:A1000"))=0,NA(),SUMIF(INDIRECT("'"&amp;Assemblies[Assy]&amp;"'!"&amp;"C$5:C1000"), $A395, INDIRECT("'"&amp;Assemblies[Assy]&amp;"'!"&amp;"A$5:A1000")))),"")), " ,", ""))</f>
        <v>, 4x5.5.4.305,</v>
      </c>
    </row>
    <row r="396" spans="1:19" hidden="1" x14ac:dyDescent="0.25">
      <c r="A396" s="189" t="s">
        <v>828</v>
      </c>
      <c r="B396" s="160" t="s">
        <v>3457</v>
      </c>
      <c r="C396" s="180">
        <v>12.73</v>
      </c>
      <c r="D396">
        <v>1</v>
      </c>
      <c r="E396" cm="1">
        <f t="array" aca="1" ref="E396" ca="1">SUMPRODUCT(SUMIF(INDIRECT("'"&amp;Assemblies[Assy]&amp;"'!"&amp;"C:C"),$A396,(INDIRECT("'"&amp;Assemblies[Assy]&amp;"'!"&amp;"O:O"))))</f>
        <v>4</v>
      </c>
      <c r="F396">
        <f ca="1">ROUNDUP(Purchased[[#This Row],[BOM QTY]]/Purchased[[#This Row],[PK QTY]], 0)</f>
        <v>4</v>
      </c>
      <c r="G396">
        <v>5</v>
      </c>
      <c r="H396" t="str">
        <f ca="1">IF(F396&lt;=G396," ","YES")</f>
        <v xml:space="preserve"> </v>
      </c>
      <c r="I396">
        <v>5</v>
      </c>
      <c r="J396">
        <v>5</v>
      </c>
      <c r="K396" t="s">
        <v>3442</v>
      </c>
      <c r="L396" t="s">
        <v>3442</v>
      </c>
      <c r="N396" s="40">
        <v>45483</v>
      </c>
      <c r="O396" s="40">
        <v>45483</v>
      </c>
      <c r="P396" s="40">
        <v>45512</v>
      </c>
      <c r="Q396" s="40">
        <v>45512</v>
      </c>
      <c r="R396">
        <v>55592</v>
      </c>
      <c r="S396" s="40" t="str" cm="1">
        <f t="array" aca="1" ref="S396" ca="1">TRIM(SUBSTITUTE(_xlfn.ARRAYTOTEXT(IFERROR(CONCATENATE(SUMIF(INDIRECT("'"&amp;Assemblies[Assy]&amp;"'!"&amp;"C$5:C1000"), $A396, INDIRECT("'"&amp;Assemblies[Assy]&amp;"'!"&amp;"O$5:O1000")), "x",Assemblies[Assy],".",IF(SUMIF(INDIRECT("'"&amp;Assemblies[Assy]&amp;"'!"&amp;"C$5:C1000"), $A396, INDIRECT("'"&amp;Assemblies[Assy]&amp;"'!"&amp;"A$5:A1000"))=0,NA(),SUMIF(INDIRECT("'"&amp;Assemblies[Assy]&amp;"'!"&amp;"C$5:C1000"), $A396, INDIRECT("'"&amp;Assemblies[Assy]&amp;"'!"&amp;"A$5:A1000")))),"")), " ,", ""))</f>
        <v>, 4x5.5.2.304,</v>
      </c>
    </row>
    <row r="397" spans="1:19" hidden="1" x14ac:dyDescent="0.25">
      <c r="A397" s="160" t="s">
        <v>1134</v>
      </c>
      <c r="B397" s="160" t="s">
        <v>3462</v>
      </c>
      <c r="C397" s="180">
        <v>17.34</v>
      </c>
      <c r="D397">
        <v>1</v>
      </c>
      <c r="E397" cm="1">
        <f t="array" aca="1" ref="E397" ca="1">SUMPRODUCT(SUMIF(INDIRECT("'"&amp;Assemblies[Assy]&amp;"'!"&amp;"C:C"),$A397,(INDIRECT("'"&amp;Assemblies[Assy]&amp;"'!"&amp;"O:O"))))</f>
        <v>6</v>
      </c>
      <c r="F397">
        <f ca="1">ROUNDUP(Purchased[[#This Row],[BOM QTY]]/Purchased[[#This Row],[PK QTY]], 0)</f>
        <v>6</v>
      </c>
      <c r="G397">
        <v>6</v>
      </c>
      <c r="H397" t="str">
        <f ca="1">IF(F397&lt;=G397," ","YES")</f>
        <v xml:space="preserve"> </v>
      </c>
      <c r="I397">
        <v>6</v>
      </c>
      <c r="J397">
        <v>6</v>
      </c>
      <c r="K397" t="s">
        <v>3442</v>
      </c>
      <c r="L397" t="s">
        <v>3442</v>
      </c>
      <c r="N397" s="40">
        <v>45483</v>
      </c>
      <c r="O397" s="40">
        <v>45483</v>
      </c>
      <c r="P397" s="40">
        <v>45512</v>
      </c>
      <c r="Q397" s="40">
        <v>45512</v>
      </c>
      <c r="R397">
        <v>55592</v>
      </c>
      <c r="S397" s="40" t="str" cm="1">
        <f t="array" aca="1" ref="S397" ca="1">TRIM(SUBSTITUTE(_xlfn.ARRAYTOTEXT(IFERROR(CONCATENATE(SUMIF(INDIRECT("'"&amp;Assemblies[Assy]&amp;"'!"&amp;"C$5:C1000"), $A397, INDIRECT("'"&amp;Assemblies[Assy]&amp;"'!"&amp;"O$5:O1000")), "x",Assemblies[Assy],".",IF(SUMIF(INDIRECT("'"&amp;Assemblies[Assy]&amp;"'!"&amp;"C$5:C1000"), $A397, INDIRECT("'"&amp;Assemblies[Assy]&amp;"'!"&amp;"A$5:A1000"))=0,NA(),SUMIF(INDIRECT("'"&amp;Assemblies[Assy]&amp;"'!"&amp;"C$5:C1000"), $A397, INDIRECT("'"&amp;Assemblies[Assy]&amp;"'!"&amp;"A$5:A1000")))),"")), " ,", ""))</f>
        <v>, 6x7.1.5.305,</v>
      </c>
    </row>
    <row r="398" spans="1:19" hidden="1" x14ac:dyDescent="0.25">
      <c r="A398" s="160" t="s">
        <v>1111</v>
      </c>
      <c r="B398" s="160" t="s">
        <v>3464</v>
      </c>
      <c r="C398" s="180">
        <v>17.34</v>
      </c>
      <c r="D398">
        <v>1</v>
      </c>
      <c r="E398" cm="1">
        <f t="array" aca="1" ref="E398" ca="1">SUMPRODUCT(SUMIF(INDIRECT("'"&amp;Assemblies[Assy]&amp;"'!"&amp;"C:C"),$A398,(INDIRECT("'"&amp;Assemblies[Assy]&amp;"'!"&amp;"O:O"))))</f>
        <v>6</v>
      </c>
      <c r="F398">
        <f ca="1">ROUNDUP(Purchased[[#This Row],[BOM QTY]]/Purchased[[#This Row],[PK QTY]], 0)</f>
        <v>6</v>
      </c>
      <c r="G398">
        <v>6</v>
      </c>
      <c r="H398" t="str">
        <f ca="1">IF(F398&lt;=G398," ","YES")</f>
        <v xml:space="preserve"> </v>
      </c>
      <c r="I398">
        <v>6</v>
      </c>
      <c r="J398">
        <v>6</v>
      </c>
      <c r="K398" t="s">
        <v>3442</v>
      </c>
      <c r="L398" t="s">
        <v>3442</v>
      </c>
      <c r="N398" s="40">
        <v>45483</v>
      </c>
      <c r="O398" s="40">
        <v>45483</v>
      </c>
      <c r="P398" s="40">
        <v>45512</v>
      </c>
      <c r="Q398" s="40">
        <v>45512</v>
      </c>
      <c r="R398">
        <v>55592</v>
      </c>
      <c r="S398" s="40" t="str" cm="1">
        <f t="array" aca="1" ref="S398" ca="1">TRIM(SUBSTITUTE(_xlfn.ARRAYTOTEXT(IFERROR(CONCATENATE(SUMIF(INDIRECT("'"&amp;Assemblies[Assy]&amp;"'!"&amp;"C$5:C1000"), $A398, INDIRECT("'"&amp;Assemblies[Assy]&amp;"'!"&amp;"O$5:O1000")), "x",Assemblies[Assy],".",IF(SUMIF(INDIRECT("'"&amp;Assemblies[Assy]&amp;"'!"&amp;"C$5:C1000"), $A398, INDIRECT("'"&amp;Assemblies[Assy]&amp;"'!"&amp;"A$5:A1000"))=0,NA(),SUMIF(INDIRECT("'"&amp;Assemblies[Assy]&amp;"'!"&amp;"C$5:C1000"), $A398, INDIRECT("'"&amp;Assemblies[Assy]&amp;"'!"&amp;"A$5:A1000")))),"")), " ,", ""))</f>
        <v>, 6x7.1.315,</v>
      </c>
    </row>
    <row r="399" spans="1:19" hidden="1" x14ac:dyDescent="0.25">
      <c r="A399" s="160" t="s">
        <v>730</v>
      </c>
      <c r="B399" s="160" t="s">
        <v>3449</v>
      </c>
      <c r="C399" s="180">
        <v>82.24</v>
      </c>
      <c r="D399">
        <v>1</v>
      </c>
      <c r="E399" cm="1">
        <f t="array" aca="1" ref="E399" ca="1">SUMPRODUCT(SUMIF(INDIRECT("'"&amp;Assemblies[Assy]&amp;"'!"&amp;"C:C"),$A399,(INDIRECT("'"&amp;Assemblies[Assy]&amp;"'!"&amp;"O:O"))))</f>
        <v>8</v>
      </c>
      <c r="F399">
        <f ca="1">ROUNDUP(Purchased[[#This Row],[BOM QTY]]/Purchased[[#This Row],[PK QTY]], 0)</f>
        <v>8</v>
      </c>
      <c r="G399">
        <v>8</v>
      </c>
      <c r="H399" t="str">
        <f ca="1">IF(F399&lt;=G399," ","YES")</f>
        <v xml:space="preserve"> </v>
      </c>
      <c r="I399">
        <v>8</v>
      </c>
      <c r="J399">
        <v>8</v>
      </c>
      <c r="K399" t="s">
        <v>3442</v>
      </c>
      <c r="L399" t="s">
        <v>3442</v>
      </c>
      <c r="N399" s="40">
        <v>45483</v>
      </c>
      <c r="O399" s="40">
        <v>45483</v>
      </c>
      <c r="P399" s="40">
        <v>45512</v>
      </c>
      <c r="Q399" s="40">
        <v>45512</v>
      </c>
      <c r="R399">
        <v>55592</v>
      </c>
      <c r="S399" s="40" t="str" cm="1">
        <f t="array" aca="1" ref="S399" ca="1">TRIM(SUBSTITUTE(_xlfn.ARRAYTOTEXT(IFERROR(CONCATENATE(SUMIF(INDIRECT("'"&amp;Assemblies[Assy]&amp;"'!"&amp;"C$5:C1000"), $A399, INDIRECT("'"&amp;Assemblies[Assy]&amp;"'!"&amp;"O$5:O1000")), "x",Assemblies[Assy],".",IF(SUMIF(INDIRECT("'"&amp;Assemblies[Assy]&amp;"'!"&amp;"C$5:C1000"), $A399, INDIRECT("'"&amp;Assemblies[Assy]&amp;"'!"&amp;"A$5:A1000"))=0,NA(),SUMIF(INDIRECT("'"&amp;Assemblies[Assy]&amp;"'!"&amp;"C$5:C1000"), $A399, INDIRECT("'"&amp;Assemblies[Assy]&amp;"'!"&amp;"A$5:A1000")))),"")), " ,", ""))</f>
        <v>, 2x5.3.322, 2x6.1.317, 4x8.3.309,</v>
      </c>
    </row>
    <row r="400" spans="1:19" hidden="1" x14ac:dyDescent="0.25">
      <c r="A400" s="160" t="s">
        <v>744</v>
      </c>
      <c r="B400" s="160" t="s">
        <v>3479</v>
      </c>
      <c r="C400" s="180">
        <v>13.04</v>
      </c>
      <c r="D400">
        <v>1</v>
      </c>
      <c r="E400" cm="1">
        <f t="array" aca="1" ref="E400" ca="1">SUMPRODUCT(SUMIF(INDIRECT("'"&amp;Assemblies[Assy]&amp;"'!"&amp;"C:C"),$A400,(INDIRECT("'"&amp;Assemblies[Assy]&amp;"'!"&amp;"O:O"))))</f>
        <v>8</v>
      </c>
      <c r="F400">
        <f ca="1">ROUNDUP(Purchased[[#This Row],[BOM QTY]]/Purchased[[#This Row],[PK QTY]], 0)</f>
        <v>8</v>
      </c>
      <c r="G400">
        <v>8</v>
      </c>
      <c r="H400" t="str">
        <f ca="1">IF(F400&lt;=G400," ","YES")</f>
        <v xml:space="preserve"> </v>
      </c>
      <c r="I400">
        <v>8</v>
      </c>
      <c r="J400">
        <v>8</v>
      </c>
      <c r="K400" t="s">
        <v>3442</v>
      </c>
      <c r="L400" t="s">
        <v>3442</v>
      </c>
      <c r="N400" s="40" t="s">
        <v>2747</v>
      </c>
      <c r="O400" s="40">
        <v>45524</v>
      </c>
      <c r="P400" s="40">
        <v>45540</v>
      </c>
      <c r="Q400" s="40">
        <v>45527</v>
      </c>
      <c r="R400">
        <v>55693</v>
      </c>
      <c r="S400" s="40" t="str" cm="1">
        <f t="array" aca="1" ref="S400" ca="1">TRIM(SUBSTITUTE(_xlfn.ARRAYTOTEXT(IFERROR(CONCATENATE(SUMIF(INDIRECT("'"&amp;Assemblies[Assy]&amp;"'!"&amp;"C$5:C1000"), $A400, INDIRECT("'"&amp;Assemblies[Assy]&amp;"'!"&amp;"O$5:O1000")), "x",Assemblies[Assy],".",IF(SUMIF(INDIRECT("'"&amp;Assemblies[Assy]&amp;"'!"&amp;"C$5:C1000"), $A400, INDIRECT("'"&amp;Assemblies[Assy]&amp;"'!"&amp;"A$5:A1000"))=0,NA(),SUMIF(INDIRECT("'"&amp;Assemblies[Assy]&amp;"'!"&amp;"C$5:C1000"), $A400, INDIRECT("'"&amp;Assemblies[Assy]&amp;"'!"&amp;"A$5:A1000")))),"")), " ,", ""))</f>
        <v>, 8x5.3.343,</v>
      </c>
    </row>
    <row r="401" spans="1:19" hidden="1" x14ac:dyDescent="0.25">
      <c r="A401" s="160" t="s">
        <v>723</v>
      </c>
      <c r="B401" s="160" t="s">
        <v>3451</v>
      </c>
      <c r="C401" s="180">
        <v>15.11</v>
      </c>
      <c r="D401">
        <v>1</v>
      </c>
      <c r="E401" cm="1">
        <f t="array" aca="1" ref="E401" ca="1">SUMPRODUCT(SUMIF(INDIRECT("'"&amp;Assemblies[Assy]&amp;"'!"&amp;"C:C"),$A401,(INDIRECT("'"&amp;Assemblies[Assy]&amp;"'!"&amp;"O:O"))))</f>
        <v>10</v>
      </c>
      <c r="F401">
        <f ca="1">ROUNDUP(Purchased[[#This Row],[BOM QTY]]/Purchased[[#This Row],[PK QTY]], 0)</f>
        <v>10</v>
      </c>
      <c r="G401">
        <v>10</v>
      </c>
      <c r="H401" t="str">
        <f ca="1">IF(F401&lt;=G401," ","YES")</f>
        <v xml:space="preserve"> </v>
      </c>
      <c r="I401">
        <v>10</v>
      </c>
      <c r="J401">
        <v>10</v>
      </c>
      <c r="K401" t="s">
        <v>3442</v>
      </c>
      <c r="L401" t="s">
        <v>3442</v>
      </c>
      <c r="N401" s="40">
        <v>45483</v>
      </c>
      <c r="O401" s="40">
        <v>45483</v>
      </c>
      <c r="P401" s="40">
        <v>45512</v>
      </c>
      <c r="Q401" s="40">
        <v>45512</v>
      </c>
      <c r="R401">
        <v>55592</v>
      </c>
      <c r="S401" s="40" t="str" cm="1">
        <f t="array" aca="1" ref="S401" ca="1">TRIM(SUBSTITUTE(_xlfn.ARRAYTOTEXT(IFERROR(CONCATENATE(SUMIF(INDIRECT("'"&amp;Assemblies[Assy]&amp;"'!"&amp;"C$5:C1000"), $A401, INDIRECT("'"&amp;Assemblies[Assy]&amp;"'!"&amp;"O$5:O1000")), "x",Assemblies[Assy],".",IF(SUMIF(INDIRECT("'"&amp;Assemblies[Assy]&amp;"'!"&amp;"C$5:C1000"), $A401, INDIRECT("'"&amp;Assemblies[Assy]&amp;"'!"&amp;"A$5:A1000"))=0,NA(),SUMIF(INDIRECT("'"&amp;Assemblies[Assy]&amp;"'!"&amp;"C$5:C1000"), $A401, INDIRECT("'"&amp;Assemblies[Assy]&amp;"'!"&amp;"A$5:A1000")))),"")), " ,", ""))</f>
        <v>, 4x5.3.314, 4x6.1.323, 2x8.3.318,</v>
      </c>
    </row>
    <row r="402" spans="1:19" hidden="1" x14ac:dyDescent="0.25">
      <c r="A402" s="160" t="s">
        <v>1251</v>
      </c>
      <c r="B402" s="160" t="s">
        <v>3454</v>
      </c>
      <c r="C402" s="180">
        <v>13.83</v>
      </c>
      <c r="D402">
        <v>1</v>
      </c>
      <c r="E402" cm="1">
        <f t="array" aca="1" ref="E402" ca="1">SUMPRODUCT(SUMIF(INDIRECT("'"&amp;Assemblies[Assy]&amp;"'!"&amp;"C:C"),$A402,(INDIRECT("'"&amp;Assemblies[Assy]&amp;"'!"&amp;"O:O"))))</f>
        <v>8</v>
      </c>
      <c r="F402">
        <f ca="1">ROUNDUP(Purchased[[#This Row],[BOM QTY]]/Purchased[[#This Row],[PK QTY]], 0)</f>
        <v>8</v>
      </c>
      <c r="G402">
        <v>10</v>
      </c>
      <c r="H402" t="str">
        <f ca="1">IF(F402&lt;=G402," ","YES")</f>
        <v xml:space="preserve"> </v>
      </c>
      <c r="I402">
        <v>10</v>
      </c>
      <c r="J402">
        <v>10</v>
      </c>
      <c r="K402" t="s">
        <v>3442</v>
      </c>
      <c r="L402" t="s">
        <v>3442</v>
      </c>
      <c r="N402" s="40">
        <v>45483</v>
      </c>
      <c r="O402" s="40">
        <v>45483</v>
      </c>
      <c r="P402" s="40">
        <v>45512</v>
      </c>
      <c r="Q402" s="40">
        <v>45512</v>
      </c>
      <c r="R402">
        <v>55592</v>
      </c>
      <c r="S402" s="40" t="str" cm="1">
        <f t="array" aca="1" ref="S402" ca="1">TRIM(SUBSTITUTE(_xlfn.ARRAYTOTEXT(IFERROR(CONCATENATE(SUMIF(INDIRECT("'"&amp;Assemblies[Assy]&amp;"'!"&amp;"C$5:C1000"), $A402, INDIRECT("'"&amp;Assemblies[Assy]&amp;"'!"&amp;"O$5:O1000")), "x",Assemblies[Assy],".",IF(SUMIF(INDIRECT("'"&amp;Assemblies[Assy]&amp;"'!"&amp;"C$5:C1000"), $A402, INDIRECT("'"&amp;Assemblies[Assy]&amp;"'!"&amp;"A$5:A1000"))=0,NA(),SUMIF(INDIRECT("'"&amp;Assemblies[Assy]&amp;"'!"&amp;"C$5:C1000"), $A402, INDIRECT("'"&amp;Assemblies[Assy]&amp;"'!"&amp;"A$5:A1000")))),"")), " ,", ""))</f>
        <v>, 8x8.3.317,</v>
      </c>
    </row>
    <row r="403" spans="1:19" hidden="1" x14ac:dyDescent="0.25">
      <c r="A403" s="160" t="s">
        <v>728</v>
      </c>
      <c r="B403" s="160" t="s">
        <v>3459</v>
      </c>
      <c r="C403" s="180">
        <v>42.73</v>
      </c>
      <c r="D403">
        <v>1</v>
      </c>
      <c r="E403" cm="1">
        <f t="array" aca="1" ref="E403" ca="1">SUMPRODUCT(SUMIF(INDIRECT("'"&amp;Assemblies[Assy]&amp;"'!"&amp;"C:C"),$A403,(INDIRECT("'"&amp;Assemblies[Assy]&amp;"'!"&amp;"O:O"))))</f>
        <v>10</v>
      </c>
      <c r="F403">
        <f ca="1">ROUNDUP(Purchased[[#This Row],[BOM QTY]]/Purchased[[#This Row],[PK QTY]], 0)</f>
        <v>10</v>
      </c>
      <c r="G403">
        <v>10</v>
      </c>
      <c r="H403" t="str">
        <f ca="1">IF(F403&lt;=G403," ","YES")</f>
        <v xml:space="preserve"> </v>
      </c>
      <c r="I403">
        <v>10</v>
      </c>
      <c r="J403">
        <v>10</v>
      </c>
      <c r="K403" t="s">
        <v>3442</v>
      </c>
      <c r="L403" t="s">
        <v>3442</v>
      </c>
      <c r="N403" s="40">
        <v>45483</v>
      </c>
      <c r="O403" s="40">
        <v>45483</v>
      </c>
      <c r="P403" s="40">
        <v>45512</v>
      </c>
      <c r="Q403" s="40">
        <v>45512</v>
      </c>
      <c r="R403">
        <v>55592</v>
      </c>
      <c r="S403" s="40" t="str" cm="1">
        <f t="array" aca="1" ref="S403" ca="1">TRIM(SUBSTITUTE(_xlfn.ARRAYTOTEXT(IFERROR(CONCATENATE(SUMIF(INDIRECT("'"&amp;Assemblies[Assy]&amp;"'!"&amp;"C$5:C1000"), $A403, INDIRECT("'"&amp;Assemblies[Assy]&amp;"'!"&amp;"O$5:O1000")), "x",Assemblies[Assy],".",IF(SUMIF(INDIRECT("'"&amp;Assemblies[Assy]&amp;"'!"&amp;"C$5:C1000"), $A403, INDIRECT("'"&amp;Assemblies[Assy]&amp;"'!"&amp;"A$5:A1000"))=0,NA(),SUMIF(INDIRECT("'"&amp;Assemblies[Assy]&amp;"'!"&amp;"C$5:C1000"), $A403, INDIRECT("'"&amp;Assemblies[Assy]&amp;"'!"&amp;"A$5:A1000")))),"")), " ,", ""))</f>
        <v>, 4x5.3.320, 4x6.1.314, 2x8.3.308,</v>
      </c>
    </row>
    <row r="404" spans="1:19" hidden="1" x14ac:dyDescent="0.25">
      <c r="A404" s="160" t="s">
        <v>641</v>
      </c>
      <c r="B404" s="160" t="s">
        <v>3477</v>
      </c>
      <c r="C404" s="180">
        <v>5.55</v>
      </c>
      <c r="D404">
        <v>1</v>
      </c>
      <c r="E404" cm="1">
        <f t="array" aca="1" ref="E404" ca="1">SUMPRODUCT(SUMIF(INDIRECT("'"&amp;Assemblies[Assy]&amp;"'!"&amp;"C:C"),$A404,(INDIRECT("'"&amp;Assemblies[Assy]&amp;"'!"&amp;"O:O"))))</f>
        <v>6</v>
      </c>
      <c r="F404">
        <f ca="1">ROUNDUP(Purchased[[#This Row],[BOM QTY]]/Purchased[[#This Row],[PK QTY]], 0)</f>
        <v>6</v>
      </c>
      <c r="G404">
        <v>10</v>
      </c>
      <c r="H404" t="str">
        <f ca="1">IF(F404&lt;=G404," ","YES")</f>
        <v xml:space="preserve"> </v>
      </c>
      <c r="I404">
        <v>10</v>
      </c>
      <c r="J404">
        <v>10</v>
      </c>
      <c r="K404" t="s">
        <v>3442</v>
      </c>
      <c r="L404" t="s">
        <v>3442</v>
      </c>
      <c r="N404" s="40" t="s">
        <v>2747</v>
      </c>
      <c r="O404" s="40">
        <v>45524</v>
      </c>
      <c r="P404" s="40">
        <v>45540</v>
      </c>
      <c r="Q404" s="40">
        <v>45527</v>
      </c>
      <c r="R404">
        <v>55693</v>
      </c>
      <c r="S404" s="40" t="str" cm="1">
        <f t="array" aca="1" ref="S404" ca="1">TRIM(SUBSTITUTE(_xlfn.ARRAYTOTEXT(IFERROR(CONCATENATE(SUMIF(INDIRECT("'"&amp;Assemblies[Assy]&amp;"'!"&amp;"C$5:C1000"), $A404, INDIRECT("'"&amp;Assemblies[Assy]&amp;"'!"&amp;"O$5:O1000")), "x",Assemblies[Assy],".",IF(SUMIF(INDIRECT("'"&amp;Assemblies[Assy]&amp;"'!"&amp;"C$5:C1000"), $A404, INDIRECT("'"&amp;Assemblies[Assy]&amp;"'!"&amp;"A$5:A1000"))=0,NA(),SUMIF(INDIRECT("'"&amp;Assemblies[Assy]&amp;"'!"&amp;"C$5:C1000"), $A404, INDIRECT("'"&amp;Assemblies[Assy]&amp;"'!"&amp;"A$5:A1000")))),"")), " ,", ""))</f>
        <v>, 4x4.4.1.306, 2x4.4.2.302,</v>
      </c>
    </row>
    <row r="405" spans="1:19" hidden="1" x14ac:dyDescent="0.25">
      <c r="A405" s="160" t="s">
        <v>648</v>
      </c>
      <c r="B405" s="160" t="s">
        <v>3469</v>
      </c>
      <c r="C405" s="180">
        <v>48.07</v>
      </c>
      <c r="D405">
        <v>1</v>
      </c>
      <c r="E405" cm="1">
        <f t="array" aca="1" ref="E405" ca="1">SUMPRODUCT(SUMIF(INDIRECT("'"&amp;Assemblies[Assy]&amp;"'!"&amp;"C:C"),$A405,(INDIRECT("'"&amp;Assemblies[Assy]&amp;"'!"&amp;"O:O"))))</f>
        <v>10</v>
      </c>
      <c r="F405">
        <f ca="1">ROUNDUP(Purchased[[#This Row],[BOM QTY]]/Purchased[[#This Row],[PK QTY]], 0)</f>
        <v>10</v>
      </c>
      <c r="G405">
        <v>10</v>
      </c>
      <c r="H405" t="str">
        <f ca="1">IF(F405&lt;=G405," ","YES")</f>
        <v xml:space="preserve"> </v>
      </c>
      <c r="I405">
        <v>10</v>
      </c>
      <c r="J405">
        <v>10</v>
      </c>
      <c r="K405" t="s">
        <v>3442</v>
      </c>
      <c r="L405" t="s">
        <v>3442</v>
      </c>
      <c r="M405" s="191" t="s">
        <v>3470</v>
      </c>
      <c r="N405" s="40">
        <v>45483</v>
      </c>
      <c r="O405" s="40">
        <v>45483</v>
      </c>
      <c r="P405" s="40">
        <v>45512</v>
      </c>
      <c r="Q405" s="40">
        <v>45512</v>
      </c>
      <c r="R405" t="s">
        <v>3782</v>
      </c>
      <c r="S405" s="40" t="str" cm="1">
        <f t="array" aca="1" ref="S405" ca="1">TRIM(SUBSTITUTE(_xlfn.ARRAYTOTEXT(IFERROR(CONCATENATE(SUMIF(INDIRECT("'"&amp;Assemblies[Assy]&amp;"'!"&amp;"C$5:C1000"), $A405, INDIRECT("'"&amp;Assemblies[Assy]&amp;"'!"&amp;"O$5:O1000")), "x",Assemblies[Assy],".",IF(SUMIF(INDIRECT("'"&amp;Assemblies[Assy]&amp;"'!"&amp;"C$5:C1000"), $A405, INDIRECT("'"&amp;Assemblies[Assy]&amp;"'!"&amp;"A$5:A1000"))=0,NA(),SUMIF(INDIRECT("'"&amp;Assemblies[Assy]&amp;"'!"&amp;"C$5:C1000"), $A405, INDIRECT("'"&amp;Assemblies[Assy]&amp;"'!"&amp;"A$5:A1000")))),"")), " ,", ""))</f>
        <v>, 2x4.4.2.303, 2x4.5.1.305, 2x5.3.323, 2x6.1.318, 2x8.3.313,</v>
      </c>
    </row>
    <row r="406" spans="1:19" hidden="1" x14ac:dyDescent="0.25">
      <c r="A406" s="160" t="s">
        <v>732</v>
      </c>
      <c r="B406" s="160" t="s">
        <v>3445</v>
      </c>
      <c r="C406" s="180">
        <v>7.07</v>
      </c>
      <c r="D406">
        <v>1</v>
      </c>
      <c r="E406" cm="1">
        <f t="array" aca="1" ref="E406" ca="1">SUMPRODUCT(SUMIF(INDIRECT("'"&amp;Assemblies[Assy]&amp;"'!"&amp;"C:C"),$A406,(INDIRECT("'"&amp;Assemblies[Assy]&amp;"'!"&amp;"O:O"))))</f>
        <v>12</v>
      </c>
      <c r="F406">
        <f ca="1">ROUNDUP(Purchased[[#This Row],[BOM QTY]]/Purchased[[#This Row],[PK QTY]], 0)</f>
        <v>12</v>
      </c>
      <c r="G406">
        <v>12</v>
      </c>
      <c r="H406" t="str">
        <f ca="1">IF(F406&lt;=G406," ","YES")</f>
        <v xml:space="preserve"> </v>
      </c>
      <c r="I406">
        <v>12</v>
      </c>
      <c r="J406">
        <v>12</v>
      </c>
      <c r="K406" t="s">
        <v>3442</v>
      </c>
      <c r="L406" t="s">
        <v>3442</v>
      </c>
      <c r="N406" s="40">
        <v>45483</v>
      </c>
      <c r="O406" s="40">
        <v>45483</v>
      </c>
      <c r="P406" s="40">
        <v>45512</v>
      </c>
      <c r="Q406" s="40">
        <v>45512</v>
      </c>
      <c r="R406">
        <v>55592</v>
      </c>
      <c r="S406" s="40" t="str" cm="1">
        <f t="array" aca="1" ref="S406" ca="1">TRIM(SUBSTITUTE(_xlfn.ARRAYTOTEXT(IFERROR(CONCATENATE(SUMIF(INDIRECT("'"&amp;Assemblies[Assy]&amp;"'!"&amp;"C$5:C1000"), $A406, INDIRECT("'"&amp;Assemblies[Assy]&amp;"'!"&amp;"O$5:O1000")), "x",Assemblies[Assy],".",IF(SUMIF(INDIRECT("'"&amp;Assemblies[Assy]&amp;"'!"&amp;"C$5:C1000"), $A406, INDIRECT("'"&amp;Assemblies[Assy]&amp;"'!"&amp;"A$5:A1000"))=0,NA(),SUMIF(INDIRECT("'"&amp;Assemblies[Assy]&amp;"'!"&amp;"C$5:C1000"), $A406, INDIRECT("'"&amp;Assemblies[Assy]&amp;"'!"&amp;"A$5:A1000")))),"")), " ,", ""))</f>
        <v>, 4x5.3.325, 4x6.1.320, 4x8.3.314,</v>
      </c>
    </row>
    <row r="407" spans="1:19" hidden="1" x14ac:dyDescent="0.25">
      <c r="A407" s="160" t="s">
        <v>726</v>
      </c>
      <c r="B407" s="160" t="s">
        <v>3467</v>
      </c>
      <c r="C407" s="180">
        <v>13.56</v>
      </c>
      <c r="D407">
        <v>1</v>
      </c>
      <c r="E407" cm="1">
        <f t="array" aca="1" ref="E407" ca="1">SUMPRODUCT(SUMIF(INDIRECT("'"&amp;Assemblies[Assy]&amp;"'!"&amp;"C:C"),$A407,(INDIRECT("'"&amp;Assemblies[Assy]&amp;"'!"&amp;"O:O"))))</f>
        <v>14</v>
      </c>
      <c r="F407">
        <f ca="1">ROUNDUP(Purchased[[#This Row],[BOM QTY]]/Purchased[[#This Row],[PK QTY]], 0)</f>
        <v>14</v>
      </c>
      <c r="G407">
        <v>14</v>
      </c>
      <c r="H407" t="str">
        <f ca="1">IF(F407&lt;=G407," ","YES")</f>
        <v xml:space="preserve"> </v>
      </c>
      <c r="I407">
        <v>14</v>
      </c>
      <c r="J407">
        <v>14</v>
      </c>
      <c r="K407" t="s">
        <v>3442</v>
      </c>
      <c r="L407" t="s">
        <v>3442</v>
      </c>
      <c r="M407" s="191" t="s">
        <v>3468</v>
      </c>
      <c r="N407" s="40">
        <v>45483</v>
      </c>
      <c r="O407" s="40">
        <v>45483</v>
      </c>
      <c r="P407" s="40">
        <v>45512</v>
      </c>
      <c r="Q407" s="40">
        <v>45512</v>
      </c>
      <c r="R407" t="s">
        <v>3782</v>
      </c>
      <c r="S407" s="40" t="str" cm="1">
        <f t="array" aca="1" ref="S407" ca="1">TRIM(SUBSTITUTE(_xlfn.ARRAYTOTEXT(IFERROR(CONCATENATE(SUMIF(INDIRECT("'"&amp;Assemblies[Assy]&amp;"'!"&amp;"C$5:C1000"), $A407, INDIRECT("'"&amp;Assemblies[Assy]&amp;"'!"&amp;"O$5:O1000")), "x",Assemblies[Assy],".",IF(SUMIF(INDIRECT("'"&amp;Assemblies[Assy]&amp;"'!"&amp;"C$5:C1000"), $A407, INDIRECT("'"&amp;Assemblies[Assy]&amp;"'!"&amp;"A$5:A1000"))=0,NA(),SUMIF(INDIRECT("'"&amp;Assemblies[Assy]&amp;"'!"&amp;"C$5:C1000"), $A407, INDIRECT("'"&amp;Assemblies[Assy]&amp;"'!"&amp;"A$5:A1000")))),"")), " ,", ""))</f>
        <v>, 8x5.3.317, 6x6.1.321,</v>
      </c>
    </row>
    <row r="408" spans="1:19" hidden="1" x14ac:dyDescent="0.25">
      <c r="A408" s="160" t="s">
        <v>731</v>
      </c>
      <c r="B408" s="160" t="s">
        <v>3448</v>
      </c>
      <c r="C408" s="180">
        <v>51.45</v>
      </c>
      <c r="D408">
        <v>1</v>
      </c>
      <c r="E408" cm="1">
        <f t="array" aca="1" ref="E408" ca="1">SUMPRODUCT(SUMIF(INDIRECT("'"&amp;Assemblies[Assy]&amp;"'!"&amp;"C:C"),$A408,(INDIRECT("'"&amp;Assemblies[Assy]&amp;"'!"&amp;"O:O"))))</f>
        <v>16</v>
      </c>
      <c r="F408">
        <f ca="1">ROUNDUP(Purchased[[#This Row],[BOM QTY]]/Purchased[[#This Row],[PK QTY]], 0)</f>
        <v>16</v>
      </c>
      <c r="G408">
        <v>16</v>
      </c>
      <c r="H408" t="str">
        <f ca="1">IF(F408&lt;=G408," ","YES")</f>
        <v xml:space="preserve"> </v>
      </c>
      <c r="I408">
        <v>16</v>
      </c>
      <c r="J408">
        <v>16</v>
      </c>
      <c r="K408" t="s">
        <v>3442</v>
      </c>
      <c r="L408" t="s">
        <v>3442</v>
      </c>
      <c r="N408" s="40">
        <v>45483</v>
      </c>
      <c r="O408" s="40">
        <v>45483</v>
      </c>
      <c r="P408" s="40">
        <v>45512</v>
      </c>
      <c r="Q408" s="40">
        <v>45512</v>
      </c>
      <c r="R408">
        <v>55592</v>
      </c>
      <c r="S408" s="40" t="str" cm="1">
        <f t="array" aca="1" ref="S408" ca="1">TRIM(SUBSTITUTE(_xlfn.ARRAYTOTEXT(IFERROR(CONCATENATE(SUMIF(INDIRECT("'"&amp;Assemblies[Assy]&amp;"'!"&amp;"C$5:C1000"), $A408, INDIRECT("'"&amp;Assemblies[Assy]&amp;"'!"&amp;"O$5:O1000")), "x",Assemblies[Assy],".",IF(SUMIF(INDIRECT("'"&amp;Assemblies[Assy]&amp;"'!"&amp;"C$5:C1000"), $A408, INDIRECT("'"&amp;Assemblies[Assy]&amp;"'!"&amp;"A$5:A1000"))=0,NA(),SUMIF(INDIRECT("'"&amp;Assemblies[Assy]&amp;"'!"&amp;"C$5:C1000"), $A408, INDIRECT("'"&amp;Assemblies[Assy]&amp;"'!"&amp;"A$5:A1000")))),"")), " ,", ""))</f>
        <v>, 4x5.3.324, 4x6.1.319, 8x8.3.311,</v>
      </c>
    </row>
    <row r="409" spans="1:19" hidden="1" x14ac:dyDescent="0.25">
      <c r="A409" s="160" t="s">
        <v>722</v>
      </c>
      <c r="B409" s="160" t="s">
        <v>3453</v>
      </c>
      <c r="C409" s="180">
        <v>13.04</v>
      </c>
      <c r="D409">
        <v>1</v>
      </c>
      <c r="E409" cm="1">
        <f t="array" aca="1" ref="E409" ca="1">SUMPRODUCT(SUMIF(INDIRECT("'"&amp;Assemblies[Assy]&amp;"'!"&amp;"C:C"),$A409,(INDIRECT("'"&amp;Assemblies[Assy]&amp;"'!"&amp;"O:O"))))</f>
        <v>16</v>
      </c>
      <c r="F409">
        <f ca="1">ROUNDUP(Purchased[[#This Row],[BOM QTY]]/Purchased[[#This Row],[PK QTY]], 0)</f>
        <v>16</v>
      </c>
      <c r="G409">
        <v>16</v>
      </c>
      <c r="H409" t="str">
        <f ca="1">IF(F409&lt;=G409," ","YES")</f>
        <v xml:space="preserve"> </v>
      </c>
      <c r="I409">
        <v>16</v>
      </c>
      <c r="J409">
        <v>16</v>
      </c>
      <c r="K409" t="s">
        <v>3442</v>
      </c>
      <c r="L409" t="s">
        <v>3442</v>
      </c>
      <c r="N409" s="40">
        <v>45483</v>
      </c>
      <c r="O409" s="40">
        <v>45483</v>
      </c>
      <c r="P409" s="40">
        <v>45512</v>
      </c>
      <c r="Q409" s="40">
        <v>45512</v>
      </c>
      <c r="R409">
        <v>55592</v>
      </c>
      <c r="S409" s="40" t="str" cm="1">
        <f t="array" aca="1" ref="S409" ca="1">TRIM(SUBSTITUTE(_xlfn.ARRAYTOTEXT(IFERROR(CONCATENATE(SUMIF(INDIRECT("'"&amp;Assemblies[Assy]&amp;"'!"&amp;"C$5:C1000"), $A409, INDIRECT("'"&amp;Assemblies[Assy]&amp;"'!"&amp;"O$5:O1000")), "x",Assemblies[Assy],".",IF(SUMIF(INDIRECT("'"&amp;Assemblies[Assy]&amp;"'!"&amp;"C$5:C1000"), $A409, INDIRECT("'"&amp;Assemblies[Assy]&amp;"'!"&amp;"A$5:A1000"))=0,NA(),SUMIF(INDIRECT("'"&amp;Assemblies[Assy]&amp;"'!"&amp;"C$5:C1000"), $A409, INDIRECT("'"&amp;Assemblies[Assy]&amp;"'!"&amp;"A$5:A1000")))),"")), " ,", ""))</f>
        <v>, 8x5.3.313, 8x6.1.325,</v>
      </c>
    </row>
    <row r="410" spans="1:19" hidden="1" x14ac:dyDescent="0.25">
      <c r="A410" s="160" t="s">
        <v>1186</v>
      </c>
      <c r="B410" s="160" t="s">
        <v>3458</v>
      </c>
      <c r="C410" s="180">
        <v>51.85</v>
      </c>
      <c r="D410">
        <v>1</v>
      </c>
      <c r="E410" cm="1">
        <f t="array" aca="1" ref="E410" ca="1">SUMPRODUCT(SUMIF(INDIRECT("'"&amp;Assemblies[Assy]&amp;"'!"&amp;"C:C"),$A410,(INDIRECT("'"&amp;Assemblies[Assy]&amp;"'!"&amp;"O:O"))))</f>
        <v>16</v>
      </c>
      <c r="F410">
        <f ca="1">ROUNDUP(Purchased[[#This Row],[BOM QTY]]/Purchased[[#This Row],[PK QTY]], 0)</f>
        <v>16</v>
      </c>
      <c r="G410">
        <v>16</v>
      </c>
      <c r="H410" t="str">
        <f ca="1">IF(F410&lt;=G410," ","YES")</f>
        <v xml:space="preserve"> </v>
      </c>
      <c r="I410">
        <v>16</v>
      </c>
      <c r="J410">
        <v>16</v>
      </c>
      <c r="K410" t="s">
        <v>3442</v>
      </c>
      <c r="L410" t="s">
        <v>3442</v>
      </c>
      <c r="N410" s="40">
        <v>45483</v>
      </c>
      <c r="O410" s="40">
        <v>45483</v>
      </c>
      <c r="P410" s="40">
        <v>45512</v>
      </c>
      <c r="Q410" s="40">
        <v>45512</v>
      </c>
      <c r="R410">
        <v>55592</v>
      </c>
      <c r="S410" s="40" t="str" cm="1">
        <f t="array" aca="1" ref="S410" ca="1">TRIM(SUBSTITUTE(_xlfn.ARRAYTOTEXT(IFERROR(CONCATENATE(SUMIF(INDIRECT("'"&amp;Assemblies[Assy]&amp;"'!"&amp;"C$5:C1000"), $A410, INDIRECT("'"&amp;Assemblies[Assy]&amp;"'!"&amp;"O$5:O1000")), "x",Assemblies[Assy],".",IF(SUMIF(INDIRECT("'"&amp;Assemblies[Assy]&amp;"'!"&amp;"C$5:C1000"), $A410, INDIRECT("'"&amp;Assemblies[Assy]&amp;"'!"&amp;"A$5:A1000"))=0,NA(),SUMIF(INDIRECT("'"&amp;Assemblies[Assy]&amp;"'!"&amp;"C$5:C1000"), $A410, INDIRECT("'"&amp;Assemblies[Assy]&amp;"'!"&amp;"A$5:A1000")))),"")), " ,", ""))</f>
        <v>, 16x7.2.5.305,</v>
      </c>
    </row>
    <row r="411" spans="1:19" hidden="1" x14ac:dyDescent="0.25">
      <c r="A411" s="160" t="s">
        <v>1264</v>
      </c>
      <c r="B411" s="160" t="s">
        <v>3461</v>
      </c>
      <c r="C411" s="180">
        <v>108.8</v>
      </c>
      <c r="D411">
        <v>1</v>
      </c>
      <c r="E411" cm="1">
        <f t="array" aca="1" ref="E411" ca="1">SUMPRODUCT(SUMIF(INDIRECT("'"&amp;Assemblies[Assy]&amp;"'!"&amp;"C:C"),$A411,(INDIRECT("'"&amp;Assemblies[Assy]&amp;"'!"&amp;"O:O"))))</f>
        <v>16</v>
      </c>
      <c r="F411">
        <f ca="1">ROUNDUP(Purchased[[#This Row],[BOM QTY]]/Purchased[[#This Row],[PK QTY]], 0)</f>
        <v>16</v>
      </c>
      <c r="G411">
        <v>16</v>
      </c>
      <c r="H411" t="str">
        <f ca="1">IF(F411&lt;=G411," ","YES")</f>
        <v xml:space="preserve"> </v>
      </c>
      <c r="I411">
        <v>16</v>
      </c>
      <c r="J411">
        <v>16</v>
      </c>
      <c r="K411" t="s">
        <v>3442</v>
      </c>
      <c r="L411" t="s">
        <v>3442</v>
      </c>
      <c r="N411" s="40">
        <v>45483</v>
      </c>
      <c r="O411" s="40">
        <v>45483</v>
      </c>
      <c r="P411" s="40">
        <v>45512</v>
      </c>
      <c r="Q411" s="40">
        <v>45512</v>
      </c>
      <c r="R411">
        <v>55592</v>
      </c>
      <c r="S411" s="40" t="str" cm="1">
        <f t="array" aca="1" ref="S411" ca="1">TRIM(SUBSTITUTE(_xlfn.ARRAYTOTEXT(IFERROR(CONCATENATE(SUMIF(INDIRECT("'"&amp;Assemblies[Assy]&amp;"'!"&amp;"C$5:C1000"), $A411, INDIRECT("'"&amp;Assemblies[Assy]&amp;"'!"&amp;"O$5:O1000")), "x",Assemblies[Assy],".",IF(SUMIF(INDIRECT("'"&amp;Assemblies[Assy]&amp;"'!"&amp;"C$5:C1000"), $A411, INDIRECT("'"&amp;Assemblies[Assy]&amp;"'!"&amp;"A$5:A1000"))=0,NA(),SUMIF(INDIRECT("'"&amp;Assemblies[Assy]&amp;"'!"&amp;"C$5:C1000"), $A411, INDIRECT("'"&amp;Assemblies[Assy]&amp;"'!"&amp;"A$5:A1000")))),"")), " ,", ""))</f>
        <v>, 16x8.4.307,</v>
      </c>
    </row>
    <row r="412" spans="1:19" hidden="1" x14ac:dyDescent="0.25">
      <c r="A412" s="160" t="s">
        <v>1184</v>
      </c>
      <c r="B412" s="160" t="s">
        <v>3465</v>
      </c>
      <c r="C412" s="180">
        <v>4.04</v>
      </c>
      <c r="D412">
        <v>1</v>
      </c>
      <c r="E412" cm="1">
        <f t="array" aca="1" ref="E412" ca="1">SUMPRODUCT(SUMIF(INDIRECT("'"&amp;Assemblies[Assy]&amp;"'!"&amp;"C:C"),$A412,(INDIRECT("'"&amp;Assemblies[Assy]&amp;"'!"&amp;"O:O"))))</f>
        <v>16</v>
      </c>
      <c r="F412">
        <f ca="1">ROUNDUP(Purchased[[#This Row],[BOM QTY]]/Purchased[[#This Row],[PK QTY]], 0)</f>
        <v>16</v>
      </c>
      <c r="G412">
        <v>16</v>
      </c>
      <c r="H412" t="str">
        <f ca="1">IF(F412&lt;=G412," ","YES")</f>
        <v xml:space="preserve"> </v>
      </c>
      <c r="I412">
        <v>16</v>
      </c>
      <c r="J412">
        <v>16</v>
      </c>
      <c r="K412" t="s">
        <v>3442</v>
      </c>
      <c r="L412" t="s">
        <v>3442</v>
      </c>
      <c r="N412" s="40">
        <v>45483</v>
      </c>
      <c r="O412" s="40">
        <v>45483</v>
      </c>
      <c r="P412" s="40">
        <v>45512</v>
      </c>
      <c r="Q412" s="40">
        <v>45512</v>
      </c>
      <c r="R412">
        <v>55592</v>
      </c>
      <c r="S412" s="40" t="str" cm="1">
        <f t="array" aca="1" ref="S412" ca="1">TRIM(SUBSTITUTE(_xlfn.ARRAYTOTEXT(IFERROR(CONCATENATE(SUMIF(INDIRECT("'"&amp;Assemblies[Assy]&amp;"'!"&amp;"C$5:C1000"), $A412, INDIRECT("'"&amp;Assemblies[Assy]&amp;"'!"&amp;"O$5:O1000")), "x",Assemblies[Assy],".",IF(SUMIF(INDIRECT("'"&amp;Assemblies[Assy]&amp;"'!"&amp;"C$5:C1000"), $A412, INDIRECT("'"&amp;Assemblies[Assy]&amp;"'!"&amp;"A$5:A1000"))=0,NA(),SUMIF(INDIRECT("'"&amp;Assemblies[Assy]&amp;"'!"&amp;"C$5:C1000"), $A412, INDIRECT("'"&amp;Assemblies[Assy]&amp;"'!"&amp;"A$5:A1000")))),"")), " ,", ""))</f>
        <v>, 16x7.2.5.303,</v>
      </c>
    </row>
    <row r="413" spans="1:19" hidden="1" x14ac:dyDescent="0.25">
      <c r="A413" s="160" t="s">
        <v>1185</v>
      </c>
      <c r="B413" s="160" t="s">
        <v>3466</v>
      </c>
      <c r="C413" s="180">
        <v>4.04</v>
      </c>
      <c r="D413">
        <v>1</v>
      </c>
      <c r="E413" cm="1">
        <f t="array" aca="1" ref="E413" ca="1">SUMPRODUCT(SUMIF(INDIRECT("'"&amp;Assemblies[Assy]&amp;"'!"&amp;"C:C"),$A413,(INDIRECT("'"&amp;Assemblies[Assy]&amp;"'!"&amp;"O:O"))))</f>
        <v>16</v>
      </c>
      <c r="F413">
        <f ca="1">ROUNDUP(Purchased[[#This Row],[BOM QTY]]/Purchased[[#This Row],[PK QTY]], 0)</f>
        <v>16</v>
      </c>
      <c r="G413">
        <v>16</v>
      </c>
      <c r="H413" t="str">
        <f ca="1">IF(F413&lt;=G413," ","YES")</f>
        <v xml:space="preserve"> </v>
      </c>
      <c r="I413">
        <v>16</v>
      </c>
      <c r="J413">
        <v>16</v>
      </c>
      <c r="K413" t="s">
        <v>3442</v>
      </c>
      <c r="L413" t="s">
        <v>3442</v>
      </c>
      <c r="N413" s="40">
        <v>45483</v>
      </c>
      <c r="O413" s="40">
        <v>45483</v>
      </c>
      <c r="P413" s="40">
        <v>45512</v>
      </c>
      <c r="Q413" s="40">
        <v>45512</v>
      </c>
      <c r="R413">
        <v>55592</v>
      </c>
      <c r="S413" s="40" t="str" cm="1">
        <f t="array" aca="1" ref="S413" ca="1">TRIM(SUBSTITUTE(_xlfn.ARRAYTOTEXT(IFERROR(CONCATENATE(SUMIF(INDIRECT("'"&amp;Assemblies[Assy]&amp;"'!"&amp;"C$5:C1000"), $A413, INDIRECT("'"&amp;Assemblies[Assy]&amp;"'!"&amp;"O$5:O1000")), "x",Assemblies[Assy],".",IF(SUMIF(INDIRECT("'"&amp;Assemblies[Assy]&amp;"'!"&amp;"C$5:C1000"), $A413, INDIRECT("'"&amp;Assemblies[Assy]&amp;"'!"&amp;"A$5:A1000"))=0,NA(),SUMIF(INDIRECT("'"&amp;Assemblies[Assy]&amp;"'!"&amp;"C$5:C1000"), $A413, INDIRECT("'"&amp;Assemblies[Assy]&amp;"'!"&amp;"A$5:A1000")))),"")), " ,", ""))</f>
        <v>, 16x7.2.5.304,</v>
      </c>
    </row>
    <row r="414" spans="1:19" hidden="1" x14ac:dyDescent="0.25">
      <c r="A414" s="160" t="s">
        <v>1076</v>
      </c>
      <c r="B414" s="160" t="s">
        <v>3482</v>
      </c>
      <c r="C414" s="180">
        <v>19.38</v>
      </c>
      <c r="D414">
        <v>1</v>
      </c>
      <c r="E414" cm="1">
        <f t="array" aca="1" ref="E414" ca="1">SUMPRODUCT(SUMIF(INDIRECT("'"&amp;Assemblies[Assy]&amp;"'!"&amp;"C:C"),$A414,(INDIRECT("'"&amp;Assemblies[Assy]&amp;"'!"&amp;"O:O"))))</f>
        <v>16</v>
      </c>
      <c r="F414">
        <f ca="1">ROUNDUP(Purchased[[#This Row],[BOM QTY]]/Purchased[[#This Row],[PK QTY]], 0)</f>
        <v>16</v>
      </c>
      <c r="G414">
        <v>16</v>
      </c>
      <c r="H414" t="str">
        <f ca="1">IF(F414&lt;=G414," ","YES")</f>
        <v xml:space="preserve"> </v>
      </c>
      <c r="I414">
        <v>16</v>
      </c>
      <c r="J414">
        <v>16</v>
      </c>
      <c r="K414" t="s">
        <v>3442</v>
      </c>
      <c r="L414" t="s">
        <v>3442</v>
      </c>
      <c r="N414" s="40" t="s">
        <v>2747</v>
      </c>
      <c r="O414" s="40">
        <v>45524</v>
      </c>
      <c r="P414" s="40">
        <v>45540</v>
      </c>
      <c r="Q414" s="40">
        <v>45527</v>
      </c>
      <c r="R414">
        <v>55693</v>
      </c>
      <c r="S414" s="40" t="str" cm="1">
        <f t="array" aca="1" ref="S414" ca="1">TRIM(SUBSTITUTE(_xlfn.ARRAYTOTEXT(IFERROR(CONCATENATE(SUMIF(INDIRECT("'"&amp;Assemblies[Assy]&amp;"'!"&amp;"C$5:C1000"), $A414, INDIRECT("'"&amp;Assemblies[Assy]&amp;"'!"&amp;"O$5:O1000")), "x",Assemblies[Assy],".",IF(SUMIF(INDIRECT("'"&amp;Assemblies[Assy]&amp;"'!"&amp;"C$5:C1000"), $A414, INDIRECT("'"&amp;Assemblies[Assy]&amp;"'!"&amp;"A$5:A1000"))=0,NA(),SUMIF(INDIRECT("'"&amp;Assemblies[Assy]&amp;"'!"&amp;"C$5:C1000"), $A414, INDIRECT("'"&amp;Assemblies[Assy]&amp;"'!"&amp;"A$5:A1000")))),"")), " ,", ""))</f>
        <v>, 16x6.10.307,</v>
      </c>
    </row>
    <row r="415" spans="1:19" hidden="1" x14ac:dyDescent="0.25">
      <c r="A415" s="160" t="s">
        <v>727</v>
      </c>
      <c r="B415" s="160" t="s">
        <v>3446</v>
      </c>
      <c r="C415" s="180">
        <v>46.49</v>
      </c>
      <c r="D415">
        <v>1</v>
      </c>
      <c r="E415" cm="1">
        <f t="array" aca="1" ref="E415" ca="1">SUMPRODUCT(SUMIF(INDIRECT("'"&amp;Assemblies[Assy]&amp;"'!"&amp;"C:C"),$A415,(INDIRECT("'"&amp;Assemblies[Assy]&amp;"'!"&amp;"O:O"))))</f>
        <v>16</v>
      </c>
      <c r="F415">
        <f ca="1">ROUNDUP(Purchased[[#This Row],[BOM QTY]]/Purchased[[#This Row],[PK QTY]], 0)</f>
        <v>16</v>
      </c>
      <c r="G415">
        <v>20</v>
      </c>
      <c r="H415" t="str">
        <f ca="1">IF(F415&lt;=G415," ","YES")</f>
        <v xml:space="preserve"> </v>
      </c>
      <c r="I415">
        <v>20</v>
      </c>
      <c r="J415">
        <v>20</v>
      </c>
      <c r="K415" t="s">
        <v>3442</v>
      </c>
      <c r="L415" t="s">
        <v>3442</v>
      </c>
      <c r="N415" s="40">
        <v>45483</v>
      </c>
      <c r="O415" s="40">
        <v>45483</v>
      </c>
      <c r="P415" s="40">
        <v>45512</v>
      </c>
      <c r="Q415" s="40">
        <v>45512</v>
      </c>
      <c r="R415">
        <v>55592</v>
      </c>
      <c r="S415" s="40" t="str" cm="1">
        <f t="array" aca="1" ref="S415" ca="1">TRIM(SUBSTITUTE(_xlfn.ARRAYTOTEXT(IFERROR(CONCATENATE(SUMIF(INDIRECT("'"&amp;Assemblies[Assy]&amp;"'!"&amp;"C$5:C1000"), $A415, INDIRECT("'"&amp;Assemblies[Assy]&amp;"'!"&amp;"O$5:O1000")), "x",Assemblies[Assy],".",IF(SUMIF(INDIRECT("'"&amp;Assemblies[Assy]&amp;"'!"&amp;"C$5:C1000"), $A415, INDIRECT("'"&amp;Assemblies[Assy]&amp;"'!"&amp;"A$5:A1000"))=0,NA(),SUMIF(INDIRECT("'"&amp;Assemblies[Assy]&amp;"'!"&amp;"C$5:C1000"), $A415, INDIRECT("'"&amp;Assemblies[Assy]&amp;"'!"&amp;"A$5:A1000")))),"")), " ,", ""))</f>
        <v>, 8x5.3.319, 8x6.1.315,</v>
      </c>
    </row>
    <row r="416" spans="1:19" hidden="1" x14ac:dyDescent="0.25">
      <c r="A416" s="160" t="s">
        <v>614</v>
      </c>
      <c r="B416" s="160" t="s">
        <v>3447</v>
      </c>
      <c r="C416" s="180">
        <v>57.16</v>
      </c>
      <c r="D416">
        <v>1</v>
      </c>
      <c r="E416" cm="1">
        <f t="array" aca="1" ref="E416" ca="1">SUMPRODUCT(SUMIF(INDIRECT("'"&amp;Assemblies[Assy]&amp;"'!"&amp;"C:C"),$A416,(INDIRECT("'"&amp;Assemblies[Assy]&amp;"'!"&amp;"O:O"))))</f>
        <v>15</v>
      </c>
      <c r="F416">
        <f ca="1">ROUNDUP(Purchased[[#This Row],[BOM QTY]]/Purchased[[#This Row],[PK QTY]], 0)</f>
        <v>15</v>
      </c>
      <c r="G416">
        <v>20</v>
      </c>
      <c r="H416" t="str">
        <f ca="1">IF(F416&lt;=G416," ","YES")</f>
        <v xml:space="preserve"> </v>
      </c>
      <c r="I416">
        <v>20</v>
      </c>
      <c r="J416">
        <v>20</v>
      </c>
      <c r="K416" t="s">
        <v>3442</v>
      </c>
      <c r="L416" t="s">
        <v>3442</v>
      </c>
      <c r="N416" s="40">
        <v>45483</v>
      </c>
      <c r="O416" s="40">
        <v>45483</v>
      </c>
      <c r="P416" s="40">
        <v>45512</v>
      </c>
      <c r="Q416" s="40">
        <v>45512</v>
      </c>
      <c r="R416">
        <v>55592</v>
      </c>
      <c r="S416" s="40" t="str" cm="1">
        <f t="array" aca="1" ref="S416" ca="1">TRIM(SUBSTITUTE(_xlfn.ARRAYTOTEXT(IFERROR(CONCATENATE(SUMIF(INDIRECT("'"&amp;Assemblies[Assy]&amp;"'!"&amp;"C$5:C1000"), $A416, INDIRECT("'"&amp;Assemblies[Assy]&amp;"'!"&amp;"O$5:O1000")), "x",Assemblies[Assy],".",IF(SUMIF(INDIRECT("'"&amp;Assemblies[Assy]&amp;"'!"&amp;"C$5:C1000"), $A416, INDIRECT("'"&amp;Assemblies[Assy]&amp;"'!"&amp;"A$5:A1000"))=0,NA(),SUMIF(INDIRECT("'"&amp;Assemblies[Assy]&amp;"'!"&amp;"C$5:C1000"), $A416, INDIRECT("'"&amp;Assemblies[Assy]&amp;"'!"&amp;"A$5:A1000")))),"")), " ,", ""))</f>
        <v>, 1x4.3.316, 2x4.4.2.304, 2x4.5.1.307, 4x5.3.318, 4x6.1.313, 2x8.3.312,</v>
      </c>
    </row>
    <row r="417" spans="1:19" hidden="1" x14ac:dyDescent="0.25">
      <c r="A417" s="160" t="s">
        <v>729</v>
      </c>
      <c r="B417" s="160" t="s">
        <v>3455</v>
      </c>
      <c r="C417" s="180">
        <v>12.5</v>
      </c>
      <c r="D417">
        <v>1</v>
      </c>
      <c r="E417" cm="1">
        <f t="array" aca="1" ref="E417" ca="1">SUMPRODUCT(SUMIF(INDIRECT("'"&amp;Assemblies[Assy]&amp;"'!"&amp;"C:C"),$A417,(INDIRECT("'"&amp;Assemblies[Assy]&amp;"'!"&amp;"O:O"))))</f>
        <v>24</v>
      </c>
      <c r="F417">
        <f ca="1">ROUNDUP(Purchased[[#This Row],[BOM QTY]]/Purchased[[#This Row],[PK QTY]], 0)</f>
        <v>24</v>
      </c>
      <c r="G417">
        <v>24</v>
      </c>
      <c r="H417" t="str">
        <f ca="1">IF(F417&lt;=G417," ","YES")</f>
        <v xml:space="preserve"> </v>
      </c>
      <c r="I417">
        <v>24</v>
      </c>
      <c r="J417">
        <v>24</v>
      </c>
      <c r="K417" t="s">
        <v>3442</v>
      </c>
      <c r="L417" t="s">
        <v>3442</v>
      </c>
      <c r="N417" s="40">
        <v>45483</v>
      </c>
      <c r="O417" s="40">
        <v>45483</v>
      </c>
      <c r="P417" s="40">
        <v>45512</v>
      </c>
      <c r="Q417" s="40">
        <v>45512</v>
      </c>
      <c r="R417">
        <v>55592</v>
      </c>
      <c r="S417" s="40" t="str" cm="1">
        <f t="array" aca="1" ref="S417" ca="1">TRIM(SUBSTITUTE(_xlfn.ARRAYTOTEXT(IFERROR(CONCATENATE(SUMIF(INDIRECT("'"&amp;Assemblies[Assy]&amp;"'!"&amp;"C$5:C1000"), $A417, INDIRECT("'"&amp;Assemblies[Assy]&amp;"'!"&amp;"O$5:O1000")), "x",Assemblies[Assy],".",IF(SUMIF(INDIRECT("'"&amp;Assemblies[Assy]&amp;"'!"&amp;"C$5:C1000"), $A417, INDIRECT("'"&amp;Assemblies[Assy]&amp;"'!"&amp;"A$5:A1000"))=0,NA(),SUMIF(INDIRECT("'"&amp;Assemblies[Assy]&amp;"'!"&amp;"C$5:C1000"), $A417, INDIRECT("'"&amp;Assemblies[Assy]&amp;"'!"&amp;"A$5:A1000")))),"")), " ,", ""))</f>
        <v>, 6x5.3.321, 6x6.1.316, 12x8.3.310,</v>
      </c>
    </row>
    <row r="418" spans="1:19" hidden="1" x14ac:dyDescent="0.25">
      <c r="A418" s="185" t="s">
        <v>628</v>
      </c>
      <c r="B418" s="185" t="s">
        <v>3478</v>
      </c>
      <c r="C418" s="180">
        <v>15.25</v>
      </c>
      <c r="D418">
        <v>1</v>
      </c>
      <c r="E418" cm="1">
        <f t="array" aca="1" ref="E418" ca="1">SUMPRODUCT(SUMIF(INDIRECT("'"&amp;Assemblies[Assy]&amp;"'!"&amp;"C:C"),$A418,(INDIRECT("'"&amp;Assemblies[Assy]&amp;"'!"&amp;"O:O"))))</f>
        <v>24</v>
      </c>
      <c r="F418">
        <f ca="1">ROUNDUP(Purchased[[#This Row],[BOM QTY]]/Purchased[[#This Row],[PK QTY]], 0)</f>
        <v>24</v>
      </c>
      <c r="G418">
        <v>24</v>
      </c>
      <c r="H418" t="str">
        <f ca="1">IF(F418&lt;=G418," ","YES")</f>
        <v xml:space="preserve"> </v>
      </c>
      <c r="I418">
        <v>24</v>
      </c>
      <c r="J418">
        <v>24</v>
      </c>
      <c r="K418" t="s">
        <v>3442</v>
      </c>
      <c r="L418" t="s">
        <v>3442</v>
      </c>
      <c r="M418" s="191" t="s">
        <v>3838</v>
      </c>
      <c r="N418" s="40" t="s">
        <v>2747</v>
      </c>
      <c r="O418" s="40">
        <v>45524</v>
      </c>
      <c r="P418" s="40">
        <v>45540</v>
      </c>
      <c r="Q418" s="40">
        <v>45527</v>
      </c>
      <c r="R418">
        <v>55693</v>
      </c>
      <c r="S418" s="40" t="str" cm="1">
        <f t="array" aca="1" ref="S418" ca="1">TRIM(SUBSTITUTE(_xlfn.ARRAYTOTEXT(IFERROR(CONCATENATE(SUMIF(INDIRECT("'"&amp;Assemblies[Assy]&amp;"'!"&amp;"C$5:C1000"), $A418, INDIRECT("'"&amp;Assemblies[Assy]&amp;"'!"&amp;"O$5:O1000")), "x",Assemblies[Assy],".",IF(SUMIF(INDIRECT("'"&amp;Assemblies[Assy]&amp;"'!"&amp;"C$5:C1000"), $A418, INDIRECT("'"&amp;Assemblies[Assy]&amp;"'!"&amp;"A$5:A1000"))=0,NA(),SUMIF(INDIRECT("'"&amp;Assemblies[Assy]&amp;"'!"&amp;"C$5:C1000"), $A418, INDIRECT("'"&amp;Assemblies[Assy]&amp;"'!"&amp;"A$5:A1000")))),"")), " ,", ""))</f>
        <v>, 8x4.4.301, 16x4.5.301,</v>
      </c>
    </row>
    <row r="419" spans="1:19" hidden="1" x14ac:dyDescent="0.25">
      <c r="A419" s="160" t="s">
        <v>916</v>
      </c>
      <c r="B419" s="160" t="s">
        <v>3471</v>
      </c>
      <c r="C419" s="180">
        <v>8.9700000000000006</v>
      </c>
      <c r="D419">
        <v>1</v>
      </c>
      <c r="E419" cm="1">
        <f t="array" aca="1" ref="E419" ca="1">SUMPRODUCT(SUMIF(INDIRECT("'"&amp;Assemblies[Assy]&amp;"'!"&amp;"C:C"),$A419,(INDIRECT("'"&amp;Assemblies[Assy]&amp;"'!"&amp;"O:O"))))</f>
        <v>36</v>
      </c>
      <c r="F419">
        <f ca="1">ROUNDUP(Purchased[[#This Row],[BOM QTY]]/Purchased[[#This Row],[PK QTY]], 0)</f>
        <v>36</v>
      </c>
      <c r="G419">
        <v>40</v>
      </c>
      <c r="H419" t="str">
        <f ca="1">IF(F419&lt;=G419," ","YES")</f>
        <v xml:space="preserve"> </v>
      </c>
      <c r="I419">
        <v>40</v>
      </c>
      <c r="J419">
        <v>40</v>
      </c>
      <c r="K419" t="s">
        <v>3442</v>
      </c>
      <c r="L419" t="s">
        <v>3442</v>
      </c>
      <c r="M419" s="191" t="s">
        <v>3472</v>
      </c>
      <c r="N419" s="40">
        <v>45483</v>
      </c>
      <c r="O419" s="40">
        <v>45483</v>
      </c>
      <c r="P419" s="40">
        <v>45512</v>
      </c>
      <c r="Q419" s="40">
        <v>45512</v>
      </c>
      <c r="R419" t="s">
        <v>3782</v>
      </c>
      <c r="S419" s="40" t="str" cm="1">
        <f t="array" aca="1" ref="S419" ca="1">TRIM(SUBSTITUTE(_xlfn.ARRAYTOTEXT(IFERROR(CONCATENATE(SUMIF(INDIRECT("'"&amp;Assemblies[Assy]&amp;"'!"&amp;"C$5:C1000"), $A419, INDIRECT("'"&amp;Assemblies[Assy]&amp;"'!"&amp;"O$5:O1000")), "x",Assemblies[Assy],".",IF(SUMIF(INDIRECT("'"&amp;Assemblies[Assy]&amp;"'!"&amp;"C$5:C1000"), $A419, INDIRECT("'"&amp;Assemblies[Assy]&amp;"'!"&amp;"A$5:A1000"))=0,NA(),SUMIF(INDIRECT("'"&amp;Assemblies[Assy]&amp;"'!"&amp;"C$5:C1000"), $A419, INDIRECT("'"&amp;Assemblies[Assy]&amp;"'!"&amp;"A$5:A1000")))),"")), " ,", ""))</f>
        <v>, 12x6.1.1.304, 12x6.1.2.304, 12x7.1.5.304,</v>
      </c>
    </row>
    <row r="420" spans="1:19" hidden="1" x14ac:dyDescent="0.25">
      <c r="A420" s="161">
        <v>1004036</v>
      </c>
      <c r="B420" s="160" t="s">
        <v>3494</v>
      </c>
      <c r="C420" s="180"/>
      <c r="D420">
        <v>1</v>
      </c>
      <c r="E420" cm="1">
        <f t="array" aca="1" ref="E420" ca="1">SUMPRODUCT(SUMIF(INDIRECT("'"&amp;Assemblies[Assy]&amp;"'!"&amp;"C:C"),$A420,(INDIRECT("'"&amp;Assemblies[Assy]&amp;"'!"&amp;"O:O"))))</f>
        <v>8</v>
      </c>
      <c r="F420">
        <f ca="1">ROUNDUP(Purchased[[#This Row],[BOM QTY]]/Purchased[[#This Row],[PK QTY]], 0)</f>
        <v>8</v>
      </c>
      <c r="G420">
        <v>8</v>
      </c>
      <c r="H420" t="str">
        <f ca="1">IF(F420&lt;=G420," ","YES")</f>
        <v xml:space="preserve"> </v>
      </c>
      <c r="I420">
        <v>8</v>
      </c>
      <c r="J420">
        <v>8</v>
      </c>
      <c r="K420" t="s">
        <v>3493</v>
      </c>
      <c r="L420" t="s">
        <v>3493</v>
      </c>
      <c r="M420" t="s">
        <v>3834</v>
      </c>
      <c r="S420" s="40" t="str" cm="1">
        <f t="array" aca="1" ref="S420" ca="1">TRIM(SUBSTITUTE(_xlfn.ARRAYTOTEXT(IFERROR(CONCATENATE(SUMIF(INDIRECT("'"&amp;Assemblies[Assy]&amp;"'!"&amp;"C$5:C1000"), $A420, INDIRECT("'"&amp;Assemblies[Assy]&amp;"'!"&amp;"O$5:O1000")), "x",Assemblies[Assy],".",IF(SUMIF(INDIRECT("'"&amp;Assemblies[Assy]&amp;"'!"&amp;"C$5:C1000"), $A420, INDIRECT("'"&amp;Assemblies[Assy]&amp;"'!"&amp;"A$5:A1000"))=0,NA(),SUMIF(INDIRECT("'"&amp;Assemblies[Assy]&amp;"'!"&amp;"C$5:C1000"), $A420, INDIRECT("'"&amp;Assemblies[Assy]&amp;"'!"&amp;"A$5:A1000")))),"")), " ,", ""))</f>
        <v>, 8x12.307</v>
      </c>
    </row>
    <row r="421" spans="1:19" hidden="1" x14ac:dyDescent="0.25">
      <c r="A421" s="162">
        <v>1004039</v>
      </c>
      <c r="B421" s="160" t="s">
        <v>3492</v>
      </c>
      <c r="C421" s="180">
        <v>18.63</v>
      </c>
      <c r="D421">
        <v>1</v>
      </c>
      <c r="E421" cm="1">
        <f t="array" aca="1" ref="E421" ca="1">SUMPRODUCT(SUMIF(INDIRECT("'"&amp;Assemblies[Assy]&amp;"'!"&amp;"C:C"),$A421,(INDIRECT("'"&amp;Assemblies[Assy]&amp;"'!"&amp;"O:O"))))</f>
        <v>63</v>
      </c>
      <c r="F421">
        <v>70</v>
      </c>
      <c r="G421">
        <v>70</v>
      </c>
      <c r="H421" t="str">
        <f>IF(F421&lt;=G421," ","YES")</f>
        <v xml:space="preserve"> </v>
      </c>
      <c r="I421">
        <v>70</v>
      </c>
      <c r="J421">
        <v>70</v>
      </c>
      <c r="K421" s="160" t="s">
        <v>3493</v>
      </c>
      <c r="L421" s="160" t="s">
        <v>3493</v>
      </c>
      <c r="N421" s="40">
        <v>45413</v>
      </c>
      <c r="O421" s="40">
        <v>45453</v>
      </c>
      <c r="P421" s="40">
        <v>45467</v>
      </c>
      <c r="Q421" s="40">
        <v>45467</v>
      </c>
      <c r="R421">
        <v>55544</v>
      </c>
      <c r="S421" s="40" t="str" cm="1">
        <f t="array" aca="1" ref="S421" ca="1">TRIM(SUBSTITUTE(_xlfn.ARRAYTOTEXT(IFERROR(CONCATENATE(SUMIF(INDIRECT("'"&amp;Assemblies[Assy]&amp;"'!"&amp;"C$5:C1000"), $A421, INDIRECT("'"&amp;Assemblies[Assy]&amp;"'!"&amp;"O$5:O1000")), "x",Assemblies[Assy],".",IF(SUMIF(INDIRECT("'"&amp;Assemblies[Assy]&amp;"'!"&amp;"C$5:C1000"), $A421, INDIRECT("'"&amp;Assemblies[Assy]&amp;"'!"&amp;"A$5:A1000"))=0,NA(),SUMIF(INDIRECT("'"&amp;Assemblies[Assy]&amp;"'!"&amp;"C$5:C1000"), $A421, INDIRECT("'"&amp;Assemblies[Assy]&amp;"'!"&amp;"A$5:A1000")))),"")), " ,", ""))</f>
        <v>, 38x1.1.1.302, 24x5.1.1.301, 1x10.1.12.301,</v>
      </c>
    </row>
    <row r="422" spans="1:19" hidden="1" x14ac:dyDescent="0.25">
      <c r="A422" s="183" t="s">
        <v>742</v>
      </c>
      <c r="B422" s="160" t="s">
        <v>3495</v>
      </c>
      <c r="C422" s="180">
        <v>174</v>
      </c>
      <c r="D422">
        <v>1</v>
      </c>
      <c r="E422" cm="1">
        <f t="array" aca="1" ref="E422" ca="1">SUMPRODUCT(SUMIF(INDIRECT("'"&amp;Assemblies[Assy]&amp;"'!"&amp;"C:C"),$A422,(INDIRECT("'"&amp;Assemblies[Assy]&amp;"'!"&amp;"O:O"))))</f>
        <v>1</v>
      </c>
      <c r="F422">
        <f ca="1">ROUNDUP(Purchased[[#This Row],[BOM QTY]]/Purchased[[#This Row],[PK QTY]], 0)</f>
        <v>1</v>
      </c>
      <c r="G422">
        <v>1</v>
      </c>
      <c r="H422" t="str">
        <f ca="1">IF(F422&lt;=G422," ","YES")</f>
        <v xml:space="preserve"> </v>
      </c>
      <c r="I422">
        <v>1</v>
      </c>
      <c r="J422">
        <v>1</v>
      </c>
      <c r="K422" t="s">
        <v>3496</v>
      </c>
      <c r="L422" t="s">
        <v>2333</v>
      </c>
      <c r="M422" t="s">
        <v>3497</v>
      </c>
      <c r="N422" s="40" t="s">
        <v>2747</v>
      </c>
      <c r="O422" s="40" t="s">
        <v>2747</v>
      </c>
      <c r="P422" s="40" t="s">
        <v>2747</v>
      </c>
      <c r="Q422" s="40" t="s">
        <v>2747</v>
      </c>
      <c r="R422" s="40" t="s">
        <v>2747</v>
      </c>
      <c r="S422" s="40" t="str" cm="1">
        <f t="array" aca="1" ref="S422" ca="1">TRIM(SUBSTITUTE(_xlfn.ARRAYTOTEXT(IFERROR(CONCATENATE(SUMIF(INDIRECT("'"&amp;Assemblies[Assy]&amp;"'!"&amp;"C$5:C1000"), $A422, INDIRECT("'"&amp;Assemblies[Assy]&amp;"'!"&amp;"O$5:O1000")), "x",Assemblies[Assy],".",IF(SUMIF(INDIRECT("'"&amp;Assemblies[Assy]&amp;"'!"&amp;"C$5:C1000"), $A422, INDIRECT("'"&amp;Assemblies[Assy]&amp;"'!"&amp;"A$5:A1000"))=0,NA(),SUMIF(INDIRECT("'"&amp;Assemblies[Assy]&amp;"'!"&amp;"C$5:C1000"), $A422, INDIRECT("'"&amp;Assemblies[Assy]&amp;"'!"&amp;"A$5:A1000")))),"")), " ,", ""))</f>
        <v>, 1x5.3.341,</v>
      </c>
    </row>
    <row r="423" spans="1:19" hidden="1" x14ac:dyDescent="0.25">
      <c r="A423" s="160" t="s">
        <v>1353</v>
      </c>
      <c r="B423" s="160" t="s">
        <v>3582</v>
      </c>
      <c r="C423" s="180"/>
      <c r="D423">
        <v>1</v>
      </c>
      <c r="E423" cm="1">
        <f t="array" aca="1" ref="E423" ca="1">SUMPRODUCT(SUMIF(INDIRECT("'"&amp;Assemblies[Assy]&amp;"'!"&amp;"C:C"),$A423,(INDIRECT("'"&amp;Assemblies[Assy]&amp;"'!"&amp;"O:O"))))</f>
        <v>1</v>
      </c>
      <c r="F423">
        <f ca="1">ROUNDUP(Purchased[[#This Row],[BOM QTY]]/Purchased[[#This Row],[PK QTY]], 0)</f>
        <v>1</v>
      </c>
      <c r="G423">
        <v>1</v>
      </c>
      <c r="H423" t="str">
        <f ca="1">IF(F423&lt;=G423," ","YES")</f>
        <v xml:space="preserve"> </v>
      </c>
      <c r="I423">
        <v>1</v>
      </c>
      <c r="J423">
        <v>1</v>
      </c>
      <c r="K423" t="s">
        <v>2333</v>
      </c>
      <c r="L423" t="s">
        <v>2333</v>
      </c>
      <c r="M423" t="s">
        <v>3583</v>
      </c>
      <c r="N423" s="40" t="s">
        <v>2747</v>
      </c>
      <c r="O423" s="40" t="s">
        <v>2747</v>
      </c>
      <c r="P423" s="40" t="s">
        <v>2747</v>
      </c>
      <c r="Q423" s="40" t="s">
        <v>2747</v>
      </c>
      <c r="S423" s="40" t="str" cm="1">
        <f t="array" aca="1" ref="S423" ca="1">TRIM(SUBSTITUTE(_xlfn.ARRAYTOTEXT(IFERROR(CONCATENATE(SUMIF(INDIRECT("'"&amp;Assemblies[Assy]&amp;"'!"&amp;"C$5:C1000"), $A423, INDIRECT("'"&amp;Assemblies[Assy]&amp;"'!"&amp;"O$5:O1000")), "x",Assemblies[Assy],".",IF(SUMIF(INDIRECT("'"&amp;Assemblies[Assy]&amp;"'!"&amp;"C$5:C1000"), $A423, INDIRECT("'"&amp;Assemblies[Assy]&amp;"'!"&amp;"A$5:A1000"))=0,NA(),SUMIF(INDIRECT("'"&amp;Assemblies[Assy]&amp;"'!"&amp;"C$5:C1000"), $A423, INDIRECT("'"&amp;Assemblies[Assy]&amp;"'!"&amp;"A$5:A1000")))),"")), " ,", ""))</f>
        <v>, 1x10.1.9.308,</v>
      </c>
    </row>
    <row r="424" spans="1:19" hidden="1" x14ac:dyDescent="0.25">
      <c r="A424" s="160" t="s">
        <v>3876</v>
      </c>
      <c r="B424" s="160" t="s">
        <v>3877</v>
      </c>
      <c r="C424" s="180">
        <v>0</v>
      </c>
      <c r="D424">
        <v>1</v>
      </c>
      <c r="E424" cm="1">
        <f t="array" aca="1" ref="E424" ca="1">SUMPRODUCT(SUMIF(INDIRECT("'"&amp;Assemblies[Assy]&amp;"'!"&amp;"C:C"),$A424,(INDIRECT("'"&amp;Assemblies[Assy]&amp;"'!"&amp;"O:O"))))</f>
        <v>2</v>
      </c>
      <c r="F424">
        <f ca="1">ROUNDUP(Purchased[[#This Row],[BOM QTY]]/Purchased[[#This Row],[PK QTY]], 0)</f>
        <v>2</v>
      </c>
      <c r="G424">
        <v>2</v>
      </c>
      <c r="H424" t="str">
        <f ca="1">IF(F424&lt;=G424," ","YES")</f>
        <v xml:space="preserve"> </v>
      </c>
      <c r="K424" t="s">
        <v>3874</v>
      </c>
      <c r="L424" t="s">
        <v>3875</v>
      </c>
      <c r="M424" t="s">
        <v>3676</v>
      </c>
      <c r="N424" s="40" t="s">
        <v>2747</v>
      </c>
      <c r="O424" s="40" t="s">
        <v>2747</v>
      </c>
      <c r="P424" s="40" t="s">
        <v>2747</v>
      </c>
      <c r="Q424" s="40" t="s">
        <v>2747</v>
      </c>
      <c r="R424" t="s">
        <v>2747</v>
      </c>
      <c r="S424" s="40" t="str" cm="1">
        <f t="array" aca="1" ref="S424" ca="1">TRIM(SUBSTITUTE(_xlfn.ARRAYTOTEXT(IFERROR(CONCATENATE(SUMIF(INDIRECT("'"&amp;Assemblies[Assy]&amp;"'!"&amp;"C$5:C1000"), $A424, INDIRECT("'"&amp;Assemblies[Assy]&amp;"'!"&amp;"O$5:O1000")), "x",Assemblies[Assy],".",IF(SUMIF(INDIRECT("'"&amp;Assemblies[Assy]&amp;"'!"&amp;"C$5:C1000"), $A424, INDIRECT("'"&amp;Assemblies[Assy]&amp;"'!"&amp;"A$5:A1000"))=0,NA(),SUMIF(INDIRECT("'"&amp;Assemblies[Assy]&amp;"'!"&amp;"C$5:C1000"), $A424, INDIRECT("'"&amp;Assemblies[Assy]&amp;"'!"&amp;"A$5:A1000")))),"")), " ,", ""))</f>
        <v>, 2x4.7.301,</v>
      </c>
    </row>
    <row r="425" spans="1:19" hidden="1" x14ac:dyDescent="0.25">
      <c r="A425" s="160" t="s">
        <v>3891</v>
      </c>
      <c r="B425" s="160" t="s">
        <v>3892</v>
      </c>
      <c r="C425" s="180">
        <v>0</v>
      </c>
      <c r="D425">
        <v>1</v>
      </c>
      <c r="E425" cm="1">
        <f t="array" aca="1" ref="E425" ca="1">SUMPRODUCT(SUMIF(INDIRECT("'"&amp;Assemblies[Assy]&amp;"'!"&amp;"C:C"),$A425,(INDIRECT("'"&amp;Assemblies[Assy]&amp;"'!"&amp;"O:O"))))</f>
        <v>2</v>
      </c>
      <c r="F425">
        <f ca="1">ROUNDUP(Purchased[[#This Row],[BOM QTY]]/Purchased[[#This Row],[PK QTY]], 0)</f>
        <v>2</v>
      </c>
      <c r="G425">
        <v>2</v>
      </c>
      <c r="H425" t="str">
        <f ca="1">IF(F425&lt;=G425," ","YES")</f>
        <v xml:space="preserve"> </v>
      </c>
      <c r="K425" t="s">
        <v>3874</v>
      </c>
      <c r="L425" t="s">
        <v>3875</v>
      </c>
      <c r="M425" t="s">
        <v>3676</v>
      </c>
      <c r="N425" s="40" t="s">
        <v>2747</v>
      </c>
      <c r="O425" s="40" t="s">
        <v>2747</v>
      </c>
      <c r="P425" s="40" t="s">
        <v>2747</v>
      </c>
      <c r="Q425" s="40" t="s">
        <v>2747</v>
      </c>
      <c r="R425" t="s">
        <v>2747</v>
      </c>
      <c r="S425" s="40" t="str" cm="1">
        <f t="array" aca="1" ref="S425" ca="1">TRIM(SUBSTITUTE(_xlfn.ARRAYTOTEXT(IFERROR(CONCATENATE(SUMIF(INDIRECT("'"&amp;Assemblies[Assy]&amp;"'!"&amp;"C$5:C1000"), $A425, INDIRECT("'"&amp;Assemblies[Assy]&amp;"'!"&amp;"O$5:O1000")), "x",Assemblies[Assy],".",IF(SUMIF(INDIRECT("'"&amp;Assemblies[Assy]&amp;"'!"&amp;"C$5:C1000"), $A425, INDIRECT("'"&amp;Assemblies[Assy]&amp;"'!"&amp;"A$5:A1000"))=0,NA(),SUMIF(INDIRECT("'"&amp;Assemblies[Assy]&amp;"'!"&amp;"C$5:C1000"), $A425, INDIRECT("'"&amp;Assemblies[Assy]&amp;"'!"&amp;"A$5:A1000")))),"")), " ,", ""))</f>
        <v>, 2x4.7.1.301,</v>
      </c>
    </row>
    <row r="426" spans="1:19" hidden="1" x14ac:dyDescent="0.25">
      <c r="A426" s="160" t="s">
        <v>437</v>
      </c>
      <c r="B426" s="160" t="s">
        <v>3498</v>
      </c>
      <c r="C426" s="180">
        <v>0</v>
      </c>
      <c r="D426">
        <v>1</v>
      </c>
      <c r="E426" cm="1">
        <f t="array" aca="1" ref="E426" ca="1">SUMPRODUCT(SUMIF(INDIRECT("'"&amp;Assemblies[Assy]&amp;"'!"&amp;"C:C"),$A426,(INDIRECT("'"&amp;Assemblies[Assy]&amp;"'!"&amp;"O:O"))))</f>
        <v>1</v>
      </c>
      <c r="F426">
        <f ca="1">ROUNDUP(Purchased[[#This Row],[BOM QTY]]/Purchased[[#This Row],[PK QTY]], 0)</f>
        <v>1</v>
      </c>
      <c r="G426">
        <v>1</v>
      </c>
      <c r="H426" t="str">
        <f ca="1">IF(F426&lt;=G426," ","YES")</f>
        <v xml:space="preserve"> </v>
      </c>
      <c r="K426" t="s">
        <v>3499</v>
      </c>
      <c r="L426" t="s">
        <v>3500</v>
      </c>
      <c r="M426" t="s">
        <v>3501</v>
      </c>
      <c r="N426" s="40" t="s">
        <v>2747</v>
      </c>
      <c r="O426" s="40">
        <v>45307</v>
      </c>
      <c r="P426" s="40">
        <v>45561</v>
      </c>
      <c r="Q426" s="40">
        <v>45561</v>
      </c>
      <c r="R426">
        <v>55366</v>
      </c>
      <c r="S426" s="40" t="str" cm="1">
        <f t="array" aca="1" ref="S426" ca="1">TRIM(SUBSTITUTE(_xlfn.ARRAYTOTEXT(IFERROR(CONCATENATE(SUMIF(INDIRECT("'"&amp;Assemblies[Assy]&amp;"'!"&amp;"C$5:C1000"), $A426, INDIRECT("'"&amp;Assemblies[Assy]&amp;"'!"&amp;"O$5:O1000")), "x",Assemblies[Assy],".",IF(SUMIF(INDIRECT("'"&amp;Assemblies[Assy]&amp;"'!"&amp;"C$5:C1000"), $A426, INDIRECT("'"&amp;Assemblies[Assy]&amp;"'!"&amp;"A$5:A1000"))=0,NA(),SUMIF(INDIRECT("'"&amp;Assemblies[Assy]&amp;"'!"&amp;"C$5:C1000"), $A426, INDIRECT("'"&amp;Assemblies[Assy]&amp;"'!"&amp;"A$5:A1000")))),"")), " ,", ""))</f>
        <v>, 1x2.3.7.301,</v>
      </c>
    </row>
    <row r="427" spans="1:19" hidden="1" x14ac:dyDescent="0.25">
      <c r="A427" s="160" t="s">
        <v>3879</v>
      </c>
      <c r="B427" s="160" t="s">
        <v>3879</v>
      </c>
      <c r="C427" s="180"/>
      <c r="D427">
        <v>1</v>
      </c>
      <c r="E427" cm="1">
        <f t="array" aca="1" ref="E427" ca="1">SUMPRODUCT(SUMIF(INDIRECT("'"&amp;Assemblies[Assy]&amp;"'!"&amp;"C:C"),$A427,(INDIRECT("'"&amp;Assemblies[Assy]&amp;"'!"&amp;"O:O"))))</f>
        <v>1</v>
      </c>
      <c r="F427">
        <f ca="1">ROUNDUP(Purchased[[#This Row],[BOM QTY]]/Purchased[[#This Row],[PK QTY]], 0)</f>
        <v>1</v>
      </c>
      <c r="G427">
        <v>1</v>
      </c>
      <c r="H427" t="str">
        <f ca="1">IF(F427&lt;=G427," ","YES")</f>
        <v xml:space="preserve"> </v>
      </c>
      <c r="K427" t="s">
        <v>3500</v>
      </c>
      <c r="L427" t="s">
        <v>3500</v>
      </c>
      <c r="N427" s="40" t="s">
        <v>2747</v>
      </c>
      <c r="O427" s="40">
        <v>45307</v>
      </c>
      <c r="P427" s="40">
        <v>45561</v>
      </c>
      <c r="Q427" s="40">
        <v>45561</v>
      </c>
      <c r="R427">
        <v>55366</v>
      </c>
      <c r="S427" s="40" t="str" cm="1">
        <f t="array" aca="1" ref="S427" ca="1">TRIM(SUBSTITUTE(_xlfn.ARRAYTOTEXT(IFERROR(CONCATENATE(SUMIF(INDIRECT("'"&amp;Assemblies[Assy]&amp;"'!"&amp;"C$5:C1000"), $A427, INDIRECT("'"&amp;Assemblies[Assy]&amp;"'!"&amp;"O$5:O1000")), "x",Assemblies[Assy],".",IF(SUMIF(INDIRECT("'"&amp;Assemblies[Assy]&amp;"'!"&amp;"C$5:C1000"), $A427, INDIRECT("'"&amp;Assemblies[Assy]&amp;"'!"&amp;"A$5:A1000"))=0,NA(),SUMIF(INDIRECT("'"&amp;Assemblies[Assy]&amp;"'!"&amp;"C$5:C1000"), $A427, INDIRECT("'"&amp;Assemblies[Assy]&amp;"'!"&amp;"A$5:A1000")))),"")), " ,", ""))</f>
        <v>, 1x4.5.307,</v>
      </c>
    </row>
    <row r="428" spans="1:19" hidden="1" x14ac:dyDescent="0.25">
      <c r="A428" s="160" t="s">
        <v>658</v>
      </c>
      <c r="B428" s="160" t="s">
        <v>658</v>
      </c>
      <c r="C428" s="180"/>
      <c r="D428">
        <v>1</v>
      </c>
      <c r="E428" cm="1">
        <f t="array" aca="1" ref="E428" ca="1">SUMPRODUCT(SUMIF(INDIRECT("'"&amp;Assemblies[Assy]&amp;"'!"&amp;"C:C"),$A428,(INDIRECT("'"&amp;Assemblies[Assy]&amp;"'!"&amp;"O:O"))))</f>
        <v>1</v>
      </c>
      <c r="F428">
        <f ca="1">ROUNDUP(Purchased[[#This Row],[BOM QTY]]/Purchased[[#This Row],[PK QTY]], 0)</f>
        <v>1</v>
      </c>
      <c r="G428">
        <v>1</v>
      </c>
      <c r="H428" t="str">
        <f ca="1">IF(F428&lt;=G428," ","YES")</f>
        <v xml:space="preserve"> </v>
      </c>
      <c r="K428" t="s">
        <v>3500</v>
      </c>
      <c r="L428" t="s">
        <v>3500</v>
      </c>
      <c r="N428" s="40" t="s">
        <v>2747</v>
      </c>
      <c r="O428" s="40">
        <v>45307</v>
      </c>
      <c r="P428" s="40">
        <v>45561</v>
      </c>
      <c r="Q428" s="40">
        <v>45561</v>
      </c>
      <c r="R428">
        <v>55366</v>
      </c>
      <c r="S428" s="40" t="str" cm="1">
        <f t="array" aca="1" ref="S428" ca="1">TRIM(SUBSTITUTE(_xlfn.ARRAYTOTEXT(IFERROR(CONCATENATE(SUMIF(INDIRECT("'"&amp;Assemblies[Assy]&amp;"'!"&amp;"C$5:C1000"), $A428, INDIRECT("'"&amp;Assemblies[Assy]&amp;"'!"&amp;"O$5:O1000")), "x",Assemblies[Assy],".",IF(SUMIF(INDIRECT("'"&amp;Assemblies[Assy]&amp;"'!"&amp;"C$5:C1000"), $A428, INDIRECT("'"&amp;Assemblies[Assy]&amp;"'!"&amp;"A$5:A1000"))=0,NA(),SUMIF(INDIRECT("'"&amp;Assemblies[Assy]&amp;"'!"&amp;"C$5:C1000"), $A428, INDIRECT("'"&amp;Assemblies[Assy]&amp;"'!"&amp;"A$5:A1000")))),"")), " ,", ""))</f>
        <v>, 1x4.5.308,</v>
      </c>
    </row>
    <row r="429" spans="1:19" hidden="1" x14ac:dyDescent="0.25">
      <c r="A429" s="160" t="s">
        <v>659</v>
      </c>
      <c r="B429" s="160" t="s">
        <v>659</v>
      </c>
      <c r="C429" s="180"/>
      <c r="D429">
        <v>1</v>
      </c>
      <c r="E429" cm="1">
        <f t="array" aca="1" ref="E429" ca="1">SUMPRODUCT(SUMIF(INDIRECT("'"&amp;Assemblies[Assy]&amp;"'!"&amp;"C:C"),$A429,(INDIRECT("'"&amp;Assemblies[Assy]&amp;"'!"&amp;"O:O"))))</f>
        <v>1</v>
      </c>
      <c r="F429">
        <f ca="1">ROUNDUP(Purchased[[#This Row],[BOM QTY]]/Purchased[[#This Row],[PK QTY]], 0)</f>
        <v>1</v>
      </c>
      <c r="G429">
        <v>1</v>
      </c>
      <c r="H429" t="str">
        <f ca="1">IF(F429&lt;=G429," ","YES")</f>
        <v xml:space="preserve"> </v>
      </c>
      <c r="K429" t="s">
        <v>3500</v>
      </c>
      <c r="L429" t="s">
        <v>3500</v>
      </c>
      <c r="N429" s="40" t="s">
        <v>2747</v>
      </c>
      <c r="O429" s="40">
        <v>45307</v>
      </c>
      <c r="P429" s="40">
        <v>45561</v>
      </c>
      <c r="Q429" s="40">
        <v>45561</v>
      </c>
      <c r="R429">
        <v>55366</v>
      </c>
      <c r="S429" s="40" t="str" cm="1">
        <f t="array" aca="1" ref="S429" ca="1">TRIM(SUBSTITUTE(_xlfn.ARRAYTOTEXT(IFERROR(CONCATENATE(SUMIF(INDIRECT("'"&amp;Assemblies[Assy]&amp;"'!"&amp;"C$5:C1000"), $A429, INDIRECT("'"&amp;Assemblies[Assy]&amp;"'!"&amp;"O$5:O1000")), "x",Assemblies[Assy],".",IF(SUMIF(INDIRECT("'"&amp;Assemblies[Assy]&amp;"'!"&amp;"C$5:C1000"), $A429, INDIRECT("'"&amp;Assemblies[Assy]&amp;"'!"&amp;"A$5:A1000"))=0,NA(),SUMIF(INDIRECT("'"&amp;Assemblies[Assy]&amp;"'!"&amp;"C$5:C1000"), $A429, INDIRECT("'"&amp;Assemblies[Assy]&amp;"'!"&amp;"A$5:A1000")))),"")), " ,", ""))</f>
        <v>, 1x4.5.309,</v>
      </c>
    </row>
    <row r="430" spans="1:19" hidden="1" x14ac:dyDescent="0.25">
      <c r="A430" s="160" t="s">
        <v>630</v>
      </c>
      <c r="B430" s="160" t="s">
        <v>3502</v>
      </c>
      <c r="C430" s="180"/>
      <c r="D430">
        <v>1</v>
      </c>
      <c r="E430" cm="1">
        <f t="array" aca="1" ref="E430" ca="1">SUMPRODUCT(SUMIF(INDIRECT("'"&amp;Assemblies[Assy]&amp;"'!"&amp;"C:C"),$A430,(INDIRECT("'"&amp;Assemblies[Assy]&amp;"'!"&amp;"O:O"))))</f>
        <v>2</v>
      </c>
      <c r="F430">
        <f ca="1">ROUNDUP(Purchased[[#This Row],[BOM QTY]]/Purchased[[#This Row],[PK QTY]], 0)</f>
        <v>2</v>
      </c>
      <c r="G430">
        <v>2</v>
      </c>
      <c r="H430" t="str">
        <f ca="1">IF(F430&lt;=G430," ","YES")</f>
        <v xml:space="preserve"> </v>
      </c>
      <c r="K430" t="s">
        <v>3500</v>
      </c>
      <c r="L430" t="s">
        <v>3500</v>
      </c>
      <c r="N430" s="40" t="s">
        <v>2747</v>
      </c>
      <c r="O430" s="40">
        <v>45307</v>
      </c>
      <c r="P430" s="40">
        <v>45561</v>
      </c>
      <c r="Q430" s="40">
        <v>45561</v>
      </c>
      <c r="R430">
        <v>55366</v>
      </c>
      <c r="S430" s="40" t="str" cm="1">
        <f t="array" aca="1" ref="S430" ca="1">TRIM(SUBSTITUTE(_xlfn.ARRAYTOTEXT(IFERROR(CONCATENATE(SUMIF(INDIRECT("'"&amp;Assemblies[Assy]&amp;"'!"&amp;"C$5:C1000"), $A430, INDIRECT("'"&amp;Assemblies[Assy]&amp;"'!"&amp;"O$5:O1000")), "x",Assemblies[Assy],".",IF(SUMIF(INDIRECT("'"&amp;Assemblies[Assy]&amp;"'!"&amp;"C$5:C1000"), $A430, INDIRECT("'"&amp;Assemblies[Assy]&amp;"'!"&amp;"A$5:A1000"))=0,NA(),SUMIF(INDIRECT("'"&amp;Assemblies[Assy]&amp;"'!"&amp;"C$5:C1000"), $A430, INDIRECT("'"&amp;Assemblies[Assy]&amp;"'!"&amp;"A$5:A1000")))),"")), " ,", ""))</f>
        <v>, 2x4.4.304,</v>
      </c>
    </row>
    <row r="431" spans="1:19" hidden="1" x14ac:dyDescent="0.25">
      <c r="A431" s="160" t="s">
        <v>631</v>
      </c>
      <c r="B431" s="160" t="s">
        <v>3503</v>
      </c>
      <c r="C431" s="180"/>
      <c r="D431">
        <v>1</v>
      </c>
      <c r="E431" cm="1">
        <f t="array" aca="1" ref="E431" ca="1">SUMPRODUCT(SUMIF(INDIRECT("'"&amp;Assemblies[Assy]&amp;"'!"&amp;"C:C"),$A431,(INDIRECT("'"&amp;Assemblies[Assy]&amp;"'!"&amp;"O:O"))))</f>
        <v>2</v>
      </c>
      <c r="F431">
        <f ca="1">ROUNDUP(Purchased[[#This Row],[BOM QTY]]/Purchased[[#This Row],[PK QTY]], 0)</f>
        <v>2</v>
      </c>
      <c r="G431">
        <v>2</v>
      </c>
      <c r="H431" t="str">
        <f ca="1">IF(F431&lt;=G431," ","YES")</f>
        <v xml:space="preserve"> </v>
      </c>
      <c r="K431" t="s">
        <v>3500</v>
      </c>
      <c r="L431" t="s">
        <v>3500</v>
      </c>
      <c r="N431" s="40" t="s">
        <v>2747</v>
      </c>
      <c r="O431" s="40">
        <v>45307</v>
      </c>
      <c r="P431" s="40">
        <v>45561</v>
      </c>
      <c r="Q431" s="40">
        <v>45561</v>
      </c>
      <c r="R431">
        <v>55366</v>
      </c>
      <c r="S431" s="40" t="str" cm="1">
        <f t="array" aca="1" ref="S431" ca="1">TRIM(SUBSTITUTE(_xlfn.ARRAYTOTEXT(IFERROR(CONCATENATE(SUMIF(INDIRECT("'"&amp;Assemblies[Assy]&amp;"'!"&amp;"C$5:C1000"), $A431, INDIRECT("'"&amp;Assemblies[Assy]&amp;"'!"&amp;"O$5:O1000")), "x",Assemblies[Assy],".",IF(SUMIF(INDIRECT("'"&amp;Assemblies[Assy]&amp;"'!"&amp;"C$5:C1000"), $A431, INDIRECT("'"&amp;Assemblies[Assy]&amp;"'!"&amp;"A$5:A1000"))=0,NA(),SUMIF(INDIRECT("'"&amp;Assemblies[Assy]&amp;"'!"&amp;"C$5:C1000"), $A431, INDIRECT("'"&amp;Assemblies[Assy]&amp;"'!"&amp;"A$5:A1000")))),"")), " ,", ""))</f>
        <v>, 2x4.4.305,</v>
      </c>
    </row>
    <row r="432" spans="1:19" hidden="1" x14ac:dyDescent="0.25">
      <c r="A432" s="160" t="s">
        <v>499</v>
      </c>
      <c r="B432" s="160" t="s">
        <v>3504</v>
      </c>
      <c r="C432" s="180"/>
      <c r="D432">
        <v>1</v>
      </c>
      <c r="E432" cm="1">
        <f t="array" aca="1" ref="E432" ca="1">SUMPRODUCT(SUMIF(INDIRECT("'"&amp;Assemblies[Assy]&amp;"'!"&amp;"C:C"),$A432,(INDIRECT("'"&amp;Assemblies[Assy]&amp;"'!"&amp;"O:O"))))</f>
        <v>2</v>
      </c>
      <c r="F432">
        <f ca="1">ROUNDUP(Purchased[[#This Row],[BOM QTY]]/Purchased[[#This Row],[PK QTY]], 0)</f>
        <v>2</v>
      </c>
      <c r="G432">
        <v>2</v>
      </c>
      <c r="H432" t="str">
        <f ca="1">IF(F432&lt;=G432," ","YES")</f>
        <v xml:space="preserve"> </v>
      </c>
      <c r="K432" t="s">
        <v>3500</v>
      </c>
      <c r="L432" t="s">
        <v>3500</v>
      </c>
      <c r="N432" s="40" t="s">
        <v>2747</v>
      </c>
      <c r="O432" s="40">
        <v>45307</v>
      </c>
      <c r="P432" s="40">
        <v>45561</v>
      </c>
      <c r="Q432" s="40">
        <v>45561</v>
      </c>
      <c r="R432">
        <v>55366</v>
      </c>
      <c r="S432" s="40" t="str" cm="1">
        <f t="array" aca="1" ref="S432" ca="1">TRIM(SUBSTITUTE(_xlfn.ARRAYTOTEXT(IFERROR(CONCATENATE(SUMIF(INDIRECT("'"&amp;Assemblies[Assy]&amp;"'!"&amp;"C$5:C1000"), $A432, INDIRECT("'"&amp;Assemblies[Assy]&amp;"'!"&amp;"O$5:O1000")), "x",Assemblies[Assy],".",IF(SUMIF(INDIRECT("'"&amp;Assemblies[Assy]&amp;"'!"&amp;"C$5:C1000"), $A432, INDIRECT("'"&amp;Assemblies[Assy]&amp;"'!"&amp;"A$5:A1000"))=0,NA(),SUMIF(INDIRECT("'"&amp;Assemblies[Assy]&amp;"'!"&amp;"C$5:C1000"), $A432, INDIRECT("'"&amp;Assemblies[Assy]&amp;"'!"&amp;"A$5:A1000")))),"")), " ,", ""))</f>
        <v>, 2x3.4.302,</v>
      </c>
    </row>
    <row r="433" spans="1:19" hidden="1" x14ac:dyDescent="0.25">
      <c r="A433" s="161">
        <v>42027</v>
      </c>
      <c r="B433" s="160" t="s">
        <v>3505</v>
      </c>
      <c r="C433" s="180">
        <v>6.72</v>
      </c>
      <c r="D433">
        <v>10</v>
      </c>
      <c r="E433" cm="1">
        <f t="array" aca="1" ref="E433" ca="1">SUMPRODUCT(SUMIF(INDIRECT("'"&amp;Assemblies[Assy]&amp;"'!"&amp;"C:C"),$A433,(INDIRECT("'"&amp;Assemblies[Assy]&amp;"'!"&amp;"O:O"))))</f>
        <v>15</v>
      </c>
      <c r="F433">
        <f ca="1">ROUNDUP(Purchased[[#This Row],[BOM QTY]]/Purchased[[#This Row],[PK QTY]], 0)</f>
        <v>2</v>
      </c>
      <c r="G433">
        <v>30</v>
      </c>
      <c r="H433" t="str">
        <f ca="1">IF(F433&lt;=G433," ","YES")</f>
        <v xml:space="preserve"> </v>
      </c>
      <c r="I433">
        <v>30</v>
      </c>
      <c r="J433">
        <v>30</v>
      </c>
      <c r="K433" t="s">
        <v>3506</v>
      </c>
      <c r="L433" t="s">
        <v>3507</v>
      </c>
      <c r="M433" t="s">
        <v>3508</v>
      </c>
      <c r="N433" s="40">
        <v>45456</v>
      </c>
      <c r="O433" s="40">
        <v>45504</v>
      </c>
      <c r="P433" s="40">
        <v>45534</v>
      </c>
      <c r="Q433" s="40">
        <v>45534</v>
      </c>
      <c r="R433">
        <v>55643</v>
      </c>
      <c r="S433" s="40" t="str" cm="1">
        <f t="array" aca="1" ref="S433" ca="1">TRIM(SUBSTITUTE(_xlfn.ARRAYTOTEXT(IFERROR(CONCATENATE(SUMIF(INDIRECT("'"&amp;Assemblies[Assy]&amp;"'!"&amp;"C$5:C1000"), $A433, INDIRECT("'"&amp;Assemblies[Assy]&amp;"'!"&amp;"O$5:O1000")), "x",Assemblies[Assy],".",IF(SUMIF(INDIRECT("'"&amp;Assemblies[Assy]&amp;"'!"&amp;"C$5:C1000"), $A433, INDIRECT("'"&amp;Assemblies[Assy]&amp;"'!"&amp;"A$5:A1000"))=0,NA(),SUMIF(INDIRECT("'"&amp;Assemblies[Assy]&amp;"'!"&amp;"C$5:C1000"), $A433, INDIRECT("'"&amp;Assemblies[Assy]&amp;"'!"&amp;"A$5:A1000")))),"")), " ,", ""))</f>
        <v>, 3x0.3.305, 3x0.4.305, 3x0.6.305, 3x0.9.305, 3x0.10.305,</v>
      </c>
    </row>
    <row r="434" spans="1:19" hidden="1" x14ac:dyDescent="0.25">
      <c r="A434" s="162">
        <v>51522</v>
      </c>
      <c r="B434" s="160" t="s">
        <v>3509</v>
      </c>
      <c r="C434" s="180">
        <v>10.199999999999999</v>
      </c>
      <c r="D434">
        <v>1</v>
      </c>
      <c r="E434" cm="1">
        <f t="array" aca="1" ref="E434" ca="1">SUMPRODUCT(SUMIF(INDIRECT("'"&amp;Assemblies[Assy]&amp;"'!"&amp;"C:C"),$A434,(INDIRECT("'"&amp;Assemblies[Assy]&amp;"'!"&amp;"O:O"))))</f>
        <v>20</v>
      </c>
      <c r="F434">
        <f ca="1">ROUNDUP(Purchased[[#This Row],[BOM QTY]]/Purchased[[#This Row],[PK QTY]], 0)</f>
        <v>20</v>
      </c>
      <c r="G434">
        <v>30</v>
      </c>
      <c r="H434" t="str">
        <f ca="1">IF(F434&lt;=G434," ","YES")</f>
        <v xml:space="preserve"> </v>
      </c>
      <c r="I434">
        <v>30</v>
      </c>
      <c r="J434">
        <v>30</v>
      </c>
      <c r="K434" t="s">
        <v>3506</v>
      </c>
      <c r="L434" t="s">
        <v>3507</v>
      </c>
      <c r="N434" s="40">
        <v>45456</v>
      </c>
      <c r="O434" s="40">
        <v>45504</v>
      </c>
      <c r="P434" s="40">
        <v>45534</v>
      </c>
      <c r="Q434" s="40">
        <v>45534</v>
      </c>
      <c r="R434">
        <v>55643</v>
      </c>
      <c r="S434" s="40" t="str" cm="1">
        <f t="array" aca="1" ref="S434" ca="1">TRIM(SUBSTITUTE(_xlfn.ARRAYTOTEXT(IFERROR(CONCATENATE(SUMIF(INDIRECT("'"&amp;Assemblies[Assy]&amp;"'!"&amp;"C$5:C1000"), $A434, INDIRECT("'"&amp;Assemblies[Assy]&amp;"'!"&amp;"O$5:O1000")), "x",Assemblies[Assy],".",IF(SUMIF(INDIRECT("'"&amp;Assemblies[Assy]&amp;"'!"&amp;"C$5:C1000"), $A434, INDIRECT("'"&amp;Assemblies[Assy]&amp;"'!"&amp;"A$5:A1000"))=0,NA(),SUMIF(INDIRECT("'"&amp;Assemblies[Assy]&amp;"'!"&amp;"C$5:C1000"), $A434, INDIRECT("'"&amp;Assemblies[Assy]&amp;"'!"&amp;"A$5:A1000")))),"")), " ,", ""))</f>
        <v>, 4x0.3.304, 4x0.4.304, 4x0.6.304, 4x0.9.304, 4x0.10.304,</v>
      </c>
    </row>
    <row r="435" spans="1:19" hidden="1" x14ac:dyDescent="0.25">
      <c r="A435" s="160" t="s">
        <v>3853</v>
      </c>
      <c r="B435" s="160" t="s">
        <v>3854</v>
      </c>
      <c r="C435" s="180">
        <v>11.31</v>
      </c>
      <c r="D435">
        <v>1</v>
      </c>
      <c r="E435" cm="1">
        <f t="array" aca="1" ref="E435" ca="1">SUMPRODUCT(SUMIF(INDIRECT("'"&amp;Assemblies[Assy]&amp;"'!"&amp;"C:C"),$A435,(INDIRECT("'"&amp;Assemblies[Assy]&amp;"'!"&amp;"O:O"))))</f>
        <v>12</v>
      </c>
      <c r="F435">
        <f ca="1">ROUNDUP(Purchased[[#This Row],[BOM QTY]]/Purchased[[#This Row],[PK QTY]], 0)</f>
        <v>12</v>
      </c>
      <c r="G435">
        <v>12</v>
      </c>
      <c r="H435" t="str">
        <f ca="1">IF(F435&lt;=G435," ","YES")</f>
        <v xml:space="preserve"> </v>
      </c>
      <c r="K435" t="s">
        <v>3872</v>
      </c>
      <c r="L435" t="s">
        <v>3872</v>
      </c>
      <c r="M435" t="s">
        <v>3855</v>
      </c>
      <c r="N435" s="40">
        <v>45553</v>
      </c>
      <c r="O435" s="40">
        <v>45553</v>
      </c>
      <c r="P435" s="40">
        <v>45569</v>
      </c>
      <c r="Q435" s="40">
        <v>45567</v>
      </c>
      <c r="R435">
        <v>55742</v>
      </c>
      <c r="S435" s="40" t="str" cm="1">
        <f t="array" aca="1" ref="S435" ca="1">TRIM(SUBSTITUTE(_xlfn.ARRAYTOTEXT(IFERROR(CONCATENATE(SUMIF(INDIRECT("'"&amp;Assemblies[Assy]&amp;"'!"&amp;"C$5:C1000"), $A435, INDIRECT("'"&amp;Assemblies[Assy]&amp;"'!"&amp;"O$5:O1000")), "x",Assemblies[Assy],".",IF(SUMIF(INDIRECT("'"&amp;Assemblies[Assy]&amp;"'!"&amp;"C$5:C1000"), $A435, INDIRECT("'"&amp;Assemblies[Assy]&amp;"'!"&amp;"A$5:A1000"))=0,NA(),SUMIF(INDIRECT("'"&amp;Assemblies[Assy]&amp;"'!"&amp;"C$5:C1000"), $A435, INDIRECT("'"&amp;Assemblies[Assy]&amp;"'!"&amp;"A$5:A1000")))),"")), " ,", ""))</f>
        <v>, 12x1.1.11.301,</v>
      </c>
    </row>
    <row r="436" spans="1:19" hidden="1" x14ac:dyDescent="0.25">
      <c r="A436" s="183">
        <v>3842535466</v>
      </c>
      <c r="B436" s="160" t="s">
        <v>3514</v>
      </c>
      <c r="C436" s="180">
        <v>4.17</v>
      </c>
      <c r="D436">
        <v>1</v>
      </c>
      <c r="E436" cm="1">
        <f t="array" aca="1" ref="E436" ca="1">SUMPRODUCT(SUMIF(INDIRECT("'"&amp;Assemblies[Assy]&amp;"'!"&amp;"C:C"),$A436,(INDIRECT("'"&amp;Assemblies[Assy]&amp;"'!"&amp;"O:O"))))</f>
        <v>558</v>
      </c>
      <c r="F436">
        <f ca="1">ROUNDUP(Purchased[[#This Row],[BOM QTY]]/Purchased[[#This Row],[PK QTY]], 0)</f>
        <v>558</v>
      </c>
      <c r="G436">
        <v>754</v>
      </c>
      <c r="H436" t="str">
        <f ca="1">IF(F436&lt;=G436," ","YES")</f>
        <v xml:space="preserve"> </v>
      </c>
      <c r="I436">
        <v>454</v>
      </c>
      <c r="J436">
        <v>454</v>
      </c>
      <c r="K436" s="160" t="s">
        <v>3511</v>
      </c>
      <c r="L436" t="s">
        <v>3512</v>
      </c>
      <c r="M436" t="s">
        <v>3774</v>
      </c>
      <c r="N436" s="40" t="s">
        <v>2747</v>
      </c>
      <c r="O436" s="40">
        <v>45533</v>
      </c>
      <c r="P436" s="40">
        <v>45540</v>
      </c>
      <c r="R436" s="40">
        <v>55716</v>
      </c>
      <c r="S436" s="40" t="str" cm="1">
        <f t="array" aca="1" ref="S436" ca="1">TRIM(SUBSTITUTE(_xlfn.ARRAYTOTEXT(IFERROR(CONCATENATE(SUMIF(INDIRECT("'"&amp;Assemblies[Assy]&amp;"'!"&amp;"C$5:C1000"), $A436, INDIRECT("'"&amp;Assemblies[Assy]&amp;"'!"&amp;"O$5:O1000")), "x",Assemblies[Assy],".",IF(SUMIF(INDIRECT("'"&amp;Assemblies[Assy]&amp;"'!"&amp;"C$5:C1000"), $A436, INDIRECT("'"&amp;Assemblies[Assy]&amp;"'!"&amp;"A$5:A1000"))=0,NA(),SUMIF(INDIRECT("'"&amp;Assemblies[Assy]&amp;"'!"&amp;"C$5:C1000"), $A436, INDIRECT("'"&amp;Assemblies[Assy]&amp;"'!"&amp;"A$5:A1000")))),"")), " ,", ""))</f>
        <v>, 106x1.1.301, 44x2.1.303, 64x3.1.302, 16x3.2.302, 140x4.1.301, 4x4.7.304, 8x5.2.304, 8x5.3.306, 4x6.1.344, 8x6.8.304, 24x6.9.304, 32x7.1.303, 50x10.1.302, 50x12.309</v>
      </c>
    </row>
    <row r="437" spans="1:19" hidden="1" x14ac:dyDescent="0.25">
      <c r="A437" s="162" t="s">
        <v>173</v>
      </c>
      <c r="B437" s="160" t="s">
        <v>3515</v>
      </c>
      <c r="C437" s="180">
        <v>0</v>
      </c>
      <c r="D437">
        <v>1</v>
      </c>
      <c r="E437" cm="1">
        <f t="array" aca="1" ref="E437" ca="1">SUMPRODUCT(SUMIF(INDIRECT("'"&amp;Assemblies[Assy]&amp;"'!"&amp;"C:C"),$A437,(INDIRECT("'"&amp;Assemblies[Assy]&amp;"'!"&amp;"O:O"))))</f>
        <v>56</v>
      </c>
      <c r="F437">
        <f ca="1">ROUNDUP(Purchased[[#This Row],[BOM QTY]]/Purchased[[#This Row],[PK QTY]], 0)</f>
        <v>56</v>
      </c>
      <c r="G437">
        <v>65</v>
      </c>
      <c r="H437" t="str">
        <f ca="1">IF(F437&lt;=G437," ","YES")</f>
        <v xml:space="preserve"> </v>
      </c>
      <c r="I437">
        <v>65</v>
      </c>
      <c r="J437">
        <v>65</v>
      </c>
      <c r="K437" s="160" t="s">
        <v>3516</v>
      </c>
      <c r="L437" s="160" t="s">
        <v>3516</v>
      </c>
      <c r="M437" t="s">
        <v>3517</v>
      </c>
      <c r="N437" s="40" t="s">
        <v>2747</v>
      </c>
      <c r="O437" s="40">
        <v>45448</v>
      </c>
      <c r="P437" s="40">
        <v>45478</v>
      </c>
      <c r="Q437" s="40">
        <v>45478</v>
      </c>
      <c r="R437">
        <v>55541</v>
      </c>
      <c r="S437" s="40" t="str" cm="1">
        <f t="array" aca="1" ref="S437" ca="1">TRIM(SUBSTITUTE(_xlfn.ARRAYTOTEXT(IFERROR(CONCATENATE(SUMIF(INDIRECT("'"&amp;Assemblies[Assy]&amp;"'!"&amp;"C$5:C1000"), $A437, INDIRECT("'"&amp;Assemblies[Assy]&amp;"'!"&amp;"O$5:O1000")), "x",Assemblies[Assy],".",IF(SUMIF(INDIRECT("'"&amp;Assemblies[Assy]&amp;"'!"&amp;"C$5:C1000"), $A437, INDIRECT("'"&amp;Assemblies[Assy]&amp;"'!"&amp;"A$5:A1000"))=0,NA(),SUMIF(INDIRECT("'"&amp;Assemblies[Assy]&amp;"'!"&amp;"C$5:C1000"), $A437, INDIRECT("'"&amp;Assemblies[Assy]&amp;"'!"&amp;"A$5:A1000")))),"")), " ,", ""))</f>
        <v>, 28x1.1.2.302, 16x1.1.7.302, 4x1.1.8.308, 4x1.2.1.301, 4x1.2.2.301,</v>
      </c>
    </row>
    <row r="438" spans="1:19" hidden="1" x14ac:dyDescent="0.25">
      <c r="A438" s="160" t="s">
        <v>1453</v>
      </c>
      <c r="B438" s="160" t="s">
        <v>3580</v>
      </c>
      <c r="C438" s="180">
        <v>6.33</v>
      </c>
      <c r="D438">
        <v>1</v>
      </c>
      <c r="E438" cm="1">
        <f t="array" aca="1" ref="E438" ca="1">SUMPRODUCT(SUMIF(INDIRECT("'"&amp;Assemblies[Assy]&amp;"'!"&amp;"C:C"),$A438,(INDIRECT("'"&amp;Assemblies[Assy]&amp;"'!"&amp;"O:O"))))</f>
        <v>2</v>
      </c>
      <c r="F438">
        <f ca="1">ROUNDUP(Purchased[[#This Row],[BOM QTY]]/Purchased[[#This Row],[PK QTY]], 0)</f>
        <v>2</v>
      </c>
      <c r="G438">
        <v>2</v>
      </c>
      <c r="H438" t="str">
        <f ca="1">IF(F438&lt;=G438," ","YES")</f>
        <v xml:space="preserve"> </v>
      </c>
      <c r="I438">
        <v>2</v>
      </c>
      <c r="J438">
        <v>2</v>
      </c>
      <c r="K438" t="s">
        <v>3577</v>
      </c>
      <c r="L438" t="s">
        <v>3873</v>
      </c>
      <c r="N438" s="40">
        <v>45530</v>
      </c>
      <c r="O438" s="40">
        <v>45530</v>
      </c>
      <c r="P438" s="40">
        <v>45552</v>
      </c>
      <c r="Q438" s="40">
        <v>45552</v>
      </c>
      <c r="R438">
        <v>55703</v>
      </c>
      <c r="S438" s="40" t="str" cm="1">
        <f t="array" aca="1" ref="S438" ca="1">TRIM(SUBSTITUTE(_xlfn.ARRAYTOTEXT(IFERROR(CONCATENATE(SUMIF(INDIRECT("'"&amp;Assemblies[Assy]&amp;"'!"&amp;"C$5:C1000"), $A438, INDIRECT("'"&amp;Assemblies[Assy]&amp;"'!"&amp;"O$5:O1000")), "x",Assemblies[Assy],".",IF(SUMIF(INDIRECT("'"&amp;Assemblies[Assy]&amp;"'!"&amp;"C$5:C1000"), $A438, INDIRECT("'"&amp;Assemblies[Assy]&amp;"'!"&amp;"A$5:A1000"))=0,NA(),SUMIF(INDIRECT("'"&amp;Assemblies[Assy]&amp;"'!"&amp;"C$5:C1000"), $A438, INDIRECT("'"&amp;Assemblies[Assy]&amp;"'!"&amp;"A$5:A1000")))),"")), " ,", ""))</f>
        <v>, 2x12.305</v>
      </c>
    </row>
    <row r="439" spans="1:19" hidden="1" x14ac:dyDescent="0.25">
      <c r="A439" s="160" t="s">
        <v>1449</v>
      </c>
      <c r="B439" s="160" t="s">
        <v>3578</v>
      </c>
      <c r="C439" s="180">
        <v>40.002000000000002</v>
      </c>
      <c r="D439">
        <v>1</v>
      </c>
      <c r="E439" cm="1">
        <f t="array" aca="1" ref="E439" ca="1">SUMPRODUCT(SUMIF(INDIRECT("'"&amp;Assemblies[Assy]&amp;"'!"&amp;"C:C"),$A439,(INDIRECT("'"&amp;Assemblies[Assy]&amp;"'!"&amp;"O:O"))))</f>
        <v>3</v>
      </c>
      <c r="F439">
        <f ca="1">ROUNDUP(Purchased[[#This Row],[BOM QTY]]/Purchased[[#This Row],[PK QTY]], 0)</f>
        <v>3</v>
      </c>
      <c r="G439">
        <v>3</v>
      </c>
      <c r="H439" t="str">
        <f ca="1">IF(F439&lt;=G439," ","YES")</f>
        <v xml:space="preserve"> </v>
      </c>
      <c r="I439">
        <v>4</v>
      </c>
      <c r="J439">
        <v>4</v>
      </c>
      <c r="K439" t="s">
        <v>3577</v>
      </c>
      <c r="L439" t="s">
        <v>3873</v>
      </c>
      <c r="N439" s="40">
        <v>45530</v>
      </c>
      <c r="O439" s="40">
        <v>45530</v>
      </c>
      <c r="P439" s="40">
        <v>45552</v>
      </c>
      <c r="Q439" s="40">
        <v>45552</v>
      </c>
      <c r="R439">
        <v>55703</v>
      </c>
      <c r="S439" s="40" t="str" cm="1">
        <f t="array" aca="1" ref="S439" ca="1">TRIM(SUBSTITUTE(_xlfn.ARRAYTOTEXT(IFERROR(CONCATENATE(SUMIF(INDIRECT("'"&amp;Assemblies[Assy]&amp;"'!"&amp;"C$5:C1000"), $A439, INDIRECT("'"&amp;Assemblies[Assy]&amp;"'!"&amp;"O$5:O1000")), "x",Assemblies[Assy],".",IF(SUMIF(INDIRECT("'"&amp;Assemblies[Assy]&amp;"'!"&amp;"C$5:C1000"), $A439, INDIRECT("'"&amp;Assemblies[Assy]&amp;"'!"&amp;"A$5:A1000"))=0,NA(),SUMIF(INDIRECT("'"&amp;Assemblies[Assy]&amp;"'!"&amp;"C$5:C1000"), $A439, INDIRECT("'"&amp;Assemblies[Assy]&amp;"'!"&amp;"A$5:A1000")))),"")), " ,", ""))</f>
        <v>, 3x12.301</v>
      </c>
    </row>
    <row r="440" spans="1:19" hidden="1" x14ac:dyDescent="0.25">
      <c r="A440" s="160" t="s">
        <v>1450</v>
      </c>
      <c r="B440" s="160" t="s">
        <v>3579</v>
      </c>
      <c r="C440" s="180">
        <v>82.572000000000003</v>
      </c>
      <c r="D440">
        <v>1</v>
      </c>
      <c r="E440" cm="1">
        <f t="array" aca="1" ref="E440" ca="1">SUMPRODUCT(SUMIF(INDIRECT("'"&amp;Assemblies[Assy]&amp;"'!"&amp;"C:C"),$A440,(INDIRECT("'"&amp;Assemblies[Assy]&amp;"'!"&amp;"O:O"))))</f>
        <v>6</v>
      </c>
      <c r="F440">
        <f ca="1">ROUNDUP(Purchased[[#This Row],[BOM QTY]]/Purchased[[#This Row],[PK QTY]], 0)</f>
        <v>6</v>
      </c>
      <c r="G440">
        <v>6</v>
      </c>
      <c r="H440" t="str">
        <f ca="1">IF(F440&lt;=G440," ","YES")</f>
        <v xml:space="preserve"> </v>
      </c>
      <c r="I440">
        <v>8</v>
      </c>
      <c r="J440">
        <v>8</v>
      </c>
      <c r="K440" t="s">
        <v>3577</v>
      </c>
      <c r="L440" t="s">
        <v>3873</v>
      </c>
      <c r="N440" s="40">
        <v>45530</v>
      </c>
      <c r="O440" s="40">
        <v>45530</v>
      </c>
      <c r="P440" s="40">
        <v>45552</v>
      </c>
      <c r="Q440" s="40">
        <v>45552</v>
      </c>
      <c r="R440">
        <v>55703</v>
      </c>
      <c r="S440" s="40" t="str" cm="1">
        <f t="array" aca="1" ref="S440" ca="1">TRIM(SUBSTITUTE(_xlfn.ARRAYTOTEXT(IFERROR(CONCATENATE(SUMIF(INDIRECT("'"&amp;Assemblies[Assy]&amp;"'!"&amp;"C$5:C1000"), $A440, INDIRECT("'"&amp;Assemblies[Assy]&amp;"'!"&amp;"O$5:O1000")), "x",Assemblies[Assy],".",IF(SUMIF(INDIRECT("'"&amp;Assemblies[Assy]&amp;"'!"&amp;"C$5:C1000"), $A440, INDIRECT("'"&amp;Assemblies[Assy]&amp;"'!"&amp;"A$5:A1000"))=0,NA(),SUMIF(INDIRECT("'"&amp;Assemblies[Assy]&amp;"'!"&amp;"C$5:C1000"), $A440, INDIRECT("'"&amp;Assemblies[Assy]&amp;"'!"&amp;"A$5:A1000")))),"")), " ,", ""))</f>
        <v>, 6x12.302</v>
      </c>
    </row>
    <row r="441" spans="1:19" hidden="1" x14ac:dyDescent="0.25">
      <c r="A441" s="160" t="s">
        <v>1452</v>
      </c>
      <c r="B441" s="160" t="s">
        <v>3581</v>
      </c>
      <c r="C441" s="180">
        <v>6.4089999999999998</v>
      </c>
      <c r="D441">
        <v>1</v>
      </c>
      <c r="E441" cm="1">
        <f t="array" aca="1" ref="E441" ca="1">SUMPRODUCT(SUMIF(INDIRECT("'"&amp;Assemblies[Assy]&amp;"'!"&amp;"C:C"),$A441,(INDIRECT("'"&amp;Assemblies[Assy]&amp;"'!"&amp;"O:O"))))</f>
        <v>10</v>
      </c>
      <c r="F441">
        <f ca="1">ROUNDUP(Purchased[[#This Row],[BOM QTY]]/Purchased[[#This Row],[PK QTY]], 0)</f>
        <v>10</v>
      </c>
      <c r="G441">
        <v>10</v>
      </c>
      <c r="H441" t="str">
        <f ca="1">IF(F441&lt;=G441," ","YES")</f>
        <v xml:space="preserve"> </v>
      </c>
      <c r="I441">
        <v>10</v>
      </c>
      <c r="J441">
        <v>10</v>
      </c>
      <c r="K441" t="s">
        <v>3577</v>
      </c>
      <c r="L441" t="s">
        <v>3873</v>
      </c>
      <c r="N441" s="40">
        <v>45530</v>
      </c>
      <c r="O441" s="40">
        <v>45530</v>
      </c>
      <c r="P441" s="40">
        <v>45552</v>
      </c>
      <c r="Q441" s="40">
        <v>45552</v>
      </c>
      <c r="R441">
        <v>55703</v>
      </c>
      <c r="S441" s="40" t="str" cm="1">
        <f t="array" aca="1" ref="S441" ca="1">TRIM(SUBSTITUTE(_xlfn.ARRAYTOTEXT(IFERROR(CONCATENATE(SUMIF(INDIRECT("'"&amp;Assemblies[Assy]&amp;"'!"&amp;"C$5:C1000"), $A441, INDIRECT("'"&amp;Assemblies[Assy]&amp;"'!"&amp;"O$5:O1000")), "x",Assemblies[Assy],".",IF(SUMIF(INDIRECT("'"&amp;Assemblies[Assy]&amp;"'!"&amp;"C$5:C1000"), $A441, INDIRECT("'"&amp;Assemblies[Assy]&amp;"'!"&amp;"A$5:A1000"))=0,NA(),SUMIF(INDIRECT("'"&amp;Assemblies[Assy]&amp;"'!"&amp;"C$5:C1000"), $A441, INDIRECT("'"&amp;Assemblies[Assy]&amp;"'!"&amp;"A$5:A1000")))),"")), " ,", ""))</f>
        <v>, 10x12.304</v>
      </c>
    </row>
    <row r="442" spans="1:19" hidden="1" x14ac:dyDescent="0.25">
      <c r="A442" s="160" t="s">
        <v>867</v>
      </c>
      <c r="B442" s="160" t="s">
        <v>3521</v>
      </c>
      <c r="C442" s="180">
        <v>4575.4799999999996</v>
      </c>
      <c r="D442">
        <v>1</v>
      </c>
      <c r="E442" cm="1">
        <f t="array" aca="1" ref="E442" ca="1">SUMPRODUCT(SUMIF(INDIRECT("'"&amp;Assemblies[Assy]&amp;"'!"&amp;"C:C"),$A442,(INDIRECT("'"&amp;Assemblies[Assy]&amp;"'!"&amp;"O:O"))))</f>
        <v>2</v>
      </c>
      <c r="F442">
        <f ca="1">ROUNDUP(Purchased[[#This Row],[BOM QTY]]/Purchased[[#This Row],[PK QTY]], 0)</f>
        <v>2</v>
      </c>
      <c r="G442">
        <v>2</v>
      </c>
      <c r="H442" t="str">
        <f ca="1">IF(F442&lt;=G442," ","YES")</f>
        <v xml:space="preserve"> </v>
      </c>
      <c r="I442">
        <v>2</v>
      </c>
      <c r="J442">
        <v>2</v>
      </c>
      <c r="K442" s="162" t="s">
        <v>3519</v>
      </c>
      <c r="L442" s="162" t="s">
        <v>3519</v>
      </c>
      <c r="N442" s="40">
        <v>45427</v>
      </c>
      <c r="O442" s="40">
        <v>45427</v>
      </c>
      <c r="P442" s="40">
        <v>45488</v>
      </c>
      <c r="Q442" s="40">
        <v>45488</v>
      </c>
      <c r="R442">
        <v>55520</v>
      </c>
      <c r="S442" s="40" t="str" cm="1">
        <f t="array" aca="1" ref="S442" ca="1">TRIM(SUBSTITUTE(_xlfn.ARRAYTOTEXT(IFERROR(CONCATENATE(SUMIF(INDIRECT("'"&amp;Assemblies[Assy]&amp;"'!"&amp;"C$5:C1000"), $A442, INDIRECT("'"&amp;Assemblies[Assy]&amp;"'!"&amp;"O$5:O1000")), "x",Assemblies[Assy],".",IF(SUMIF(INDIRECT("'"&amp;Assemblies[Assy]&amp;"'!"&amp;"C$5:C1000"), $A442, INDIRECT("'"&amp;Assemblies[Assy]&amp;"'!"&amp;"A$5:A1000"))=0,NA(),SUMIF(INDIRECT("'"&amp;Assemblies[Assy]&amp;"'!"&amp;"C$5:C1000"), $A442, INDIRECT("'"&amp;Assemblies[Assy]&amp;"'!"&amp;"A$5:A1000")))),"")), " ,", ""))</f>
        <v>, 2x5.7.305,</v>
      </c>
    </row>
    <row r="443" spans="1:19" hidden="1" x14ac:dyDescent="0.25">
      <c r="A443" s="161">
        <v>885107</v>
      </c>
      <c r="B443" s="160" t="s">
        <v>3522</v>
      </c>
      <c r="C443" s="180">
        <v>88.07</v>
      </c>
      <c r="D443">
        <v>1</v>
      </c>
      <c r="E443" cm="1">
        <f t="array" aca="1" ref="E443" ca="1">SUMPRODUCT(SUMIF(INDIRECT("'"&amp;Assemblies[Assy]&amp;"'!"&amp;"C:C"),$A443,(INDIRECT("'"&amp;Assemblies[Assy]&amp;"'!"&amp;"O:O"))))</f>
        <v>2</v>
      </c>
      <c r="F443">
        <f ca="1">ROUNDUP(Purchased[[#This Row],[BOM QTY]]/Purchased[[#This Row],[PK QTY]], 0)</f>
        <v>2</v>
      </c>
      <c r="G443">
        <v>2</v>
      </c>
      <c r="H443" t="str">
        <f ca="1">IF(F443&lt;=G443," ","YES")</f>
        <v xml:space="preserve"> </v>
      </c>
      <c r="I443">
        <v>2</v>
      </c>
      <c r="J443">
        <v>2</v>
      </c>
      <c r="K443" s="162" t="s">
        <v>3519</v>
      </c>
      <c r="L443" s="162" t="s">
        <v>3519</v>
      </c>
      <c r="N443" s="40">
        <v>45427</v>
      </c>
      <c r="O443" s="40">
        <v>45427</v>
      </c>
      <c r="P443" s="40">
        <v>45460</v>
      </c>
      <c r="Q443" s="40">
        <v>45460</v>
      </c>
      <c r="R443">
        <v>55521</v>
      </c>
      <c r="S443" s="40" t="str" cm="1">
        <f t="array" aca="1" ref="S443" ca="1">TRIM(SUBSTITUTE(_xlfn.ARRAYTOTEXT(IFERROR(CONCATENATE(SUMIF(INDIRECT("'"&amp;Assemblies[Assy]&amp;"'!"&amp;"C$5:C1000"), $A443, INDIRECT("'"&amp;Assemblies[Assy]&amp;"'!"&amp;"O$5:O1000")), "x",Assemblies[Assy],".",IF(SUMIF(INDIRECT("'"&amp;Assemblies[Assy]&amp;"'!"&amp;"C$5:C1000"), $A443, INDIRECT("'"&amp;Assemblies[Assy]&amp;"'!"&amp;"A$5:A1000"))=0,NA(),SUMIF(INDIRECT("'"&amp;Assemblies[Assy]&amp;"'!"&amp;"C$5:C1000"), $A443, INDIRECT("'"&amp;Assemblies[Assy]&amp;"'!"&amp;"A$5:A1000")))),"")), " ,", ""))</f>
        <v>, 2x0.4.308,</v>
      </c>
    </row>
    <row r="444" spans="1:19" hidden="1" x14ac:dyDescent="0.25">
      <c r="A444" s="161">
        <v>890203</v>
      </c>
      <c r="B444" s="160" t="s">
        <v>3523</v>
      </c>
      <c r="C444" s="180">
        <v>943.23</v>
      </c>
      <c r="D444">
        <v>1</v>
      </c>
      <c r="E444" cm="1">
        <f t="array" aca="1" ref="E444" ca="1">SUMPRODUCT(SUMIF(INDIRECT("'"&amp;Assemblies[Assy]&amp;"'!"&amp;"C:C"),$A444,(INDIRECT("'"&amp;Assemblies[Assy]&amp;"'!"&amp;"O:O"))))</f>
        <v>2</v>
      </c>
      <c r="F444">
        <f ca="1">ROUNDUP(Purchased[[#This Row],[BOM QTY]]/Purchased[[#This Row],[PK QTY]], 0)</f>
        <v>2</v>
      </c>
      <c r="G444">
        <v>2</v>
      </c>
      <c r="H444" t="str">
        <f ca="1">IF(F444&lt;=G444," ","YES")</f>
        <v xml:space="preserve"> </v>
      </c>
      <c r="I444">
        <v>2</v>
      </c>
      <c r="J444">
        <v>2</v>
      </c>
      <c r="K444" s="162" t="s">
        <v>3519</v>
      </c>
      <c r="L444" s="162" t="s">
        <v>3519</v>
      </c>
      <c r="N444" s="40">
        <v>45427</v>
      </c>
      <c r="O444" s="40">
        <v>45427</v>
      </c>
      <c r="P444" s="40">
        <v>45461</v>
      </c>
      <c r="Q444" s="40">
        <v>45461</v>
      </c>
      <c r="R444">
        <v>55521</v>
      </c>
      <c r="S444" s="40" t="str" cm="1">
        <f t="array" aca="1" ref="S444" ca="1">TRIM(SUBSTITUTE(_xlfn.ARRAYTOTEXT(IFERROR(CONCATENATE(SUMIF(INDIRECT("'"&amp;Assemblies[Assy]&amp;"'!"&amp;"C$5:C1000"), $A444, INDIRECT("'"&amp;Assemblies[Assy]&amp;"'!"&amp;"O$5:O1000")), "x",Assemblies[Assy],".",IF(SUMIF(INDIRECT("'"&amp;Assemblies[Assy]&amp;"'!"&amp;"C$5:C1000"), $A444, INDIRECT("'"&amp;Assemblies[Assy]&amp;"'!"&amp;"A$5:A1000"))=0,NA(),SUMIF(INDIRECT("'"&amp;Assemblies[Assy]&amp;"'!"&amp;"C$5:C1000"), $A444, INDIRECT("'"&amp;Assemblies[Assy]&amp;"'!"&amp;"A$5:A1000")))),"")), " ,", ""))</f>
        <v>, 2x0.4.309,</v>
      </c>
    </row>
    <row r="445" spans="1:19" hidden="1" x14ac:dyDescent="0.25">
      <c r="A445" s="161">
        <v>7501100</v>
      </c>
      <c r="B445" s="160" t="s">
        <v>3524</v>
      </c>
      <c r="C445" s="180">
        <v>1662.63</v>
      </c>
      <c r="D445">
        <v>1</v>
      </c>
      <c r="E445" cm="1">
        <f t="array" aca="1" ref="E445" ca="1">SUMPRODUCT(SUMIF(INDIRECT("'"&amp;Assemblies[Assy]&amp;"'!"&amp;"C:C"),$A445,(INDIRECT("'"&amp;Assemblies[Assy]&amp;"'!"&amp;"O:O"))))</f>
        <v>2</v>
      </c>
      <c r="F445">
        <f ca="1">ROUNDUP(Purchased[[#This Row],[BOM QTY]]/Purchased[[#This Row],[PK QTY]], 0)</f>
        <v>2</v>
      </c>
      <c r="G445">
        <v>2</v>
      </c>
      <c r="H445" t="str">
        <f ca="1">IF(F445&lt;=G445," ","YES")</f>
        <v xml:space="preserve"> </v>
      </c>
      <c r="I445">
        <v>2</v>
      </c>
      <c r="J445">
        <v>2</v>
      </c>
      <c r="K445" s="162" t="s">
        <v>3519</v>
      </c>
      <c r="L445" s="162" t="s">
        <v>3519</v>
      </c>
      <c r="N445" s="40">
        <v>45427</v>
      </c>
      <c r="O445" s="40">
        <v>45427</v>
      </c>
      <c r="P445" s="40">
        <v>45459</v>
      </c>
      <c r="Q445" s="40">
        <v>45459</v>
      </c>
      <c r="R445">
        <v>55521</v>
      </c>
      <c r="S445" s="40" t="str" cm="1">
        <f t="array" aca="1" ref="S445" ca="1">TRIM(SUBSTITUTE(_xlfn.ARRAYTOTEXT(IFERROR(CONCATENATE(SUMIF(INDIRECT("'"&amp;Assemblies[Assy]&amp;"'!"&amp;"C$5:C1000"), $A445, INDIRECT("'"&amp;Assemblies[Assy]&amp;"'!"&amp;"O$5:O1000")), "x",Assemblies[Assy],".",IF(SUMIF(INDIRECT("'"&amp;Assemblies[Assy]&amp;"'!"&amp;"C$5:C1000"), $A445, INDIRECT("'"&amp;Assemblies[Assy]&amp;"'!"&amp;"A$5:A1000"))=0,NA(),SUMIF(INDIRECT("'"&amp;Assemblies[Assy]&amp;"'!"&amp;"C$5:C1000"), $A445, INDIRECT("'"&amp;Assemblies[Assy]&amp;"'!"&amp;"A$5:A1000")))),"")), " ,", ""))</f>
        <v>, 2x0.4.307,</v>
      </c>
    </row>
    <row r="446" spans="1:19" hidden="1" x14ac:dyDescent="0.25">
      <c r="A446" s="160" t="s">
        <v>868</v>
      </c>
      <c r="B446" s="160" t="s">
        <v>3520</v>
      </c>
      <c r="C446" s="180">
        <v>487</v>
      </c>
      <c r="D446">
        <v>1</v>
      </c>
      <c r="E446" cm="1">
        <f t="array" aca="1" ref="E446" ca="1">SUMPRODUCT(SUMIF(INDIRECT("'"&amp;Assemblies[Assy]&amp;"'!"&amp;"C:C"),$A446,(INDIRECT("'"&amp;Assemblies[Assy]&amp;"'!"&amp;"O:O"))))</f>
        <v>2</v>
      </c>
      <c r="F446">
        <f ca="1">ROUNDUP(Purchased[[#This Row],[BOM QTY]]/Purchased[[#This Row],[PK QTY]], 0)</f>
        <v>2</v>
      </c>
      <c r="G446">
        <v>2</v>
      </c>
      <c r="H446" t="str">
        <f ca="1">IF(F446&lt;=G446," ","YES")</f>
        <v xml:space="preserve"> </v>
      </c>
      <c r="I446">
        <v>2</v>
      </c>
      <c r="J446">
        <v>2</v>
      </c>
      <c r="K446" s="162" t="s">
        <v>3519</v>
      </c>
      <c r="L446" s="162" t="s">
        <v>3519</v>
      </c>
      <c r="N446" s="40">
        <v>45427</v>
      </c>
      <c r="O446" s="40">
        <v>45427</v>
      </c>
      <c r="P446" s="40">
        <v>45488</v>
      </c>
      <c r="Q446" s="40">
        <v>45488</v>
      </c>
      <c r="R446">
        <v>55520</v>
      </c>
      <c r="S446" s="40" t="str" cm="1">
        <f t="array" aca="1" ref="S446" ca="1">TRIM(SUBSTITUTE(_xlfn.ARRAYTOTEXT(IFERROR(CONCATENATE(SUMIF(INDIRECT("'"&amp;Assemblies[Assy]&amp;"'!"&amp;"C$5:C1000"), $A446, INDIRECT("'"&amp;Assemblies[Assy]&amp;"'!"&amp;"O$5:O1000")), "x",Assemblies[Assy],".",IF(SUMIF(INDIRECT("'"&amp;Assemblies[Assy]&amp;"'!"&amp;"C$5:C1000"), $A446, INDIRECT("'"&amp;Assemblies[Assy]&amp;"'!"&amp;"A$5:A1000"))=0,NA(),SUMIF(INDIRECT("'"&amp;Assemblies[Assy]&amp;"'!"&amp;"C$5:C1000"), $A446, INDIRECT("'"&amp;Assemblies[Assy]&amp;"'!"&amp;"A$5:A1000")))),"")), " ,", ""))</f>
        <v>, 2x5.7.306,</v>
      </c>
    </row>
    <row r="447" spans="1:19" hidden="1" x14ac:dyDescent="0.25">
      <c r="A447" s="160" t="s">
        <v>869</v>
      </c>
      <c r="B447" s="160" t="s">
        <v>3518</v>
      </c>
      <c r="C447" s="180">
        <v>244.58</v>
      </c>
      <c r="D447">
        <v>1</v>
      </c>
      <c r="E447" cm="1">
        <f t="array" aca="1" ref="E447" ca="1">SUMPRODUCT(SUMIF(INDIRECT("'"&amp;Assemblies[Assy]&amp;"'!"&amp;"C:C"),$A447,(INDIRECT("'"&amp;Assemblies[Assy]&amp;"'!"&amp;"O:O"))))</f>
        <v>8</v>
      </c>
      <c r="F447">
        <f ca="1">ROUNDUP(Purchased[[#This Row],[BOM QTY]]/Purchased[[#This Row],[PK QTY]], 0)</f>
        <v>8</v>
      </c>
      <c r="G447">
        <v>8</v>
      </c>
      <c r="H447" t="str">
        <f ca="1">IF(F447&lt;=G447," ","YES")</f>
        <v xml:space="preserve"> </v>
      </c>
      <c r="I447">
        <v>8</v>
      </c>
      <c r="J447">
        <v>8</v>
      </c>
      <c r="K447" s="162" t="s">
        <v>3519</v>
      </c>
      <c r="L447" s="162" t="s">
        <v>3519</v>
      </c>
      <c r="N447" s="40">
        <v>45427</v>
      </c>
      <c r="O447" s="40">
        <v>45427</v>
      </c>
      <c r="P447" s="40">
        <v>45488</v>
      </c>
      <c r="Q447" s="40">
        <v>45488</v>
      </c>
      <c r="R447">
        <v>55520</v>
      </c>
      <c r="S447" s="40" t="str" cm="1">
        <f t="array" aca="1" ref="S447" ca="1">TRIM(SUBSTITUTE(_xlfn.ARRAYTOTEXT(IFERROR(CONCATENATE(SUMIF(INDIRECT("'"&amp;Assemblies[Assy]&amp;"'!"&amp;"C$5:C1000"), $A447, INDIRECT("'"&amp;Assemblies[Assy]&amp;"'!"&amp;"O$5:O1000")), "x",Assemblies[Assy],".",IF(SUMIF(INDIRECT("'"&amp;Assemblies[Assy]&amp;"'!"&amp;"C$5:C1000"), $A447, INDIRECT("'"&amp;Assemblies[Assy]&amp;"'!"&amp;"A$5:A1000"))=0,NA(),SUMIF(INDIRECT("'"&amp;Assemblies[Assy]&amp;"'!"&amp;"C$5:C1000"), $A447, INDIRECT("'"&amp;Assemblies[Assy]&amp;"'!"&amp;"A$5:A1000")))),"")), " ,", ""))</f>
        <v>, 8x5.7.307,</v>
      </c>
    </row>
    <row r="448" spans="1:19" hidden="1" x14ac:dyDescent="0.25">
      <c r="A448" s="162" t="s">
        <v>99</v>
      </c>
      <c r="B448" s="160" t="s">
        <v>3525</v>
      </c>
      <c r="C448" s="180">
        <v>13.96</v>
      </c>
      <c r="D448">
        <v>1</v>
      </c>
      <c r="E448" cm="1">
        <f t="array" aca="1" ref="E448" ca="1">SUMPRODUCT(SUMIF(INDIRECT("'"&amp;Assemblies[Assy]&amp;"'!"&amp;"C:C"),$A448,(INDIRECT("'"&amp;Assemblies[Assy]&amp;"'!"&amp;"O:O"))))</f>
        <v>40</v>
      </c>
      <c r="F448">
        <f ca="1">ROUNDUP(Purchased[[#This Row],[BOM QTY]]/Purchased[[#This Row],[PK QTY]], 0)</f>
        <v>40</v>
      </c>
      <c r="G448">
        <v>50</v>
      </c>
      <c r="H448" t="str">
        <f ca="1">IF(F448&lt;=G448," ","YES")</f>
        <v xml:space="preserve"> </v>
      </c>
      <c r="I448">
        <v>150</v>
      </c>
      <c r="J448">
        <v>150</v>
      </c>
      <c r="K448" t="s">
        <v>3526</v>
      </c>
      <c r="L448" t="s">
        <v>3527</v>
      </c>
      <c r="M448" t="s">
        <v>3528</v>
      </c>
      <c r="N448" s="40">
        <v>45493</v>
      </c>
      <c r="O448" s="40">
        <v>45499</v>
      </c>
      <c r="P448" s="40">
        <v>45534</v>
      </c>
      <c r="Q448" s="40">
        <v>45534</v>
      </c>
      <c r="R448">
        <v>55634</v>
      </c>
      <c r="S448" s="40" t="str" cm="1">
        <f t="array" aca="1" ref="S448" ca="1">TRIM(SUBSTITUTE(_xlfn.ARRAYTOTEXT(IFERROR(CONCATENATE(SUMIF(INDIRECT("'"&amp;Assemblies[Assy]&amp;"'!"&amp;"C$5:C1000"), $A448, INDIRECT("'"&amp;Assemblies[Assy]&amp;"'!"&amp;"O$5:O1000")), "x",Assemblies[Assy],".",IF(SUMIF(INDIRECT("'"&amp;Assemblies[Assy]&amp;"'!"&amp;"C$5:C1000"), $A448, INDIRECT("'"&amp;Assemblies[Assy]&amp;"'!"&amp;"A$5:A1000"))=0,NA(),SUMIF(INDIRECT("'"&amp;Assemblies[Assy]&amp;"'!"&amp;"C$5:C1000"), $A448, INDIRECT("'"&amp;Assemblies[Assy]&amp;"'!"&amp;"A$5:A1000")))),"")), " ,", ""))</f>
        <v>, 8x0.3.303, 8x0.4.303, 8x0.6.303, 8x0.9.303, 8x0.10.303,</v>
      </c>
    </row>
    <row r="449" spans="1:19" hidden="1" x14ac:dyDescent="0.25">
      <c r="A449" s="160" t="s">
        <v>113</v>
      </c>
      <c r="B449" s="160" t="s">
        <v>3535</v>
      </c>
      <c r="C449" s="180">
        <v>369.55</v>
      </c>
      <c r="D449">
        <v>1</v>
      </c>
      <c r="E449" cm="1">
        <f t="array" aca="1" ref="E449" ca="1">SUMPRODUCT(SUMIF(INDIRECT("'"&amp;Assemblies[Assy]&amp;"'!"&amp;"C:C"),$A449,(INDIRECT("'"&amp;Assemblies[Assy]&amp;"'!"&amp;"O:O"))))</f>
        <v>1</v>
      </c>
      <c r="F449">
        <f ca="1">ROUNDUP(Purchased[[#This Row],[BOM QTY]]/Purchased[[#This Row],[PK QTY]], 0)</f>
        <v>1</v>
      </c>
      <c r="G449">
        <v>1</v>
      </c>
      <c r="H449" t="str">
        <f ca="1">IF(F449&lt;=G449," ","YES")</f>
        <v xml:space="preserve"> </v>
      </c>
      <c r="I449">
        <v>1</v>
      </c>
      <c r="J449">
        <v>1</v>
      </c>
      <c r="K449" t="s">
        <v>3530</v>
      </c>
      <c r="L449" t="s">
        <v>3530</v>
      </c>
      <c r="N449" s="40">
        <v>45426</v>
      </c>
      <c r="O449" s="40">
        <v>45426</v>
      </c>
      <c r="P449" s="40">
        <v>45485</v>
      </c>
      <c r="Q449" s="40">
        <v>45455</v>
      </c>
      <c r="R449">
        <v>55513</v>
      </c>
      <c r="S449" s="40" t="str" cm="1">
        <f t="array" aca="1" ref="S449" ca="1">TRIM(SUBSTITUTE(_xlfn.ARRAYTOTEXT(IFERROR(CONCATENATE(SUMIF(INDIRECT("'"&amp;Assemblies[Assy]&amp;"'!"&amp;"C$5:C1000"), $A449, INDIRECT("'"&amp;Assemblies[Assy]&amp;"'!"&amp;"O$5:O1000")), "x",Assemblies[Assy],".",IF(SUMIF(INDIRECT("'"&amp;Assemblies[Assy]&amp;"'!"&amp;"C$5:C1000"), $A449, INDIRECT("'"&amp;Assemblies[Assy]&amp;"'!"&amp;"A$5:A1000"))=0,NA(),SUMIF(INDIRECT("'"&amp;Assemblies[Assy]&amp;"'!"&amp;"C$5:C1000"), $A449, INDIRECT("'"&amp;Assemblies[Assy]&amp;"'!"&amp;"A$5:A1000")))),"")), " ,", ""))</f>
        <v>, 1x0.5.301,</v>
      </c>
    </row>
    <row r="450" spans="1:19" hidden="1" x14ac:dyDescent="0.25">
      <c r="A450" s="160" t="s">
        <v>114</v>
      </c>
      <c r="B450" s="160" t="s">
        <v>3536</v>
      </c>
      <c r="C450" s="180">
        <v>46.6</v>
      </c>
      <c r="D450">
        <v>1</v>
      </c>
      <c r="E450" cm="1">
        <f t="array" aca="1" ref="E450" ca="1">SUMPRODUCT(SUMIF(INDIRECT("'"&amp;Assemblies[Assy]&amp;"'!"&amp;"C:C"),$A450,(INDIRECT("'"&amp;Assemblies[Assy]&amp;"'!"&amp;"O:O"))))</f>
        <v>1</v>
      </c>
      <c r="F450">
        <f ca="1">ROUNDUP(Purchased[[#This Row],[BOM QTY]]/Purchased[[#This Row],[PK QTY]], 0)</f>
        <v>1</v>
      </c>
      <c r="G450">
        <v>1</v>
      </c>
      <c r="H450" t="str">
        <f ca="1">IF(F450&lt;=G450," ","YES")</f>
        <v xml:space="preserve"> </v>
      </c>
      <c r="I450">
        <v>1</v>
      </c>
      <c r="J450">
        <v>1</v>
      </c>
      <c r="K450" t="s">
        <v>3530</v>
      </c>
      <c r="L450" t="s">
        <v>3530</v>
      </c>
      <c r="N450" s="40">
        <v>45426</v>
      </c>
      <c r="O450" s="40">
        <v>45426</v>
      </c>
      <c r="P450" s="40">
        <v>45485</v>
      </c>
      <c r="Q450" s="40">
        <v>45455</v>
      </c>
      <c r="R450">
        <v>55513</v>
      </c>
      <c r="S450" s="40" t="str" cm="1">
        <f t="array" aca="1" ref="S450" ca="1">TRIM(SUBSTITUTE(_xlfn.ARRAYTOTEXT(IFERROR(CONCATENATE(SUMIF(INDIRECT("'"&amp;Assemblies[Assy]&amp;"'!"&amp;"C$5:C1000"), $A450, INDIRECT("'"&amp;Assemblies[Assy]&amp;"'!"&amp;"O$5:O1000")), "x",Assemblies[Assy],".",IF(SUMIF(INDIRECT("'"&amp;Assemblies[Assy]&amp;"'!"&amp;"C$5:C1000"), $A450, INDIRECT("'"&amp;Assemblies[Assy]&amp;"'!"&amp;"A$5:A1000"))=0,NA(),SUMIF(INDIRECT("'"&amp;Assemblies[Assy]&amp;"'!"&amp;"C$5:C1000"), $A450, INDIRECT("'"&amp;Assemblies[Assy]&amp;"'!"&amp;"A$5:A1000")))),"")), " ,", ""))</f>
        <v>, 1x0.5.302,</v>
      </c>
    </row>
    <row r="451" spans="1:19" hidden="1" x14ac:dyDescent="0.25">
      <c r="A451" s="160" t="s">
        <v>82</v>
      </c>
      <c r="B451" s="160" t="s">
        <v>3540</v>
      </c>
      <c r="C451" s="180">
        <v>474.76</v>
      </c>
      <c r="D451">
        <v>1</v>
      </c>
      <c r="E451" cm="1">
        <f t="array" aca="1" ref="E451" ca="1">SUMPRODUCT(SUMIF(INDIRECT("'"&amp;Assemblies[Assy]&amp;"'!"&amp;"C:C"),$A451,(INDIRECT("'"&amp;Assemblies[Assy]&amp;"'!"&amp;"O:O"))))</f>
        <v>1</v>
      </c>
      <c r="F451">
        <f ca="1">ROUNDUP(Purchased[[#This Row],[BOM QTY]]/Purchased[[#This Row],[PK QTY]], 0)</f>
        <v>1</v>
      </c>
      <c r="G451">
        <v>1</v>
      </c>
      <c r="H451" t="str">
        <f ca="1">IF(F451&lt;=G451," ","YES")</f>
        <v xml:space="preserve"> </v>
      </c>
      <c r="I451">
        <v>1</v>
      </c>
      <c r="J451">
        <v>1</v>
      </c>
      <c r="K451" t="s">
        <v>3530</v>
      </c>
      <c r="L451" t="s">
        <v>3530</v>
      </c>
      <c r="N451" s="40">
        <v>45426</v>
      </c>
      <c r="O451" s="40">
        <v>45426</v>
      </c>
      <c r="P451" s="40">
        <v>45485</v>
      </c>
      <c r="Q451" s="40">
        <v>45455</v>
      </c>
      <c r="R451">
        <v>55513</v>
      </c>
      <c r="S451" s="40" t="str" cm="1">
        <f t="array" aca="1" ref="S451" ca="1">TRIM(SUBSTITUTE(_xlfn.ARRAYTOTEXT(IFERROR(CONCATENATE(SUMIF(INDIRECT("'"&amp;Assemblies[Assy]&amp;"'!"&amp;"C$5:C1000"), $A451, INDIRECT("'"&amp;Assemblies[Assy]&amp;"'!"&amp;"O$5:O1000")), "x",Assemblies[Assy],".",IF(SUMIF(INDIRECT("'"&amp;Assemblies[Assy]&amp;"'!"&amp;"C$5:C1000"), $A451, INDIRECT("'"&amp;Assemblies[Assy]&amp;"'!"&amp;"A$5:A1000"))=0,NA(),SUMIF(INDIRECT("'"&amp;Assemblies[Assy]&amp;"'!"&amp;"C$5:C1000"), $A451, INDIRECT("'"&amp;Assemblies[Assy]&amp;"'!"&amp;"A$5:A1000")))),"")), " ,", ""))</f>
        <v>, 1x0.1.303,</v>
      </c>
    </row>
    <row r="452" spans="1:19" hidden="1" x14ac:dyDescent="0.25">
      <c r="A452" s="160" t="s">
        <v>83</v>
      </c>
      <c r="B452" s="160" t="s">
        <v>3541</v>
      </c>
      <c r="C452" s="180">
        <v>50.13</v>
      </c>
      <c r="D452">
        <v>1</v>
      </c>
      <c r="E452" cm="1">
        <f t="array" aca="1" ref="E452" ca="1">SUMPRODUCT(SUMIF(INDIRECT("'"&amp;Assemblies[Assy]&amp;"'!"&amp;"C:C"),$A452,(INDIRECT("'"&amp;Assemblies[Assy]&amp;"'!"&amp;"O:O"))))</f>
        <v>1</v>
      </c>
      <c r="F452">
        <f ca="1">ROUNDUP(Purchased[[#This Row],[BOM QTY]]/Purchased[[#This Row],[PK QTY]], 0)</f>
        <v>1</v>
      </c>
      <c r="G452">
        <v>1</v>
      </c>
      <c r="H452" t="str">
        <f ca="1">IF(F452&lt;=G452," ","YES")</f>
        <v xml:space="preserve"> </v>
      </c>
      <c r="I452">
        <v>1</v>
      </c>
      <c r="J452">
        <v>1</v>
      </c>
      <c r="K452" t="s">
        <v>3530</v>
      </c>
      <c r="L452" t="s">
        <v>3530</v>
      </c>
      <c r="N452" s="40">
        <v>45426</v>
      </c>
      <c r="O452" s="40">
        <v>45426</v>
      </c>
      <c r="P452" s="40">
        <v>45485</v>
      </c>
      <c r="Q452" s="40">
        <v>45455</v>
      </c>
      <c r="R452">
        <v>55513</v>
      </c>
      <c r="S452" s="40" t="str" cm="1">
        <f t="array" aca="1" ref="S452" ca="1">TRIM(SUBSTITUTE(_xlfn.ARRAYTOTEXT(IFERROR(CONCATENATE(SUMIF(INDIRECT("'"&amp;Assemblies[Assy]&amp;"'!"&amp;"C$5:C1000"), $A452, INDIRECT("'"&amp;Assemblies[Assy]&amp;"'!"&amp;"O$5:O1000")), "x",Assemblies[Assy],".",IF(SUMIF(INDIRECT("'"&amp;Assemblies[Assy]&amp;"'!"&amp;"C$5:C1000"), $A452, INDIRECT("'"&amp;Assemblies[Assy]&amp;"'!"&amp;"A$5:A1000"))=0,NA(),SUMIF(INDIRECT("'"&amp;Assemblies[Assy]&amp;"'!"&amp;"C$5:C1000"), $A452, INDIRECT("'"&amp;Assemblies[Assy]&amp;"'!"&amp;"A$5:A1000")))),"")), " ,", ""))</f>
        <v>, 1x0.1.304,</v>
      </c>
    </row>
    <row r="453" spans="1:19" hidden="1" x14ac:dyDescent="0.25">
      <c r="A453" s="160" t="s">
        <v>81</v>
      </c>
      <c r="B453" s="160" t="s">
        <v>3542</v>
      </c>
      <c r="C453" s="180">
        <v>430.72</v>
      </c>
      <c r="D453">
        <v>1</v>
      </c>
      <c r="E453" cm="1">
        <f t="array" aca="1" ref="E453" ca="1">SUMPRODUCT(SUMIF(INDIRECT("'"&amp;Assemblies[Assy]&amp;"'!"&amp;"C:C"),$A453,(INDIRECT("'"&amp;Assemblies[Assy]&amp;"'!"&amp;"O:O"))))</f>
        <v>1</v>
      </c>
      <c r="F453">
        <f ca="1">ROUNDUP(Purchased[[#This Row],[BOM QTY]]/Purchased[[#This Row],[PK QTY]], 0)</f>
        <v>1</v>
      </c>
      <c r="G453">
        <v>1</v>
      </c>
      <c r="H453" t="str">
        <f ca="1">IF(F453&lt;=G453," ","YES")</f>
        <v xml:space="preserve"> </v>
      </c>
      <c r="I453">
        <v>1</v>
      </c>
      <c r="J453">
        <v>1</v>
      </c>
      <c r="K453" t="s">
        <v>3530</v>
      </c>
      <c r="L453" t="s">
        <v>3530</v>
      </c>
      <c r="N453" s="40">
        <v>45426</v>
      </c>
      <c r="O453" s="40">
        <v>45426</v>
      </c>
      <c r="P453" s="40">
        <v>45485</v>
      </c>
      <c r="Q453" s="40">
        <v>45455</v>
      </c>
      <c r="R453">
        <v>55513</v>
      </c>
      <c r="S453" s="40" t="str" cm="1">
        <f t="array" aca="1" ref="S453" ca="1">TRIM(SUBSTITUTE(_xlfn.ARRAYTOTEXT(IFERROR(CONCATENATE(SUMIF(INDIRECT("'"&amp;Assemblies[Assy]&amp;"'!"&amp;"C$5:C1000"), $A453, INDIRECT("'"&amp;Assemblies[Assy]&amp;"'!"&amp;"O$5:O1000")), "x",Assemblies[Assy],".",IF(SUMIF(INDIRECT("'"&amp;Assemblies[Assy]&amp;"'!"&amp;"C$5:C1000"), $A453, INDIRECT("'"&amp;Assemblies[Assy]&amp;"'!"&amp;"A$5:A1000"))=0,NA(),SUMIF(INDIRECT("'"&amp;Assemblies[Assy]&amp;"'!"&amp;"C$5:C1000"), $A453, INDIRECT("'"&amp;Assemblies[Assy]&amp;"'!"&amp;"A$5:A1000")))),"")), " ,", ""))</f>
        <v>, 1x0.1.302,</v>
      </c>
    </row>
    <row r="454" spans="1:19" hidden="1" x14ac:dyDescent="0.25">
      <c r="A454" s="160" t="s">
        <v>80</v>
      </c>
      <c r="B454" s="160" t="s">
        <v>3543</v>
      </c>
      <c r="C454" s="180">
        <v>2566.59</v>
      </c>
      <c r="D454">
        <v>1</v>
      </c>
      <c r="E454" cm="1">
        <f t="array" aca="1" ref="E454" ca="1">SUMPRODUCT(SUMIF(INDIRECT("'"&amp;Assemblies[Assy]&amp;"'!"&amp;"C:C"),$A454,(INDIRECT("'"&amp;Assemblies[Assy]&amp;"'!"&amp;"O:O"))))</f>
        <v>1</v>
      </c>
      <c r="F454">
        <f ca="1">ROUNDUP(Purchased[[#This Row],[BOM QTY]]/Purchased[[#This Row],[PK QTY]], 0)</f>
        <v>1</v>
      </c>
      <c r="G454">
        <v>1</v>
      </c>
      <c r="H454" t="str">
        <f ca="1">IF(F454&lt;=G454," ","YES")</f>
        <v xml:space="preserve"> </v>
      </c>
      <c r="I454">
        <v>1</v>
      </c>
      <c r="J454">
        <v>1</v>
      </c>
      <c r="K454" t="s">
        <v>3530</v>
      </c>
      <c r="L454" t="s">
        <v>3530</v>
      </c>
      <c r="N454" s="40">
        <v>45426</v>
      </c>
      <c r="O454" s="40">
        <v>45426</v>
      </c>
      <c r="P454" s="40">
        <v>45485</v>
      </c>
      <c r="Q454" s="40">
        <v>45455</v>
      </c>
      <c r="R454">
        <v>55513</v>
      </c>
      <c r="S454" s="40" t="str" cm="1">
        <f t="array" aca="1" ref="S454" ca="1">TRIM(SUBSTITUTE(_xlfn.ARRAYTOTEXT(IFERROR(CONCATENATE(SUMIF(INDIRECT("'"&amp;Assemblies[Assy]&amp;"'!"&amp;"C$5:C1000"), $A454, INDIRECT("'"&amp;Assemblies[Assy]&amp;"'!"&amp;"O$5:O1000")), "x",Assemblies[Assy],".",IF(SUMIF(INDIRECT("'"&amp;Assemblies[Assy]&amp;"'!"&amp;"C$5:C1000"), $A454, INDIRECT("'"&amp;Assemblies[Assy]&amp;"'!"&amp;"A$5:A1000"))=0,NA(),SUMIF(INDIRECT("'"&amp;Assemblies[Assy]&amp;"'!"&amp;"C$5:C1000"), $A454, INDIRECT("'"&amp;Assemblies[Assy]&amp;"'!"&amp;"A$5:A1000")))),"")), " ,", ""))</f>
        <v>, 1x0.1.301,</v>
      </c>
    </row>
    <row r="455" spans="1:19" hidden="1" x14ac:dyDescent="0.25">
      <c r="A455" s="162" t="s">
        <v>85</v>
      </c>
      <c r="B455" s="160" t="s">
        <v>3532</v>
      </c>
      <c r="C455" s="180">
        <v>367.49</v>
      </c>
      <c r="D455">
        <v>1</v>
      </c>
      <c r="E455" cm="1">
        <f t="array" aca="1" ref="E455" ca="1">SUMPRODUCT(SUMIF(INDIRECT("'"&amp;Assemblies[Assy]&amp;"'!"&amp;"C:C"),$A455,(INDIRECT("'"&amp;Assemblies[Assy]&amp;"'!"&amp;"O:O"))))</f>
        <v>2</v>
      </c>
      <c r="F455">
        <f ca="1">ROUNDUP(Purchased[[#This Row],[BOM QTY]]/Purchased[[#This Row],[PK QTY]], 0)</f>
        <v>2</v>
      </c>
      <c r="G455">
        <v>2</v>
      </c>
      <c r="H455" t="str">
        <f ca="1">IF(F455&lt;=G455," ","YES")</f>
        <v xml:space="preserve"> </v>
      </c>
      <c r="I455">
        <v>2</v>
      </c>
      <c r="J455">
        <v>2</v>
      </c>
      <c r="K455" t="s">
        <v>3530</v>
      </c>
      <c r="L455" t="s">
        <v>3530</v>
      </c>
      <c r="N455" s="40">
        <v>45426</v>
      </c>
      <c r="O455" s="40">
        <v>45426</v>
      </c>
      <c r="P455" s="40">
        <v>45487</v>
      </c>
      <c r="Q455" s="40">
        <v>45485</v>
      </c>
      <c r="R455">
        <v>55513</v>
      </c>
      <c r="S455" s="40" t="str" cm="1">
        <f t="array" aca="1" ref="S455" ca="1">TRIM(SUBSTITUTE(_xlfn.ARRAYTOTEXT(IFERROR(CONCATENATE(SUMIF(INDIRECT("'"&amp;Assemblies[Assy]&amp;"'!"&amp;"C$5:C1000"), $A455, INDIRECT("'"&amp;Assemblies[Assy]&amp;"'!"&amp;"O$5:O1000")), "x",Assemblies[Assy],".",IF(SUMIF(INDIRECT("'"&amp;Assemblies[Assy]&amp;"'!"&amp;"C$5:C1000"), $A455, INDIRECT("'"&amp;Assemblies[Assy]&amp;"'!"&amp;"A$5:A1000"))=0,NA(),SUMIF(INDIRECT("'"&amp;Assemblies[Assy]&amp;"'!"&amp;"C$5:C1000"), $A455, INDIRECT("'"&amp;Assemblies[Assy]&amp;"'!"&amp;"A$5:A1000")))),"")), " ,", ""))</f>
        <v>, 1x0.2.301, 1x0.11.301,</v>
      </c>
    </row>
    <row r="456" spans="1:19" hidden="1" x14ac:dyDescent="0.25">
      <c r="A456" s="160" t="s">
        <v>86</v>
      </c>
      <c r="B456" s="160" t="s">
        <v>3533</v>
      </c>
      <c r="C456" s="180">
        <v>15.98</v>
      </c>
      <c r="D456">
        <v>1</v>
      </c>
      <c r="E456" cm="1">
        <f t="array" aca="1" ref="E456" ca="1">SUMPRODUCT(SUMIF(INDIRECT("'"&amp;Assemblies[Assy]&amp;"'!"&amp;"C:C"),$A456,(INDIRECT("'"&amp;Assemblies[Assy]&amp;"'!"&amp;"O:O"))))</f>
        <v>2</v>
      </c>
      <c r="F456">
        <f ca="1">ROUNDUP(Purchased[[#This Row],[BOM QTY]]/Purchased[[#This Row],[PK QTY]], 0)</f>
        <v>2</v>
      </c>
      <c r="G456">
        <v>2</v>
      </c>
      <c r="H456" t="str">
        <f ca="1">IF(F456&lt;=G456," ","YES")</f>
        <v xml:space="preserve"> </v>
      </c>
      <c r="I456">
        <v>2</v>
      </c>
      <c r="J456">
        <v>2</v>
      </c>
      <c r="K456" t="s">
        <v>3530</v>
      </c>
      <c r="L456" t="s">
        <v>3530</v>
      </c>
      <c r="N456" s="40">
        <v>45426</v>
      </c>
      <c r="O456" s="40">
        <v>45426</v>
      </c>
      <c r="P456" s="40">
        <v>45485</v>
      </c>
      <c r="Q456" s="40">
        <v>45455</v>
      </c>
      <c r="R456">
        <v>55513</v>
      </c>
      <c r="S456" s="40" t="str" cm="1">
        <f t="array" aca="1" ref="S456" ca="1">TRIM(SUBSTITUTE(_xlfn.ARRAYTOTEXT(IFERROR(CONCATENATE(SUMIF(INDIRECT("'"&amp;Assemblies[Assy]&amp;"'!"&amp;"C$5:C1000"), $A456, INDIRECT("'"&amp;Assemblies[Assy]&amp;"'!"&amp;"O$5:O1000")), "x",Assemblies[Assy],".",IF(SUMIF(INDIRECT("'"&amp;Assemblies[Assy]&amp;"'!"&amp;"C$5:C1000"), $A456, INDIRECT("'"&amp;Assemblies[Assy]&amp;"'!"&amp;"A$5:A1000"))=0,NA(),SUMIF(INDIRECT("'"&amp;Assemblies[Assy]&amp;"'!"&amp;"C$5:C1000"), $A456, INDIRECT("'"&amp;Assemblies[Assy]&amp;"'!"&amp;"A$5:A1000")))),"")), " ,", ""))</f>
        <v>, 1x0.2.302, 1x0.11.302,</v>
      </c>
    </row>
    <row r="457" spans="1:19" hidden="1" x14ac:dyDescent="0.25">
      <c r="A457" s="160" t="s">
        <v>117</v>
      </c>
      <c r="B457" s="160" t="s">
        <v>3534</v>
      </c>
      <c r="C457" s="180">
        <v>517.57000000000005</v>
      </c>
      <c r="D457">
        <v>1</v>
      </c>
      <c r="E457" cm="1">
        <f t="array" aca="1" ref="E457" ca="1">SUMPRODUCT(SUMIF(INDIRECT("'"&amp;Assemblies[Assy]&amp;"'!"&amp;"C:C"),$A457,(INDIRECT("'"&amp;Assemblies[Assy]&amp;"'!"&amp;"O:O"))))</f>
        <v>2</v>
      </c>
      <c r="F457">
        <f ca="1">ROUNDUP(Purchased[[#This Row],[BOM QTY]]/Purchased[[#This Row],[PK QTY]], 0)</f>
        <v>2</v>
      </c>
      <c r="G457">
        <v>2</v>
      </c>
      <c r="H457" t="str">
        <f ca="1">IF(F457&lt;=G457," ","YES")</f>
        <v xml:space="preserve"> </v>
      </c>
      <c r="I457">
        <v>2</v>
      </c>
      <c r="J457">
        <v>2</v>
      </c>
      <c r="K457" t="s">
        <v>3530</v>
      </c>
      <c r="L457" t="s">
        <v>3530</v>
      </c>
      <c r="N457" s="40">
        <v>45426</v>
      </c>
      <c r="O457" s="40">
        <v>45426</v>
      </c>
      <c r="P457" s="40">
        <v>45485</v>
      </c>
      <c r="Q457" s="40">
        <v>45455</v>
      </c>
      <c r="R457">
        <v>55513</v>
      </c>
      <c r="S457" s="40" t="str" cm="1">
        <f t="array" aca="1" ref="S457" ca="1">TRIM(SUBSTITUTE(_xlfn.ARRAYTOTEXT(IFERROR(CONCATENATE(SUMIF(INDIRECT("'"&amp;Assemblies[Assy]&amp;"'!"&amp;"C$5:C1000"), $A457, INDIRECT("'"&amp;Assemblies[Assy]&amp;"'!"&amp;"O$5:O1000")), "x",Assemblies[Assy],".",IF(SUMIF(INDIRECT("'"&amp;Assemblies[Assy]&amp;"'!"&amp;"C$5:C1000"), $A457, INDIRECT("'"&amp;Assemblies[Assy]&amp;"'!"&amp;"A$5:A1000"))=0,NA(),SUMIF(INDIRECT("'"&amp;Assemblies[Assy]&amp;"'!"&amp;"C$5:C1000"), $A457, INDIRECT("'"&amp;Assemblies[Assy]&amp;"'!"&amp;"A$5:A1000")))),"")), " ,", ""))</f>
        <v>, 1x0.7.301, 1x0.8.301,</v>
      </c>
    </row>
    <row r="458" spans="1:19" hidden="1" x14ac:dyDescent="0.25">
      <c r="A458" s="160" t="s">
        <v>118</v>
      </c>
      <c r="B458" s="160" t="s">
        <v>3537</v>
      </c>
      <c r="C458" s="180">
        <v>83.67</v>
      </c>
      <c r="D458">
        <v>1</v>
      </c>
      <c r="E458" cm="1">
        <f t="array" aca="1" ref="E458" ca="1">SUMPRODUCT(SUMIF(INDIRECT("'"&amp;Assemblies[Assy]&amp;"'!"&amp;"C:C"),$A458,(INDIRECT("'"&amp;Assemblies[Assy]&amp;"'!"&amp;"O:O"))))</f>
        <v>2</v>
      </c>
      <c r="F458">
        <f ca="1">ROUNDUP(Purchased[[#This Row],[BOM QTY]]/Purchased[[#This Row],[PK QTY]], 0)</f>
        <v>2</v>
      </c>
      <c r="G458">
        <v>2</v>
      </c>
      <c r="H458" t="str">
        <f ca="1">IF(F458&lt;=G458," ","YES")</f>
        <v xml:space="preserve"> </v>
      </c>
      <c r="I458">
        <v>2</v>
      </c>
      <c r="J458">
        <v>2</v>
      </c>
      <c r="K458" t="s">
        <v>3530</v>
      </c>
      <c r="L458" t="s">
        <v>3530</v>
      </c>
      <c r="N458" s="40">
        <v>45426</v>
      </c>
      <c r="O458" s="40">
        <v>45426</v>
      </c>
      <c r="P458" s="40">
        <v>45485</v>
      </c>
      <c r="Q458" s="40">
        <v>45455</v>
      </c>
      <c r="R458">
        <v>55513</v>
      </c>
      <c r="S458" s="40" t="str" cm="1">
        <f t="array" aca="1" ref="S458" ca="1">TRIM(SUBSTITUTE(_xlfn.ARRAYTOTEXT(IFERROR(CONCATENATE(SUMIF(INDIRECT("'"&amp;Assemblies[Assy]&amp;"'!"&amp;"C$5:C1000"), $A458, INDIRECT("'"&amp;Assemblies[Assy]&amp;"'!"&amp;"O$5:O1000")), "x",Assemblies[Assy],".",IF(SUMIF(INDIRECT("'"&amp;Assemblies[Assy]&amp;"'!"&amp;"C$5:C1000"), $A458, INDIRECT("'"&amp;Assemblies[Assy]&amp;"'!"&amp;"A$5:A1000"))=0,NA(),SUMIF(INDIRECT("'"&amp;Assemblies[Assy]&amp;"'!"&amp;"C$5:C1000"), $A458, INDIRECT("'"&amp;Assemblies[Assy]&amp;"'!"&amp;"A$5:A1000")))),"")), " ,", ""))</f>
        <v>, 1x0.7.302, 1x0.8.302,</v>
      </c>
    </row>
    <row r="459" spans="1:19" hidden="1" x14ac:dyDescent="0.25">
      <c r="A459" s="162" t="s">
        <v>87</v>
      </c>
      <c r="B459" s="160" t="s">
        <v>3538</v>
      </c>
      <c r="C459" s="180">
        <v>32.15</v>
      </c>
      <c r="D459">
        <v>1</v>
      </c>
      <c r="E459" cm="1">
        <f t="array" aca="1" ref="E459" ca="1">SUMPRODUCT(SUMIF(INDIRECT("'"&amp;Assemblies[Assy]&amp;"'!"&amp;"C:C"),$A459,(INDIRECT("'"&amp;Assemblies[Assy]&amp;"'!"&amp;"O:O"))))</f>
        <v>2</v>
      </c>
      <c r="F459">
        <f ca="1">ROUNDUP(Purchased[[#This Row],[BOM QTY]]/Purchased[[#This Row],[PK QTY]], 0)</f>
        <v>2</v>
      </c>
      <c r="G459">
        <v>2</v>
      </c>
      <c r="H459" t="str">
        <f ca="1">IF(F459&lt;=G459," ","YES")</f>
        <v xml:space="preserve"> </v>
      </c>
      <c r="I459">
        <v>2</v>
      </c>
      <c r="J459">
        <v>2</v>
      </c>
      <c r="K459" t="s">
        <v>3530</v>
      </c>
      <c r="L459" t="s">
        <v>3530</v>
      </c>
      <c r="N459" s="40">
        <v>45426</v>
      </c>
      <c r="O459" s="40">
        <v>45426</v>
      </c>
      <c r="P459" s="40">
        <v>45487</v>
      </c>
      <c r="Q459" s="40">
        <v>45485</v>
      </c>
      <c r="R459">
        <v>55513</v>
      </c>
      <c r="S459" s="40" t="str" cm="1">
        <f t="array" aca="1" ref="S459" ca="1">TRIM(SUBSTITUTE(_xlfn.ARRAYTOTEXT(IFERROR(CONCATENATE(SUMIF(INDIRECT("'"&amp;Assemblies[Assy]&amp;"'!"&amp;"C$5:C1000"), $A459, INDIRECT("'"&amp;Assemblies[Assy]&amp;"'!"&amp;"O$5:O1000")), "x",Assemblies[Assy],".",IF(SUMIF(INDIRECT("'"&amp;Assemblies[Assy]&amp;"'!"&amp;"C$5:C1000"), $A459, INDIRECT("'"&amp;Assemblies[Assy]&amp;"'!"&amp;"A$5:A1000"))=0,NA(),SUMIF(INDIRECT("'"&amp;Assemblies[Assy]&amp;"'!"&amp;"C$5:C1000"), $A459, INDIRECT("'"&amp;Assemblies[Assy]&amp;"'!"&amp;"A$5:A1000")))),"")), " ,", ""))</f>
        <v>, 1x0.2.303, 1x0.11.303,</v>
      </c>
    </row>
    <row r="460" spans="1:19" hidden="1" x14ac:dyDescent="0.25">
      <c r="A460" s="160" t="s">
        <v>84</v>
      </c>
      <c r="B460" s="160" t="s">
        <v>3539</v>
      </c>
      <c r="C460" s="180">
        <v>183.03</v>
      </c>
      <c r="D460">
        <v>1</v>
      </c>
      <c r="E460" cm="1">
        <f t="array" aca="1" ref="E460" ca="1">SUMPRODUCT(SUMIF(INDIRECT("'"&amp;Assemblies[Assy]&amp;"'!"&amp;"C:C"),$A460,(INDIRECT("'"&amp;Assemblies[Assy]&amp;"'!"&amp;"O:O"))))</f>
        <v>2</v>
      </c>
      <c r="F460">
        <f ca="1">ROUNDUP(Purchased[[#This Row],[BOM QTY]]/Purchased[[#This Row],[PK QTY]], 0)</f>
        <v>2</v>
      </c>
      <c r="G460">
        <v>2</v>
      </c>
      <c r="H460" t="str">
        <f ca="1">IF(F460&lt;=G460," ","YES")</f>
        <v xml:space="preserve"> </v>
      </c>
      <c r="I460">
        <v>2</v>
      </c>
      <c r="J460">
        <v>2</v>
      </c>
      <c r="K460" t="s">
        <v>3530</v>
      </c>
      <c r="L460" t="s">
        <v>3530</v>
      </c>
      <c r="N460" s="40">
        <v>45426</v>
      </c>
      <c r="O460" s="40">
        <v>45426</v>
      </c>
      <c r="P460" s="40">
        <v>45485</v>
      </c>
      <c r="Q460" s="40">
        <v>45455</v>
      </c>
      <c r="R460">
        <v>55513</v>
      </c>
      <c r="S460" s="40" t="str" cm="1">
        <f t="array" aca="1" ref="S460" ca="1">TRIM(SUBSTITUTE(_xlfn.ARRAYTOTEXT(IFERROR(CONCATENATE(SUMIF(INDIRECT("'"&amp;Assemblies[Assy]&amp;"'!"&amp;"C$5:C1000"), $A460, INDIRECT("'"&amp;Assemblies[Assy]&amp;"'!"&amp;"O$5:O1000")), "x",Assemblies[Assy],".",IF(SUMIF(INDIRECT("'"&amp;Assemblies[Assy]&amp;"'!"&amp;"C$5:C1000"), $A460, INDIRECT("'"&amp;Assemblies[Assy]&amp;"'!"&amp;"A$5:A1000"))=0,NA(),SUMIF(INDIRECT("'"&amp;Assemblies[Assy]&amp;"'!"&amp;"C$5:C1000"), $A460, INDIRECT("'"&amp;Assemblies[Assy]&amp;"'!"&amp;"A$5:A1000")))),"")), " ,", ""))</f>
        <v>, 2x0.1.305,</v>
      </c>
    </row>
    <row r="461" spans="1:19" hidden="1" x14ac:dyDescent="0.25">
      <c r="A461" s="162" t="s">
        <v>357</v>
      </c>
      <c r="B461" s="160" t="s">
        <v>3544</v>
      </c>
      <c r="C461" s="180">
        <v>218.07</v>
      </c>
      <c r="D461">
        <v>1</v>
      </c>
      <c r="E461" cm="1">
        <f t="array" aca="1" ref="E461" ca="1">SUMPRODUCT(SUMIF(INDIRECT("'"&amp;Assemblies[Assy]&amp;"'!"&amp;"C:C"),$A461,(INDIRECT("'"&amp;Assemblies[Assy]&amp;"'!"&amp;"O:O"))))</f>
        <v>2</v>
      </c>
      <c r="F461">
        <f ca="1">ROUNDUP(Purchased[[#This Row],[BOM QTY]]/Purchased[[#This Row],[PK QTY]], 0)</f>
        <v>2</v>
      </c>
      <c r="G461">
        <v>2</v>
      </c>
      <c r="H461" t="str">
        <f ca="1">IF(F461&lt;=G461," ","YES")</f>
        <v xml:space="preserve"> </v>
      </c>
      <c r="I461">
        <v>2</v>
      </c>
      <c r="J461">
        <v>2</v>
      </c>
      <c r="K461" t="s">
        <v>3530</v>
      </c>
      <c r="L461" t="s">
        <v>3530</v>
      </c>
      <c r="N461" s="40">
        <v>45426</v>
      </c>
      <c r="O461" s="40">
        <v>45426</v>
      </c>
      <c r="P461" s="40">
        <v>45485</v>
      </c>
      <c r="Q461" s="40">
        <v>45455</v>
      </c>
      <c r="R461">
        <v>55515</v>
      </c>
      <c r="S461" s="40" t="str" cm="1">
        <f t="array" aca="1" ref="S461" ca="1">TRIM(SUBSTITUTE(_xlfn.ARRAYTOTEXT(IFERROR(CONCATENATE(SUMIF(INDIRECT("'"&amp;Assemblies[Assy]&amp;"'!"&amp;"C$5:C1000"), $A461, INDIRECT("'"&amp;Assemblies[Assy]&amp;"'!"&amp;"O$5:O1000")), "x",Assemblies[Assy],".",IF(SUMIF(INDIRECT("'"&amp;Assemblies[Assy]&amp;"'!"&amp;"C$5:C1000"), $A461, INDIRECT("'"&amp;Assemblies[Assy]&amp;"'!"&amp;"A$5:A1000"))=0,NA(),SUMIF(INDIRECT("'"&amp;Assemblies[Assy]&amp;"'!"&amp;"C$5:C1000"), $A461, INDIRECT("'"&amp;Assemblies[Assy]&amp;"'!"&amp;"A$5:A1000")))),"")), " ,", ""))</f>
        <v>, 2x1.6.303,</v>
      </c>
    </row>
    <row r="462" spans="1:19" hidden="1" x14ac:dyDescent="0.25">
      <c r="A462" s="162" t="s">
        <v>359</v>
      </c>
      <c r="B462" s="160" t="s">
        <v>3545</v>
      </c>
      <c r="C462" s="180">
        <v>223.68</v>
      </c>
      <c r="D462">
        <v>1</v>
      </c>
      <c r="E462" cm="1">
        <f t="array" aca="1" ref="E462" ca="1">SUMPRODUCT(SUMIF(INDIRECT("'"&amp;Assemblies[Assy]&amp;"'!"&amp;"C:C"),$A462,(INDIRECT("'"&amp;Assemblies[Assy]&amp;"'!"&amp;"O:O"))))</f>
        <v>2</v>
      </c>
      <c r="F462">
        <f ca="1">ROUNDUP(Purchased[[#This Row],[BOM QTY]]/Purchased[[#This Row],[PK QTY]], 0)</f>
        <v>2</v>
      </c>
      <c r="G462">
        <v>2</v>
      </c>
      <c r="H462" t="str">
        <f ca="1">IF(F462&lt;=G462," ","YES")</f>
        <v xml:space="preserve"> </v>
      </c>
      <c r="I462">
        <v>2</v>
      </c>
      <c r="J462">
        <v>2</v>
      </c>
      <c r="K462" t="s">
        <v>3530</v>
      </c>
      <c r="L462" t="s">
        <v>3530</v>
      </c>
      <c r="N462" s="40">
        <v>45426</v>
      </c>
      <c r="O462" s="40">
        <v>45426</v>
      </c>
      <c r="P462" s="40">
        <v>45485</v>
      </c>
      <c r="Q462" s="40">
        <v>45455</v>
      </c>
      <c r="R462">
        <v>55515</v>
      </c>
      <c r="S462" s="40" t="str" cm="1">
        <f t="array" aca="1" ref="S462" ca="1">TRIM(SUBSTITUTE(_xlfn.ARRAYTOTEXT(IFERROR(CONCATENATE(SUMIF(INDIRECT("'"&amp;Assemblies[Assy]&amp;"'!"&amp;"C$5:C1000"), $A462, INDIRECT("'"&amp;Assemblies[Assy]&amp;"'!"&amp;"O$5:O1000")), "x",Assemblies[Assy],".",IF(SUMIF(INDIRECT("'"&amp;Assemblies[Assy]&amp;"'!"&amp;"C$5:C1000"), $A462, INDIRECT("'"&amp;Assemblies[Assy]&amp;"'!"&amp;"A$5:A1000"))=0,NA(),SUMIF(INDIRECT("'"&amp;Assemblies[Assy]&amp;"'!"&amp;"C$5:C1000"), $A462, INDIRECT("'"&amp;Assemblies[Assy]&amp;"'!"&amp;"A$5:A1000")))),"")), " ,", ""))</f>
        <v>, 2x1.6.305,</v>
      </c>
    </row>
    <row r="463" spans="1:19" hidden="1" x14ac:dyDescent="0.25">
      <c r="A463" s="162" t="s">
        <v>358</v>
      </c>
      <c r="B463" s="160" t="s">
        <v>3546</v>
      </c>
      <c r="C463" s="180">
        <v>98.96</v>
      </c>
      <c r="D463">
        <v>1</v>
      </c>
      <c r="E463" cm="1">
        <f t="array" aca="1" ref="E463" ca="1">SUMPRODUCT(SUMIF(INDIRECT("'"&amp;Assemblies[Assy]&amp;"'!"&amp;"C:C"),$A463,(INDIRECT("'"&amp;Assemblies[Assy]&amp;"'!"&amp;"O:O"))))</f>
        <v>2</v>
      </c>
      <c r="F463">
        <f ca="1">ROUNDUP(Purchased[[#This Row],[BOM QTY]]/Purchased[[#This Row],[PK QTY]], 0)</f>
        <v>2</v>
      </c>
      <c r="G463">
        <v>2</v>
      </c>
      <c r="H463" t="str">
        <f ca="1">IF(F463&lt;=G463," ","YES")</f>
        <v xml:space="preserve"> </v>
      </c>
      <c r="I463">
        <v>2</v>
      </c>
      <c r="J463">
        <v>2</v>
      </c>
      <c r="K463" t="s">
        <v>3530</v>
      </c>
      <c r="L463" t="s">
        <v>3530</v>
      </c>
      <c r="N463" s="40">
        <v>45426</v>
      </c>
      <c r="O463" s="40">
        <v>45426</v>
      </c>
      <c r="P463" s="40">
        <v>45485</v>
      </c>
      <c r="Q463" s="40">
        <v>45455</v>
      </c>
      <c r="R463">
        <v>55515</v>
      </c>
      <c r="S463" s="40" t="str" cm="1">
        <f t="array" aca="1" ref="S463" ca="1">TRIM(SUBSTITUTE(_xlfn.ARRAYTOTEXT(IFERROR(CONCATENATE(SUMIF(INDIRECT("'"&amp;Assemblies[Assy]&amp;"'!"&amp;"C$5:C1000"), $A463, INDIRECT("'"&amp;Assemblies[Assy]&amp;"'!"&amp;"O$5:O1000")), "x",Assemblies[Assy],".",IF(SUMIF(INDIRECT("'"&amp;Assemblies[Assy]&amp;"'!"&amp;"C$5:C1000"), $A463, INDIRECT("'"&amp;Assemblies[Assy]&amp;"'!"&amp;"A$5:A1000"))=0,NA(),SUMIF(INDIRECT("'"&amp;Assemblies[Assy]&amp;"'!"&amp;"C$5:C1000"), $A463, INDIRECT("'"&amp;Assemblies[Assy]&amp;"'!"&amp;"A$5:A1000")))),"")), " ,", ""))</f>
        <v>, 2x1.6.304,</v>
      </c>
    </row>
    <row r="464" spans="1:19" hidden="1" x14ac:dyDescent="0.25">
      <c r="A464" s="162" t="s">
        <v>360</v>
      </c>
      <c r="B464" s="160" t="s">
        <v>3547</v>
      </c>
      <c r="C464" s="180">
        <v>93.37</v>
      </c>
      <c r="D464">
        <v>1</v>
      </c>
      <c r="E464" cm="1">
        <f t="array" aca="1" ref="E464" ca="1">SUMPRODUCT(SUMIF(INDIRECT("'"&amp;Assemblies[Assy]&amp;"'!"&amp;"C:C"),$A464,(INDIRECT("'"&amp;Assemblies[Assy]&amp;"'!"&amp;"O:O"))))</f>
        <v>2</v>
      </c>
      <c r="F464">
        <f ca="1">ROUNDUP(Purchased[[#This Row],[BOM QTY]]/Purchased[[#This Row],[PK QTY]], 0)</f>
        <v>2</v>
      </c>
      <c r="G464">
        <v>2</v>
      </c>
      <c r="H464" t="str">
        <f ca="1">IF(F464&lt;=G464," ","YES")</f>
        <v xml:space="preserve"> </v>
      </c>
      <c r="I464">
        <v>2</v>
      </c>
      <c r="J464">
        <v>2</v>
      </c>
      <c r="K464" t="s">
        <v>3530</v>
      </c>
      <c r="L464" t="s">
        <v>3530</v>
      </c>
      <c r="N464" s="40">
        <v>45426</v>
      </c>
      <c r="O464" s="40">
        <v>45426</v>
      </c>
      <c r="P464" s="40">
        <v>45485</v>
      </c>
      <c r="Q464" s="40">
        <v>45455</v>
      </c>
      <c r="R464">
        <v>55515</v>
      </c>
      <c r="S464" s="40" t="str" cm="1">
        <f t="array" aca="1" ref="S464" ca="1">TRIM(SUBSTITUTE(_xlfn.ARRAYTOTEXT(IFERROR(CONCATENATE(SUMIF(INDIRECT("'"&amp;Assemblies[Assy]&amp;"'!"&amp;"C$5:C1000"), $A464, INDIRECT("'"&amp;Assemblies[Assy]&amp;"'!"&amp;"O$5:O1000")), "x",Assemblies[Assy],".",IF(SUMIF(INDIRECT("'"&amp;Assemblies[Assy]&amp;"'!"&amp;"C$5:C1000"), $A464, INDIRECT("'"&amp;Assemblies[Assy]&amp;"'!"&amp;"A$5:A1000"))=0,NA(),SUMIF(INDIRECT("'"&amp;Assemblies[Assy]&amp;"'!"&amp;"C$5:C1000"), $A464, INDIRECT("'"&amp;Assemblies[Assy]&amp;"'!"&amp;"A$5:A1000")))),"")), " ,", ""))</f>
        <v>, 2x1.6.306,</v>
      </c>
    </row>
    <row r="465" spans="1:19" hidden="1" x14ac:dyDescent="0.25">
      <c r="A465" s="160" t="s">
        <v>97</v>
      </c>
      <c r="B465" s="160" t="s">
        <v>3529</v>
      </c>
      <c r="C465" s="180">
        <v>509.65</v>
      </c>
      <c r="D465">
        <v>1</v>
      </c>
      <c r="E465" cm="1">
        <f t="array" aca="1" ref="E465" ca="1">SUMPRODUCT(SUMIF(INDIRECT("'"&amp;Assemblies[Assy]&amp;"'!"&amp;"C:C"),$A465,(INDIRECT("'"&amp;Assemblies[Assy]&amp;"'!"&amp;"O:O"))))</f>
        <v>5</v>
      </c>
      <c r="F465">
        <f ca="1">ROUNDUP(Purchased[[#This Row],[BOM QTY]]/Purchased[[#This Row],[PK QTY]], 0)</f>
        <v>5</v>
      </c>
      <c r="G465">
        <v>6</v>
      </c>
      <c r="H465" t="str">
        <f ca="1">IF(F465&lt;=G465," ","YES")</f>
        <v xml:space="preserve"> </v>
      </c>
      <c r="I465">
        <v>6</v>
      </c>
      <c r="J465">
        <v>6</v>
      </c>
      <c r="K465" t="s">
        <v>3530</v>
      </c>
      <c r="L465" t="s">
        <v>3530</v>
      </c>
      <c r="N465" s="40">
        <v>45415</v>
      </c>
      <c r="O465" s="40">
        <v>45415</v>
      </c>
      <c r="P465" s="40">
        <v>45485</v>
      </c>
      <c r="Q465" s="40">
        <v>45485</v>
      </c>
      <c r="R465">
        <v>55504</v>
      </c>
      <c r="S465" s="40" t="str" cm="1">
        <f t="array" aca="1" ref="S465" ca="1">TRIM(SUBSTITUTE(_xlfn.ARRAYTOTEXT(IFERROR(CONCATENATE(SUMIF(INDIRECT("'"&amp;Assemblies[Assy]&amp;"'!"&amp;"C$5:C1000"), $A465, INDIRECT("'"&amp;Assemblies[Assy]&amp;"'!"&amp;"O$5:O1000")), "x",Assemblies[Assy],".",IF(SUMIF(INDIRECT("'"&amp;Assemblies[Assy]&amp;"'!"&amp;"C$5:C1000"), $A465, INDIRECT("'"&amp;Assemblies[Assy]&amp;"'!"&amp;"A$5:A1000"))=0,NA(),SUMIF(INDIRECT("'"&amp;Assemblies[Assy]&amp;"'!"&amp;"C$5:C1000"), $A465, INDIRECT("'"&amp;Assemblies[Assy]&amp;"'!"&amp;"A$5:A1000")))),"")), " ,", ""))</f>
        <v>, 1x0.3.301, 1x0.4.301, 1x0.6.301, 1x0.9.301, 1x0.10.301,</v>
      </c>
    </row>
    <row r="466" spans="1:19" hidden="1" x14ac:dyDescent="0.25">
      <c r="A466" s="160" t="s">
        <v>98</v>
      </c>
      <c r="B466" s="160" t="s">
        <v>3531</v>
      </c>
      <c r="C466" s="180">
        <v>94.57</v>
      </c>
      <c r="D466">
        <v>1</v>
      </c>
      <c r="E466" cm="1">
        <f t="array" aca="1" ref="E466" ca="1">SUMPRODUCT(SUMIF(INDIRECT("'"&amp;Assemblies[Assy]&amp;"'!"&amp;"C:C"),$A466,(INDIRECT("'"&amp;Assemblies[Assy]&amp;"'!"&amp;"O:O"))))</f>
        <v>5</v>
      </c>
      <c r="F466">
        <f ca="1">ROUNDUP(Purchased[[#This Row],[BOM QTY]]/Purchased[[#This Row],[PK QTY]], 0)</f>
        <v>5</v>
      </c>
      <c r="G466">
        <v>6</v>
      </c>
      <c r="H466" t="str">
        <f ca="1">IF(F466&lt;=G466," ","YES")</f>
        <v xml:space="preserve"> </v>
      </c>
      <c r="I466">
        <v>6</v>
      </c>
      <c r="J466">
        <v>6</v>
      </c>
      <c r="K466" t="s">
        <v>3530</v>
      </c>
      <c r="L466" t="s">
        <v>3530</v>
      </c>
      <c r="N466" s="40">
        <v>45415</v>
      </c>
      <c r="O466" s="40">
        <v>45415</v>
      </c>
      <c r="P466" s="40">
        <v>45485</v>
      </c>
      <c r="Q466" s="40">
        <v>45485</v>
      </c>
      <c r="R466">
        <v>55504</v>
      </c>
      <c r="S466" s="40" t="str" cm="1">
        <f t="array" aca="1" ref="S466" ca="1">TRIM(SUBSTITUTE(_xlfn.ARRAYTOTEXT(IFERROR(CONCATENATE(SUMIF(INDIRECT("'"&amp;Assemblies[Assy]&amp;"'!"&amp;"C$5:C1000"), $A466, INDIRECT("'"&amp;Assemblies[Assy]&amp;"'!"&amp;"O$5:O1000")), "x",Assemblies[Assy],".",IF(SUMIF(INDIRECT("'"&amp;Assemblies[Assy]&amp;"'!"&amp;"C$5:C1000"), $A466, INDIRECT("'"&amp;Assemblies[Assy]&amp;"'!"&amp;"A$5:A1000"))=0,NA(),SUMIF(INDIRECT("'"&amp;Assemblies[Assy]&amp;"'!"&amp;"C$5:C1000"), $A466, INDIRECT("'"&amp;Assemblies[Assy]&amp;"'!"&amp;"A$5:A1000")))),"")), " ,", ""))</f>
        <v>, 1x0.3.302, 1x0.4.302, 1x0.6.302, 1x0.9.302, 1x0.10.302,</v>
      </c>
    </row>
    <row r="467" spans="1:19" hidden="1" x14ac:dyDescent="0.25">
      <c r="A467" s="162" t="s">
        <v>356</v>
      </c>
      <c r="B467" s="160" t="s">
        <v>3548</v>
      </c>
      <c r="C467" s="180">
        <v>71.72</v>
      </c>
      <c r="D467">
        <v>1</v>
      </c>
      <c r="E467" cm="1">
        <f t="array" aca="1" ref="E467" ca="1">SUMPRODUCT(SUMIF(INDIRECT("'"&amp;Assemblies[Assy]&amp;"'!"&amp;"C:C"),$A467,(INDIRECT("'"&amp;Assemblies[Assy]&amp;"'!"&amp;"O:O"))))</f>
        <v>2</v>
      </c>
      <c r="F467">
        <f ca="1">ROUNDUP(Purchased[[#This Row],[BOM QTY]]/Purchased[[#This Row],[PK QTY]], 0)</f>
        <v>2</v>
      </c>
      <c r="G467">
        <v>2</v>
      </c>
      <c r="H467" t="str">
        <f ca="1">IF(F467&lt;=G467," ","YES")</f>
        <v xml:space="preserve"> </v>
      </c>
      <c r="I467">
        <v>2</v>
      </c>
      <c r="J467">
        <v>2</v>
      </c>
      <c r="K467" t="s">
        <v>3549</v>
      </c>
      <c r="L467" t="s">
        <v>3530</v>
      </c>
      <c r="N467" s="40">
        <v>45426</v>
      </c>
      <c r="O467" s="40">
        <v>45426</v>
      </c>
      <c r="P467" s="40">
        <v>45485</v>
      </c>
      <c r="Q467" s="40">
        <v>45455</v>
      </c>
      <c r="R467">
        <v>55515</v>
      </c>
      <c r="S467" s="40" t="str" cm="1">
        <f t="array" aca="1" ref="S467" ca="1">TRIM(SUBSTITUTE(_xlfn.ARRAYTOTEXT(IFERROR(CONCATENATE(SUMIF(INDIRECT("'"&amp;Assemblies[Assy]&amp;"'!"&amp;"C$5:C1000"), $A467, INDIRECT("'"&amp;Assemblies[Assy]&amp;"'!"&amp;"O$5:O1000")), "x",Assemblies[Assy],".",IF(SUMIF(INDIRECT("'"&amp;Assemblies[Assy]&amp;"'!"&amp;"C$5:C1000"), $A467, INDIRECT("'"&amp;Assemblies[Assy]&amp;"'!"&amp;"A$5:A1000"))=0,NA(),SUMIF(INDIRECT("'"&amp;Assemblies[Assy]&amp;"'!"&amp;"C$5:C1000"), $A467, INDIRECT("'"&amp;Assemblies[Assy]&amp;"'!"&amp;"A$5:A1000")))),"")), " ,", ""))</f>
        <v>, 2x1.6.302,</v>
      </c>
    </row>
    <row r="468" spans="1:19" hidden="1" x14ac:dyDescent="0.25">
      <c r="A468" s="160" t="s">
        <v>1150</v>
      </c>
      <c r="B468" s="160" t="s">
        <v>3550</v>
      </c>
      <c r="C468" s="180">
        <v>0.41899999999999998</v>
      </c>
      <c r="D468">
        <v>1</v>
      </c>
      <c r="E468" cm="1">
        <f t="array" aca="1" ref="E468" ca="1">SUMPRODUCT(SUMIF(INDIRECT("'"&amp;Assemblies[Assy]&amp;"'!"&amp;"C:C"),$A468,(INDIRECT("'"&amp;Assemblies[Assy]&amp;"'!"&amp;"O:O"))))</f>
        <v>64</v>
      </c>
      <c r="F468">
        <f ca="1">ROUNDUP(Purchased[[#This Row],[BOM QTY]]/Purchased[[#This Row],[PK QTY]], 0)</f>
        <v>64</v>
      </c>
      <c r="G468">
        <v>100</v>
      </c>
      <c r="H468" t="str">
        <f ca="1">IF(F468&lt;=G468," ","YES")</f>
        <v xml:space="preserve"> </v>
      </c>
      <c r="I468">
        <v>100</v>
      </c>
      <c r="J468">
        <v>100</v>
      </c>
      <c r="K468" t="s">
        <v>3551</v>
      </c>
      <c r="L468" t="s">
        <v>3551</v>
      </c>
      <c r="M468" t="s">
        <v>3552</v>
      </c>
      <c r="N468" s="40">
        <v>45481</v>
      </c>
      <c r="O468" s="40">
        <v>45483</v>
      </c>
      <c r="P468" s="40">
        <v>45492</v>
      </c>
      <c r="Q468" s="40">
        <v>45492</v>
      </c>
      <c r="R468">
        <v>55594</v>
      </c>
      <c r="S468" s="40" t="str" cm="1">
        <f t="array" aca="1" ref="S468" ca="1">TRIM(SUBSTITUTE(_xlfn.ARRAYTOTEXT(IFERROR(CONCATENATE(SUMIF(INDIRECT("'"&amp;Assemblies[Assy]&amp;"'!"&amp;"C$5:C1000"), $A468, INDIRECT("'"&amp;Assemblies[Assy]&amp;"'!"&amp;"O$5:O1000")), "x",Assemblies[Assy],".",IF(SUMIF(INDIRECT("'"&amp;Assemblies[Assy]&amp;"'!"&amp;"C$5:C1000"), $A468, INDIRECT("'"&amp;Assemblies[Assy]&amp;"'!"&amp;"A$5:A1000"))=0,NA(),SUMIF(INDIRECT("'"&amp;Assemblies[Assy]&amp;"'!"&amp;"C$5:C1000"), $A468, INDIRECT("'"&amp;Assemblies[Assy]&amp;"'!"&amp;"A$5:A1000")))),"")), " ,", ""))</f>
        <v>, 48x7.2.1.302, 16x8.1.1.302,</v>
      </c>
    </row>
    <row r="469" spans="1:19" hidden="1" x14ac:dyDescent="0.25">
      <c r="A469" s="160" t="s">
        <v>1128</v>
      </c>
      <c r="B469" s="160" t="s">
        <v>3553</v>
      </c>
      <c r="C469" s="180">
        <v>25.4</v>
      </c>
      <c r="D469">
        <v>1</v>
      </c>
      <c r="E469" cm="1">
        <f t="array" aca="1" ref="E469" ca="1">SUMPRODUCT(SUMIF(INDIRECT("'"&amp;Assemblies[Assy]&amp;"'!"&amp;"C:C"),$A469,(INDIRECT("'"&amp;Assemblies[Assy]&amp;"'!"&amp;"O:O"))))</f>
        <v>10</v>
      </c>
      <c r="F469">
        <f ca="1">ROUNDUP(Purchased[[#This Row],[BOM QTY]]/Purchased[[#This Row],[PK QTY]], 0)</f>
        <v>10</v>
      </c>
      <c r="G469">
        <v>10</v>
      </c>
      <c r="H469" t="str">
        <f ca="1">IF(F469&lt;=G469," ","YES")</f>
        <v xml:space="preserve"> </v>
      </c>
      <c r="I469">
        <v>10</v>
      </c>
      <c r="J469">
        <v>10</v>
      </c>
      <c r="K469" t="s">
        <v>3554</v>
      </c>
      <c r="L469" t="s">
        <v>3555</v>
      </c>
      <c r="N469" s="40">
        <v>45518</v>
      </c>
      <c r="O469" s="40">
        <v>45518</v>
      </c>
      <c r="P469" s="40">
        <v>45524</v>
      </c>
      <c r="R469">
        <v>55681</v>
      </c>
      <c r="S469" s="40" t="str" cm="1">
        <f t="array" aca="1" ref="S469" ca="1">TRIM(SUBSTITUTE(_xlfn.ARRAYTOTEXT(IFERROR(CONCATENATE(SUMIF(INDIRECT("'"&amp;Assemblies[Assy]&amp;"'!"&amp;"C$5:C1000"), $A469, INDIRECT("'"&amp;Assemblies[Assy]&amp;"'!"&amp;"O$5:O1000")), "x",Assemblies[Assy],".",IF(SUMIF(INDIRECT("'"&amp;Assemblies[Assy]&amp;"'!"&amp;"C$5:C1000"), $A469, INDIRECT("'"&amp;Assemblies[Assy]&amp;"'!"&amp;"A$5:A1000"))=0,NA(),SUMIF(INDIRECT("'"&amp;Assemblies[Assy]&amp;"'!"&amp;"C$5:C1000"), $A469, INDIRECT("'"&amp;Assemblies[Assy]&amp;"'!"&amp;"A$5:A1000")))),"")), " ,", ""))</f>
        <v>, 6x7.1.3.301, 4x8.1.4.304,</v>
      </c>
    </row>
    <row r="470" spans="1:19" hidden="1" x14ac:dyDescent="0.25">
      <c r="A470" s="160" t="s">
        <v>1130</v>
      </c>
      <c r="B470" s="160" t="s">
        <v>3556</v>
      </c>
      <c r="C470" s="180">
        <v>28.65</v>
      </c>
      <c r="D470">
        <v>1</v>
      </c>
      <c r="E470" cm="1">
        <f t="array" aca="1" ref="E470" ca="1">SUMPRODUCT(SUMIF(INDIRECT("'"&amp;Assemblies[Assy]&amp;"'!"&amp;"C:C"),$A470,(INDIRECT("'"&amp;Assemblies[Assy]&amp;"'!"&amp;"O:O"))))</f>
        <v>10</v>
      </c>
      <c r="F470">
        <f ca="1">ROUNDUP(Purchased[[#This Row],[BOM QTY]]/Purchased[[#This Row],[PK QTY]], 0)</f>
        <v>10</v>
      </c>
      <c r="G470">
        <v>10</v>
      </c>
      <c r="H470" t="str">
        <f ca="1">IF(F470&lt;=G470," ","YES")</f>
        <v xml:space="preserve"> </v>
      </c>
      <c r="I470">
        <v>10</v>
      </c>
      <c r="J470">
        <v>10</v>
      </c>
      <c r="K470" t="s">
        <v>3557</v>
      </c>
      <c r="L470" t="s">
        <v>3558</v>
      </c>
      <c r="M470" t="s">
        <v>3559</v>
      </c>
      <c r="N470" s="40">
        <v>45463</v>
      </c>
      <c r="O470" s="40">
        <v>45463</v>
      </c>
      <c r="P470" s="40">
        <v>45485</v>
      </c>
      <c r="Q470" s="40">
        <v>45485</v>
      </c>
      <c r="R470">
        <v>55563</v>
      </c>
      <c r="S470" s="40" t="str" cm="1">
        <f t="array" aca="1" ref="S470" ca="1">TRIM(SUBSTITUTE(_xlfn.ARRAYTOTEXT(IFERROR(CONCATENATE(SUMIF(INDIRECT("'"&amp;Assemblies[Assy]&amp;"'!"&amp;"C$5:C1000"), $A470, INDIRECT("'"&amp;Assemblies[Assy]&amp;"'!"&amp;"O$5:O1000")), "x",Assemblies[Assy],".",IF(SUMIF(INDIRECT("'"&amp;Assemblies[Assy]&amp;"'!"&amp;"C$5:C1000"), $A470, INDIRECT("'"&amp;Assemblies[Assy]&amp;"'!"&amp;"A$5:A1000"))=0,NA(),SUMIF(INDIRECT("'"&amp;Assemblies[Assy]&amp;"'!"&amp;"C$5:C1000"), $A470, INDIRECT("'"&amp;Assemblies[Assy]&amp;"'!"&amp;"A$5:A1000")))),"")), " ,", ""))</f>
        <v>, 6x7.1.3.304, 4x8.1.4.303,</v>
      </c>
    </row>
    <row r="471" spans="1:19" hidden="1" x14ac:dyDescent="0.25">
      <c r="A471" s="160" t="s">
        <v>1129</v>
      </c>
      <c r="B471" s="160" t="s">
        <v>3560</v>
      </c>
      <c r="C471" s="180">
        <v>36.36</v>
      </c>
      <c r="D471">
        <v>1</v>
      </c>
      <c r="E471" cm="1">
        <f t="array" aca="1" ref="E471" ca="1">SUMPRODUCT(SUMIF(INDIRECT("'"&amp;Assemblies[Assy]&amp;"'!"&amp;"C:C"),$A471,(INDIRECT("'"&amp;Assemblies[Assy]&amp;"'!"&amp;"O:O"))))</f>
        <v>10</v>
      </c>
      <c r="F471">
        <f ca="1">ROUNDUP(Purchased[[#This Row],[BOM QTY]]/Purchased[[#This Row],[PK QTY]], 0)</f>
        <v>10</v>
      </c>
      <c r="G471">
        <v>10</v>
      </c>
      <c r="H471" t="str">
        <f ca="1">IF(F471&lt;=G471," ","YES")</f>
        <v xml:space="preserve"> </v>
      </c>
      <c r="I471">
        <v>10</v>
      </c>
      <c r="J471">
        <v>10</v>
      </c>
      <c r="K471" t="s">
        <v>3557</v>
      </c>
      <c r="L471" t="s">
        <v>3558</v>
      </c>
      <c r="M471" t="s">
        <v>3561</v>
      </c>
      <c r="N471" s="40">
        <v>45463</v>
      </c>
      <c r="O471" s="40">
        <v>45463</v>
      </c>
      <c r="P471" s="40">
        <v>45485</v>
      </c>
      <c r="Q471" s="40">
        <v>45485</v>
      </c>
      <c r="R471">
        <v>55563</v>
      </c>
      <c r="S471" s="40" t="str" cm="1">
        <f t="array" aca="1" ref="S471" ca="1">TRIM(SUBSTITUTE(_xlfn.ARRAYTOTEXT(IFERROR(CONCATENATE(SUMIF(INDIRECT("'"&amp;Assemblies[Assy]&amp;"'!"&amp;"C$5:C1000"), $A471, INDIRECT("'"&amp;Assemblies[Assy]&amp;"'!"&amp;"O$5:O1000")), "x",Assemblies[Assy],".",IF(SUMIF(INDIRECT("'"&amp;Assemblies[Assy]&amp;"'!"&amp;"C$5:C1000"), $A471, INDIRECT("'"&amp;Assemblies[Assy]&amp;"'!"&amp;"A$5:A1000"))=0,NA(),SUMIF(INDIRECT("'"&amp;Assemblies[Assy]&amp;"'!"&amp;"C$5:C1000"), $A471, INDIRECT("'"&amp;Assemblies[Assy]&amp;"'!"&amp;"A$5:A1000")))),"")), " ,", ""))</f>
        <v>, 6x7.1.3.303, 4x8.1.4.302,</v>
      </c>
    </row>
    <row r="472" spans="1:19" hidden="1" x14ac:dyDescent="0.25">
      <c r="A472" s="160" t="s">
        <v>967</v>
      </c>
      <c r="B472" s="160" t="s">
        <v>3564</v>
      </c>
      <c r="C472" s="180">
        <v>546.4</v>
      </c>
      <c r="D472">
        <v>1</v>
      </c>
      <c r="E472" cm="1">
        <f t="array" aca="1" ref="E472" ca="1">SUMPRODUCT(SUMIF(INDIRECT("'"&amp;Assemblies[Assy]&amp;"'!"&amp;"C:C"),$A472,(INDIRECT("'"&amp;Assemblies[Assy]&amp;"'!"&amp;"O:O"))))</f>
        <v>2</v>
      </c>
      <c r="F472">
        <f ca="1">ROUNDUP(Purchased[[#This Row],[BOM QTY]]/Purchased[[#This Row],[PK QTY]], 0)</f>
        <v>2</v>
      </c>
      <c r="G472">
        <v>2</v>
      </c>
      <c r="H472" t="str">
        <f ca="1">IF(F472&lt;=G472," ","YES")</f>
        <v xml:space="preserve"> </v>
      </c>
      <c r="I472">
        <v>2</v>
      </c>
      <c r="J472">
        <v>2</v>
      </c>
      <c r="K472" t="s">
        <v>3563</v>
      </c>
      <c r="L472" t="s">
        <v>3563</v>
      </c>
      <c r="N472" s="40">
        <v>45482</v>
      </c>
      <c r="O472" s="40">
        <v>45482</v>
      </c>
      <c r="P472" s="40">
        <v>45512</v>
      </c>
      <c r="Q472" s="40">
        <v>45512</v>
      </c>
      <c r="R472">
        <v>55590</v>
      </c>
      <c r="S472" s="40" t="str" cm="1">
        <f t="array" aca="1" ref="S472" ca="1">TRIM(SUBSTITUTE(_xlfn.ARRAYTOTEXT(IFERROR(CONCATENATE(SUMIF(INDIRECT("'"&amp;Assemblies[Assy]&amp;"'!"&amp;"C$5:C1000"), $A472, INDIRECT("'"&amp;Assemblies[Assy]&amp;"'!"&amp;"O$5:O1000")), "x",Assemblies[Assy],".",IF(SUMIF(INDIRECT("'"&amp;Assemblies[Assy]&amp;"'!"&amp;"C$5:C1000"), $A472, INDIRECT("'"&amp;Assemblies[Assy]&amp;"'!"&amp;"A$5:A1000"))=0,NA(),SUMIF(INDIRECT("'"&amp;Assemblies[Assy]&amp;"'!"&amp;"C$5:C1000"), $A472, INDIRECT("'"&amp;Assemblies[Assy]&amp;"'!"&amp;"A$5:A1000")))),"")), " ,", ""))</f>
        <v>, 1x6.2.1.4.306, 1x6.3.1.4.306,</v>
      </c>
    </row>
    <row r="473" spans="1:19" hidden="1" x14ac:dyDescent="0.25">
      <c r="A473" s="160" t="s">
        <v>836</v>
      </c>
      <c r="B473" s="160" t="s">
        <v>3562</v>
      </c>
      <c r="C473" s="180">
        <v>512.79999999999995</v>
      </c>
      <c r="D473">
        <v>1</v>
      </c>
      <c r="E473" cm="1">
        <f t="array" aca="1" ref="E473" ca="1">SUMPRODUCT(SUMIF(INDIRECT("'"&amp;Assemblies[Assy]&amp;"'!"&amp;"C:C"),$A473,(INDIRECT("'"&amp;Assemblies[Assy]&amp;"'!"&amp;"O:O"))))</f>
        <v>2</v>
      </c>
      <c r="F473">
        <f ca="1">ROUNDUP(Purchased[[#This Row],[BOM QTY]]/Purchased[[#This Row],[PK QTY]], 0)</f>
        <v>2</v>
      </c>
      <c r="G473">
        <v>2</v>
      </c>
      <c r="H473" t="str">
        <f ca="1">IF(F473&lt;=G473," ","YES")</f>
        <v xml:space="preserve"> </v>
      </c>
      <c r="I473">
        <v>2</v>
      </c>
      <c r="J473">
        <v>2</v>
      </c>
      <c r="K473" t="s">
        <v>3563</v>
      </c>
      <c r="L473" t="s">
        <v>3563</v>
      </c>
      <c r="N473" s="40">
        <v>45482</v>
      </c>
      <c r="O473" s="40">
        <v>45482</v>
      </c>
      <c r="P473" s="40">
        <v>45512</v>
      </c>
      <c r="Q473" s="40">
        <v>45512</v>
      </c>
      <c r="R473">
        <v>55590</v>
      </c>
      <c r="S473" s="40" t="str" cm="1">
        <f t="array" aca="1" ref="S473" ca="1">TRIM(SUBSTITUTE(_xlfn.ARRAYTOTEXT(IFERROR(CONCATENATE(SUMIF(INDIRECT("'"&amp;Assemblies[Assy]&amp;"'!"&amp;"C$5:C1000"), $A473, INDIRECT("'"&amp;Assemblies[Assy]&amp;"'!"&amp;"O$5:O1000")), "x",Assemblies[Assy],".",IF(SUMIF(INDIRECT("'"&amp;Assemblies[Assy]&amp;"'!"&amp;"C$5:C1000"), $A473, INDIRECT("'"&amp;Assemblies[Assy]&amp;"'!"&amp;"A$5:A1000"))=0,NA(),SUMIF(INDIRECT("'"&amp;Assemblies[Assy]&amp;"'!"&amp;"C$5:C1000"), $A473, INDIRECT("'"&amp;Assemblies[Assy]&amp;"'!"&amp;"A$5:A1000")))),"")), " ,", ""))</f>
        <v>, 2x5.5.2.1.302,</v>
      </c>
    </row>
    <row r="474" spans="1:19" hidden="1" x14ac:dyDescent="0.25">
      <c r="A474" s="160" t="s">
        <v>837</v>
      </c>
      <c r="B474" s="160" t="s">
        <v>3565</v>
      </c>
      <c r="C474" s="180">
        <v>99.1</v>
      </c>
      <c r="D474">
        <v>1</v>
      </c>
      <c r="E474" cm="1">
        <f t="array" aca="1" ref="E474" ca="1">SUMPRODUCT(SUMIF(INDIRECT("'"&amp;Assemblies[Assy]&amp;"'!"&amp;"C:C"),$A474,(INDIRECT("'"&amp;Assemblies[Assy]&amp;"'!"&amp;"O:O"))))</f>
        <v>2</v>
      </c>
      <c r="F474">
        <f ca="1">ROUNDUP(Purchased[[#This Row],[BOM QTY]]/Purchased[[#This Row],[PK QTY]], 0)</f>
        <v>2</v>
      </c>
      <c r="G474">
        <v>3</v>
      </c>
      <c r="H474" t="str">
        <f ca="1">IF(F474&lt;=G474," ","YES")</f>
        <v xml:space="preserve"> </v>
      </c>
      <c r="I474">
        <v>3</v>
      </c>
      <c r="J474">
        <v>3</v>
      </c>
      <c r="K474" t="s">
        <v>3563</v>
      </c>
      <c r="L474" t="s">
        <v>3563</v>
      </c>
      <c r="N474" s="40">
        <v>45482</v>
      </c>
      <c r="O474" s="40">
        <v>45482</v>
      </c>
      <c r="P474" s="40">
        <v>45512</v>
      </c>
      <c r="Q474" s="40">
        <v>45512</v>
      </c>
      <c r="R474">
        <v>55590</v>
      </c>
      <c r="S474" s="40" t="str" cm="1">
        <f t="array" aca="1" ref="S474" ca="1">TRIM(SUBSTITUTE(_xlfn.ARRAYTOTEXT(IFERROR(CONCATENATE(SUMIF(INDIRECT("'"&amp;Assemblies[Assy]&amp;"'!"&amp;"C$5:C1000"), $A474, INDIRECT("'"&amp;Assemblies[Assy]&amp;"'!"&amp;"O$5:O1000")), "x",Assemblies[Assy],".",IF(SUMIF(INDIRECT("'"&amp;Assemblies[Assy]&amp;"'!"&amp;"C$5:C1000"), $A474, INDIRECT("'"&amp;Assemblies[Assy]&amp;"'!"&amp;"A$5:A1000"))=0,NA(),SUMIF(INDIRECT("'"&amp;Assemblies[Assy]&amp;"'!"&amp;"C$5:C1000"), $A474, INDIRECT("'"&amp;Assemblies[Assy]&amp;"'!"&amp;"A$5:A1000")))),"")), " ,", ""))</f>
        <v>, 2x5.5.2.1.303,</v>
      </c>
    </row>
    <row r="475" spans="1:19" hidden="1" x14ac:dyDescent="0.25">
      <c r="A475" s="160" t="s">
        <v>966</v>
      </c>
      <c r="B475" s="160" t="s">
        <v>3566</v>
      </c>
      <c r="C475" s="180">
        <v>95.3</v>
      </c>
      <c r="D475">
        <v>1</v>
      </c>
      <c r="E475" cm="1">
        <f t="array" aca="1" ref="E475" ca="1">SUMPRODUCT(SUMIF(INDIRECT("'"&amp;Assemblies[Assy]&amp;"'!"&amp;"C:C"),$A475,(INDIRECT("'"&amp;Assemblies[Assy]&amp;"'!"&amp;"O:O"))))</f>
        <v>4</v>
      </c>
      <c r="F475">
        <f ca="1">ROUNDUP(Purchased[[#This Row],[BOM QTY]]/Purchased[[#This Row],[PK QTY]], 0)</f>
        <v>4</v>
      </c>
      <c r="G475">
        <v>6</v>
      </c>
      <c r="H475" t="str">
        <f ca="1">IF(F475&lt;=G475," ","YES")</f>
        <v xml:space="preserve"> </v>
      </c>
      <c r="I475">
        <v>6</v>
      </c>
      <c r="J475">
        <v>6</v>
      </c>
      <c r="K475" t="s">
        <v>3563</v>
      </c>
      <c r="L475" t="s">
        <v>3563</v>
      </c>
      <c r="N475" s="40">
        <v>45482</v>
      </c>
      <c r="O475" s="40">
        <v>45482</v>
      </c>
      <c r="P475" s="40">
        <v>45512</v>
      </c>
      <c r="Q475" s="40">
        <v>45512</v>
      </c>
      <c r="R475">
        <v>55590</v>
      </c>
      <c r="S475" s="40" t="str" cm="1">
        <f t="array" aca="1" ref="S475" ca="1">TRIM(SUBSTITUTE(_xlfn.ARRAYTOTEXT(IFERROR(CONCATENATE(SUMIF(INDIRECT("'"&amp;Assemblies[Assy]&amp;"'!"&amp;"C$5:C1000"), $A475, INDIRECT("'"&amp;Assemblies[Assy]&amp;"'!"&amp;"O$5:O1000")), "x",Assemblies[Assy],".",IF(SUMIF(INDIRECT("'"&amp;Assemblies[Assy]&amp;"'!"&amp;"C$5:C1000"), $A475, INDIRECT("'"&amp;Assemblies[Assy]&amp;"'!"&amp;"A$5:A1000"))=0,NA(),SUMIF(INDIRECT("'"&amp;Assemblies[Assy]&amp;"'!"&amp;"C$5:C1000"), $A475, INDIRECT("'"&amp;Assemblies[Assy]&amp;"'!"&amp;"A$5:A1000")))),"")), " ,", ""))</f>
        <v>, 2x6.2.1.4.305, 2x6.3.1.4.305,</v>
      </c>
    </row>
    <row r="476" spans="1:19" hidden="1" x14ac:dyDescent="0.25">
      <c r="A476" s="160" t="s">
        <v>733</v>
      </c>
      <c r="B476" s="160" t="s">
        <v>3569</v>
      </c>
      <c r="C476" s="180">
        <v>400.3</v>
      </c>
      <c r="D476">
        <v>1</v>
      </c>
      <c r="E476" cm="1">
        <f t="array" aca="1" ref="E476" ca="1">SUMPRODUCT(SUMIF(INDIRECT("'"&amp;Assemblies[Assy]&amp;"'!"&amp;"C:C"),$A476,(INDIRECT("'"&amp;Assemblies[Assy]&amp;"'!"&amp;"O:O"))))</f>
        <v>6</v>
      </c>
      <c r="F476">
        <f ca="1">ROUNDUP(Purchased[[#This Row],[BOM QTY]]/Purchased[[#This Row],[PK QTY]], 0)</f>
        <v>6</v>
      </c>
      <c r="G476">
        <v>6</v>
      </c>
      <c r="H476" t="str">
        <f ca="1">IF(F476&lt;=G476," ","YES")</f>
        <v xml:space="preserve"> </v>
      </c>
      <c r="I476">
        <v>6</v>
      </c>
      <c r="J476">
        <v>6</v>
      </c>
      <c r="K476" t="s">
        <v>3563</v>
      </c>
      <c r="L476" t="s">
        <v>3563</v>
      </c>
      <c r="M476" t="s">
        <v>3570</v>
      </c>
      <c r="N476" s="40">
        <v>45482</v>
      </c>
      <c r="O476" s="40">
        <v>45482</v>
      </c>
      <c r="P476" s="40">
        <v>45512</v>
      </c>
      <c r="Q476" s="40">
        <v>45512</v>
      </c>
      <c r="R476">
        <v>55590</v>
      </c>
      <c r="S476" s="40" t="str" cm="1">
        <f t="array" aca="1" ref="S476" ca="1">TRIM(SUBSTITUTE(_xlfn.ARRAYTOTEXT(IFERROR(CONCATENATE(SUMIF(INDIRECT("'"&amp;Assemblies[Assy]&amp;"'!"&amp;"C$5:C1000"), $A476, INDIRECT("'"&amp;Assemblies[Assy]&amp;"'!"&amp;"O$5:O1000")), "x",Assemblies[Assy],".",IF(SUMIF(INDIRECT("'"&amp;Assemblies[Assy]&amp;"'!"&amp;"C$5:C1000"), $A476, INDIRECT("'"&amp;Assemblies[Assy]&amp;"'!"&amp;"A$5:A1000"))=0,NA(),SUMIF(INDIRECT("'"&amp;Assemblies[Assy]&amp;"'!"&amp;"C$5:C1000"), $A476, INDIRECT("'"&amp;Assemblies[Assy]&amp;"'!"&amp;"A$5:A1000")))),"")), " ,", ""))</f>
        <v>, 2x5.3.326, 2x6.1.326, 2x8.3.315,</v>
      </c>
    </row>
    <row r="477" spans="1:19" hidden="1" x14ac:dyDescent="0.25">
      <c r="A477" s="160" t="s">
        <v>696</v>
      </c>
      <c r="B477" s="160" t="s">
        <v>3568</v>
      </c>
      <c r="C477" s="180">
        <v>455</v>
      </c>
      <c r="D477">
        <v>1</v>
      </c>
      <c r="E477" cm="1">
        <f t="array" aca="1" ref="E477" ca="1">SUMPRODUCT(SUMIF(INDIRECT("'"&amp;Assemblies[Assy]&amp;"'!"&amp;"C:C"),$A477,(INDIRECT("'"&amp;Assemblies[Assy]&amp;"'!"&amp;"O:O"))))</f>
        <v>12</v>
      </c>
      <c r="F477">
        <f ca="1">ROUNDUP(Purchased[[#This Row],[BOM QTY]]/Purchased[[#This Row],[PK QTY]], 0)</f>
        <v>12</v>
      </c>
      <c r="G477">
        <v>12</v>
      </c>
      <c r="H477" t="str">
        <f ca="1">IF(F477&lt;=G477," ","YES")</f>
        <v xml:space="preserve"> </v>
      </c>
      <c r="I477">
        <v>12</v>
      </c>
      <c r="J477">
        <v>12</v>
      </c>
      <c r="K477" t="s">
        <v>3563</v>
      </c>
      <c r="L477" t="s">
        <v>3563</v>
      </c>
      <c r="N477" s="40">
        <v>45482</v>
      </c>
      <c r="O477" s="40">
        <v>45482</v>
      </c>
      <c r="P477" s="40">
        <v>45512</v>
      </c>
      <c r="Q477" s="40">
        <v>45512</v>
      </c>
      <c r="R477">
        <v>55590</v>
      </c>
      <c r="S477" s="40" t="str" cm="1">
        <f t="array" aca="1" ref="S477" ca="1">TRIM(SUBSTITUTE(_xlfn.ARRAYTOTEXT(IFERROR(CONCATENATE(SUMIF(INDIRECT("'"&amp;Assemblies[Assy]&amp;"'!"&amp;"C$5:C1000"), $A477, INDIRECT("'"&amp;Assemblies[Assy]&amp;"'!"&amp;"O$5:O1000")), "x",Assemblies[Assy],".",IF(SUMIF(INDIRECT("'"&amp;Assemblies[Assy]&amp;"'!"&amp;"C$5:C1000"), $A477, INDIRECT("'"&amp;Assemblies[Assy]&amp;"'!"&amp;"A$5:A1000"))=0,NA(),SUMIF(INDIRECT("'"&amp;Assemblies[Assy]&amp;"'!"&amp;"C$5:C1000"), $A477, INDIRECT("'"&amp;Assemblies[Assy]&amp;"'!"&amp;"A$5:A1000")))),"")), " ,", ""))</f>
        <v>, 4x5.2.308, 8x6.9.308,</v>
      </c>
    </row>
    <row r="478" spans="1:19" hidden="1" x14ac:dyDescent="0.25">
      <c r="A478" s="160" t="s">
        <v>654</v>
      </c>
      <c r="B478" s="160" t="s">
        <v>3567</v>
      </c>
      <c r="C478" s="180">
        <v>428.1</v>
      </c>
      <c r="D478">
        <v>1</v>
      </c>
      <c r="E478" cm="1">
        <f t="array" aca="1" ref="E478" ca="1">SUMPRODUCT(SUMIF(INDIRECT("'"&amp;Assemblies[Assy]&amp;"'!"&amp;"C:C"),$A478,(INDIRECT("'"&amp;Assemblies[Assy]&amp;"'!"&amp;"O:O"))))</f>
        <v>14</v>
      </c>
      <c r="F478">
        <f ca="1">ROUNDUP(Purchased[[#This Row],[BOM QTY]]/Purchased[[#This Row],[PK QTY]], 0)</f>
        <v>14</v>
      </c>
      <c r="G478">
        <v>16</v>
      </c>
      <c r="H478" t="str">
        <f ca="1">IF(F478&lt;=G478," ","YES")</f>
        <v xml:space="preserve"> </v>
      </c>
      <c r="I478">
        <v>16</v>
      </c>
      <c r="J478">
        <v>16</v>
      </c>
      <c r="K478" t="s">
        <v>3563</v>
      </c>
      <c r="L478" t="s">
        <v>3563</v>
      </c>
      <c r="N478" s="40">
        <v>45482</v>
      </c>
      <c r="O478" s="40">
        <v>45482</v>
      </c>
      <c r="P478" s="40">
        <v>45512</v>
      </c>
      <c r="Q478" s="40">
        <v>45512</v>
      </c>
      <c r="R478">
        <v>55590</v>
      </c>
      <c r="S478" s="40" t="str" cm="1">
        <f t="array" aca="1" ref="S478" ca="1">TRIM(SUBSTITUTE(_xlfn.ARRAYTOTEXT(IFERROR(CONCATENATE(SUMIF(INDIRECT("'"&amp;Assemblies[Assy]&amp;"'!"&amp;"C$5:C1000"), $A478, INDIRECT("'"&amp;Assemblies[Assy]&amp;"'!"&amp;"O$5:O1000")), "x",Assemblies[Assy],".",IF(SUMIF(INDIRECT("'"&amp;Assemblies[Assy]&amp;"'!"&amp;"C$5:C1000"), $A478, INDIRECT("'"&amp;Assemblies[Assy]&amp;"'!"&amp;"A$5:A1000"))=0,NA(),SUMIF(INDIRECT("'"&amp;Assemblies[Assy]&amp;"'!"&amp;"C$5:C1000"), $A478, INDIRECT("'"&amp;Assemblies[Assy]&amp;"'!"&amp;"A$5:A1000")))),"")), " ,", ""))</f>
        <v>, 2x4.5.303, 12x7.2.4.303,</v>
      </c>
    </row>
    <row r="479" spans="1:19" hidden="1" x14ac:dyDescent="0.25">
      <c r="A479" s="161">
        <v>3842529323</v>
      </c>
      <c r="B479" s="160" t="s">
        <v>2988</v>
      </c>
      <c r="C479" s="180">
        <v>0.86</v>
      </c>
      <c r="D479">
        <v>1</v>
      </c>
      <c r="E479" cm="1">
        <f t="array" aca="1" ref="E479" ca="1">SUMPRODUCT(SUMIF(INDIRECT("'"&amp;Assemblies[Assy]&amp;"'!"&amp;"C:C"),$A479,(INDIRECT("'"&amp;Assemblies[Assy]&amp;"'!"&amp;"O:O"))))</f>
        <v>21</v>
      </c>
      <c r="F479">
        <f ca="1">ROUNDUP(Purchased[[#This Row],[BOM QTY]]/Purchased[[#This Row],[PK QTY]], 0)</f>
        <v>21</v>
      </c>
      <c r="G479">
        <v>20</v>
      </c>
      <c r="H479" t="str">
        <f ca="1">IF(F479&lt;=G479," ","YES")</f>
        <v>YES</v>
      </c>
      <c r="K479" t="s">
        <v>2967</v>
      </c>
      <c r="L479" t="s">
        <v>2931</v>
      </c>
      <c r="O479" s="40">
        <v>45532</v>
      </c>
      <c r="P479" s="40">
        <v>45561</v>
      </c>
      <c r="R479">
        <v>55710</v>
      </c>
      <c r="S479" s="40" t="str" cm="1">
        <f t="array" aca="1" ref="S479" ca="1">TRIM(SUBSTITUTE(_xlfn.ARRAYTOTEXT(IFERROR(CONCATENATE(SUMIF(INDIRECT("'"&amp;Assemblies[Assy]&amp;"'!"&amp;"C$5:C1000"), $A479, INDIRECT("'"&amp;Assemblies[Assy]&amp;"'!"&amp;"O$5:O1000")), "x",Assemblies[Assy],".",IF(SUMIF(INDIRECT("'"&amp;Assemblies[Assy]&amp;"'!"&amp;"C$5:C1000"), $A479, INDIRECT("'"&amp;Assemblies[Assy]&amp;"'!"&amp;"A$5:A1000"))=0,NA(),SUMIF(INDIRECT("'"&amp;Assemblies[Assy]&amp;"'!"&amp;"C$5:C1000"), $A479, INDIRECT("'"&amp;Assemblies[Assy]&amp;"'!"&amp;"A$5:A1000")))),"")), " ,", ""))</f>
        <v>, 12x2.3.321, 6x2.3.8.301, 2x4.7.1.304, 1x10.1.9.301,</v>
      </c>
    </row>
    <row r="480" spans="1:19" hidden="1" x14ac:dyDescent="0.25">
      <c r="A480" s="161">
        <v>3842530283</v>
      </c>
      <c r="B480" s="160" t="s">
        <v>2973</v>
      </c>
      <c r="C480" s="180">
        <v>0.56000000000000005</v>
      </c>
      <c r="D480">
        <v>1</v>
      </c>
      <c r="E480" cm="1">
        <f t="array" aca="1" ref="E480" ca="1">SUMPRODUCT(SUMIF(INDIRECT("'"&amp;Assemblies[Assy]&amp;"'!"&amp;"C:C"),$A480,(INDIRECT("'"&amp;Assemblies[Assy]&amp;"'!"&amp;"O:O"))))</f>
        <v>631</v>
      </c>
      <c r="F480">
        <f ca="1">ROUNDUP(Purchased[[#This Row],[BOM QTY]]/Purchased[[#This Row],[PK QTY]], 0)</f>
        <v>631</v>
      </c>
      <c r="G480">
        <v>500</v>
      </c>
      <c r="H480" t="str">
        <f ca="1">IF(F480&lt;=G480," ","YES")</f>
        <v>YES</v>
      </c>
      <c r="I480">
        <v>400</v>
      </c>
      <c r="J480">
        <v>400</v>
      </c>
      <c r="K480" s="160" t="s">
        <v>2967</v>
      </c>
      <c r="L480" t="s">
        <v>2931</v>
      </c>
      <c r="M480" t="s">
        <v>2972</v>
      </c>
      <c r="N480" s="40">
        <v>45463</v>
      </c>
      <c r="O480" s="40">
        <v>45463</v>
      </c>
      <c r="P480" s="40">
        <v>45481</v>
      </c>
      <c r="Q480" s="40">
        <v>45481</v>
      </c>
      <c r="R480">
        <v>55564</v>
      </c>
      <c r="S480" s="40" t="str" cm="1">
        <f t="array" aca="1" ref="S480" ca="1">TRIM(SUBSTITUTE(_xlfn.ARRAYTOTEXT(IFERROR(CONCATENATE(SUMIF(INDIRECT("'"&amp;Assemblies[Assy]&amp;"'!"&amp;"C$5:C1000"), $A480, INDIRECT("'"&amp;Assemblies[Assy]&amp;"'!"&amp;"O$5:O1000")), "x",Assemblies[Assy],".",IF(SUMIF(INDIRECT("'"&amp;Assemblies[Assy]&amp;"'!"&amp;"C$5:C1000"), $A480, INDIRECT("'"&amp;Assemblies[Assy]&amp;"'!"&amp;"A$5:A1000"))=0,NA(),SUMIF(INDIRECT("'"&amp;Assemblies[Assy]&amp;"'!"&amp;"C$5:C1000"), $A480, INDIRECT("'"&amp;Assemblies[Assy]&amp;"'!"&amp;"A$5:A1000")))),"")), " ,", ""))</f>
        <v>, 405x1.1.11.1.301, 4x1.1.9.301, 6x2.1.4.304, 7x2.1.5.304, 48x2.2.1.1.301, 6x4.1.7.302, 6x4.1.8.302, 7x4.3.301, 14x4.7.303, 56x5.3.304, 28x6.1.301, 24x6.9.313, 4x6.10.314, 4x10.1.5.301, 12x12.310</v>
      </c>
    </row>
    <row r="481" spans="1:19" hidden="1" x14ac:dyDescent="0.25">
      <c r="A481" s="160" t="s">
        <v>970</v>
      </c>
      <c r="B481" s="160" t="s">
        <v>3439</v>
      </c>
      <c r="C481" s="180">
        <v>78.67</v>
      </c>
      <c r="D481">
        <v>1</v>
      </c>
      <c r="E481" cm="1">
        <f t="array" aca="1" ref="E481" ca="1">SUMPRODUCT(SUMIF(INDIRECT("'"&amp;Assemblies[Assy]&amp;"'!"&amp;"C:C"),$A481,(INDIRECT("'"&amp;Assemblies[Assy]&amp;"'!"&amp;"O:O"))))</f>
        <v>4</v>
      </c>
      <c r="F481">
        <f ca="1">ROUNDUP(Purchased[[#This Row],[BOM QTY]]/Purchased[[#This Row],[PK QTY]], 0)</f>
        <v>4</v>
      </c>
      <c r="H481" t="str">
        <f ca="1">IF(F481&lt;=G481," ","YES")</f>
        <v>YES</v>
      </c>
      <c r="K481" t="s">
        <v>3440</v>
      </c>
      <c r="L481" t="s">
        <v>2931</v>
      </c>
      <c r="N481" s="40" t="s">
        <v>2747</v>
      </c>
      <c r="S481" s="40" t="str" cm="1">
        <f t="array" aca="1" ref="S481" ca="1">TRIM(SUBSTITUTE(_xlfn.ARRAYTOTEXT(IFERROR(CONCATENATE(SUMIF(INDIRECT("'"&amp;Assemblies[Assy]&amp;"'!"&amp;"C$5:C1000"), $A481, INDIRECT("'"&amp;Assemblies[Assy]&amp;"'!"&amp;"O$5:O1000")), "x",Assemblies[Assy],".",IF(SUMIF(INDIRECT("'"&amp;Assemblies[Assy]&amp;"'!"&amp;"C$5:C1000"), $A481, INDIRECT("'"&amp;Assemblies[Assy]&amp;"'!"&amp;"A$5:A1000"))=0,NA(),SUMIF(INDIRECT("'"&amp;Assemblies[Assy]&amp;"'!"&amp;"C$5:C1000"), $A481, INDIRECT("'"&amp;Assemblies[Assy]&amp;"'!"&amp;"A$5:A1000")))),"")), " ,", ""))</f>
        <v>, 2x6.2.1.4.310, 2x6.3.1.4.310,</v>
      </c>
    </row>
    <row r="482" spans="1:19" hidden="1" x14ac:dyDescent="0.25">
      <c r="A482" s="160" t="s">
        <v>1442</v>
      </c>
      <c r="B482" s="160" t="s">
        <v>3104</v>
      </c>
      <c r="C482" s="180">
        <v>0</v>
      </c>
      <c r="D482">
        <v>10</v>
      </c>
      <c r="E482" cm="1">
        <f t="array" aca="1" ref="E482" ca="1">SUMPRODUCT(SUMIF(INDIRECT("'"&amp;Assemblies[Assy]&amp;"'!"&amp;"C:C"),$A482,(INDIRECT("'"&amp;Assemblies[Assy]&amp;"'!"&amp;"O:O"))))</f>
        <v>24</v>
      </c>
      <c r="F482">
        <f ca="1">ROUNDUP(Purchased[[#This Row],[BOM QTY]]/Purchased[[#This Row],[PK QTY]], 0)</f>
        <v>3</v>
      </c>
      <c r="G482">
        <v>2</v>
      </c>
      <c r="H482" t="str">
        <f ca="1">IF(F482&lt;=G482," ","YES")</f>
        <v>YES</v>
      </c>
      <c r="I482">
        <v>2</v>
      </c>
      <c r="J482">
        <v>2</v>
      </c>
      <c r="K482" t="s">
        <v>2926</v>
      </c>
      <c r="L482" t="s">
        <v>2931</v>
      </c>
      <c r="M482" t="s">
        <v>3078</v>
      </c>
      <c r="R482" s="40"/>
      <c r="S482" s="40" t="str" cm="1">
        <f t="array" aca="1" ref="S482" ca="1">TRIM(SUBSTITUTE(_xlfn.ARRAYTOTEXT(IFERROR(CONCATENATE(SUMIF(INDIRECT("'"&amp;Assemblies[Assy]&amp;"'!"&amp;"C$5:C1000"), $A482, INDIRECT("'"&amp;Assemblies[Assy]&amp;"'!"&amp;"O$5:O1000")), "x",Assemblies[Assy],".",IF(SUMIF(INDIRECT("'"&amp;Assemblies[Assy]&amp;"'!"&amp;"C$5:C1000"), $A482, INDIRECT("'"&amp;Assemblies[Assy]&amp;"'!"&amp;"A$5:A1000"))=0,NA(),SUMIF(INDIRECT("'"&amp;Assemblies[Assy]&amp;"'!"&amp;"C$5:C1000"), $A482, INDIRECT("'"&amp;Assemblies[Assy]&amp;"'!"&amp;"A$5:A1000")))),"")), " ,", ""))</f>
        <v>, 24x11.3.302,</v>
      </c>
    </row>
    <row r="483" spans="1:19" hidden="1" x14ac:dyDescent="0.25">
      <c r="A483" s="160" t="s">
        <v>656</v>
      </c>
      <c r="B483" s="160" t="s">
        <v>3077</v>
      </c>
      <c r="C483" s="180">
        <v>1.69</v>
      </c>
      <c r="D483">
        <v>1</v>
      </c>
      <c r="E483" cm="1">
        <f t="array" aca="1" ref="E483" ca="1">SUMPRODUCT(SUMIF(INDIRECT("'"&amp;Assemblies[Assy]&amp;"'!"&amp;"C:C"),$A483,(INDIRECT("'"&amp;Assemblies[Assy]&amp;"'!"&amp;"O:O"))))</f>
        <v>11</v>
      </c>
      <c r="F483">
        <f ca="1">ROUNDUP(Purchased[[#This Row],[BOM QTY]]/Purchased[[#This Row],[PK QTY]], 0)</f>
        <v>11</v>
      </c>
      <c r="G483">
        <v>10</v>
      </c>
      <c r="H483" t="str">
        <f ca="1">IF(F483&lt;=G483," ","YES")</f>
        <v>YES</v>
      </c>
      <c r="I483">
        <v>10</v>
      </c>
      <c r="K483" t="s">
        <v>2926</v>
      </c>
      <c r="L483" t="s">
        <v>2931</v>
      </c>
      <c r="M483" t="s">
        <v>3078</v>
      </c>
      <c r="N483" s="40">
        <v>45489</v>
      </c>
      <c r="O483" s="40">
        <v>45491</v>
      </c>
      <c r="P483" s="40">
        <v>45520</v>
      </c>
      <c r="Q483" s="40">
        <v>45511</v>
      </c>
      <c r="R483">
        <v>55603</v>
      </c>
      <c r="S483" s="40" t="str" cm="1">
        <f t="array" aca="1" ref="S483" ca="1">TRIM(SUBSTITUTE(_xlfn.ARRAYTOTEXT(IFERROR(CONCATENATE(SUMIF(INDIRECT("'"&amp;Assemblies[Assy]&amp;"'!"&amp;"C$5:C1000"), $A483, INDIRECT("'"&amp;Assemblies[Assy]&amp;"'!"&amp;"O$5:O1000")), "x",Assemblies[Assy],".",IF(SUMIF(INDIRECT("'"&amp;Assemblies[Assy]&amp;"'!"&amp;"C$5:C1000"), $A483, INDIRECT("'"&amp;Assemblies[Assy]&amp;"'!"&amp;"A$5:A1000"))=0,NA(),SUMIF(INDIRECT("'"&amp;Assemblies[Assy]&amp;"'!"&amp;"C$5:C1000"), $A483, INDIRECT("'"&amp;Assemblies[Assy]&amp;"'!"&amp;"A$5:A1000")))),"")), " ,", ""))</f>
        <v>, 1x4.5.305, 1x4.5.1.314, 9x7.1.316,</v>
      </c>
    </row>
    <row r="484" spans="1:19" x14ac:dyDescent="0.25">
      <c r="A484" s="162" t="s">
        <v>316</v>
      </c>
      <c r="B484" s="160" t="s">
        <v>3208</v>
      </c>
      <c r="C484" s="180">
        <v>40.83</v>
      </c>
      <c r="D484">
        <v>1</v>
      </c>
      <c r="E484" cm="1">
        <f t="array" aca="1" ref="E484" ca="1">SUMPRODUCT(SUMIF(INDIRECT("'"&amp;Assemblies[Assy]&amp;"'!"&amp;"C:C"),$A484,(INDIRECT("'"&amp;Assemblies[Assy]&amp;"'!"&amp;"O:O"))))</f>
        <v>6</v>
      </c>
      <c r="F484">
        <f ca="1">ROUNDUP(Purchased[[#This Row],[BOM QTY]]/Purchased[[#This Row],[PK QTY]], 0)</f>
        <v>6</v>
      </c>
      <c r="G484">
        <v>6</v>
      </c>
      <c r="H484" t="str">
        <f ca="1">IF(F484&lt;=G484," ","YES")</f>
        <v xml:space="preserve"> </v>
      </c>
      <c r="I484">
        <v>5</v>
      </c>
      <c r="J484">
        <v>5</v>
      </c>
      <c r="K484" t="s">
        <v>3200</v>
      </c>
      <c r="L484" s="191" t="s">
        <v>3164</v>
      </c>
      <c r="M484" s="191" t="s">
        <v>3895</v>
      </c>
      <c r="N484" s="40">
        <v>45456</v>
      </c>
      <c r="O484" s="40">
        <v>45456</v>
      </c>
      <c r="P484" s="40">
        <v>45468</v>
      </c>
      <c r="Q484" s="40">
        <v>45468</v>
      </c>
      <c r="R484">
        <v>55553</v>
      </c>
      <c r="S484" s="40" t="str" cm="1">
        <f t="array" aca="1" ref="S484" ca="1">TRIM(SUBSTITUTE(_xlfn.ARRAYTOTEXT(IFERROR(CONCATENATE(SUMIF(INDIRECT("'"&amp;Assemblies[Assy]&amp;"'!"&amp;"C$5:C1000"), $A484, INDIRECT("'"&amp;Assemblies[Assy]&amp;"'!"&amp;"O$5:O1000")), "x",Assemblies[Assy],".",IF(SUMIF(INDIRECT("'"&amp;Assemblies[Assy]&amp;"'!"&amp;"C$5:C1000"), $A484, INDIRECT("'"&amp;Assemblies[Assy]&amp;"'!"&amp;"A$5:A1000"))=0,NA(),SUMIF(INDIRECT("'"&amp;Assemblies[Assy]&amp;"'!"&amp;"C$5:C1000"), $A484, INDIRECT("'"&amp;Assemblies[Assy]&amp;"'!"&amp;"A$5:A1000")))),"")), " ,", ""))</f>
        <v>, 5x1.3.1.302, 1x10.2.1.302,</v>
      </c>
    </row>
    <row r="485" spans="1:19" x14ac:dyDescent="0.25">
      <c r="A485" s="162" t="s">
        <v>317</v>
      </c>
      <c r="B485" s="160" t="s">
        <v>3209</v>
      </c>
      <c r="C485" s="180">
        <v>93.8</v>
      </c>
      <c r="D485">
        <v>1</v>
      </c>
      <c r="E485" cm="1">
        <f t="array" aca="1" ref="E485" ca="1">SUMPRODUCT(SUMIF(INDIRECT("'"&amp;Assemblies[Assy]&amp;"'!"&amp;"C:C"),$A485,(INDIRECT("'"&amp;Assemblies[Assy]&amp;"'!"&amp;"O:O"))))</f>
        <v>16</v>
      </c>
      <c r="F485">
        <f ca="1">ROUNDUP(Purchased[[#This Row],[BOM QTY]]/Purchased[[#This Row],[PK QTY]], 0)</f>
        <v>16</v>
      </c>
      <c r="G485">
        <v>16</v>
      </c>
      <c r="H485" t="str">
        <f ca="1">IF(F485&lt;=G485," ","YES")</f>
        <v xml:space="preserve"> </v>
      </c>
      <c r="I485">
        <v>10</v>
      </c>
      <c r="J485">
        <v>10</v>
      </c>
      <c r="K485" t="s">
        <v>3200</v>
      </c>
      <c r="L485" s="191" t="s">
        <v>3164</v>
      </c>
      <c r="M485" s="191" t="s">
        <v>3896</v>
      </c>
      <c r="N485" s="40">
        <v>45456</v>
      </c>
      <c r="O485" s="40">
        <v>45456</v>
      </c>
      <c r="P485" s="40">
        <v>45468</v>
      </c>
      <c r="Q485" s="40">
        <v>45468</v>
      </c>
      <c r="R485">
        <v>55553</v>
      </c>
      <c r="S485" s="40" t="str" cm="1">
        <f t="array" aca="1" ref="S485" ca="1">TRIM(SUBSTITUTE(_xlfn.ARRAYTOTEXT(IFERROR(CONCATENATE(SUMIF(INDIRECT("'"&amp;Assemblies[Assy]&amp;"'!"&amp;"C$5:C1000"), $A485, INDIRECT("'"&amp;Assemblies[Assy]&amp;"'!"&amp;"O$5:O1000")), "x",Assemblies[Assy],".",IF(SUMIF(INDIRECT("'"&amp;Assemblies[Assy]&amp;"'!"&amp;"C$5:C1000"), $A485, INDIRECT("'"&amp;Assemblies[Assy]&amp;"'!"&amp;"A$5:A1000"))=0,NA(),SUMIF(INDIRECT("'"&amp;Assemblies[Assy]&amp;"'!"&amp;"C$5:C1000"), $A485, INDIRECT("'"&amp;Assemblies[Assy]&amp;"'!"&amp;"A$5:A1000")))),"")), " ,", ""))</f>
        <v>, 5x1.3.1.303, 5x1.3.2.301, 1x10.2.1.301, 1x10.2.2.301, 2x10.2.4.301, 2x10.2.8.302,</v>
      </c>
    </row>
    <row r="486" spans="1:19" x14ac:dyDescent="0.25">
      <c r="A486" s="161" t="s">
        <v>1408</v>
      </c>
      <c r="B486" s="161" t="s">
        <v>3210</v>
      </c>
      <c r="C486" s="180">
        <v>104.8</v>
      </c>
      <c r="D486">
        <v>1</v>
      </c>
      <c r="E486" cm="1">
        <f t="array" aca="1" ref="E486" ca="1">SUMPRODUCT(SUMIF(INDIRECT("'"&amp;Assemblies[Assy]&amp;"'!"&amp;"C:C"),$A486,(INDIRECT("'"&amp;Assemblies[Assy]&amp;"'!"&amp;"O:O"))))</f>
        <v>2</v>
      </c>
      <c r="F486">
        <f ca="1">ROUNDUP(Purchased[[#This Row],[BOM QTY]]/Purchased[[#This Row],[PK QTY]], 0)</f>
        <v>2</v>
      </c>
      <c r="G486">
        <v>2</v>
      </c>
      <c r="H486" t="str">
        <f ca="1">IF(F486&lt;=G486," ","YES")</f>
        <v xml:space="preserve"> </v>
      </c>
      <c r="K486" t="s">
        <v>3200</v>
      </c>
      <c r="L486" s="191" t="s">
        <v>3164</v>
      </c>
      <c r="M486" s="191" t="s">
        <v>3894</v>
      </c>
      <c r="N486" s="40">
        <v>45506</v>
      </c>
      <c r="R486">
        <v>55766</v>
      </c>
      <c r="S486" s="40" t="str" cm="1">
        <f t="array" aca="1" ref="S486" ca="1">TRIM(SUBSTITUTE(_xlfn.ARRAYTOTEXT(IFERROR(CONCATENATE(SUMIF(INDIRECT("'"&amp;Assemblies[Assy]&amp;"'!"&amp;"C$5:C1000"), $A486, INDIRECT("'"&amp;Assemblies[Assy]&amp;"'!"&amp;"O$5:O1000")), "x",Assemblies[Assy],".",IF(SUMIF(INDIRECT("'"&amp;Assemblies[Assy]&amp;"'!"&amp;"C$5:C1000"), $A486, INDIRECT("'"&amp;Assemblies[Assy]&amp;"'!"&amp;"A$5:A1000"))=0,NA(),SUMIF(INDIRECT("'"&amp;Assemblies[Assy]&amp;"'!"&amp;"C$5:C1000"), $A486, INDIRECT("'"&amp;Assemblies[Assy]&amp;"'!"&amp;"A$5:A1000")))),"")), " ,", ""))</f>
        <v>, 2x10.2.8.301,</v>
      </c>
    </row>
    <row r="487" spans="1:19" x14ac:dyDescent="0.25">
      <c r="A487" s="160" t="s">
        <v>913</v>
      </c>
      <c r="B487" s="160" t="s">
        <v>3214</v>
      </c>
      <c r="C487" s="180">
        <v>63.14</v>
      </c>
      <c r="D487">
        <v>1</v>
      </c>
      <c r="E487" cm="1">
        <f t="array" aca="1" ref="E487" ca="1">SUMPRODUCT(SUMIF(INDIRECT("'"&amp;Assemblies[Assy]&amp;"'!"&amp;"C:C"),$A487,(INDIRECT("'"&amp;Assemblies[Assy]&amp;"'!"&amp;"O:O"))))</f>
        <v>16</v>
      </c>
      <c r="F487">
        <f ca="1">ROUNDUP(Purchased[[#This Row],[BOM QTY]]/Purchased[[#This Row],[PK QTY]], 0)</f>
        <v>16</v>
      </c>
      <c r="G487">
        <v>18</v>
      </c>
      <c r="H487" t="str">
        <f ca="1">IF(F487&lt;=G487," ","YES")</f>
        <v xml:space="preserve"> </v>
      </c>
      <c r="I487">
        <v>6</v>
      </c>
      <c r="J487">
        <v>6</v>
      </c>
      <c r="K487" t="s">
        <v>3215</v>
      </c>
      <c r="L487" s="191" t="s">
        <v>3164</v>
      </c>
      <c r="M487" s="191" t="s">
        <v>3897</v>
      </c>
      <c r="N487" s="40">
        <v>45460</v>
      </c>
      <c r="O487" s="40">
        <v>45462</v>
      </c>
      <c r="P487" s="40">
        <v>45495</v>
      </c>
      <c r="Q487" s="40">
        <v>45495</v>
      </c>
      <c r="R487">
        <v>55560</v>
      </c>
      <c r="S487" s="40" t="str" cm="1">
        <f t="array" aca="1" ref="S487" ca="1">TRIM(SUBSTITUTE(_xlfn.ARRAYTOTEXT(IFERROR(CONCATENATE(SUMIF(INDIRECT("'"&amp;Assemblies[Assy]&amp;"'!"&amp;"C$5:C1000"), $A487, INDIRECT("'"&amp;Assemblies[Assy]&amp;"'!"&amp;"O$5:O1000")), "x",Assemblies[Assy],".",IF(SUMIF(INDIRECT("'"&amp;Assemblies[Assy]&amp;"'!"&amp;"C$5:C1000"), $A487, INDIRECT("'"&amp;Assemblies[Assy]&amp;"'!"&amp;"A$5:A1000"))=0,NA(),SUMIF(INDIRECT("'"&amp;Assemblies[Assy]&amp;"'!"&amp;"C$5:C1000"), $A487, INDIRECT("'"&amp;Assemblies[Assy]&amp;"'!"&amp;"A$5:A1000")))),"")), " ,", ""))</f>
        <v>, 6x6.1.1.301, 4x6.1.2.301, 6x7.1.5.301,</v>
      </c>
    </row>
    <row r="488" spans="1:19" hidden="1" x14ac:dyDescent="0.25">
      <c r="A488" s="161">
        <v>1072708</v>
      </c>
      <c r="B488" s="160" t="s">
        <v>3247</v>
      </c>
      <c r="C488" s="180">
        <v>285.94</v>
      </c>
      <c r="D488">
        <v>1</v>
      </c>
      <c r="E488" cm="1">
        <f t="array" aca="1" ref="E488" ca="1">SUMPRODUCT(SUMIF(INDIRECT("'"&amp;Assemblies[Assy]&amp;"'!"&amp;"C:C"),$A488,(INDIRECT("'"&amp;Assemblies[Assy]&amp;"'!"&amp;"O:O"))))</f>
        <v>2</v>
      </c>
      <c r="F488">
        <f ca="1">ROUNDUP(Purchased[[#This Row],[BOM QTY]]/Purchased[[#This Row],[PK QTY]], 0)</f>
        <v>2</v>
      </c>
      <c r="H488" t="str">
        <f ca="1">IF(F488&lt;=G488," ","YES")</f>
        <v>YES</v>
      </c>
      <c r="K488" t="s">
        <v>3021</v>
      </c>
      <c r="L488" t="s">
        <v>3246</v>
      </c>
      <c r="M488" t="s">
        <v>3248</v>
      </c>
      <c r="N488" s="40">
        <v>45506</v>
      </c>
      <c r="S488" s="40" t="str" cm="1">
        <f t="array" aca="1" ref="S488" ca="1">TRIM(SUBSTITUTE(_xlfn.ARRAYTOTEXT(IFERROR(CONCATENATE(SUMIF(INDIRECT("'"&amp;Assemblies[Assy]&amp;"'!"&amp;"C$5:C1000"), $A488, INDIRECT("'"&amp;Assemblies[Assy]&amp;"'!"&amp;"O$5:O1000")), "x",Assemblies[Assy],".",IF(SUMIF(INDIRECT("'"&amp;Assemblies[Assy]&amp;"'!"&amp;"C$5:C1000"), $A488, INDIRECT("'"&amp;Assemblies[Assy]&amp;"'!"&amp;"A$5:A1000"))=0,NA(),SUMIF(INDIRECT("'"&amp;Assemblies[Assy]&amp;"'!"&amp;"C$5:C1000"), $A488, INDIRECT("'"&amp;Assemblies[Assy]&amp;"'!"&amp;"A$5:A1000")))),"")), " ,", ""))</f>
        <v>, 1x4.1.7.309, 1x4.1.8.309,</v>
      </c>
    </row>
    <row r="489" spans="1:19" hidden="1" x14ac:dyDescent="0.25">
      <c r="A489" s="162" t="s">
        <v>193</v>
      </c>
      <c r="B489" s="160" t="s">
        <v>3265</v>
      </c>
      <c r="C489" s="180">
        <v>8.58</v>
      </c>
      <c r="D489">
        <v>1</v>
      </c>
      <c r="E489" cm="1">
        <f t="array" aca="1" ref="E489" ca="1">SUMPRODUCT(SUMIF(INDIRECT("'"&amp;Assemblies[Assy]&amp;"'!"&amp;"C:C"),$A489,(INDIRECT("'"&amp;Assemblies[Assy]&amp;"'!"&amp;"O:O"))))</f>
        <v>15</v>
      </c>
      <c r="F489">
        <f ca="1">ROUNDUP(Purchased[[#This Row],[BOM QTY]]/Purchased[[#This Row],[PK QTY]], 0)</f>
        <v>15</v>
      </c>
      <c r="G489">
        <v>7</v>
      </c>
      <c r="H489" t="str">
        <f ca="1">IF(F489&lt;=G489," ","YES")</f>
        <v>YES</v>
      </c>
      <c r="I489">
        <v>7</v>
      </c>
      <c r="J489">
        <v>7</v>
      </c>
      <c r="K489" t="s">
        <v>3256</v>
      </c>
      <c r="L489" t="s">
        <v>3256</v>
      </c>
      <c r="N489" s="40">
        <v>45506</v>
      </c>
      <c r="O489" s="40">
        <v>45526</v>
      </c>
      <c r="P489" s="40">
        <v>45551</v>
      </c>
      <c r="Q489" s="40">
        <v>45551</v>
      </c>
      <c r="R489">
        <v>55698</v>
      </c>
      <c r="S489" s="40" t="str" cm="1">
        <f t="array" aca="1" ref="S489" ca="1">TRIM(SUBSTITUTE(_xlfn.ARRAYTOTEXT(IFERROR(CONCATENATE(SUMIF(INDIRECT("'"&amp;Assemblies[Assy]&amp;"'!"&amp;"C$5:C1000"), $A489, INDIRECT("'"&amp;Assemblies[Assy]&amp;"'!"&amp;"O$5:O1000")), "x",Assemblies[Assy],".",IF(SUMIF(INDIRECT("'"&amp;Assemblies[Assy]&amp;"'!"&amp;"C$5:C1000"), $A489, INDIRECT("'"&amp;Assemblies[Assy]&amp;"'!"&amp;"A$5:A1000"))=0,NA(),SUMIF(INDIRECT("'"&amp;Assemblies[Assy]&amp;"'!"&amp;"C$5:C1000"), $A489, INDIRECT("'"&amp;Assemblies[Assy]&amp;"'!"&amp;"A$5:A1000")))),"")), " ,", ""))</f>
        <v>, 2x1.1.6.302, 6x2.3.8.302, 2x4.7.1.303, 4x9.4.302, 1x10.1.9.306,</v>
      </c>
    </row>
    <row r="490" spans="1:19" hidden="1" x14ac:dyDescent="0.25">
      <c r="A490" s="162" t="s">
        <v>336</v>
      </c>
      <c r="B490" s="160" t="s">
        <v>3283</v>
      </c>
      <c r="C490" s="180">
        <v>2.75</v>
      </c>
      <c r="D490">
        <v>1</v>
      </c>
      <c r="E490" cm="1">
        <f t="array" aca="1" ref="E490" ca="1">SUMPRODUCT(SUMIF(INDIRECT("'"&amp;Assemblies[Assy]&amp;"'!"&amp;"C:C"),$A490,(INDIRECT("'"&amp;Assemblies[Assy]&amp;"'!"&amp;"O:O"))))</f>
        <v>18</v>
      </c>
      <c r="F490">
        <f ca="1">ROUNDUP(Purchased[[#This Row],[BOM QTY]]/Purchased[[#This Row],[PK QTY]], 0)</f>
        <v>18</v>
      </c>
      <c r="G490">
        <v>10</v>
      </c>
      <c r="H490" t="str">
        <f ca="1">IF(F490&lt;=G490," ","YES")</f>
        <v>YES</v>
      </c>
      <c r="I490">
        <v>10</v>
      </c>
      <c r="J490">
        <v>10</v>
      </c>
      <c r="K490" t="s">
        <v>3273</v>
      </c>
      <c r="L490" t="s">
        <v>3273</v>
      </c>
      <c r="N490" s="40">
        <v>45489</v>
      </c>
      <c r="O490" s="40">
        <v>45489</v>
      </c>
      <c r="P490" s="40">
        <v>45534</v>
      </c>
      <c r="Q490" s="40">
        <v>45534</v>
      </c>
      <c r="R490">
        <v>55604</v>
      </c>
      <c r="S490" s="40" t="str" cm="1">
        <f t="array" aca="1" ref="S490" ca="1">TRIM(SUBSTITUTE(_xlfn.ARRAYTOTEXT(IFERROR(CONCATENATE(SUMIF(INDIRECT("'"&amp;Assemblies[Assy]&amp;"'!"&amp;"C$5:C1000"), $A490, INDIRECT("'"&amp;Assemblies[Assy]&amp;"'!"&amp;"O$5:O1000")), "x",Assemblies[Assy],".",IF(SUMIF(INDIRECT("'"&amp;Assemblies[Assy]&amp;"'!"&amp;"C$5:C1000"), $A490, INDIRECT("'"&amp;Assemblies[Assy]&amp;"'!"&amp;"A$5:A1000"))=0,NA(),SUMIF(INDIRECT("'"&amp;Assemblies[Assy]&amp;"'!"&amp;"C$5:C1000"), $A490, INDIRECT("'"&amp;Assemblies[Assy]&amp;"'!"&amp;"A$5:A1000")))),"")), " ,", ""))</f>
        <v>, 18x1.3.7.301,</v>
      </c>
    </row>
    <row r="491" spans="1:19" hidden="1" x14ac:dyDescent="0.25">
      <c r="A491" s="162" t="s">
        <v>233</v>
      </c>
      <c r="B491" s="160" t="s">
        <v>3381</v>
      </c>
      <c r="C491" s="180">
        <v>6.56</v>
      </c>
      <c r="D491">
        <v>100</v>
      </c>
      <c r="E491" cm="1">
        <f t="array" aca="1" ref="E491" ca="1">SUMPRODUCT(SUMIF(INDIRECT("'"&amp;Assemblies[Assy]&amp;"'!"&amp;"C:C"),$A491,(INDIRECT("'"&amp;Assemblies[Assy]&amp;"'!"&amp;"O:O"))))</f>
        <v>526</v>
      </c>
      <c r="F491">
        <f ca="1">ROUNDUP(Purchased[[#This Row],[BOM QTY]]/Purchased[[#This Row],[PK QTY]], 0)</f>
        <v>6</v>
      </c>
      <c r="G491">
        <v>3</v>
      </c>
      <c r="H491" t="str">
        <f ca="1">IF(F491&lt;=G491," ","YES")</f>
        <v>YES</v>
      </c>
      <c r="I491">
        <v>3</v>
      </c>
      <c r="J491">
        <v>3</v>
      </c>
      <c r="K491" t="s">
        <v>3313</v>
      </c>
      <c r="L491" t="s">
        <v>3313</v>
      </c>
      <c r="M491" t="s">
        <v>3358</v>
      </c>
      <c r="N491" s="40">
        <v>45481</v>
      </c>
      <c r="O491" s="40">
        <v>45481</v>
      </c>
      <c r="P491" s="40">
        <v>45482</v>
      </c>
      <c r="Q491" s="40">
        <v>45482</v>
      </c>
      <c r="R491">
        <v>55591</v>
      </c>
      <c r="S491" s="40" t="str" cm="1">
        <f t="array" aca="1" ref="S491" ca="1">TRIM(SUBSTITUTE(_xlfn.ARRAYTOTEXT(IFERROR(CONCATENATE(SUMIF(INDIRECT("'"&amp;Assemblies[Assy]&amp;"'!"&amp;"C$5:C1000"), $A491, INDIRECT("'"&amp;Assemblies[Assy]&amp;"'!"&amp;"O$5:O1000")), "x",Assemblies[Assy],".",IF(SUMIF(INDIRECT("'"&amp;Assemblies[Assy]&amp;"'!"&amp;"C$5:C1000"), $A491, INDIRECT("'"&amp;Assemblies[Assy]&amp;"'!"&amp;"A$5:A1000"))=0,NA(),SUMIF(INDIRECT("'"&amp;Assemblies[Assy]&amp;"'!"&amp;"C$5:C1000"), $A491, INDIRECT("'"&amp;Assemblies[Assy]&amp;"'!"&amp;"A$5:A1000")))),"")), " ,", ""))</f>
        <v>, 405x1.1.11.1.302, 93x1.7.1.302, 2x4.1.7.308, 14x4.1.8.308, 12x4.2.1.302,</v>
      </c>
    </row>
    <row r="492" spans="1:19" hidden="1" x14ac:dyDescent="0.25">
      <c r="A492" s="162" t="s">
        <v>410</v>
      </c>
      <c r="B492" s="160" t="s">
        <v>3411</v>
      </c>
      <c r="C492" s="180">
        <v>10.06</v>
      </c>
      <c r="D492">
        <v>25</v>
      </c>
      <c r="E492" cm="1">
        <f t="array" aca="1" ref="E492" ca="1">SUMPRODUCT(SUMIF(INDIRECT("'"&amp;Assemblies[Assy]&amp;"'!"&amp;"C:C"),$A492,(INDIRECT("'"&amp;Assemblies[Assy]&amp;"'!"&amp;"O:O"))))</f>
        <v>24</v>
      </c>
      <c r="F492">
        <f ca="1">ROUNDUP(Purchased[[#This Row],[BOM QTY]]/Purchased[[#This Row],[PK QTY]], 0)</f>
        <v>1</v>
      </c>
      <c r="H492" t="str">
        <f ca="1">IF(F492&lt;=G492," ","YES")</f>
        <v>YES</v>
      </c>
      <c r="K492" s="160" t="s">
        <v>3313</v>
      </c>
      <c r="L492" t="s">
        <v>3313</v>
      </c>
      <c r="S492" s="40" t="str" cm="1">
        <f t="array" aca="1" ref="S492" ca="1">TRIM(SUBSTITUTE(_xlfn.ARRAYTOTEXT(IFERROR(CONCATENATE(SUMIF(INDIRECT("'"&amp;Assemblies[Assy]&amp;"'!"&amp;"C$5:C1000"), $A492, INDIRECT("'"&amp;Assemblies[Assy]&amp;"'!"&amp;"O$5:O1000")), "x",Assemblies[Assy],".",IF(SUMIF(INDIRECT("'"&amp;Assemblies[Assy]&amp;"'!"&amp;"C$5:C1000"), $A492, INDIRECT("'"&amp;Assemblies[Assy]&amp;"'!"&amp;"A$5:A1000"))=0,NA(),SUMIF(INDIRECT("'"&amp;Assemblies[Assy]&amp;"'!"&amp;"C$5:C1000"), $A492, INDIRECT("'"&amp;Assemblies[Assy]&amp;"'!"&amp;"A$5:A1000")))),"")), " ,", ""))</f>
        <v>, 24x2.2.1.1.302,</v>
      </c>
    </row>
    <row r="493" spans="1:19" hidden="1" x14ac:dyDescent="0.25">
      <c r="A493" s="160" t="s">
        <v>1438</v>
      </c>
      <c r="B493" s="160" t="s">
        <v>3394</v>
      </c>
      <c r="C493" s="180">
        <v>44.36</v>
      </c>
      <c r="D493">
        <v>1</v>
      </c>
      <c r="E493" cm="1">
        <f t="array" aca="1" ref="E493" ca="1">SUMPRODUCT(SUMIF(INDIRECT("'"&amp;Assemblies[Assy]&amp;"'!"&amp;"C:C"),$A493,(INDIRECT("'"&amp;Assemblies[Assy]&amp;"'!"&amp;"O:O"))))</f>
        <v>1</v>
      </c>
      <c r="F493">
        <f ca="1">ROUNDUP(Purchased[[#This Row],[BOM QTY]]/Purchased[[#This Row],[PK QTY]], 0)</f>
        <v>1</v>
      </c>
      <c r="H493" t="str">
        <f ca="1">IF(F493&lt;=G493," ","YES")</f>
        <v>YES</v>
      </c>
      <c r="K493" t="s">
        <v>3313</v>
      </c>
      <c r="L493" t="s">
        <v>3313</v>
      </c>
      <c r="N493" s="40" t="s">
        <v>2747</v>
      </c>
      <c r="S493" s="40" t="str" cm="1">
        <f t="array" aca="1" ref="S493" ca="1">TRIM(SUBSTITUTE(_xlfn.ARRAYTOTEXT(IFERROR(CONCATENATE(SUMIF(INDIRECT("'"&amp;Assemblies[Assy]&amp;"'!"&amp;"C$5:C1000"), $A493, INDIRECT("'"&amp;Assemblies[Assy]&amp;"'!"&amp;"O$5:O1000")), "x",Assemblies[Assy],".",IF(SUMIF(INDIRECT("'"&amp;Assemblies[Assy]&amp;"'!"&amp;"C$5:C1000"), $A493, INDIRECT("'"&amp;Assemblies[Assy]&amp;"'!"&amp;"A$5:A1000"))=0,NA(),SUMIF(INDIRECT("'"&amp;Assemblies[Assy]&amp;"'!"&amp;"C$5:C1000"), $A493, INDIRECT("'"&amp;Assemblies[Assy]&amp;"'!"&amp;"A$5:A1000")))),"")), " ,", ""))</f>
        <v>, 1x11.1.310,</v>
      </c>
    </row>
    <row r="494" spans="1:19" hidden="1" x14ac:dyDescent="0.25">
      <c r="A494" s="160" t="s">
        <v>1439</v>
      </c>
      <c r="B494" s="160" t="s">
        <v>3432</v>
      </c>
      <c r="C494" s="180">
        <v>68.72</v>
      </c>
      <c r="D494">
        <v>1</v>
      </c>
      <c r="E494" cm="1">
        <f t="array" aca="1" ref="E494" ca="1">SUMPRODUCT(SUMIF(INDIRECT("'"&amp;Assemblies[Assy]&amp;"'!"&amp;"C:C"),$A494,(INDIRECT("'"&amp;Assemblies[Assy]&amp;"'!"&amp;"O:O"))))</f>
        <v>1</v>
      </c>
      <c r="F494">
        <f ca="1">ROUNDUP(Purchased[[#This Row],[BOM QTY]]/Purchased[[#This Row],[PK QTY]], 0)</f>
        <v>1</v>
      </c>
      <c r="H494" t="str">
        <f ca="1">IF(F494&lt;=G494," ","YES")</f>
        <v>YES</v>
      </c>
      <c r="K494" t="s">
        <v>3313</v>
      </c>
      <c r="L494" t="s">
        <v>3313</v>
      </c>
      <c r="S494" s="40" t="str" cm="1">
        <f t="array" aca="1" ref="S494" ca="1">TRIM(SUBSTITUTE(_xlfn.ARRAYTOTEXT(IFERROR(CONCATENATE(SUMIF(INDIRECT("'"&amp;Assemblies[Assy]&amp;"'!"&amp;"C$5:C1000"), $A494, INDIRECT("'"&amp;Assemblies[Assy]&amp;"'!"&amp;"O$5:O1000")), "x",Assemblies[Assy],".",IF(SUMIF(INDIRECT("'"&amp;Assemblies[Assy]&amp;"'!"&amp;"C$5:C1000"), $A494, INDIRECT("'"&amp;Assemblies[Assy]&amp;"'!"&amp;"A$5:A1000"))=0,NA(),SUMIF(INDIRECT("'"&amp;Assemblies[Assy]&amp;"'!"&amp;"C$5:C1000"), $A494, INDIRECT("'"&amp;Assemblies[Assy]&amp;"'!"&amp;"A$5:A1000")))),"")), " ,", ""))</f>
        <v>, 1x11.1.311,</v>
      </c>
    </row>
    <row r="495" spans="1:19" hidden="1" x14ac:dyDescent="0.25">
      <c r="A495" s="160" t="s">
        <v>3818</v>
      </c>
      <c r="B495" s="160" t="s">
        <v>3819</v>
      </c>
      <c r="C495" s="180">
        <v>13.93</v>
      </c>
      <c r="D495">
        <v>5</v>
      </c>
      <c r="E495" cm="1">
        <f t="array" aca="1" ref="E495" ca="1">SUMPRODUCT(SUMIF(INDIRECT("'"&amp;Assemblies[Assy]&amp;"'!"&amp;"C:C"),$A495,(INDIRECT("'"&amp;Assemblies[Assy]&amp;"'!"&amp;"O:O"))))</f>
        <v>2</v>
      </c>
      <c r="F495">
        <f ca="1">ROUNDUP(Purchased[[#This Row],[BOM QTY]]/Purchased[[#This Row],[PK QTY]], 0)</f>
        <v>1</v>
      </c>
      <c r="H495" t="str">
        <f ca="1">IF(F495&lt;=G495," ","YES")</f>
        <v>YES</v>
      </c>
      <c r="K495" t="s">
        <v>3313</v>
      </c>
      <c r="L495" t="s">
        <v>3313</v>
      </c>
      <c r="S495" s="40" t="str" cm="1">
        <f t="array" aca="1" ref="S495" ca="1">TRIM(SUBSTITUTE(_xlfn.ARRAYTOTEXT(IFERROR(CONCATENATE(SUMIF(INDIRECT("'"&amp;Assemblies[Assy]&amp;"'!"&amp;"C$5:C1000"), $A495, INDIRECT("'"&amp;Assemblies[Assy]&amp;"'!"&amp;"O$5:O1000")), "x",Assemblies[Assy],".",IF(SUMIF(INDIRECT("'"&amp;Assemblies[Assy]&amp;"'!"&amp;"C$5:C1000"), $A495, INDIRECT("'"&amp;Assemblies[Assy]&amp;"'!"&amp;"A$5:A1000"))=0,NA(),SUMIF(INDIRECT("'"&amp;Assemblies[Assy]&amp;"'!"&amp;"C$5:C1000"), $A495, INDIRECT("'"&amp;Assemblies[Assy]&amp;"'!"&amp;"A$5:A1000")))),"")), " ,", ""))</f>
        <v>, 1x10.2.4.305, 1x10.2.8.306,</v>
      </c>
    </row>
    <row r="496" spans="1:19" hidden="1" x14ac:dyDescent="0.25">
      <c r="A496" s="160" t="s">
        <v>1417</v>
      </c>
      <c r="B496" s="160" t="s">
        <v>3584</v>
      </c>
      <c r="C496" s="180">
        <v>1.69</v>
      </c>
      <c r="D496">
        <v>10</v>
      </c>
      <c r="E496" cm="1">
        <f t="array" aca="1" ref="E496" ca="1">SUMPRODUCT(SUMIF(INDIRECT("'"&amp;Assemblies[Assy]&amp;"'!"&amp;"C:C"),$A496,(INDIRECT("'"&amp;Assemblies[Assy]&amp;"'!"&amp;"O:O"))))</f>
        <v>8</v>
      </c>
      <c r="F496">
        <f ca="1">ROUNDUP(Purchased[[#This Row],[BOM QTY]]/Purchased[[#This Row],[PK QTY]], 0)</f>
        <v>1</v>
      </c>
      <c r="H496" t="str">
        <f ca="1">IF(F496&lt;=G496," ","YES")</f>
        <v>YES</v>
      </c>
      <c r="K496" t="s">
        <v>3313</v>
      </c>
      <c r="L496" t="s">
        <v>3313</v>
      </c>
      <c r="M496" t="s">
        <v>3871</v>
      </c>
      <c r="S496" s="40" t="str" cm="1">
        <f t="array" aca="1" ref="S496" ca="1">TRIM(SUBSTITUTE(_xlfn.ARRAYTOTEXT(IFERROR(CONCATENATE(SUMIF(INDIRECT("'"&amp;Assemblies[Assy]&amp;"'!"&amp;"C$5:C1000"), $A496, INDIRECT("'"&amp;Assemblies[Assy]&amp;"'!"&amp;"O$5:O1000")), "x",Assemblies[Assy],".",IF(SUMIF(INDIRECT("'"&amp;Assemblies[Assy]&amp;"'!"&amp;"C$5:C1000"), $A496, INDIRECT("'"&amp;Assemblies[Assy]&amp;"'!"&amp;"A$5:A1000"))=0,NA(),SUMIF(INDIRECT("'"&amp;Assemblies[Assy]&amp;"'!"&amp;"C$5:C1000"), $A496, INDIRECT("'"&amp;Assemblies[Assy]&amp;"'!"&amp;"A$5:A1000")))),"")), " ,", ""))</f>
        <v>, 8x10.3.310,</v>
      </c>
    </row>
    <row r="497" spans="1:19" hidden="1" x14ac:dyDescent="0.25">
      <c r="A497" s="160" t="s">
        <v>1440</v>
      </c>
      <c r="B497" s="160" t="s">
        <v>3484</v>
      </c>
      <c r="C497" s="180">
        <v>20.81</v>
      </c>
      <c r="D497">
        <v>1</v>
      </c>
      <c r="E497" cm="1">
        <f t="array" aca="1" ref="E497" ca="1">SUMPRODUCT(SUMIF(INDIRECT("'"&amp;Assemblies[Assy]&amp;"'!"&amp;"C:C"),$A497,(INDIRECT("'"&amp;Assemblies[Assy]&amp;"'!"&amp;"O:O"))))</f>
        <v>4</v>
      </c>
      <c r="F497">
        <f ca="1">ROUNDUP(Purchased[[#This Row],[BOM QTY]]/Purchased[[#This Row],[PK QTY]], 0)</f>
        <v>4</v>
      </c>
      <c r="H497" t="str">
        <f ca="1">IF(F497&lt;=G497," ","YES")</f>
        <v>YES</v>
      </c>
      <c r="K497" t="s">
        <v>3442</v>
      </c>
      <c r="L497" t="s">
        <v>3442</v>
      </c>
      <c r="S497" s="40" t="str" cm="1">
        <f t="array" aca="1" ref="S497" ca="1">TRIM(SUBSTITUTE(_xlfn.ARRAYTOTEXT(IFERROR(CONCATENATE(SUMIF(INDIRECT("'"&amp;Assemblies[Assy]&amp;"'!"&amp;"C$5:C1000"), $A497, INDIRECT("'"&amp;Assemblies[Assy]&amp;"'!"&amp;"O$5:O1000")), "x",Assemblies[Assy],".",IF(SUMIF(INDIRECT("'"&amp;Assemblies[Assy]&amp;"'!"&amp;"C$5:C1000"), $A497, INDIRECT("'"&amp;Assemblies[Assy]&amp;"'!"&amp;"A$5:A1000"))=0,NA(),SUMIF(INDIRECT("'"&amp;Assemblies[Assy]&amp;"'!"&amp;"C$5:C1000"), $A497, INDIRECT("'"&amp;Assemblies[Assy]&amp;"'!"&amp;"A$5:A1000")))),"")), " ,", ""))</f>
        <v>, 4x11.1.312,</v>
      </c>
    </row>
    <row r="498" spans="1:19" hidden="1" x14ac:dyDescent="0.25">
      <c r="A498" s="160" t="s">
        <v>306</v>
      </c>
      <c r="B498" s="160" t="s">
        <v>3485</v>
      </c>
      <c r="C498" s="180">
        <v>0</v>
      </c>
      <c r="D498">
        <v>1</v>
      </c>
      <c r="E498" cm="1">
        <f t="array" aca="1" ref="E498" ca="1">SUMPRODUCT(SUMIF(INDIRECT("'"&amp;Assemblies[Assy]&amp;"'!"&amp;"C:C"),$A498,(INDIRECT("'"&amp;Assemblies[Assy]&amp;"'!"&amp;"O:O"))))</f>
        <v>51</v>
      </c>
      <c r="F498">
        <f ca="1">ROUNDUP(Purchased[[#This Row],[BOM QTY]]/Purchased[[#This Row],[PK QTY]], 0)</f>
        <v>51</v>
      </c>
      <c r="H498" t="str">
        <f ca="1">IF(F498&lt;=G498," ","YES")</f>
        <v>YES</v>
      </c>
      <c r="K498" t="s">
        <v>3486</v>
      </c>
      <c r="L498" t="s">
        <v>3486</v>
      </c>
      <c r="N498" s="40">
        <v>45506</v>
      </c>
      <c r="S498" s="40" t="str" cm="1">
        <f t="array" aca="1" ref="S498" ca="1">TRIM(SUBSTITUTE(_xlfn.ARRAYTOTEXT(IFERROR(CONCATENATE(SUMIF(INDIRECT("'"&amp;Assemblies[Assy]&amp;"'!"&amp;"C$5:C1000"), $A498, INDIRECT("'"&amp;Assemblies[Assy]&amp;"'!"&amp;"O$5:O1000")), "x",Assemblies[Assy],".",IF(SUMIF(INDIRECT("'"&amp;Assemblies[Assy]&amp;"'!"&amp;"C$5:C1000"), $A498, INDIRECT("'"&amp;Assemblies[Assy]&amp;"'!"&amp;"A$5:A1000"))=0,NA(),SUMIF(INDIRECT("'"&amp;Assemblies[Assy]&amp;"'!"&amp;"C$5:C1000"), $A498, INDIRECT("'"&amp;Assemblies[Assy]&amp;"'!"&amp;"A$5:A1000")))),"")), " ,", ""))</f>
        <v>, 4x1.3.315, 3x5.5.306, 2x5.5.1.304, 2x5.5.2.305, 2x5.5.2.1.307, 3x5.6.306, 2x5.6.1.304, 3x5.6.2.301, 4x5.7.304, 2x6.2.1.310, 1x6.2.1.1.302, 1x6.2.1.3.307, 4x6.2.2.312, 3x6.2.3.308, 2x6.3.1.310, 1x6.3.1.1.302, 1x6.3.1.3.307, 4x6.3.2.312, 3x6.3.3.308, 2x6.4.311, 2x6.5.311,</v>
      </c>
    </row>
    <row r="499" spans="1:19" hidden="1" x14ac:dyDescent="0.25">
      <c r="A499" s="160" t="s">
        <v>968</v>
      </c>
      <c r="B499" s="160" t="s">
        <v>3490</v>
      </c>
      <c r="C499" s="180">
        <v>0</v>
      </c>
      <c r="D499">
        <v>1</v>
      </c>
      <c r="E499" cm="1">
        <f t="array" aca="1" ref="E499" ca="1">SUMPRODUCT(SUMIF(INDIRECT("'"&amp;Assemblies[Assy]&amp;"'!"&amp;"C:C"),$A499,(INDIRECT("'"&amp;Assemblies[Assy]&amp;"'!"&amp;"O:O"))))</f>
        <v>2</v>
      </c>
      <c r="F499">
        <f ca="1">ROUNDUP(Purchased[[#This Row],[BOM QTY]]/Purchased[[#This Row],[PK QTY]], 0)</f>
        <v>2</v>
      </c>
      <c r="H499" t="str">
        <f ca="1">IF(F499&lt;=G499," ","YES")</f>
        <v>YES</v>
      </c>
      <c r="K499" t="s">
        <v>3486</v>
      </c>
      <c r="L499" t="s">
        <v>3486</v>
      </c>
      <c r="N499" s="40">
        <v>45506</v>
      </c>
      <c r="S499" s="40" t="str" cm="1">
        <f t="array" aca="1" ref="S499" ca="1">TRIM(SUBSTITUTE(_xlfn.ARRAYTOTEXT(IFERROR(CONCATENATE(SUMIF(INDIRECT("'"&amp;Assemblies[Assy]&amp;"'!"&amp;"C$5:C1000"), $A499, INDIRECT("'"&amp;Assemblies[Assy]&amp;"'!"&amp;"O$5:O1000")), "x",Assemblies[Assy],".",IF(SUMIF(INDIRECT("'"&amp;Assemblies[Assy]&amp;"'!"&amp;"C$5:C1000"), $A499, INDIRECT("'"&amp;Assemblies[Assy]&amp;"'!"&amp;"A$5:A1000"))=0,NA(),SUMIF(INDIRECT("'"&amp;Assemblies[Assy]&amp;"'!"&amp;"C$5:C1000"), $A499, INDIRECT("'"&amp;Assemblies[Assy]&amp;"'!"&amp;"A$5:A1000")))),"")), " ,", ""))</f>
        <v>, 1x6.2.1.4.307, 1x6.3.1.4.307,</v>
      </c>
    </row>
    <row r="500" spans="1:19" hidden="1" x14ac:dyDescent="0.25">
      <c r="A500" s="160" t="s">
        <v>1358</v>
      </c>
      <c r="B500" s="160" t="s">
        <v>3491</v>
      </c>
      <c r="C500" s="180">
        <v>0</v>
      </c>
      <c r="D500">
        <v>1</v>
      </c>
      <c r="E500" cm="1">
        <f t="array" aca="1" ref="E500" ca="1">SUMPRODUCT(SUMIF(INDIRECT("'"&amp;Assemblies[Assy]&amp;"'!"&amp;"C:C"),$A500,(INDIRECT("'"&amp;Assemblies[Assy]&amp;"'!"&amp;"O:O"))))</f>
        <v>7</v>
      </c>
      <c r="F500">
        <f ca="1">ROUNDUP(Purchased[[#This Row],[BOM QTY]]/Purchased[[#This Row],[PK QTY]], 0)</f>
        <v>7</v>
      </c>
      <c r="H500" t="str">
        <f ca="1">IF(F500&lt;=G500," ","YES")</f>
        <v>YES</v>
      </c>
      <c r="K500" t="s">
        <v>3486</v>
      </c>
      <c r="L500" t="s">
        <v>3486</v>
      </c>
      <c r="N500" s="40">
        <v>45506</v>
      </c>
      <c r="S500" s="40" t="str" cm="1">
        <f t="array" aca="1" ref="S500" ca="1">TRIM(SUBSTITUTE(_xlfn.ARRAYTOTEXT(IFERROR(CONCATENATE(SUMIF(INDIRECT("'"&amp;Assemblies[Assy]&amp;"'!"&amp;"C$5:C1000"), $A500, INDIRECT("'"&amp;Assemblies[Assy]&amp;"'!"&amp;"O$5:O1000")), "x",Assemblies[Assy],".",IF(SUMIF(INDIRECT("'"&amp;Assemblies[Assy]&amp;"'!"&amp;"C$5:C1000"), $A500, INDIRECT("'"&amp;Assemblies[Assy]&amp;"'!"&amp;"A$5:A1000"))=0,NA(),SUMIF(INDIRECT("'"&amp;Assemblies[Assy]&amp;"'!"&amp;"C$5:C1000"), $A500, INDIRECT("'"&amp;Assemblies[Assy]&amp;"'!"&amp;"A$5:A1000")))),"")), " ,", ""))</f>
        <v>, 1x10.1.9.307, 1x10.1.10.303, 4x10.2.305, 1x10.3.307,</v>
      </c>
    </row>
    <row r="501" spans="1:19" ht="16.5" hidden="1" x14ac:dyDescent="0.25">
      <c r="A501" s="160" t="s">
        <v>220</v>
      </c>
      <c r="B501" s="160" t="s">
        <v>3487</v>
      </c>
      <c r="C501" s="180">
        <v>0</v>
      </c>
      <c r="D501">
        <v>1</v>
      </c>
      <c r="E501" cm="1">
        <f t="array" aca="1" ref="E501" ca="1">SUMPRODUCT(SUMIF(INDIRECT("'"&amp;Assemblies[Assy]&amp;"'!"&amp;"C:C"),$A501,(INDIRECT("'"&amp;Assemblies[Assy]&amp;"'!"&amp;"O:O"))))</f>
        <v>24</v>
      </c>
      <c r="F501">
        <f ca="1">ROUNDUP(Purchased[[#This Row],[BOM QTY]]/Purchased[[#This Row],[PK QTY]], 0)</f>
        <v>24</v>
      </c>
      <c r="H501" t="str">
        <f ca="1">IF(F501&lt;=G501," ","YES")</f>
        <v>YES</v>
      </c>
      <c r="K501" s="187" t="s">
        <v>3486</v>
      </c>
      <c r="L501" t="s">
        <v>3486</v>
      </c>
      <c r="N501" s="40">
        <v>45506</v>
      </c>
      <c r="S501" s="40" t="str" cm="1">
        <f t="array" aca="1" ref="S501" ca="1">TRIM(SUBSTITUTE(_xlfn.ARRAYTOTEXT(IFERROR(CONCATENATE(SUMIF(INDIRECT("'"&amp;Assemblies[Assy]&amp;"'!"&amp;"C$5:C1000"), $A501, INDIRECT("'"&amp;Assemblies[Assy]&amp;"'!"&amp;"O$5:O1000")), "x",Assemblies[Assy],".",IF(SUMIF(INDIRECT("'"&amp;Assemblies[Assy]&amp;"'!"&amp;"C$5:C1000"), $A501, INDIRECT("'"&amp;Assemblies[Assy]&amp;"'!"&amp;"A$5:A1000"))=0,NA(),SUMIF(INDIRECT("'"&amp;Assemblies[Assy]&amp;"'!"&amp;"C$5:C1000"), $A501, INDIRECT("'"&amp;Assemblies[Assy]&amp;"'!"&amp;"A$5:A1000")))),"")), " ,", ""))</f>
        <v>, 2x1.1.17.303, 2x1.1.8.313, 1x5.5.1.305, 2x5.5.3.303, 1x5.6.1.305, 2x6.2.1.5.305, 2x6.2.3.1.305, 2x6.6.2.306, 8x6.10.301, 2x6.10.2.305,</v>
      </c>
    </row>
    <row r="502" spans="1:19" hidden="1" x14ac:dyDescent="0.25">
      <c r="A502" s="160" t="s">
        <v>106</v>
      </c>
      <c r="B502" s="160" t="s">
        <v>3488</v>
      </c>
      <c r="C502" s="180">
        <v>0</v>
      </c>
      <c r="D502">
        <v>1</v>
      </c>
      <c r="E502" cm="1">
        <f t="array" aca="1" ref="E502" ca="1">SUMPRODUCT(SUMIF(INDIRECT("'"&amp;Assemblies[Assy]&amp;"'!"&amp;"C:C"),$A502,(INDIRECT("'"&amp;Assemblies[Assy]&amp;"'!"&amp;"O:O"))))</f>
        <v>6</v>
      </c>
      <c r="F502">
        <f ca="1">ROUNDUP(Purchased[[#This Row],[BOM QTY]]/Purchased[[#This Row],[PK QTY]], 0)</f>
        <v>6</v>
      </c>
      <c r="H502" t="str">
        <f ca="1">IF(F502&lt;=G502," ","YES")</f>
        <v>YES</v>
      </c>
      <c r="K502" t="s">
        <v>3486</v>
      </c>
      <c r="L502" t="s">
        <v>3486</v>
      </c>
      <c r="N502" s="40">
        <v>45506</v>
      </c>
      <c r="S502" s="40" t="str" cm="1">
        <f t="array" aca="1" ref="S502" ca="1">TRIM(SUBSTITUTE(_xlfn.ARRAYTOTEXT(IFERROR(CONCATENATE(SUMIF(INDIRECT("'"&amp;Assemblies[Assy]&amp;"'!"&amp;"C$5:C1000"), $A502, INDIRECT("'"&amp;Assemblies[Assy]&amp;"'!"&amp;"O$5:O1000")), "x",Assemblies[Assy],".",IF(SUMIF(INDIRECT("'"&amp;Assemblies[Assy]&amp;"'!"&amp;"C$5:C1000"), $A502, INDIRECT("'"&amp;Assemblies[Assy]&amp;"'!"&amp;"A$5:A1000"))=0,NA(),SUMIF(INDIRECT("'"&amp;Assemblies[Assy]&amp;"'!"&amp;"C$5:C1000"), $A502, INDIRECT("'"&amp;Assemblies[Assy]&amp;"'!"&amp;"A$5:A1000")))),"")), " ,", ""))</f>
        <v>, 2x0.3.312, 2x1.2.3.301, 1x6.2.1.4.309, 1x6.3.1.4.309,</v>
      </c>
    </row>
    <row r="503" spans="1:19" hidden="1" x14ac:dyDescent="0.25">
      <c r="A503" s="160" t="s">
        <v>969</v>
      </c>
      <c r="B503" s="160" t="s">
        <v>3489</v>
      </c>
      <c r="C503" s="180">
        <v>0</v>
      </c>
      <c r="D503">
        <v>1</v>
      </c>
      <c r="E503" cm="1">
        <f t="array" aca="1" ref="E503" ca="1">SUMPRODUCT(SUMIF(INDIRECT("'"&amp;Assemblies[Assy]&amp;"'!"&amp;"C:C"),$A503,(INDIRECT("'"&amp;Assemblies[Assy]&amp;"'!"&amp;"O:O"))))</f>
        <v>2</v>
      </c>
      <c r="F503">
        <f ca="1">ROUNDUP(Purchased[[#This Row],[BOM QTY]]/Purchased[[#This Row],[PK QTY]], 0)</f>
        <v>2</v>
      </c>
      <c r="H503" t="str">
        <f ca="1">IF(F503&lt;=G503," ","YES")</f>
        <v>YES</v>
      </c>
      <c r="K503" t="s">
        <v>3486</v>
      </c>
      <c r="L503" t="s">
        <v>3486</v>
      </c>
      <c r="N503" s="40">
        <v>45506</v>
      </c>
      <c r="S503" s="40" t="str" cm="1">
        <f t="array" aca="1" ref="S503" ca="1">TRIM(SUBSTITUTE(_xlfn.ARRAYTOTEXT(IFERROR(CONCATENATE(SUMIF(INDIRECT("'"&amp;Assemblies[Assy]&amp;"'!"&amp;"C$5:C1000"), $A503, INDIRECT("'"&amp;Assemblies[Assy]&amp;"'!"&amp;"O$5:O1000")), "x",Assemblies[Assy],".",IF(SUMIF(INDIRECT("'"&amp;Assemblies[Assy]&amp;"'!"&amp;"C$5:C1000"), $A503, INDIRECT("'"&amp;Assemblies[Assy]&amp;"'!"&amp;"A$5:A1000"))=0,NA(),SUMIF(INDIRECT("'"&amp;Assemblies[Assy]&amp;"'!"&amp;"C$5:C1000"), $A503, INDIRECT("'"&amp;Assemblies[Assy]&amp;"'!"&amp;"A$5:A1000")))),"")), " ,", ""))</f>
        <v>, 1x6.2.1.4.308, 1x6.3.1.4.308,</v>
      </c>
    </row>
    <row r="504" spans="1:19" hidden="1" x14ac:dyDescent="0.25">
      <c r="A504" s="160" t="s">
        <v>3808</v>
      </c>
      <c r="B504" s="160" t="s">
        <v>3809</v>
      </c>
      <c r="C504" s="180"/>
      <c r="D504">
        <v>1</v>
      </c>
      <c r="E504" cm="1">
        <f t="array" aca="1" ref="E504" ca="1">SUMPRODUCT(SUMIF(INDIRECT("'"&amp;Assemblies[Assy]&amp;"'!"&amp;"C:C"),$A504,(INDIRECT("'"&amp;Assemblies[Assy]&amp;"'!"&amp;"O:O"))))</f>
        <v>1</v>
      </c>
      <c r="F504">
        <f ca="1">ROUNDUP(Purchased[[#This Row],[BOM QTY]]/Purchased[[#This Row],[PK QTY]], 0)</f>
        <v>1</v>
      </c>
      <c r="H504" t="str">
        <f ca="1">IF(F504&lt;=G504," ","YES")</f>
        <v>YES</v>
      </c>
      <c r="K504" t="s">
        <v>3500</v>
      </c>
      <c r="L504" t="s">
        <v>3500</v>
      </c>
      <c r="N504" s="40" t="s">
        <v>2747</v>
      </c>
      <c r="O504" s="40">
        <v>45307</v>
      </c>
      <c r="P504" s="40">
        <v>45561</v>
      </c>
      <c r="Q504" s="40">
        <v>45561</v>
      </c>
      <c r="R504">
        <v>55366</v>
      </c>
      <c r="S504" s="40" t="str" cm="1">
        <f t="array" aca="1" ref="S504" ca="1">TRIM(SUBSTITUTE(_xlfn.ARRAYTOTEXT(IFERROR(CONCATENATE(SUMIF(INDIRECT("'"&amp;Assemblies[Assy]&amp;"'!"&amp;"C$5:C1000"), $A504, INDIRECT("'"&amp;Assemblies[Assy]&amp;"'!"&amp;"O$5:O1000")), "x",Assemblies[Assy],".",IF(SUMIF(INDIRECT("'"&amp;Assemblies[Assy]&amp;"'!"&amp;"C$5:C1000"), $A504, INDIRECT("'"&amp;Assemblies[Assy]&amp;"'!"&amp;"A$5:A1000"))=0,NA(),SUMIF(INDIRECT("'"&amp;Assemblies[Assy]&amp;"'!"&amp;"C$5:C1000"), $A504, INDIRECT("'"&amp;Assemblies[Assy]&amp;"'!"&amp;"A$5:A1000")))),"")), " ,", ""))</f>
        <v>, 1x12.313</v>
      </c>
    </row>
    <row r="505" spans="1:19" hidden="1" x14ac:dyDescent="0.25">
      <c r="A505" s="160" t="s">
        <v>498</v>
      </c>
      <c r="B505" s="160" t="s">
        <v>3878</v>
      </c>
      <c r="C505" s="180">
        <v>0</v>
      </c>
      <c r="D505">
        <v>1</v>
      </c>
      <c r="E505" cm="1">
        <f t="array" aca="1" ref="E505" ca="1">SUMPRODUCT(SUMIF(INDIRECT("'"&amp;Assemblies[Assy]&amp;"'!"&amp;"C:C"),$A505,(INDIRECT("'"&amp;Assemblies[Assy]&amp;"'!"&amp;"O:O"))))</f>
        <v>3</v>
      </c>
      <c r="F505">
        <f ca="1">ROUNDUP(Purchased[[#This Row],[BOM QTY]]/Purchased[[#This Row],[PK QTY]], 0)</f>
        <v>3</v>
      </c>
      <c r="H505" t="str">
        <f ca="1">IF(F505&lt;=G505," ","YES")</f>
        <v>YES</v>
      </c>
      <c r="K505" t="s">
        <v>3500</v>
      </c>
      <c r="L505" t="s">
        <v>3500</v>
      </c>
      <c r="N505" s="40" t="s">
        <v>2747</v>
      </c>
      <c r="O505" s="40">
        <v>45307</v>
      </c>
      <c r="P505" s="40">
        <v>45561</v>
      </c>
      <c r="Q505" s="40">
        <v>45561</v>
      </c>
      <c r="R505">
        <v>55366</v>
      </c>
      <c r="S505" s="40" t="str" cm="1">
        <f t="array" aca="1" ref="S505" ca="1">TRIM(SUBSTITUTE(_xlfn.ARRAYTOTEXT(IFERROR(CONCATENATE(SUMIF(INDIRECT("'"&amp;Assemblies[Assy]&amp;"'!"&amp;"C$5:C1000"), $A505, INDIRECT("'"&amp;Assemblies[Assy]&amp;"'!"&amp;"O$5:O1000")), "x",Assemblies[Assy],".",IF(SUMIF(INDIRECT("'"&amp;Assemblies[Assy]&amp;"'!"&amp;"C$5:C1000"), $A505, INDIRECT("'"&amp;Assemblies[Assy]&amp;"'!"&amp;"A$5:A1000"))=0,NA(),SUMIF(INDIRECT("'"&amp;Assemblies[Assy]&amp;"'!"&amp;"C$5:C1000"), $A505, INDIRECT("'"&amp;Assemblies[Assy]&amp;"'!"&amp;"A$5:A1000")))),"")), " ,", ""))</f>
        <v>, 1x3.4.301, 2x4.4.303,</v>
      </c>
    </row>
    <row r="506" spans="1:19" hidden="1" x14ac:dyDescent="0.25">
      <c r="A506" s="160" t="s">
        <v>149</v>
      </c>
      <c r="B506" s="160" t="s">
        <v>3510</v>
      </c>
      <c r="C506" s="180">
        <v>4.17</v>
      </c>
      <c r="D506">
        <v>1</v>
      </c>
      <c r="E506" cm="1">
        <f t="array" aca="1" ref="E506" ca="1">SUMPRODUCT(SUMIF(INDIRECT("'"&amp;Assemblies[Assy]&amp;"'!"&amp;"C:C"),$A506,(INDIRECT("'"&amp;Assemblies[Assy]&amp;"'!"&amp;"O:O"))))</f>
        <v>1786</v>
      </c>
      <c r="F506">
        <f ca="1">ROUNDUP(Purchased[[#This Row],[BOM QTY]]/Purchased[[#This Row],[PK QTY]], 0)</f>
        <v>1786</v>
      </c>
      <c r="G506">
        <v>1750</v>
      </c>
      <c r="H506" t="str">
        <f ca="1">IF(F506&lt;=G506," ","YES")</f>
        <v>YES</v>
      </c>
      <c r="I506">
        <f>1250+217</f>
        <v>1467</v>
      </c>
      <c r="J506">
        <v>1467</v>
      </c>
      <c r="K506" s="160" t="s">
        <v>3511</v>
      </c>
      <c r="L506" t="s">
        <v>3512</v>
      </c>
      <c r="M506" t="s">
        <v>3513</v>
      </c>
      <c r="N506" s="40" t="s">
        <v>2747</v>
      </c>
      <c r="O506" s="40">
        <v>45362</v>
      </c>
      <c r="P506" s="40">
        <v>45378</v>
      </c>
      <c r="Q506" s="40">
        <v>45378</v>
      </c>
      <c r="R506">
        <v>55445</v>
      </c>
      <c r="S506" s="40" t="str" cm="1">
        <f t="array" aca="1" ref="S506" ca="1">TRIM(SUBSTITUTE(_xlfn.ARRAYTOTEXT(IFERROR(CONCATENATE(SUMIF(INDIRECT("'"&amp;Assemblies[Assy]&amp;"'!"&amp;"C$5:C1000"), $A506, INDIRECT("'"&amp;Assemblies[Assy]&amp;"'!"&amp;"O$5:O1000")), "x",Assemblies[Assy],".",IF(SUMIF(INDIRECT("'"&amp;Assemblies[Assy]&amp;"'!"&amp;"C$5:C1000"), $A506, INDIRECT("'"&amp;Assemblies[Assy]&amp;"'!"&amp;"A$5:A1000"))=0,NA(),SUMIF(INDIRECT("'"&amp;Assemblies[Assy]&amp;"'!"&amp;"C$5:C1000"), $A506, INDIRECT("'"&amp;Assemblies[Assy]&amp;"'!"&amp;"A$5:A1000")))),"")), " ,", ""))</f>
        <v>, 127x1.1.302, 4x1.4.302, 4x1.5.302, 56x2.1.302, 76x2.2.302, 8x2.2.1.301, 8x2.2.2.301, 8x2.2.3.301, 8x2.2.4.301, 88x3.1.301, 104x3.2.301, 16x3.2.5.304, 16x3.2.6.304, 8x3.2.7.301, 8x3.2.8.301, 176x4.1.302, 114x4.2.301, 8x4.2.4.301, 8x4.2.5.301, 8x4.2.6.301, 8x4.2.7.301, 8x4.2.8.301, 8x4.2.9.301, 4x4.4.308, 120x5.1.308, 8x5.2.305, 104x5.3.305, 116x6.1.303, 232x6.8.308, 48x6.9.305, 116x7.1.302, 140x10.1.301, 16x10.1.1.302, 5x12.308</v>
      </c>
    </row>
    <row r="507" spans="1:19" hidden="1" x14ac:dyDescent="0.25">
      <c r="A507" s="160" t="s">
        <v>1451</v>
      </c>
      <c r="B507" s="160" t="s">
        <v>3576</v>
      </c>
      <c r="C507" s="180">
        <v>66.540999999999997</v>
      </c>
      <c r="D507">
        <v>1</v>
      </c>
      <c r="E507" cm="1">
        <f t="array" aca="1" ref="E507" ca="1">SUMPRODUCT(SUMIF(INDIRECT("'"&amp;Assemblies[Assy]&amp;"'!"&amp;"C:C"),$A507,(INDIRECT("'"&amp;Assemblies[Assy]&amp;"'!"&amp;"O:O"))))</f>
        <v>12</v>
      </c>
      <c r="F507">
        <f ca="1">ROUNDUP(Purchased[[#This Row],[BOM QTY]]/Purchased[[#This Row],[PK QTY]], 0)</f>
        <v>12</v>
      </c>
      <c r="G507">
        <v>11</v>
      </c>
      <c r="I507">
        <v>12</v>
      </c>
      <c r="J507">
        <v>12</v>
      </c>
      <c r="K507" t="s">
        <v>3577</v>
      </c>
      <c r="L507" t="s">
        <v>3873</v>
      </c>
      <c r="M507" t="s">
        <v>3870</v>
      </c>
      <c r="N507" s="40">
        <v>45530</v>
      </c>
      <c r="O507" s="40">
        <v>45530</v>
      </c>
      <c r="P507" s="40">
        <v>45552</v>
      </c>
      <c r="Q507" s="40">
        <v>45552</v>
      </c>
      <c r="R507">
        <v>55703</v>
      </c>
      <c r="S507" s="40" t="str" cm="1">
        <f t="array" aca="1" ref="S507" ca="1">TRIM(SUBSTITUTE(_xlfn.ARRAYTOTEXT(IFERROR(CONCATENATE(SUMIF(INDIRECT("'"&amp;Assemblies[Assy]&amp;"'!"&amp;"C$5:C1000"), $A507, INDIRECT("'"&amp;Assemblies[Assy]&amp;"'!"&amp;"O$5:O1000")), "x",Assemblies[Assy],".",IF(SUMIF(INDIRECT("'"&amp;Assemblies[Assy]&amp;"'!"&amp;"C$5:C1000"), $A507, INDIRECT("'"&amp;Assemblies[Assy]&amp;"'!"&amp;"A$5:A1000"))=0,NA(),SUMIF(INDIRECT("'"&amp;Assemblies[Assy]&amp;"'!"&amp;"C$5:C1000"), $A507, INDIRECT("'"&amp;Assemblies[Assy]&amp;"'!"&amp;"A$5:A1000")))),"")), " ,", ""))</f>
        <v>, 12x12.303</v>
      </c>
    </row>
  </sheetData>
  <phoneticPr fontId="8" type="noConversion"/>
  <conditionalFormatting sqref="A496:A1048576 B456 A1:A24 A26:A420 A423:A494">
    <cfRule type="duplicateValues" dxfId="34" priority="31"/>
  </conditionalFormatting>
  <conditionalFormatting sqref="A42:A43">
    <cfRule type="duplicateValues" dxfId="33" priority="407"/>
  </conditionalFormatting>
  <conditionalFormatting sqref="A43">
    <cfRule type="duplicateValues" dxfId="32" priority="405"/>
    <cfRule type="duplicateValues" dxfId="31" priority="406"/>
  </conditionalFormatting>
  <conditionalFormatting sqref="A44 A2:A24 A26:A41">
    <cfRule type="duplicateValues" dxfId="30" priority="415"/>
  </conditionalFormatting>
  <conditionalFormatting sqref="A329">
    <cfRule type="duplicateValues" dxfId="29" priority="32"/>
    <cfRule type="duplicateValues" dxfId="28" priority="33"/>
  </conditionalFormatting>
  <conditionalFormatting sqref="A447">
    <cfRule type="duplicateValues" dxfId="27" priority="29"/>
    <cfRule type="duplicateValues" dxfId="26" priority="30"/>
  </conditionalFormatting>
  <conditionalFormatting sqref="B42:B43">
    <cfRule type="duplicateValues" dxfId="25" priority="412"/>
  </conditionalFormatting>
  <conditionalFormatting sqref="Q347:Q442 Q500:Q503 Q2:Q305 Q479:Q494 Q507:Q958 Q450:Q464 Q307:Q327 Q466:Q476">
    <cfRule type="cellIs" dxfId="24" priority="50" operator="greaterThan">
      <formula>P2</formula>
    </cfRule>
  </conditionalFormatting>
  <conditionalFormatting sqref="C402">
    <cfRule type="duplicateValues" dxfId="23" priority="28"/>
  </conditionalFormatting>
  <conditionalFormatting sqref="J477:J957">
    <cfRule type="cellIs" dxfId="22" priority="19" operator="lessThan">
      <formula>E477</formula>
    </cfRule>
    <cfRule type="cellIs" dxfId="21" priority="20" operator="equal">
      <formula>E477</formula>
    </cfRule>
    <cfRule type="cellIs" dxfId="20" priority="21" operator="greaterThan">
      <formula>E477</formula>
    </cfRule>
  </conditionalFormatting>
  <conditionalFormatting sqref="H2:H957">
    <cfRule type="expression" dxfId="19" priority="16">
      <formula>G2&lt;F2</formula>
    </cfRule>
  </conditionalFormatting>
  <conditionalFormatting sqref="J2:J345 J370:J507">
    <cfRule type="cellIs" dxfId="18" priority="13" operator="greaterThan">
      <formula>F2</formula>
    </cfRule>
    <cfRule type="cellIs" dxfId="17" priority="14" operator="equal">
      <formula>F2</formula>
    </cfRule>
    <cfRule type="cellIs" dxfId="16" priority="15" operator="lessThan">
      <formula>F2</formula>
    </cfRule>
  </conditionalFormatting>
  <conditionalFormatting sqref="I109:I117">
    <cfRule type="expression" dxfId="15" priority="12">
      <formula>H109&lt;G109</formula>
    </cfRule>
  </conditionalFormatting>
  <conditionalFormatting sqref="E2:E958">
    <cfRule type="cellIs" dxfId="14" priority="11" operator="equal">
      <formula>0</formula>
    </cfRule>
  </conditionalFormatting>
  <conditionalFormatting sqref="B3:B5">
    <cfRule type="duplicateValues" dxfId="13" priority="8"/>
  </conditionalFormatting>
  <conditionalFormatting sqref="B3:B5">
    <cfRule type="duplicateValues" dxfId="12" priority="9"/>
  </conditionalFormatting>
  <conditionalFormatting sqref="B3:B5">
    <cfRule type="duplicateValues" dxfId="11" priority="10"/>
  </conditionalFormatting>
  <conditionalFormatting sqref="I2:I959">
    <cfRule type="cellIs" dxfId="10" priority="25" operator="greaterThan">
      <formula>F2</formula>
    </cfRule>
    <cfRule type="cellIs" dxfId="9" priority="26" operator="equal">
      <formula>F2</formula>
    </cfRule>
    <cfRule type="cellIs" dxfId="8" priority="27" operator="lessThan">
      <formula>F2</formula>
    </cfRule>
  </conditionalFormatting>
  <conditionalFormatting sqref="A2:A24 A26:A326">
    <cfRule type="duplicateValues" dxfId="7" priority="1178"/>
  </conditionalFormatting>
  <conditionalFormatting sqref="J346:J369">
    <cfRule type="cellIs" dxfId="6" priority="5" operator="greaterThan">
      <formula>G346</formula>
    </cfRule>
    <cfRule type="cellIs" dxfId="5" priority="6" operator="equal">
      <formula>G346</formula>
    </cfRule>
    <cfRule type="cellIs" dxfId="4" priority="7" operator="lessThan">
      <formula>G346</formula>
    </cfRule>
  </conditionalFormatting>
  <conditionalFormatting sqref="P450">
    <cfRule type="cellIs" dxfId="3" priority="4" operator="greaterThan">
      <formula>O450</formula>
    </cfRule>
  </conditionalFormatting>
  <conditionalFormatting sqref="B444">
    <cfRule type="duplicateValues" dxfId="2" priority="3"/>
  </conditionalFormatting>
  <conditionalFormatting sqref="B472">
    <cfRule type="duplicateValues" dxfId="1" priority="2"/>
  </conditionalFormatting>
  <conditionalFormatting sqref="L498:L503">
    <cfRule type="uniqueValues" dxfId="0" priority="1"/>
  </conditionalFormatting>
  <dataValidations disablePrompts="1" count="1">
    <dataValidation type="list" allowBlank="1" showInputMessage="1" showErrorMessage="1" sqref="A338" xr:uid="{B444BDC6-FCC9-4B63-AF93-00ECBAEFF849}">
      <formula1>$A:$A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133-62D1-4DA8-91A8-F876BA0B6E7B}">
  <sheetPr codeName="Sheet242"/>
  <dimension ref="A1:AG145"/>
  <sheetViews>
    <sheetView topLeftCell="A55" workbookViewId="0">
      <selection activeCell="C67" sqref="C67"/>
    </sheetView>
  </sheetViews>
  <sheetFormatPr defaultRowHeight="15" x14ac:dyDescent="0.25"/>
  <cols>
    <col min="1" max="1" width="11.42578125" style="53" customWidth="1"/>
    <col min="2" max="2" width="27.140625" bestFit="1" customWidth="1"/>
    <col min="3" max="3" width="18.85546875" customWidth="1"/>
    <col min="4" max="4" width="8.42578125" style="157" customWidth="1"/>
    <col min="5" max="5" width="12.140625" bestFit="1" customWidth="1"/>
    <col min="6" max="6" width="16.85546875" customWidth="1"/>
    <col min="7" max="7" width="7.7109375" style="39" bestFit="1" customWidth="1"/>
    <col min="8" max="8" width="8" customWidth="1"/>
    <col min="9" max="9" width="9.5703125" bestFit="1" customWidth="1"/>
    <col min="10" max="10" width="21" customWidth="1"/>
    <col min="11" max="14" width="3.7109375" style="40" customWidth="1"/>
    <col min="15" max="15" width="7.140625" bestFit="1" customWidth="1"/>
    <col min="16" max="16" width="8.7109375" style="18" customWidth="1"/>
    <col min="17" max="17" width="11.28515625" style="18" customWidth="1"/>
    <col min="18" max="18" width="7.5703125" style="18" customWidth="1"/>
    <col min="19" max="19" width="11.5703125" style="56" customWidth="1"/>
    <col min="20" max="20" width="12.140625" bestFit="1" customWidth="1"/>
    <col min="21" max="21" width="11.140625" bestFit="1" customWidth="1"/>
    <col min="22" max="22" width="10.7109375" bestFit="1" customWidth="1"/>
    <col min="23" max="23" width="75.42578125" customWidth="1"/>
    <col min="24" max="24" width="20.28515625" style="39" bestFit="1" customWidth="1"/>
    <col min="25" max="25" width="14.5703125" style="39" bestFit="1" customWidth="1"/>
    <col min="26" max="26" width="20.7109375" style="39" bestFit="1" customWidth="1"/>
    <col min="27" max="27" width="9.140625" style="39"/>
    <col min="28" max="28" width="8.5703125" bestFit="1" customWidth="1"/>
    <col min="29" max="29" width="15.5703125" bestFit="1" customWidth="1"/>
    <col min="30" max="30" width="11.5703125" bestFit="1" customWidth="1"/>
    <col min="31" max="31" width="12.140625" bestFit="1" customWidth="1"/>
    <col min="32" max="32" width="11.42578125" bestFit="1" customWidth="1"/>
    <col min="33" max="33" width="12.5703125" bestFit="1" customWidth="1"/>
    <col min="34" max="34" width="10.28515625" bestFit="1" customWidth="1"/>
  </cols>
  <sheetData>
    <row r="1" spans="1:27" x14ac:dyDescent="0.25">
      <c r="A1" s="53" t="s">
        <v>3585</v>
      </c>
      <c r="B1" t="s">
        <v>3586</v>
      </c>
      <c r="C1" t="s">
        <v>16</v>
      </c>
      <c r="D1" s="133" t="s">
        <v>53</v>
      </c>
      <c r="E1" s="19" t="s">
        <v>3587</v>
      </c>
      <c r="F1" s="19" t="s">
        <v>3588</v>
      </c>
      <c r="G1" s="39" t="s">
        <v>44</v>
      </c>
      <c r="H1" t="s">
        <v>17</v>
      </c>
      <c r="I1" t="s">
        <v>18</v>
      </c>
      <c r="J1" t="s">
        <v>19</v>
      </c>
      <c r="K1" s="40" t="s">
        <v>51</v>
      </c>
      <c r="L1" s="40" t="s">
        <v>21</v>
      </c>
      <c r="M1" s="40" t="s">
        <v>22</v>
      </c>
      <c r="N1" s="40" t="s">
        <v>52</v>
      </c>
      <c r="O1" t="s">
        <v>1976</v>
      </c>
      <c r="P1" s="57" t="s">
        <v>24</v>
      </c>
      <c r="Q1" s="57" t="s">
        <v>26</v>
      </c>
      <c r="R1" s="57" t="s">
        <v>1977</v>
      </c>
      <c r="S1" s="58" t="s">
        <v>1978</v>
      </c>
      <c r="T1" s="19" t="s">
        <v>3589</v>
      </c>
      <c r="U1" s="19" t="s">
        <v>3590</v>
      </c>
      <c r="V1" s="19" t="s">
        <v>3591</v>
      </c>
      <c r="W1" s="19" t="s">
        <v>1467</v>
      </c>
      <c r="X1" s="125" t="s">
        <v>3592</v>
      </c>
      <c r="Y1" s="125" t="s">
        <v>3593</v>
      </c>
      <c r="Z1" s="125" t="s">
        <v>3594</v>
      </c>
      <c r="AA1" s="125"/>
    </row>
    <row r="2" spans="1:27" x14ac:dyDescent="0.25">
      <c r="A2" s="291">
        <v>1093</v>
      </c>
      <c r="B2" t="s">
        <v>584</v>
      </c>
      <c r="C2" t="s">
        <v>3776</v>
      </c>
      <c r="D2" s="157" cm="1">
        <f t="array" aca="1" ref="D2" ca="1">SUMPRODUCT(SUMIF(INDIRECT("'"&amp;Assemblies[Assy]&amp;"'!"&amp;"C:C"),B2,(INDIRECT("'"&amp;Assemblies[Assy]&amp;"'!"&amp;"O:O"))))</f>
        <v>4</v>
      </c>
      <c r="E2">
        <v>0</v>
      </c>
      <c r="F2" t="str">
        <f t="shared" ref="F2:F33" ca="1" si="0">IF(D2=E2, "", "YES")</f>
        <v>YES</v>
      </c>
      <c r="G2" s="39">
        <f t="shared" ref="G2:G33" si="1">P2+Q2+R2+(65*S2)</f>
        <v>1</v>
      </c>
      <c r="I2" t="s">
        <v>3595</v>
      </c>
      <c r="P2" s="7">
        <v>1</v>
      </c>
      <c r="Q2" s="7">
        <v>0</v>
      </c>
      <c r="R2" s="7">
        <v>0</v>
      </c>
      <c r="S2" s="54">
        <v>0</v>
      </c>
      <c r="T2" s="2">
        <v>6</v>
      </c>
      <c r="U2" s="55">
        <v>0</v>
      </c>
      <c r="V2" s="59">
        <f t="shared" ref="V2:V33" si="2">U2/(T2*1000)</f>
        <v>0</v>
      </c>
      <c r="W2" s="2" t="str" cm="1">
        <f t="array" aca="1" ref="W2" ca="1">TRIM(SUBSTITUTE(_xlfn.ARRAYTOTEXT(IFERROR(CONCATENATE(SUMIF(INDIRECT("'"&amp;Assemblies[Assy]&amp;"'!"&amp;"C$5:C1000"), $B2, INDIRECT("'"&amp;Assemblies[Assy]&amp;"'!"&amp;"O$5:O1000")), "x",Assemblies[Assy],".",IF(SUMIF(INDIRECT("'"&amp;Assemblies[Assy]&amp;"'!"&amp;"C$5:C1000"), $B2, INDIRECT("'"&amp;Assemblies[Assy]&amp;"'!"&amp;"A$5:A1000"))=0,NA(),SUMIF(INDIRECT("'"&amp;Assemblies[Assy]&amp;"'!"&amp;"C$5:C1000"), $B2, INDIRECT("'"&amp;Assemblies[Assy]&amp;"'!"&amp;"A$5:A1000")))),"")), " ,", ""))</f>
        <v>, 2x4.2.6.702, 2x4.2.7.702,</v>
      </c>
      <c r="X2" s="54">
        <f ca="1">Extrusion[[#This Row],[Length]]*Extrusion[[#This Row],[Total Qty]]</f>
        <v>4372</v>
      </c>
      <c r="Y2" s="54">
        <f>Extrusion[[#This Row],[Length]]*Extrusion[[#This Row],[Cut QTY]]</f>
        <v>0</v>
      </c>
      <c r="Z2" s="54">
        <f ca="1">Extrusion[[#This Row],[Required Length]]-Extrusion[[#This Row],[Cut Length]]</f>
        <v>4372</v>
      </c>
      <c r="AA2" s="54"/>
    </row>
    <row r="3" spans="1:27" x14ac:dyDescent="0.25">
      <c r="A3" s="291">
        <v>1134</v>
      </c>
      <c r="B3" t="s">
        <v>583</v>
      </c>
      <c r="C3" t="s">
        <v>3776</v>
      </c>
      <c r="D3" s="157" cm="1">
        <f t="array" aca="1" ref="D3" ca="1">SUMPRODUCT(SUMIF(INDIRECT("'"&amp;Assemblies[Assy]&amp;"'!"&amp;"C:C"),B3,(INDIRECT("'"&amp;Assemblies[Assy]&amp;"'!"&amp;"O:O"))))</f>
        <v>4</v>
      </c>
      <c r="E3">
        <v>0</v>
      </c>
      <c r="F3" t="str">
        <f t="shared" ca="1" si="0"/>
        <v>YES</v>
      </c>
      <c r="G3" s="39">
        <f t="shared" si="1"/>
        <v>1</v>
      </c>
      <c r="I3" t="s">
        <v>3595</v>
      </c>
      <c r="P3" s="7">
        <v>1</v>
      </c>
      <c r="Q3" s="7">
        <v>0</v>
      </c>
      <c r="R3" s="7">
        <v>0</v>
      </c>
      <c r="S3" s="54">
        <v>0</v>
      </c>
      <c r="T3" s="2">
        <v>6</v>
      </c>
      <c r="U3" s="55">
        <v>0</v>
      </c>
      <c r="V3" s="59">
        <f t="shared" si="2"/>
        <v>0</v>
      </c>
      <c r="W3" s="2" t="str" cm="1">
        <f t="array" aca="1" ref="W3" ca="1">TRIM(SUBSTITUTE(_xlfn.ARRAYTOTEXT(IFERROR(CONCATENATE(SUMIF(INDIRECT("'"&amp;Assemblies[Assy]&amp;"'!"&amp;"C$5:C1000"), $B3, INDIRECT("'"&amp;Assemblies[Assy]&amp;"'!"&amp;"O$5:O1000")), "x",Assemblies[Assy],".",IF(SUMIF(INDIRECT("'"&amp;Assemblies[Assy]&amp;"'!"&amp;"C$5:C1000"), $B3, INDIRECT("'"&amp;Assemblies[Assy]&amp;"'!"&amp;"A$5:A1000"))=0,NA(),SUMIF(INDIRECT("'"&amp;Assemblies[Assy]&amp;"'!"&amp;"C$5:C1000"), $B3, INDIRECT("'"&amp;Assemblies[Assy]&amp;"'!"&amp;"A$5:A1000")))),"")), " ,", ""))</f>
        <v>, 2x4.2.6.701, 2x4.2.7.701,</v>
      </c>
      <c r="X3" s="54">
        <f ca="1">Extrusion[[#This Row],[Length]]*Extrusion[[#This Row],[Total Qty]]</f>
        <v>4536</v>
      </c>
      <c r="Y3" s="54">
        <f>Extrusion[[#This Row],[Length]]*Extrusion[[#This Row],[Cut QTY]]</f>
        <v>0</v>
      </c>
      <c r="Z3" s="54">
        <f ca="1">Extrusion[[#This Row],[Required Length]]-Extrusion[[#This Row],[Cut Length]]</f>
        <v>4536</v>
      </c>
      <c r="AA3" s="54"/>
    </row>
    <row r="4" spans="1:27" x14ac:dyDescent="0.25">
      <c r="A4" s="291">
        <v>1514</v>
      </c>
      <c r="B4" t="s">
        <v>636</v>
      </c>
      <c r="C4" t="s">
        <v>3596</v>
      </c>
      <c r="D4" s="157" cm="1">
        <f t="array" aca="1" ref="D4" ca="1">SUMPRODUCT(SUMIF(INDIRECT("'"&amp;Assemblies[Assy]&amp;"'!"&amp;"C:C"),B4,(INDIRECT("'"&amp;Assemblies[Assy]&amp;"'!"&amp;"O:O"))))</f>
        <v>1</v>
      </c>
      <c r="E4">
        <v>1</v>
      </c>
      <c r="F4" t="str">
        <f t="shared" ca="1" si="0"/>
        <v/>
      </c>
      <c r="G4" s="39">
        <f t="shared" si="1"/>
        <v>1</v>
      </c>
      <c r="I4" t="s">
        <v>3595</v>
      </c>
      <c r="P4" s="7">
        <v>1</v>
      </c>
      <c r="Q4" s="7">
        <v>0</v>
      </c>
      <c r="R4" s="7">
        <v>0</v>
      </c>
      <c r="S4" s="54">
        <v>0</v>
      </c>
      <c r="T4" s="2">
        <v>6</v>
      </c>
      <c r="U4" s="55">
        <v>0</v>
      </c>
      <c r="V4" s="59">
        <f t="shared" si="2"/>
        <v>0</v>
      </c>
      <c r="W4" s="2" t="str" cm="1">
        <f t="array" aca="1" ref="W4" ca="1">TRIM(SUBSTITUTE(_xlfn.ARRAYTOTEXT(IFERROR(CONCATENATE(SUMIF(INDIRECT("'"&amp;Assemblies[Assy]&amp;"'!"&amp;"C$5:C1000"), $B4, INDIRECT("'"&amp;Assemblies[Assy]&amp;"'!"&amp;"O$5:O1000")), "x",Assemblies[Assy],".",IF(SUMIF(INDIRECT("'"&amp;Assemblies[Assy]&amp;"'!"&amp;"C$5:C1000"), $B4, INDIRECT("'"&amp;Assemblies[Assy]&amp;"'!"&amp;"A$5:A1000"))=0,NA(),SUMIF(INDIRECT("'"&amp;Assemblies[Assy]&amp;"'!"&amp;"C$5:C1000"), $B4, INDIRECT("'"&amp;Assemblies[Assy]&amp;"'!"&amp;"A$5:A1000")))),"")), " ,", ""))</f>
        <v>, 1x4.4.703,</v>
      </c>
      <c r="X4" s="54">
        <f ca="1">Extrusion[[#This Row],[Length]]*Extrusion[[#This Row],[Total Qty]]</f>
        <v>1514</v>
      </c>
      <c r="Y4" s="54">
        <f>Extrusion[[#This Row],[Length]]*Extrusion[[#This Row],[Cut QTY]]</f>
        <v>1514</v>
      </c>
      <c r="Z4" s="54">
        <f ca="1">Extrusion[[#This Row],[Required Length]]-Extrusion[[#This Row],[Cut Length]]</f>
        <v>0</v>
      </c>
      <c r="AA4" s="54"/>
    </row>
    <row r="5" spans="1:27" x14ac:dyDescent="0.25">
      <c r="A5" s="291">
        <v>1770</v>
      </c>
      <c r="B5" t="s">
        <v>164</v>
      </c>
      <c r="C5" t="s">
        <v>3596</v>
      </c>
      <c r="D5" s="157" cm="1">
        <f t="array" aca="1" ref="D5" ca="1">SUMPRODUCT(SUMIF(INDIRECT("'"&amp;Assemblies[Assy]&amp;"'!"&amp;"C:C"),B5,(INDIRECT("'"&amp;Assemblies[Assy]&amp;"'!"&amp;"O:O"))))</f>
        <v>2</v>
      </c>
      <c r="F5" t="str">
        <f t="shared" ca="1" si="0"/>
        <v>YES</v>
      </c>
      <c r="G5" s="39">
        <f t="shared" si="1"/>
        <v>1</v>
      </c>
      <c r="I5" t="s">
        <v>3595</v>
      </c>
      <c r="P5" s="7">
        <v>1</v>
      </c>
      <c r="Q5" s="7">
        <v>0</v>
      </c>
      <c r="R5" s="7">
        <v>0</v>
      </c>
      <c r="S5" s="54">
        <v>0</v>
      </c>
      <c r="T5" s="2">
        <v>6</v>
      </c>
      <c r="U5" s="55">
        <v>0</v>
      </c>
      <c r="V5" s="59">
        <f t="shared" si="2"/>
        <v>0</v>
      </c>
      <c r="W5" s="2" t="str" cm="1">
        <f t="array" aca="1" ref="W5" ca="1">TRIM(SUBSTITUTE(_xlfn.ARRAYTOTEXT(IFERROR(CONCATENATE(SUMIF(INDIRECT("'"&amp;Assemblies[Assy]&amp;"'!"&amp;"C$5:C1000"), $B5, INDIRECT("'"&amp;Assemblies[Assy]&amp;"'!"&amp;"O$5:O1000")), "x",Assemblies[Assy],".",IF(SUMIF(INDIRECT("'"&amp;Assemblies[Assy]&amp;"'!"&amp;"C$5:C1000"), $B5, INDIRECT("'"&amp;Assemblies[Assy]&amp;"'!"&amp;"A$5:A1000"))=0,NA(),SUMIF(INDIRECT("'"&amp;Assemblies[Assy]&amp;"'!"&amp;"C$5:C1000"), $B5, INDIRECT("'"&amp;Assemblies[Assy]&amp;"'!"&amp;"A$5:A1000")))),"")), " ,", ""))</f>
        <v>, 2x1.1.714,</v>
      </c>
      <c r="X5" s="54">
        <f ca="1">Extrusion[[#This Row],[Length]]*Extrusion[[#This Row],[Total Qty]]</f>
        <v>3540</v>
      </c>
      <c r="Y5" s="54">
        <f>Extrusion[[#This Row],[Length]]*Extrusion[[#This Row],[Cut QTY]]</f>
        <v>0</v>
      </c>
      <c r="Z5" s="54">
        <f ca="1">Extrusion[[#This Row],[Required Length]]-Extrusion[[#This Row],[Cut Length]]</f>
        <v>3540</v>
      </c>
      <c r="AA5" s="54"/>
    </row>
    <row r="6" spans="1:27" x14ac:dyDescent="0.25">
      <c r="A6" s="291">
        <v>503</v>
      </c>
      <c r="B6" t="s">
        <v>483</v>
      </c>
      <c r="C6" t="s">
        <v>3776</v>
      </c>
      <c r="D6" s="157" cm="1">
        <f t="array" aca="1" ref="D6" ca="1">SUMPRODUCT(SUMIF(INDIRECT("'"&amp;Assemblies[Assy]&amp;"'!"&amp;"C:C"),B6,(INDIRECT("'"&amp;Assemblies[Assy]&amp;"'!"&amp;"O:O"))))</f>
        <v>8</v>
      </c>
      <c r="E6">
        <v>0</v>
      </c>
      <c r="F6" t="str">
        <f t="shared" ca="1" si="0"/>
        <v>YES</v>
      </c>
      <c r="G6" s="39">
        <f t="shared" si="1"/>
        <v>1</v>
      </c>
      <c r="I6" t="s">
        <v>3595</v>
      </c>
      <c r="P6" s="7">
        <v>1</v>
      </c>
      <c r="Q6" s="7">
        <v>0</v>
      </c>
      <c r="R6" s="7">
        <v>0</v>
      </c>
      <c r="S6" s="54">
        <v>0</v>
      </c>
      <c r="T6" s="2">
        <v>6</v>
      </c>
      <c r="U6" s="55">
        <v>0</v>
      </c>
      <c r="V6" s="59">
        <f t="shared" si="2"/>
        <v>0</v>
      </c>
      <c r="W6" s="2" t="str" cm="1">
        <f t="array" aca="1" ref="W6" ca="1">TRIM(SUBSTITUTE(_xlfn.ARRAYTOTEXT(IFERROR(CONCATENATE(SUMIF(INDIRECT("'"&amp;Assemblies[Assy]&amp;"'!"&amp;"C$5:C1000"), $B6, INDIRECT("'"&amp;Assemblies[Assy]&amp;"'!"&amp;"O$5:O1000")), "x",Assemblies[Assy],".",IF(SUMIF(INDIRECT("'"&amp;Assemblies[Assy]&amp;"'!"&amp;"C$5:C1000"), $B6, INDIRECT("'"&amp;Assemblies[Assy]&amp;"'!"&amp;"A$5:A1000"))=0,NA(),SUMIF(INDIRECT("'"&amp;Assemblies[Assy]&amp;"'!"&amp;"C$5:C1000"), $B6, INDIRECT("'"&amp;Assemblies[Assy]&amp;"'!"&amp;"A$5:A1000")))),"")), " ,", ""))</f>
        <v>, 4x3.2.5.702, 4x3.2.6.702,</v>
      </c>
      <c r="X6" s="54">
        <f ca="1">Extrusion[[#This Row],[Length]]*Extrusion[[#This Row],[Total Qty]]</f>
        <v>4024</v>
      </c>
      <c r="Y6" s="54">
        <f>Extrusion[[#This Row],[Length]]*Extrusion[[#This Row],[Cut QTY]]</f>
        <v>0</v>
      </c>
      <c r="Z6" s="54">
        <f ca="1">Extrusion[[#This Row],[Required Length]]-Extrusion[[#This Row],[Cut Length]]</f>
        <v>4024</v>
      </c>
      <c r="AA6" s="54"/>
    </row>
    <row r="7" spans="1:27" x14ac:dyDescent="0.25">
      <c r="A7" s="291">
        <v>523</v>
      </c>
      <c r="B7" t="s">
        <v>490</v>
      </c>
      <c r="C7" t="s">
        <v>3776</v>
      </c>
      <c r="D7" s="157" cm="1">
        <f t="array" aca="1" ref="D7" ca="1">SUMPRODUCT(SUMIF(INDIRECT("'"&amp;Assemblies[Assy]&amp;"'!"&amp;"C:C"),B7,(INDIRECT("'"&amp;Assemblies[Assy]&amp;"'!"&amp;"O:O"))))</f>
        <v>4</v>
      </c>
      <c r="E7">
        <v>0</v>
      </c>
      <c r="F7" t="str">
        <f t="shared" ca="1" si="0"/>
        <v>YES</v>
      </c>
      <c r="G7" s="39">
        <f t="shared" si="1"/>
        <v>1</v>
      </c>
      <c r="I7" t="s">
        <v>3595</v>
      </c>
      <c r="P7" s="7">
        <v>1</v>
      </c>
      <c r="Q7" s="7">
        <v>0</v>
      </c>
      <c r="R7" s="7">
        <v>0</v>
      </c>
      <c r="S7" s="54">
        <v>0</v>
      </c>
      <c r="T7" s="2">
        <v>6</v>
      </c>
      <c r="U7" s="55">
        <v>0</v>
      </c>
      <c r="V7" s="59">
        <f t="shared" si="2"/>
        <v>0</v>
      </c>
      <c r="W7" s="2" t="str" cm="1">
        <f t="array" aca="1" ref="W7" ca="1">TRIM(SUBSTITUTE(_xlfn.ARRAYTOTEXT(IFERROR(CONCATENATE(SUMIF(INDIRECT("'"&amp;Assemblies[Assy]&amp;"'!"&amp;"C$5:C1000"), $B7, INDIRECT("'"&amp;Assemblies[Assy]&amp;"'!"&amp;"O$5:O1000")), "x",Assemblies[Assy],".",IF(SUMIF(INDIRECT("'"&amp;Assemblies[Assy]&amp;"'!"&amp;"C$5:C1000"), $B7, INDIRECT("'"&amp;Assemblies[Assy]&amp;"'!"&amp;"A$5:A1000"))=0,NA(),SUMIF(INDIRECT("'"&amp;Assemblies[Assy]&amp;"'!"&amp;"C$5:C1000"), $B7, INDIRECT("'"&amp;Assemblies[Assy]&amp;"'!"&amp;"A$5:A1000")))),"")), " ,", ""))</f>
        <v>, 2x3.2.7.702, 2x3.2.8.702,</v>
      </c>
      <c r="X7" s="54">
        <f ca="1">Extrusion[[#This Row],[Length]]*Extrusion[[#This Row],[Total Qty]]</f>
        <v>2092</v>
      </c>
      <c r="Y7" s="54">
        <f>Extrusion[[#This Row],[Length]]*Extrusion[[#This Row],[Cut QTY]]</f>
        <v>0</v>
      </c>
      <c r="Z7" s="54">
        <f ca="1">Extrusion[[#This Row],[Required Length]]-Extrusion[[#This Row],[Cut Length]]</f>
        <v>2092</v>
      </c>
      <c r="AA7" s="54"/>
    </row>
    <row r="8" spans="1:27" x14ac:dyDescent="0.25">
      <c r="A8" s="291">
        <v>545</v>
      </c>
      <c r="B8" t="s">
        <v>482</v>
      </c>
      <c r="C8" t="s">
        <v>3776</v>
      </c>
      <c r="D8" s="157" cm="1">
        <f t="array" aca="1" ref="D8" ca="1">SUMPRODUCT(SUMIF(INDIRECT("'"&amp;Assemblies[Assy]&amp;"'!"&amp;"C:C"),B8,(INDIRECT("'"&amp;Assemblies[Assy]&amp;"'!"&amp;"O:O"))))</f>
        <v>8</v>
      </c>
      <c r="E8">
        <v>0</v>
      </c>
      <c r="F8" t="str">
        <f t="shared" ca="1" si="0"/>
        <v>YES</v>
      </c>
      <c r="G8" s="39">
        <f t="shared" si="1"/>
        <v>1</v>
      </c>
      <c r="I8" t="s">
        <v>3595</v>
      </c>
      <c r="P8" s="7">
        <v>1</v>
      </c>
      <c r="Q8" s="7">
        <v>0</v>
      </c>
      <c r="R8" s="7">
        <v>0</v>
      </c>
      <c r="S8" s="54">
        <v>0</v>
      </c>
      <c r="T8" s="2">
        <v>6</v>
      </c>
      <c r="U8" s="55">
        <v>0</v>
      </c>
      <c r="V8" s="59">
        <f t="shared" si="2"/>
        <v>0</v>
      </c>
      <c r="W8" s="2" t="str" cm="1">
        <f t="array" aca="1" ref="W8" ca="1">TRIM(SUBSTITUTE(_xlfn.ARRAYTOTEXT(IFERROR(CONCATENATE(SUMIF(INDIRECT("'"&amp;Assemblies[Assy]&amp;"'!"&amp;"C$5:C1000"), $B8, INDIRECT("'"&amp;Assemblies[Assy]&amp;"'!"&amp;"O$5:O1000")), "x",Assemblies[Assy],".",IF(SUMIF(INDIRECT("'"&amp;Assemblies[Assy]&amp;"'!"&amp;"C$5:C1000"), $B8, INDIRECT("'"&amp;Assemblies[Assy]&amp;"'!"&amp;"A$5:A1000"))=0,NA(),SUMIF(INDIRECT("'"&amp;Assemblies[Assy]&amp;"'!"&amp;"C$5:C1000"), $B8, INDIRECT("'"&amp;Assemblies[Assy]&amp;"'!"&amp;"A$5:A1000")))),"")), " ,", ""))</f>
        <v>, 4x3.2.5.701, 4x3.2.6.701,</v>
      </c>
      <c r="X8" s="54">
        <f ca="1">Extrusion[[#This Row],[Length]]*Extrusion[[#This Row],[Total Qty]]</f>
        <v>4360</v>
      </c>
      <c r="Y8" s="54">
        <f>Extrusion[[#This Row],[Length]]*Extrusion[[#This Row],[Cut QTY]]</f>
        <v>0</v>
      </c>
      <c r="Z8" s="54">
        <f ca="1">Extrusion[[#This Row],[Required Length]]-Extrusion[[#This Row],[Cut Length]]</f>
        <v>4360</v>
      </c>
      <c r="AA8" s="54"/>
    </row>
    <row r="9" spans="1:27" x14ac:dyDescent="0.25">
      <c r="A9" s="291">
        <v>564</v>
      </c>
      <c r="B9" t="s">
        <v>489</v>
      </c>
      <c r="C9" t="s">
        <v>3776</v>
      </c>
      <c r="D9" s="157" cm="1">
        <f t="array" aca="1" ref="D9" ca="1">SUMPRODUCT(SUMIF(INDIRECT("'"&amp;Assemblies[Assy]&amp;"'!"&amp;"C:C"),B9,(INDIRECT("'"&amp;Assemblies[Assy]&amp;"'!"&amp;"O:O"))))</f>
        <v>4</v>
      </c>
      <c r="E9">
        <v>0</v>
      </c>
      <c r="F9" t="str">
        <f t="shared" ca="1" si="0"/>
        <v>YES</v>
      </c>
      <c r="G9" s="39">
        <f t="shared" si="1"/>
        <v>1</v>
      </c>
      <c r="I9" t="s">
        <v>3595</v>
      </c>
      <c r="P9" s="7">
        <v>1</v>
      </c>
      <c r="Q9" s="7">
        <v>0</v>
      </c>
      <c r="R9" s="7">
        <v>0</v>
      </c>
      <c r="S9" s="54">
        <v>0</v>
      </c>
      <c r="T9" s="2">
        <v>6</v>
      </c>
      <c r="U9" s="55">
        <v>0</v>
      </c>
      <c r="V9" s="59">
        <f t="shared" si="2"/>
        <v>0</v>
      </c>
      <c r="W9" s="2" t="str" cm="1">
        <f t="array" aca="1" ref="W9" ca="1">TRIM(SUBSTITUTE(_xlfn.ARRAYTOTEXT(IFERROR(CONCATENATE(SUMIF(INDIRECT("'"&amp;Assemblies[Assy]&amp;"'!"&amp;"C$5:C1000"), $B9, INDIRECT("'"&amp;Assemblies[Assy]&amp;"'!"&amp;"O$5:O1000")), "x",Assemblies[Assy],".",IF(SUMIF(INDIRECT("'"&amp;Assemblies[Assy]&amp;"'!"&amp;"C$5:C1000"), $B9, INDIRECT("'"&amp;Assemblies[Assy]&amp;"'!"&amp;"A$5:A1000"))=0,NA(),SUMIF(INDIRECT("'"&amp;Assemblies[Assy]&amp;"'!"&amp;"C$5:C1000"), $B9, INDIRECT("'"&amp;Assemblies[Assy]&amp;"'!"&amp;"A$5:A1000")))),"")), " ,", ""))</f>
        <v>, 2x3.2.7.701, 2x3.2.8.701,</v>
      </c>
      <c r="X9" s="54">
        <f ca="1">Extrusion[[#This Row],[Length]]*Extrusion[[#This Row],[Total Qty]]</f>
        <v>2256</v>
      </c>
      <c r="Y9" s="54">
        <f>Extrusion[[#This Row],[Length]]*Extrusion[[#This Row],[Cut QTY]]</f>
        <v>0</v>
      </c>
      <c r="Z9" s="54">
        <f ca="1">Extrusion[[#This Row],[Required Length]]-Extrusion[[#This Row],[Cut Length]]</f>
        <v>2256</v>
      </c>
      <c r="AA9" s="54"/>
    </row>
    <row r="10" spans="1:27" x14ac:dyDescent="0.25">
      <c r="A10" s="291">
        <v>690</v>
      </c>
      <c r="B10" t="s">
        <v>416</v>
      </c>
      <c r="C10" t="s">
        <v>3776</v>
      </c>
      <c r="D10" s="157" cm="1">
        <f t="array" aca="1" ref="D10" ca="1">SUMPRODUCT(SUMIF(INDIRECT("'"&amp;Assemblies[Assy]&amp;"'!"&amp;"C:C"),B10,(INDIRECT("'"&amp;Assemblies[Assy]&amp;"'!"&amp;"O:O"))))</f>
        <v>4</v>
      </c>
      <c r="E10">
        <v>0</v>
      </c>
      <c r="F10" t="str">
        <f t="shared" ca="1" si="0"/>
        <v>YES</v>
      </c>
      <c r="G10" s="39">
        <f t="shared" si="1"/>
        <v>1</v>
      </c>
      <c r="I10" t="s">
        <v>3595</v>
      </c>
      <c r="P10" s="7">
        <v>1</v>
      </c>
      <c r="Q10" s="7">
        <v>0</v>
      </c>
      <c r="R10" s="7">
        <v>0</v>
      </c>
      <c r="S10" s="54">
        <v>0</v>
      </c>
      <c r="T10" s="2">
        <v>6</v>
      </c>
      <c r="U10" s="55">
        <v>0</v>
      </c>
      <c r="V10" s="59">
        <f t="shared" si="2"/>
        <v>0</v>
      </c>
      <c r="W10" s="2" t="str" cm="1">
        <f t="array" aca="1" ref="W10" ca="1">TRIM(SUBSTITUTE(_xlfn.ARRAYTOTEXT(IFERROR(CONCATENATE(SUMIF(INDIRECT("'"&amp;Assemblies[Assy]&amp;"'!"&amp;"C$5:C1000"), $B10, INDIRECT("'"&amp;Assemblies[Assy]&amp;"'!"&amp;"O$5:O1000")), "x",Assemblies[Assy],".",IF(SUMIF(INDIRECT("'"&amp;Assemblies[Assy]&amp;"'!"&amp;"C$5:C1000"), $B10, INDIRECT("'"&amp;Assemblies[Assy]&amp;"'!"&amp;"A$5:A1000"))=0,NA(),SUMIF(INDIRECT("'"&amp;Assemblies[Assy]&amp;"'!"&amp;"C$5:C1000"), $B10, INDIRECT("'"&amp;Assemblies[Assy]&amp;"'!"&amp;"A$5:A1000")))),"")), " ,", ""))</f>
        <v>, 2x2.2.3.701, 2x2.2.4.701,</v>
      </c>
      <c r="X10" s="54">
        <f ca="1">Extrusion[[#This Row],[Length]]*Extrusion[[#This Row],[Total Qty]]</f>
        <v>2760</v>
      </c>
      <c r="Y10" s="54">
        <f>Extrusion[[#This Row],[Length]]*Extrusion[[#This Row],[Cut QTY]]</f>
        <v>0</v>
      </c>
      <c r="Z10" s="54">
        <f ca="1">Extrusion[[#This Row],[Required Length]]-Extrusion[[#This Row],[Cut Length]]</f>
        <v>2760</v>
      </c>
      <c r="AA10" s="54"/>
    </row>
    <row r="11" spans="1:27" x14ac:dyDescent="0.25">
      <c r="A11" s="291">
        <v>790.5</v>
      </c>
      <c r="B11" t="s">
        <v>579</v>
      </c>
      <c r="C11" t="s">
        <v>3776</v>
      </c>
      <c r="D11" s="157" cm="1">
        <f t="array" aca="1" ref="D11" ca="1">SUMPRODUCT(SUMIF(INDIRECT("'"&amp;Assemblies[Assy]&amp;"'!"&amp;"C:C"),B11,(INDIRECT("'"&amp;Assemblies[Assy]&amp;"'!"&amp;"O:O"))))</f>
        <v>4</v>
      </c>
      <c r="E11">
        <v>0</v>
      </c>
      <c r="F11" t="str">
        <f t="shared" ca="1" si="0"/>
        <v>YES</v>
      </c>
      <c r="G11" s="39">
        <f t="shared" si="1"/>
        <v>1</v>
      </c>
      <c r="I11" t="s">
        <v>3595</v>
      </c>
      <c r="P11" s="7">
        <v>1</v>
      </c>
      <c r="Q11" s="7">
        <v>0</v>
      </c>
      <c r="R11" s="7">
        <v>0</v>
      </c>
      <c r="S11" s="54">
        <v>0</v>
      </c>
      <c r="T11" s="2">
        <v>6</v>
      </c>
      <c r="U11" s="55">
        <v>0</v>
      </c>
      <c r="V11" s="59">
        <f t="shared" si="2"/>
        <v>0</v>
      </c>
      <c r="W11" s="2" t="str" cm="1">
        <f t="array" aca="1" ref="W11" ca="1">TRIM(SUBSTITUTE(_xlfn.ARRAYTOTEXT(IFERROR(CONCATENATE(SUMIF(INDIRECT("'"&amp;Assemblies[Assy]&amp;"'!"&amp;"C$5:C1000"), $B11, INDIRECT("'"&amp;Assemblies[Assy]&amp;"'!"&amp;"O$5:O1000")), "x",Assemblies[Assy],".",IF(SUMIF(INDIRECT("'"&amp;Assemblies[Assy]&amp;"'!"&amp;"C$5:C1000"), $B11, INDIRECT("'"&amp;Assemblies[Assy]&amp;"'!"&amp;"A$5:A1000"))=0,NA(),SUMIF(INDIRECT("'"&amp;Assemblies[Assy]&amp;"'!"&amp;"C$5:C1000"), $B11, INDIRECT("'"&amp;Assemblies[Assy]&amp;"'!"&amp;"A$5:A1000")))),"")), " ,", ""))</f>
        <v>, 2x4.2.4.701, 2x4.2.5.701,</v>
      </c>
      <c r="X11" s="54">
        <f ca="1">Extrusion[[#This Row],[Length]]*Extrusion[[#This Row],[Total Qty]]</f>
        <v>3162</v>
      </c>
      <c r="Y11" s="54">
        <f>Extrusion[[#This Row],[Length]]*Extrusion[[#This Row],[Cut QTY]]</f>
        <v>0</v>
      </c>
      <c r="Z11" s="54">
        <f ca="1">Extrusion[[#This Row],[Required Length]]-Extrusion[[#This Row],[Cut Length]]</f>
        <v>3162</v>
      </c>
      <c r="AA11" s="54"/>
    </row>
    <row r="12" spans="1:27" x14ac:dyDescent="0.25">
      <c r="A12" s="291">
        <v>865</v>
      </c>
      <c r="B12" t="s">
        <v>588</v>
      </c>
      <c r="C12" t="s">
        <v>3776</v>
      </c>
      <c r="D12" s="157" cm="1">
        <f t="array" aca="1" ref="D12" ca="1">SUMPRODUCT(SUMIF(INDIRECT("'"&amp;Assemblies[Assy]&amp;"'!"&amp;"C:C"),B12,(INDIRECT("'"&amp;Assemblies[Assy]&amp;"'!"&amp;"O:O"))))</f>
        <v>4</v>
      </c>
      <c r="E12">
        <v>0</v>
      </c>
      <c r="F12" t="str">
        <f t="shared" ca="1" si="0"/>
        <v>YES</v>
      </c>
      <c r="G12" s="39">
        <f t="shared" si="1"/>
        <v>1</v>
      </c>
      <c r="I12" t="s">
        <v>3595</v>
      </c>
      <c r="P12" s="7">
        <v>1</v>
      </c>
      <c r="Q12" s="7">
        <v>0</v>
      </c>
      <c r="R12" s="7">
        <v>0</v>
      </c>
      <c r="S12" s="54">
        <v>0</v>
      </c>
      <c r="T12" s="2">
        <v>6</v>
      </c>
      <c r="U12" s="55">
        <v>0</v>
      </c>
      <c r="V12" s="59">
        <f t="shared" si="2"/>
        <v>0</v>
      </c>
      <c r="W12" s="2" t="str" cm="1">
        <f t="array" aca="1" ref="W12" ca="1">TRIM(SUBSTITUTE(_xlfn.ARRAYTOTEXT(IFERROR(CONCATENATE(SUMIF(INDIRECT("'"&amp;Assemblies[Assy]&amp;"'!"&amp;"C$5:C1000"), $B12, INDIRECT("'"&amp;Assemblies[Assy]&amp;"'!"&amp;"O$5:O1000")), "x",Assemblies[Assy],".",IF(SUMIF(INDIRECT("'"&amp;Assemblies[Assy]&amp;"'!"&amp;"C$5:C1000"), $B12, INDIRECT("'"&amp;Assemblies[Assy]&amp;"'!"&amp;"A$5:A1000"))=0,NA(),SUMIF(INDIRECT("'"&amp;Assemblies[Assy]&amp;"'!"&amp;"C$5:C1000"), $B12, INDIRECT("'"&amp;Assemblies[Assy]&amp;"'!"&amp;"A$5:A1000")))),"")), " ,", ""))</f>
        <v>, 2x4.2.8.701, 2x4.2.9.701,</v>
      </c>
      <c r="X12" s="54">
        <f ca="1">Extrusion[[#This Row],[Length]]*Extrusion[[#This Row],[Total Qty]]</f>
        <v>3460</v>
      </c>
      <c r="Y12" s="54">
        <f>Extrusion[[#This Row],[Length]]*Extrusion[[#This Row],[Cut QTY]]</f>
        <v>0</v>
      </c>
      <c r="Z12" s="54">
        <f ca="1">Extrusion[[#This Row],[Required Length]]-Extrusion[[#This Row],[Cut Length]]</f>
        <v>3460</v>
      </c>
      <c r="AA12" s="54"/>
    </row>
    <row r="13" spans="1:27" x14ac:dyDescent="0.25">
      <c r="A13" s="291">
        <v>912</v>
      </c>
      <c r="B13" t="s">
        <v>405</v>
      </c>
      <c r="C13" t="s">
        <v>3776</v>
      </c>
      <c r="D13" s="157" cm="1">
        <f t="array" aca="1" ref="D13" ca="1">SUMPRODUCT(SUMIF(INDIRECT("'"&amp;Assemblies[Assy]&amp;"'!"&amp;"C:C"),B13,(INDIRECT("'"&amp;Assemblies[Assy]&amp;"'!"&amp;"O:O"))))</f>
        <v>4</v>
      </c>
      <c r="E13">
        <v>0</v>
      </c>
      <c r="F13" t="str">
        <f t="shared" ca="1" si="0"/>
        <v>YES</v>
      </c>
      <c r="G13" s="39">
        <f t="shared" si="1"/>
        <v>1</v>
      </c>
      <c r="I13" t="s">
        <v>3595</v>
      </c>
      <c r="P13" s="7">
        <v>1</v>
      </c>
      <c r="Q13" s="7">
        <v>0</v>
      </c>
      <c r="R13" s="7">
        <v>0</v>
      </c>
      <c r="S13" s="54">
        <v>0</v>
      </c>
      <c r="T13" s="2">
        <v>6</v>
      </c>
      <c r="U13" s="55">
        <v>0</v>
      </c>
      <c r="V13" s="59">
        <f t="shared" si="2"/>
        <v>0</v>
      </c>
      <c r="W13" s="2" t="str" cm="1">
        <f t="array" aca="1" ref="W13" ca="1">TRIM(SUBSTITUTE(_xlfn.ARRAYTOTEXT(IFERROR(CONCATENATE(SUMIF(INDIRECT("'"&amp;Assemblies[Assy]&amp;"'!"&amp;"C$5:C1000"), $B13, INDIRECT("'"&amp;Assemblies[Assy]&amp;"'!"&amp;"O$5:O1000")), "x",Assemblies[Assy],".",IF(SUMIF(INDIRECT("'"&amp;Assemblies[Assy]&amp;"'!"&amp;"C$5:C1000"), $B13, INDIRECT("'"&amp;Assemblies[Assy]&amp;"'!"&amp;"A$5:A1000"))=0,NA(),SUMIF(INDIRECT("'"&amp;Assemblies[Assy]&amp;"'!"&amp;"C$5:C1000"), $B13, INDIRECT("'"&amp;Assemblies[Assy]&amp;"'!"&amp;"A$5:A1000")))),"")), " ,", ""))</f>
        <v>, 2x2.2.1.702, 2x2.2.2.702,</v>
      </c>
      <c r="X13" s="54">
        <f ca="1">Extrusion[[#This Row],[Length]]*Extrusion[[#This Row],[Total Qty]]</f>
        <v>3648</v>
      </c>
      <c r="Y13" s="54">
        <f>Extrusion[[#This Row],[Length]]*Extrusion[[#This Row],[Cut QTY]]</f>
        <v>0</v>
      </c>
      <c r="Z13" s="54">
        <f ca="1">Extrusion[[#This Row],[Required Length]]-Extrusion[[#This Row],[Cut Length]]</f>
        <v>3648</v>
      </c>
      <c r="AA13" s="54"/>
    </row>
    <row r="14" spans="1:27" x14ac:dyDescent="0.25">
      <c r="A14" s="291">
        <v>953</v>
      </c>
      <c r="B14" t="s">
        <v>404</v>
      </c>
      <c r="C14" t="s">
        <v>3776</v>
      </c>
      <c r="D14" s="157" cm="1">
        <f t="array" aca="1" ref="D14" ca="1">SUMPRODUCT(SUMIF(INDIRECT("'"&amp;Assemblies[Assy]&amp;"'!"&amp;"C:C"),B14,(INDIRECT("'"&amp;Assemblies[Assy]&amp;"'!"&amp;"O:O"))))</f>
        <v>4</v>
      </c>
      <c r="E14">
        <v>0</v>
      </c>
      <c r="F14" t="str">
        <f t="shared" ca="1" si="0"/>
        <v>YES</v>
      </c>
      <c r="G14" s="39">
        <f t="shared" si="1"/>
        <v>1</v>
      </c>
      <c r="I14" t="s">
        <v>3595</v>
      </c>
      <c r="P14" s="7">
        <v>1</v>
      </c>
      <c r="Q14" s="7">
        <v>0</v>
      </c>
      <c r="R14" s="7">
        <v>0</v>
      </c>
      <c r="S14" s="54">
        <v>0</v>
      </c>
      <c r="T14" s="2">
        <v>6</v>
      </c>
      <c r="U14" s="55">
        <v>0</v>
      </c>
      <c r="V14" s="59">
        <f t="shared" si="2"/>
        <v>0</v>
      </c>
      <c r="W14" s="2" t="str" cm="1">
        <f t="array" aca="1" ref="W14" ca="1">TRIM(SUBSTITUTE(_xlfn.ARRAYTOTEXT(IFERROR(CONCATENATE(SUMIF(INDIRECT("'"&amp;Assemblies[Assy]&amp;"'!"&amp;"C$5:C1000"), $B14, INDIRECT("'"&amp;Assemblies[Assy]&amp;"'!"&amp;"O$5:O1000")), "x",Assemblies[Assy],".",IF(SUMIF(INDIRECT("'"&amp;Assemblies[Assy]&amp;"'!"&amp;"C$5:C1000"), $B14, INDIRECT("'"&amp;Assemblies[Assy]&amp;"'!"&amp;"A$5:A1000"))=0,NA(),SUMIF(INDIRECT("'"&amp;Assemblies[Assy]&amp;"'!"&amp;"C$5:C1000"), $B14, INDIRECT("'"&amp;Assemblies[Assy]&amp;"'!"&amp;"A$5:A1000")))),"")), " ,", ""))</f>
        <v>, 2x2.2.1.701, 2x2.2.2.701,</v>
      </c>
      <c r="X14" s="54">
        <f ca="1">Extrusion[[#This Row],[Length]]*Extrusion[[#This Row],[Total Qty]]</f>
        <v>3812</v>
      </c>
      <c r="Y14" s="54">
        <f>Extrusion[[#This Row],[Length]]*Extrusion[[#This Row],[Cut QTY]]</f>
        <v>0</v>
      </c>
      <c r="Z14" s="54">
        <f ca="1">Extrusion[[#This Row],[Required Length]]-Extrusion[[#This Row],[Cut Length]]</f>
        <v>3812</v>
      </c>
      <c r="AA14" s="54"/>
    </row>
    <row r="15" spans="1:27" x14ac:dyDescent="0.25">
      <c r="A15" s="143">
        <v>1853</v>
      </c>
      <c r="B15" t="s">
        <v>344</v>
      </c>
      <c r="C15" t="s">
        <v>3776</v>
      </c>
      <c r="D15" s="157" cm="1">
        <f t="array" aca="1" ref="D15" ca="1">SUMPRODUCT(SUMIF(INDIRECT("'"&amp;Assemblies[Assy]&amp;"'!"&amp;"C:C"),B15,(INDIRECT("'"&amp;Assemblies[Assy]&amp;"'!"&amp;"O:O"))))</f>
        <v>2</v>
      </c>
      <c r="E15">
        <v>2</v>
      </c>
      <c r="F15" t="str">
        <f t="shared" ca="1" si="0"/>
        <v/>
      </c>
      <c r="G15" s="39">
        <f t="shared" si="1"/>
        <v>1</v>
      </c>
      <c r="I15" t="s">
        <v>3595</v>
      </c>
      <c r="P15" s="7">
        <v>1</v>
      </c>
      <c r="Q15" s="7">
        <v>0</v>
      </c>
      <c r="R15" s="7">
        <v>0</v>
      </c>
      <c r="S15" s="54">
        <v>0</v>
      </c>
      <c r="T15" s="2">
        <v>6</v>
      </c>
      <c r="U15" s="55">
        <v>82.92</v>
      </c>
      <c r="V15" s="59">
        <f t="shared" si="2"/>
        <v>1.3820000000000001E-2</v>
      </c>
      <c r="W15" s="2" t="str" cm="1">
        <f t="array" aca="1" ref="W15" ca="1">TRIM(SUBSTITUTE(_xlfn.ARRAYTOTEXT(IFERROR(CONCATENATE(SUMIF(INDIRECT("'"&amp;Assemblies[Assy]&amp;"'!"&amp;"C$5:C1000"), $B15, INDIRECT("'"&amp;Assemblies[Assy]&amp;"'!"&amp;"O$5:O1000")), "x",Assemblies[Assy],".",IF(SUMIF(INDIRECT("'"&amp;Assemblies[Assy]&amp;"'!"&amp;"C$5:C1000"), $B15, INDIRECT("'"&amp;Assemblies[Assy]&amp;"'!"&amp;"A$5:A1000"))=0,NA(),SUMIF(INDIRECT("'"&amp;Assemblies[Assy]&amp;"'!"&amp;"C$5:C1000"), $B15, INDIRECT("'"&amp;Assemblies[Assy]&amp;"'!"&amp;"A$5:A1000")))),"")), " ,", ""))</f>
        <v>, 2x1.4.702,</v>
      </c>
      <c r="X15" s="54">
        <f ca="1">Extrusion[[#This Row],[Length]]*Extrusion[[#This Row],[Total Qty]]</f>
        <v>3706</v>
      </c>
      <c r="Y15" s="54">
        <f>Extrusion[[#This Row],[Length]]*Extrusion[[#This Row],[Cut QTY]]</f>
        <v>3706</v>
      </c>
      <c r="Z15" s="54">
        <f ca="1">Extrusion[[#This Row],[Required Length]]-Extrusion[[#This Row],[Cut Length]]</f>
        <v>0</v>
      </c>
      <c r="AA15" s="54"/>
    </row>
    <row r="16" spans="1:27" x14ac:dyDescent="0.25">
      <c r="A16" s="291">
        <v>200</v>
      </c>
      <c r="B16" t="s">
        <v>635</v>
      </c>
      <c r="C16" t="s">
        <v>3596</v>
      </c>
      <c r="D16" s="157" cm="1">
        <f t="array" aca="1" ref="D16" ca="1">SUMPRODUCT(SUMIF(INDIRECT("'"&amp;Assemblies[Assy]&amp;"'!"&amp;"C:C"),B16,(INDIRECT("'"&amp;Assemblies[Assy]&amp;"'!"&amp;"O:O"))))</f>
        <v>2</v>
      </c>
      <c r="E16">
        <v>2</v>
      </c>
      <c r="F16" t="str">
        <f t="shared" ca="1" si="0"/>
        <v/>
      </c>
      <c r="G16" s="39">
        <f t="shared" si="1"/>
        <v>1</v>
      </c>
      <c r="I16" t="s">
        <v>3595</v>
      </c>
      <c r="P16" s="7">
        <v>1</v>
      </c>
      <c r="Q16" s="7">
        <v>0</v>
      </c>
      <c r="R16" s="7">
        <v>0</v>
      </c>
      <c r="S16" s="54">
        <v>0</v>
      </c>
      <c r="T16" s="2">
        <v>6</v>
      </c>
      <c r="U16" s="55">
        <v>82.92</v>
      </c>
      <c r="V16" s="59">
        <f t="shared" si="2"/>
        <v>1.3820000000000001E-2</v>
      </c>
      <c r="W16" s="2" t="str" cm="1">
        <f t="array" aca="1" ref="W16" ca="1">TRIM(SUBSTITUTE(_xlfn.ARRAYTOTEXT(IFERROR(CONCATENATE(SUMIF(INDIRECT("'"&amp;Assemblies[Assy]&amp;"'!"&amp;"C$5:C1000"), $B16, INDIRECT("'"&amp;Assemblies[Assy]&amp;"'!"&amp;"O$5:O1000")), "x",Assemblies[Assy],".",IF(SUMIF(INDIRECT("'"&amp;Assemblies[Assy]&amp;"'!"&amp;"C$5:C1000"), $B16, INDIRECT("'"&amp;Assemblies[Assy]&amp;"'!"&amp;"A$5:A1000"))=0,NA(),SUMIF(INDIRECT("'"&amp;Assemblies[Assy]&amp;"'!"&amp;"C$5:C1000"), $B16, INDIRECT("'"&amp;Assemblies[Assy]&amp;"'!"&amp;"A$5:A1000")))),"")), " ,", ""))</f>
        <v>, 2x4.4.702,</v>
      </c>
      <c r="X16" s="54">
        <f ca="1">Extrusion[[#This Row],[Length]]*Extrusion[[#This Row],[Total Qty]]</f>
        <v>400</v>
      </c>
      <c r="Y16" s="54">
        <f>Extrusion[[#This Row],[Length]]*Extrusion[[#This Row],[Cut QTY]]</f>
        <v>400</v>
      </c>
      <c r="Z16" s="54">
        <f ca="1">Extrusion[[#This Row],[Required Length]]-Extrusion[[#This Row],[Cut Length]]</f>
        <v>0</v>
      </c>
      <c r="AA16" s="54"/>
    </row>
    <row r="17" spans="1:28" x14ac:dyDescent="0.25">
      <c r="A17" s="143">
        <v>2018</v>
      </c>
      <c r="B17" t="s">
        <v>354</v>
      </c>
      <c r="C17" t="s">
        <v>3776</v>
      </c>
      <c r="D17" s="157" cm="1">
        <f t="array" aca="1" ref="D17" ca="1">SUMPRODUCT(SUMIF(INDIRECT("'"&amp;Assemblies[Assy]&amp;"'!"&amp;"C:C"),B17,(INDIRECT("'"&amp;Assemblies[Assy]&amp;"'!"&amp;"O:O"))))</f>
        <v>2</v>
      </c>
      <c r="E17">
        <v>2</v>
      </c>
      <c r="F17" t="str">
        <f t="shared" ca="1" si="0"/>
        <v/>
      </c>
      <c r="G17" s="39">
        <f t="shared" si="1"/>
        <v>1</v>
      </c>
      <c r="I17" t="s">
        <v>3595</v>
      </c>
      <c r="P17" s="7">
        <v>1</v>
      </c>
      <c r="Q17" s="7">
        <v>0</v>
      </c>
      <c r="R17" s="7">
        <v>0</v>
      </c>
      <c r="S17" s="54">
        <v>0</v>
      </c>
      <c r="T17" s="2">
        <v>6</v>
      </c>
      <c r="U17" s="55">
        <v>82.92</v>
      </c>
      <c r="V17" s="59">
        <f t="shared" si="2"/>
        <v>1.3820000000000001E-2</v>
      </c>
      <c r="W17" s="2" t="str" cm="1">
        <f t="array" aca="1" ref="W17" ca="1">TRIM(SUBSTITUTE(_xlfn.ARRAYTOTEXT(IFERROR(CONCATENATE(SUMIF(INDIRECT("'"&amp;Assemblies[Assy]&amp;"'!"&amp;"C$5:C1000"), $B17, INDIRECT("'"&amp;Assemblies[Assy]&amp;"'!"&amp;"O$5:O1000")), "x",Assemblies[Assy],".",IF(SUMIF(INDIRECT("'"&amp;Assemblies[Assy]&amp;"'!"&amp;"C$5:C1000"), $B17, INDIRECT("'"&amp;Assemblies[Assy]&amp;"'!"&amp;"A$5:A1000"))=0,NA(),SUMIF(INDIRECT("'"&amp;Assemblies[Assy]&amp;"'!"&amp;"C$5:C1000"), $B17, INDIRECT("'"&amp;Assemblies[Assy]&amp;"'!"&amp;"A$5:A1000")))),"")), " ,", ""))</f>
        <v>, 2x1.5.702,</v>
      </c>
      <c r="X17" s="54">
        <f ca="1">Extrusion[[#This Row],[Length]]*Extrusion[[#This Row],[Total Qty]]</f>
        <v>4036</v>
      </c>
      <c r="Y17" s="54">
        <f>Extrusion[[#This Row],[Length]]*Extrusion[[#This Row],[Cut QTY]]</f>
        <v>4036</v>
      </c>
      <c r="Z17" s="54">
        <f ca="1">Extrusion[[#This Row],[Required Length]]-Extrusion[[#This Row],[Cut Length]]</f>
        <v>0</v>
      </c>
      <c r="AA17" s="54"/>
    </row>
    <row r="18" spans="1:28" x14ac:dyDescent="0.25">
      <c r="A18" s="291">
        <v>90</v>
      </c>
      <c r="B18" t="s">
        <v>163</v>
      </c>
      <c r="C18" t="s">
        <v>3596</v>
      </c>
      <c r="D18" s="157" cm="1">
        <f t="array" aca="1" ref="D18" ca="1">SUMPRODUCT(SUMIF(INDIRECT("'"&amp;Assemblies[Assy]&amp;"'!"&amp;"C:C"),B18,(INDIRECT("'"&amp;Assemblies[Assy]&amp;"'!"&amp;"O:O"))))</f>
        <v>4</v>
      </c>
      <c r="F18" t="str">
        <f t="shared" ca="1" si="0"/>
        <v>YES</v>
      </c>
      <c r="G18" s="39">
        <f t="shared" si="1"/>
        <v>1</v>
      </c>
      <c r="I18" t="s">
        <v>3595</v>
      </c>
      <c r="P18" s="7">
        <v>1</v>
      </c>
      <c r="Q18" s="7">
        <v>0</v>
      </c>
      <c r="R18" s="7">
        <v>0</v>
      </c>
      <c r="S18" s="54">
        <v>0</v>
      </c>
      <c r="T18" s="2">
        <v>6</v>
      </c>
      <c r="U18" s="55">
        <v>82.92</v>
      </c>
      <c r="V18" s="59">
        <f t="shared" si="2"/>
        <v>1.3820000000000001E-2</v>
      </c>
      <c r="W18" s="2" t="str" cm="1">
        <f t="array" aca="1" ref="W18" ca="1">TRIM(SUBSTITUTE(_xlfn.ARRAYTOTEXT(IFERROR(CONCATENATE(SUMIF(INDIRECT("'"&amp;Assemblies[Assy]&amp;"'!"&amp;"C$5:C1000"), $B18, INDIRECT("'"&amp;Assemblies[Assy]&amp;"'!"&amp;"O$5:O1000")), "x",Assemblies[Assy],".",IF(SUMIF(INDIRECT("'"&amp;Assemblies[Assy]&amp;"'!"&amp;"C$5:C1000"), $B18, INDIRECT("'"&amp;Assemblies[Assy]&amp;"'!"&amp;"A$5:A1000"))=0,NA(),SUMIF(INDIRECT("'"&amp;Assemblies[Assy]&amp;"'!"&amp;"C$5:C1000"), $B18, INDIRECT("'"&amp;Assemblies[Assy]&amp;"'!"&amp;"A$5:A1000")))),"")), " ,", ""))</f>
        <v>, 4x1.1.713,</v>
      </c>
      <c r="X18" s="54">
        <f ca="1">Extrusion[[#This Row],[Length]]*Extrusion[[#This Row],[Total Qty]]</f>
        <v>360</v>
      </c>
      <c r="Y18" s="54">
        <f>Extrusion[[#This Row],[Length]]*Extrusion[[#This Row],[Cut QTY]]</f>
        <v>0</v>
      </c>
      <c r="Z18" s="54">
        <f ca="1">Extrusion[[#This Row],[Required Length]]-Extrusion[[#This Row],[Cut Length]]</f>
        <v>360</v>
      </c>
      <c r="AA18" s="54"/>
    </row>
    <row r="19" spans="1:28" x14ac:dyDescent="0.25">
      <c r="A19" s="291">
        <v>1428</v>
      </c>
      <c r="B19" t="s">
        <v>1339</v>
      </c>
      <c r="C19" t="s">
        <v>3596</v>
      </c>
      <c r="D19" s="157" cm="1">
        <f t="array" aca="1" ref="D19" ca="1">SUMPRODUCT(SUMIF(INDIRECT("'"&amp;Assemblies[Assy]&amp;"'!"&amp;"C:C"),B19,(INDIRECT("'"&amp;Assemblies[Assy]&amp;"'!"&amp;"O:O"))))</f>
        <v>1</v>
      </c>
      <c r="E19">
        <v>0</v>
      </c>
      <c r="F19" t="str">
        <f t="shared" ca="1" si="0"/>
        <v>YES</v>
      </c>
      <c r="G19" s="39">
        <f t="shared" si="1"/>
        <v>1</v>
      </c>
      <c r="I19" t="s">
        <v>3595</v>
      </c>
      <c r="P19" s="7">
        <v>1</v>
      </c>
      <c r="Q19" s="7">
        <v>0</v>
      </c>
      <c r="R19" s="7">
        <v>0</v>
      </c>
      <c r="S19" s="54">
        <v>0</v>
      </c>
      <c r="T19" s="2">
        <v>6</v>
      </c>
      <c r="U19" s="55">
        <v>82.92</v>
      </c>
      <c r="V19" s="59">
        <f t="shared" si="2"/>
        <v>1.3820000000000001E-2</v>
      </c>
      <c r="W19" s="2" t="str" cm="1">
        <f t="array" aca="1" ref="W19" ca="1">TRIM(SUBSTITUTE(_xlfn.ARRAYTOTEXT(IFERROR(CONCATENATE(SUMIF(INDIRECT("'"&amp;Assemblies[Assy]&amp;"'!"&amp;"C$5:C1000"), $B19, INDIRECT("'"&amp;Assemblies[Assy]&amp;"'!"&amp;"O$5:O1000")), "x",Assemblies[Assy],".",IF(SUMIF(INDIRECT("'"&amp;Assemblies[Assy]&amp;"'!"&amp;"C$5:C1000"), $B19, INDIRECT("'"&amp;Assemblies[Assy]&amp;"'!"&amp;"A$5:A1000"))=0,NA(),SUMIF(INDIRECT("'"&amp;Assemblies[Assy]&amp;"'!"&amp;"C$5:C1000"), $B19, INDIRECT("'"&amp;Assemblies[Assy]&amp;"'!"&amp;"A$5:A1000")))),"")), " ,", ""))</f>
        <v>, 1x10.1.717,</v>
      </c>
      <c r="X19" s="54">
        <f ca="1">Extrusion[[#This Row],[Length]]*Extrusion[[#This Row],[Total Qty]]</f>
        <v>1428</v>
      </c>
      <c r="Y19" s="54">
        <f>Extrusion[[#This Row],[Length]]*Extrusion[[#This Row],[Cut QTY]]</f>
        <v>0</v>
      </c>
      <c r="Z19" s="54">
        <f ca="1">Extrusion[[#This Row],[Required Length]]-Extrusion[[#This Row],[Cut Length]]</f>
        <v>1428</v>
      </c>
      <c r="AA19" s="54"/>
    </row>
    <row r="20" spans="1:28" x14ac:dyDescent="0.25">
      <c r="A20" s="143">
        <v>1679</v>
      </c>
      <c r="B20" t="s">
        <v>152</v>
      </c>
      <c r="D20" s="157" cm="1">
        <f t="array" aca="1" ref="D20" ca="1">SUMPRODUCT(SUMIF(INDIRECT("'"&amp;Assemblies[Assy]&amp;"'!"&amp;"C:C"),B20,(INDIRECT("'"&amp;Assemblies[Assy]&amp;"'!"&amp;"O:O"))))</f>
        <v>3</v>
      </c>
      <c r="E20">
        <v>3</v>
      </c>
      <c r="F20" t="str">
        <f t="shared" ca="1" si="0"/>
        <v/>
      </c>
      <c r="G20" s="39">
        <f t="shared" si="1"/>
        <v>1</v>
      </c>
      <c r="I20" t="s">
        <v>3595</v>
      </c>
      <c r="P20" s="7">
        <v>1</v>
      </c>
      <c r="Q20" s="7">
        <v>0</v>
      </c>
      <c r="R20" s="7">
        <v>0</v>
      </c>
      <c r="S20" s="54">
        <v>0</v>
      </c>
      <c r="T20" s="2">
        <v>6</v>
      </c>
      <c r="U20" s="55">
        <v>82.92</v>
      </c>
      <c r="V20" s="59">
        <f t="shared" si="2"/>
        <v>1.3820000000000001E-2</v>
      </c>
      <c r="W20" s="2" t="str" cm="1">
        <f t="array" aca="1" ref="W20" ca="1">TRIM(SUBSTITUTE(_xlfn.ARRAYTOTEXT(IFERROR(CONCATENATE(SUMIF(INDIRECT("'"&amp;Assemblies[Assy]&amp;"'!"&amp;"C$5:C1000"), $B20, INDIRECT("'"&amp;Assemblies[Assy]&amp;"'!"&amp;"O$5:O1000")), "x",Assemblies[Assy],".",IF(SUMIF(INDIRECT("'"&amp;Assemblies[Assy]&amp;"'!"&amp;"C$5:C1000"), $B20, INDIRECT("'"&amp;Assemblies[Assy]&amp;"'!"&amp;"A$5:A1000"))=0,NA(),SUMIF(INDIRECT("'"&amp;Assemblies[Assy]&amp;"'!"&amp;"C$5:C1000"), $B20, INDIRECT("'"&amp;Assemblies[Assy]&amp;"'!"&amp;"A$5:A1000")))),"")), " ,", ""))</f>
        <v>, 3x1.1.702,</v>
      </c>
      <c r="X20" s="54">
        <f ca="1">Extrusion[[#This Row],[Length]]*Extrusion[[#This Row],[Total Qty]]</f>
        <v>5037</v>
      </c>
      <c r="Y20" s="54">
        <f>Extrusion[[#This Row],[Length]]*Extrusion[[#This Row],[Cut QTY]]</f>
        <v>5037</v>
      </c>
      <c r="Z20" s="54">
        <f ca="1">Extrusion[[#This Row],[Required Length]]-Extrusion[[#This Row],[Cut Length]]</f>
        <v>0</v>
      </c>
      <c r="AA20" s="54"/>
    </row>
    <row r="21" spans="1:28" x14ac:dyDescent="0.25">
      <c r="A21" s="143">
        <v>970</v>
      </c>
      <c r="B21" t="s">
        <v>162</v>
      </c>
      <c r="D21" s="157" cm="1">
        <f t="array" aca="1" ref="D21" ca="1">SUMPRODUCT(SUMIF(INDIRECT("'"&amp;Assemblies[Assy]&amp;"'!"&amp;"C:C"),B21,(INDIRECT("'"&amp;Assemblies[Assy]&amp;"'!"&amp;"O:O"))))</f>
        <v>1</v>
      </c>
      <c r="E21">
        <v>1</v>
      </c>
      <c r="F21" t="str">
        <f t="shared" ca="1" si="0"/>
        <v/>
      </c>
      <c r="G21" s="39">
        <f t="shared" si="1"/>
        <v>1</v>
      </c>
      <c r="I21" t="s">
        <v>3595</v>
      </c>
      <c r="P21" s="7">
        <v>1</v>
      </c>
      <c r="Q21" s="7">
        <v>0</v>
      </c>
      <c r="R21" s="7">
        <v>0</v>
      </c>
      <c r="S21" s="54">
        <v>0</v>
      </c>
      <c r="T21" s="2">
        <v>6</v>
      </c>
      <c r="U21" s="55">
        <v>82.92</v>
      </c>
      <c r="V21" s="59">
        <f t="shared" si="2"/>
        <v>1.3820000000000001E-2</v>
      </c>
      <c r="W21" s="2" t="str" cm="1">
        <f t="array" aca="1" ref="W21" ca="1">TRIM(SUBSTITUTE(_xlfn.ARRAYTOTEXT(IFERROR(CONCATENATE(SUMIF(INDIRECT("'"&amp;Assemblies[Assy]&amp;"'!"&amp;"C$5:C1000"), $B21, INDIRECT("'"&amp;Assemblies[Assy]&amp;"'!"&amp;"O$5:O1000")), "x",Assemblies[Assy],".",IF(SUMIF(INDIRECT("'"&amp;Assemblies[Assy]&amp;"'!"&amp;"C$5:C1000"), $B21, INDIRECT("'"&amp;Assemblies[Assy]&amp;"'!"&amp;"A$5:A1000"))=0,NA(),SUMIF(INDIRECT("'"&amp;Assemblies[Assy]&amp;"'!"&amp;"C$5:C1000"), $B21, INDIRECT("'"&amp;Assemblies[Assy]&amp;"'!"&amp;"A$5:A1000")))),"")), " ,", ""))</f>
        <v>, 1x1.1.712,</v>
      </c>
      <c r="X21" s="54">
        <f ca="1">Extrusion[[#This Row],[Length]]*Extrusion[[#This Row],[Total Qty]]</f>
        <v>970</v>
      </c>
      <c r="Y21" s="54">
        <f>Extrusion[[#This Row],[Length]]*Extrusion[[#This Row],[Cut QTY]]</f>
        <v>970</v>
      </c>
      <c r="Z21" s="54">
        <f ca="1">Extrusion[[#This Row],[Required Length]]-Extrusion[[#This Row],[Cut Length]]</f>
        <v>0</v>
      </c>
      <c r="AA21" s="54"/>
    </row>
    <row r="22" spans="1:28" x14ac:dyDescent="0.25">
      <c r="A22" s="291">
        <v>200</v>
      </c>
      <c r="B22" t="s">
        <v>1338</v>
      </c>
      <c r="C22" t="s">
        <v>3596</v>
      </c>
      <c r="D22" s="157" cm="1">
        <f t="array" aca="1" ref="D22" ca="1">SUMPRODUCT(SUMIF(INDIRECT("'"&amp;Assemblies[Assy]&amp;"'!"&amp;"C:C"),B22,(INDIRECT("'"&amp;Assemblies[Assy]&amp;"'!"&amp;"O:O"))))</f>
        <v>1</v>
      </c>
      <c r="E22">
        <v>0</v>
      </c>
      <c r="F22" t="str">
        <f t="shared" ca="1" si="0"/>
        <v>YES</v>
      </c>
      <c r="G22" s="39">
        <f t="shared" si="1"/>
        <v>1</v>
      </c>
      <c r="I22" t="s">
        <v>3595</v>
      </c>
      <c r="P22" s="7">
        <v>1</v>
      </c>
      <c r="Q22" s="7">
        <v>0</v>
      </c>
      <c r="R22" s="7">
        <v>0</v>
      </c>
      <c r="S22" s="54">
        <v>0</v>
      </c>
      <c r="T22" s="2">
        <v>6</v>
      </c>
      <c r="U22" s="55">
        <v>82.92</v>
      </c>
      <c r="V22" s="59">
        <f t="shared" si="2"/>
        <v>1.3820000000000001E-2</v>
      </c>
      <c r="W22" s="2" t="str" cm="1">
        <f t="array" aca="1" ref="W22" ca="1">TRIM(SUBSTITUTE(_xlfn.ARRAYTOTEXT(IFERROR(CONCATENATE(SUMIF(INDIRECT("'"&amp;Assemblies[Assy]&amp;"'!"&amp;"C$5:C1000"), $B22, INDIRECT("'"&amp;Assemblies[Assy]&amp;"'!"&amp;"O$5:O1000")), "x",Assemblies[Assy],".",IF(SUMIF(INDIRECT("'"&amp;Assemblies[Assy]&amp;"'!"&amp;"C$5:C1000"), $B22, INDIRECT("'"&amp;Assemblies[Assy]&amp;"'!"&amp;"A$5:A1000"))=0,NA(),SUMIF(INDIRECT("'"&amp;Assemblies[Assy]&amp;"'!"&amp;"C$5:C1000"), $B22, INDIRECT("'"&amp;Assemblies[Assy]&amp;"'!"&amp;"A$5:A1000")))),"")), " ,", ""))</f>
        <v>, 1x10.1.716,</v>
      </c>
      <c r="X22" s="54">
        <f ca="1">Extrusion[[#This Row],[Length]]*Extrusion[[#This Row],[Total Qty]]</f>
        <v>200</v>
      </c>
      <c r="Y22" s="54">
        <f>Extrusion[[#This Row],[Length]]*Extrusion[[#This Row],[Cut QTY]]</f>
        <v>0</v>
      </c>
      <c r="Z22" s="54">
        <f ca="1">Extrusion[[#This Row],[Required Length]]-Extrusion[[#This Row],[Cut Length]]</f>
        <v>200</v>
      </c>
      <c r="AA22" s="54"/>
    </row>
    <row r="23" spans="1:28" x14ac:dyDescent="0.25">
      <c r="A23" s="291">
        <v>400</v>
      </c>
      <c r="B23" t="s">
        <v>1323</v>
      </c>
      <c r="C23" t="s">
        <v>3596</v>
      </c>
      <c r="D23" s="157" cm="1">
        <f t="array" aca="1" ref="D23" ca="1">SUMPRODUCT(SUMIF(INDIRECT("'"&amp;Assemblies[Assy]&amp;"'!"&amp;"C:C"),B23,(INDIRECT("'"&amp;Assemblies[Assy]&amp;"'!"&amp;"O:O"))))</f>
        <v>2</v>
      </c>
      <c r="E23">
        <v>0</v>
      </c>
      <c r="F23" t="str">
        <f t="shared" ca="1" si="0"/>
        <v>YES</v>
      </c>
      <c r="G23" s="39">
        <f t="shared" si="1"/>
        <v>1</v>
      </c>
      <c r="I23" t="s">
        <v>3595</v>
      </c>
      <c r="P23" s="7">
        <v>1</v>
      </c>
      <c r="Q23" s="7">
        <v>0</v>
      </c>
      <c r="R23" s="7">
        <v>0</v>
      </c>
      <c r="S23" s="54">
        <v>0</v>
      </c>
      <c r="T23" s="2">
        <v>6</v>
      </c>
      <c r="U23" s="55">
        <v>82.92</v>
      </c>
      <c r="V23" s="59">
        <f t="shared" si="2"/>
        <v>1.3820000000000001E-2</v>
      </c>
      <c r="W23" s="2" t="str" cm="1">
        <f t="array" aca="1" ref="W23" ca="1">TRIM(SUBSTITUTE(_xlfn.ARRAYTOTEXT(IFERROR(CONCATENATE(SUMIF(INDIRECT("'"&amp;Assemblies[Assy]&amp;"'!"&amp;"C$5:C1000"), $B23, INDIRECT("'"&amp;Assemblies[Assy]&amp;"'!"&amp;"O$5:O1000")), "x",Assemblies[Assy],".",IF(SUMIF(INDIRECT("'"&amp;Assemblies[Assy]&amp;"'!"&amp;"C$5:C1000"), $B23, INDIRECT("'"&amp;Assemblies[Assy]&amp;"'!"&amp;"A$5:A1000"))=0,NA(),SUMIF(INDIRECT("'"&amp;Assemblies[Assy]&amp;"'!"&amp;"C$5:C1000"), $B23, INDIRECT("'"&amp;Assemblies[Assy]&amp;"'!"&amp;"A$5:A1000")))),"")), " ,", ""))</f>
        <v>, 2x10.1.701,</v>
      </c>
      <c r="X23" s="54">
        <f ca="1">Extrusion[[#This Row],[Length]]*Extrusion[[#This Row],[Total Qty]]</f>
        <v>800</v>
      </c>
      <c r="Y23" s="54">
        <f>Extrusion[[#This Row],[Length]]*Extrusion[[#This Row],[Cut QTY]]</f>
        <v>0</v>
      </c>
      <c r="Z23" s="54">
        <f ca="1">Extrusion[[#This Row],[Required Length]]-Extrusion[[#This Row],[Cut Length]]</f>
        <v>800</v>
      </c>
      <c r="AA23" s="54"/>
    </row>
    <row r="24" spans="1:28" x14ac:dyDescent="0.25">
      <c r="A24" s="143">
        <v>936</v>
      </c>
      <c r="B24" t="s">
        <v>1458</v>
      </c>
      <c r="C24" t="s">
        <v>3806</v>
      </c>
      <c r="D24" s="157" cm="1">
        <f t="array" aca="1" ref="D24" ca="1">SUMPRODUCT(SUMIF(INDIRECT("'"&amp;Assemblies[Assy]&amp;"'!"&amp;"C:C"),B24,(INDIRECT("'"&amp;Assemblies[Assy]&amp;"'!"&amp;"O:O"))))</f>
        <v>2</v>
      </c>
      <c r="E24">
        <v>2</v>
      </c>
      <c r="F24" t="str">
        <f t="shared" ca="1" si="0"/>
        <v/>
      </c>
      <c r="G24" s="39">
        <f t="shared" si="1"/>
        <v>1</v>
      </c>
      <c r="I24" t="s">
        <v>3595</v>
      </c>
      <c r="P24" s="7">
        <v>1</v>
      </c>
      <c r="Q24" s="7">
        <v>0</v>
      </c>
      <c r="R24" s="7">
        <v>0</v>
      </c>
      <c r="S24" s="54">
        <v>0</v>
      </c>
      <c r="T24" s="2">
        <v>6</v>
      </c>
      <c r="U24" s="55">
        <v>82.92</v>
      </c>
      <c r="V24" s="59">
        <f t="shared" si="2"/>
        <v>1.3820000000000001E-2</v>
      </c>
      <c r="W24" s="2" t="str" cm="1">
        <f t="array" aca="1" ref="W24" ca="1">TRIM(SUBSTITUTE(_xlfn.ARRAYTOTEXT(IFERROR(CONCATENATE(SUMIF(INDIRECT("'"&amp;Assemblies[Assy]&amp;"'!"&amp;"C$5:C1000"), $B24, INDIRECT("'"&amp;Assemblies[Assy]&amp;"'!"&amp;"O$5:O1000")), "x",Assemblies[Assy],".",IF(SUMIF(INDIRECT("'"&amp;Assemblies[Assy]&amp;"'!"&amp;"C$5:C1000"), $B24, INDIRECT("'"&amp;Assemblies[Assy]&amp;"'!"&amp;"A$5:A1000"))=0,NA(),SUMIF(INDIRECT("'"&amp;Assemblies[Assy]&amp;"'!"&amp;"C$5:C1000"), $B24, INDIRECT("'"&amp;Assemblies[Assy]&amp;"'!"&amp;"A$5:A1000")))),"")), " ,", ""))</f>
        <v>, 2x12.708</v>
      </c>
      <c r="X24" s="54">
        <f ca="1">Extrusion[[#This Row],[Length]]*Extrusion[[#This Row],[Total Qty]]</f>
        <v>1872</v>
      </c>
      <c r="Y24" s="54">
        <f>Extrusion[[#This Row],[Length]]*Extrusion[[#This Row],[Cut QTY]]</f>
        <v>1872</v>
      </c>
      <c r="Z24" s="54">
        <f ca="1">Extrusion[[#This Row],[Required Length]]-Extrusion[[#This Row],[Cut Length]]</f>
        <v>0</v>
      </c>
      <c r="AA24" s="54"/>
    </row>
    <row r="25" spans="1:28" x14ac:dyDescent="0.25">
      <c r="A25" s="143">
        <v>1019</v>
      </c>
      <c r="B25" t="s">
        <v>3800</v>
      </c>
      <c r="C25" t="s">
        <v>3806</v>
      </c>
      <c r="D25" s="157" cm="1">
        <f t="array" aca="1" ref="D25" ca="1">SUMPRODUCT(SUMIF(INDIRECT("'"&amp;Assemblies[Assy]&amp;"'!"&amp;"C:C"),B25,(INDIRECT("'"&amp;Assemblies[Assy]&amp;"'!"&amp;"O:O"))))</f>
        <v>1</v>
      </c>
      <c r="E25">
        <v>1</v>
      </c>
      <c r="F25" t="str">
        <f t="shared" ca="1" si="0"/>
        <v/>
      </c>
      <c r="G25" s="39">
        <f t="shared" si="1"/>
        <v>1</v>
      </c>
      <c r="I25" t="s">
        <v>3595</v>
      </c>
      <c r="P25" s="7">
        <v>1</v>
      </c>
      <c r="Q25" s="7">
        <v>0</v>
      </c>
      <c r="R25" s="7">
        <v>0</v>
      </c>
      <c r="S25" s="54">
        <v>0</v>
      </c>
      <c r="T25" s="2">
        <v>6</v>
      </c>
      <c r="U25" s="55">
        <v>0</v>
      </c>
      <c r="V25" s="59">
        <f t="shared" si="2"/>
        <v>0</v>
      </c>
      <c r="W25" s="2" t="str" cm="1">
        <f t="array" aca="1" ref="W25" ca="1">TRIM(SUBSTITUTE(_xlfn.ARRAYTOTEXT(IFERROR(CONCATENATE(SUMIF(INDIRECT("'"&amp;Assemblies[Assy]&amp;"'!"&amp;"C$5:C1000"), $B25, INDIRECT("'"&amp;Assemblies[Assy]&amp;"'!"&amp;"O$5:O1000")), "x",Assemblies[Assy],".",IF(SUMIF(INDIRECT("'"&amp;Assemblies[Assy]&amp;"'!"&amp;"C$5:C1000"), $B25, INDIRECT("'"&amp;Assemblies[Assy]&amp;"'!"&amp;"A$5:A1000"))=0,NA(),SUMIF(INDIRECT("'"&amp;Assemblies[Assy]&amp;"'!"&amp;"C$5:C1000"), $B25, INDIRECT("'"&amp;Assemblies[Assy]&amp;"'!"&amp;"A$5:A1000")))),"")), " ,", ""))</f>
        <v>, 1x12.709</v>
      </c>
      <c r="X25" s="54">
        <f ca="1">Extrusion[[#This Row],[Length]]*Extrusion[[#This Row],[Total Qty]]</f>
        <v>1019</v>
      </c>
      <c r="Y25" s="54">
        <f>Extrusion[[#This Row],[Length]]*Extrusion[[#This Row],[Cut QTY]]</f>
        <v>1019</v>
      </c>
      <c r="Z25" s="54">
        <f ca="1">Extrusion[[#This Row],[Required Length]]-Extrusion[[#This Row],[Cut Length]]</f>
        <v>0</v>
      </c>
      <c r="AA25" s="54"/>
    </row>
    <row r="26" spans="1:28" x14ac:dyDescent="0.25">
      <c r="A26" s="291">
        <v>1078</v>
      </c>
      <c r="B26" t="s">
        <v>406</v>
      </c>
      <c r="C26" t="s">
        <v>3776</v>
      </c>
      <c r="D26" s="157" cm="1">
        <f t="array" aca="1" ref="D26" ca="1">SUMPRODUCT(SUMIF(INDIRECT("'"&amp;Assemblies[Assy]&amp;"'!"&amp;"C:C"),B26,(INDIRECT("'"&amp;Assemblies[Assy]&amp;"'!"&amp;"O:O"))))</f>
        <v>12</v>
      </c>
      <c r="E26">
        <v>0</v>
      </c>
      <c r="F26" t="str">
        <f t="shared" ca="1" si="0"/>
        <v>YES</v>
      </c>
      <c r="G26" s="39">
        <f t="shared" si="1"/>
        <v>1</v>
      </c>
      <c r="I26" t="s">
        <v>3595</v>
      </c>
      <c r="P26" s="7">
        <v>1</v>
      </c>
      <c r="Q26" s="7">
        <v>0</v>
      </c>
      <c r="R26" s="7">
        <v>0</v>
      </c>
      <c r="S26" s="54">
        <v>0</v>
      </c>
      <c r="T26" s="2">
        <v>6</v>
      </c>
      <c r="U26" s="55">
        <v>0</v>
      </c>
      <c r="V26" s="59">
        <f t="shared" si="2"/>
        <v>0</v>
      </c>
      <c r="W26" s="2" t="str" cm="1">
        <f t="array" aca="1" ref="W26" ca="1">TRIM(SUBSTITUTE(_xlfn.ARRAYTOTEXT(IFERROR(CONCATENATE(SUMIF(INDIRECT("'"&amp;Assemblies[Assy]&amp;"'!"&amp;"C$5:C1000"), $B26, INDIRECT("'"&amp;Assemblies[Assy]&amp;"'!"&amp;"O$5:O1000")), "x",Assemblies[Assy],".",IF(SUMIF(INDIRECT("'"&amp;Assemblies[Assy]&amp;"'!"&amp;"C$5:C1000"), $B26, INDIRECT("'"&amp;Assemblies[Assy]&amp;"'!"&amp;"A$5:A1000"))=0,NA(),SUMIF(INDIRECT("'"&amp;Assemblies[Assy]&amp;"'!"&amp;"C$5:C1000"), $B26, INDIRECT("'"&amp;Assemblies[Assy]&amp;"'!"&amp;"A$5:A1000")))),"")), " ,", ""))</f>
        <v>, 4x2.2.1.703, 2x4.2.4.702, 4x4.2.6.703, 2x4.2.8.702,</v>
      </c>
      <c r="X26" s="54">
        <f ca="1">Extrusion[[#This Row],[Length]]*Extrusion[[#This Row],[Total Qty]]</f>
        <v>12936</v>
      </c>
      <c r="Y26" s="54">
        <f>Extrusion[[#This Row],[Length]]*Extrusion[[#This Row],[Cut QTY]]</f>
        <v>0</v>
      </c>
      <c r="Z26" s="54">
        <f ca="1">Extrusion[[#This Row],[Required Length]]-Extrusion[[#This Row],[Cut Length]]</f>
        <v>12936</v>
      </c>
      <c r="AA26" s="54"/>
    </row>
    <row r="27" spans="1:28" x14ac:dyDescent="0.25">
      <c r="A27" s="291">
        <v>1149</v>
      </c>
      <c r="B27" t="s">
        <v>3777</v>
      </c>
      <c r="C27" t="s">
        <v>3776</v>
      </c>
      <c r="D27" s="157" cm="1">
        <f t="array" aca="1" ref="D27" ca="1">SUMPRODUCT(SUMIF(INDIRECT("'"&amp;Assemblies[Assy]&amp;"'!"&amp;"C:C"),B27,(INDIRECT("'"&amp;Assemblies[Assy]&amp;"'!"&amp;"O:O"))))</f>
        <v>8</v>
      </c>
      <c r="F27" t="str">
        <f t="shared" ca="1" si="0"/>
        <v>YES</v>
      </c>
      <c r="G27" s="39">
        <f t="shared" si="1"/>
        <v>1</v>
      </c>
      <c r="I27" t="s">
        <v>3595</v>
      </c>
      <c r="P27" s="7">
        <v>1</v>
      </c>
      <c r="Q27" s="7">
        <v>0</v>
      </c>
      <c r="R27" s="7">
        <v>0</v>
      </c>
      <c r="S27" s="54">
        <v>0</v>
      </c>
      <c r="T27" s="2">
        <v>6</v>
      </c>
      <c r="U27" s="55">
        <v>82.92</v>
      </c>
      <c r="V27" s="59">
        <f t="shared" si="2"/>
        <v>1.3820000000000001E-2</v>
      </c>
      <c r="W27" s="2" t="str" cm="1">
        <f t="array" aca="1" ref="W27" ca="1">TRIM(SUBSTITUTE(_xlfn.ARRAYTOTEXT(IFERROR(CONCATENATE(SUMIF(INDIRECT("'"&amp;Assemblies[Assy]&amp;"'!"&amp;"C$5:C1000"), $B27, INDIRECT("'"&amp;Assemblies[Assy]&amp;"'!"&amp;"O$5:O1000")), "x",Assemblies[Assy],".",IF(SUMIF(INDIRECT("'"&amp;Assemblies[Assy]&amp;"'!"&amp;"C$5:C1000"), $B27, INDIRECT("'"&amp;Assemblies[Assy]&amp;"'!"&amp;"A$5:A1000"))=0,NA(),SUMIF(INDIRECT("'"&amp;Assemblies[Assy]&amp;"'!"&amp;"C$5:C1000"), $B27, INDIRECT("'"&amp;Assemblies[Assy]&amp;"'!"&amp;"A$5:A1000")))),"")), " ,", ""))</f>
        <v>, 4x3.2.7.703, 4x3.2.8.703,</v>
      </c>
      <c r="X27" s="54">
        <f ca="1">Extrusion[[#This Row],[Length]]*Extrusion[[#This Row],[Total Qty]]</f>
        <v>9192</v>
      </c>
      <c r="Y27" s="54">
        <f>Extrusion[[#This Row],[Length]]*Extrusion[[#This Row],[Cut QTY]]</f>
        <v>0</v>
      </c>
      <c r="Z27" s="54">
        <f ca="1">Extrusion[[#This Row],[Required Length]]-Extrusion[[#This Row],[Cut Length]]</f>
        <v>9192</v>
      </c>
      <c r="AA27" s="54"/>
    </row>
    <row r="28" spans="1:28" x14ac:dyDescent="0.25">
      <c r="A28" s="291">
        <v>1194</v>
      </c>
      <c r="B28" t="s">
        <v>414</v>
      </c>
      <c r="C28" t="s">
        <v>3776</v>
      </c>
      <c r="D28" s="157" cm="1">
        <f t="array" aca="1" ref="D28" ca="1">SUMPRODUCT(SUMIF(INDIRECT("'"&amp;Assemblies[Assy]&amp;"'!"&amp;"C:C"),B28,(INDIRECT("'"&amp;Assemblies[Assy]&amp;"'!"&amp;"O:O"))))</f>
        <v>16</v>
      </c>
      <c r="E28">
        <v>0</v>
      </c>
      <c r="F28" t="str">
        <f t="shared" ca="1" si="0"/>
        <v>YES</v>
      </c>
      <c r="G28" s="39">
        <f t="shared" si="1"/>
        <v>1</v>
      </c>
      <c r="I28" t="s">
        <v>3595</v>
      </c>
      <c r="P28" s="7">
        <v>1</v>
      </c>
      <c r="Q28" s="7">
        <v>0</v>
      </c>
      <c r="R28" s="7">
        <v>0</v>
      </c>
      <c r="S28" s="54">
        <v>0</v>
      </c>
      <c r="T28" s="2">
        <v>6</v>
      </c>
      <c r="U28" s="55">
        <v>0</v>
      </c>
      <c r="V28" s="59">
        <f t="shared" si="2"/>
        <v>0</v>
      </c>
      <c r="W28" s="2" t="str" cm="1">
        <f t="array" aca="1" ref="W28" ca="1">TRIM(SUBSTITUTE(_xlfn.ARRAYTOTEXT(IFERROR(CONCATENATE(SUMIF(INDIRECT("'"&amp;Assemblies[Assy]&amp;"'!"&amp;"C$5:C1000"), $B28, INDIRECT("'"&amp;Assemblies[Assy]&amp;"'!"&amp;"O$5:O1000")), "x",Assemblies[Assy],".",IF(SUMIF(INDIRECT("'"&amp;Assemblies[Assy]&amp;"'!"&amp;"C$5:C1000"), $B28, INDIRECT("'"&amp;Assemblies[Assy]&amp;"'!"&amp;"A$5:A1000"))=0,NA(),SUMIF(INDIRECT("'"&amp;Assemblies[Assy]&amp;"'!"&amp;"C$5:C1000"), $B28, INDIRECT("'"&amp;Assemblies[Assy]&amp;"'!"&amp;"A$5:A1000")))),"")), " ,", ""))</f>
        <v>, 4x2.2.2.703, 2x2.2.3.702, 2x2.2.4.702, 2x4.2.5.702, 4x4.2.7.703, 2x4.2.9.702,</v>
      </c>
      <c r="X28" s="54">
        <f ca="1">Extrusion[[#This Row],[Length]]*Extrusion[[#This Row],[Total Qty]]</f>
        <v>19104</v>
      </c>
      <c r="Y28" s="54">
        <f>Extrusion[[#This Row],[Length]]*Extrusion[[#This Row],[Cut QTY]]</f>
        <v>0</v>
      </c>
      <c r="Z28" s="54">
        <f ca="1">Extrusion[[#This Row],[Required Length]]-Extrusion[[#This Row],[Cut Length]]</f>
        <v>19104</v>
      </c>
      <c r="AA28" s="54"/>
    </row>
    <row r="29" spans="1:28" x14ac:dyDescent="0.25">
      <c r="A29" s="143">
        <v>120</v>
      </c>
      <c r="B29" t="s">
        <v>1461</v>
      </c>
      <c r="C29" t="s">
        <v>3806</v>
      </c>
      <c r="D29" s="157" cm="1">
        <f t="array" aca="1" ref="D29" ca="1">SUMPRODUCT(SUMIF(INDIRECT("'"&amp;Assemblies[Assy]&amp;"'!"&amp;"C:C"),B29,(INDIRECT("'"&amp;Assemblies[Assy]&amp;"'!"&amp;"O:O"))))</f>
        <v>2</v>
      </c>
      <c r="E29">
        <v>2</v>
      </c>
      <c r="F29" t="str">
        <f t="shared" ca="1" si="0"/>
        <v/>
      </c>
      <c r="G29" s="39">
        <f t="shared" si="1"/>
        <v>1</v>
      </c>
      <c r="I29" t="s">
        <v>3595</v>
      </c>
      <c r="P29" s="7">
        <v>1</v>
      </c>
      <c r="Q29" s="7">
        <v>0</v>
      </c>
      <c r="R29" s="7">
        <v>0</v>
      </c>
      <c r="S29" s="54">
        <v>0</v>
      </c>
      <c r="T29" s="2">
        <v>6</v>
      </c>
      <c r="U29" s="55">
        <v>0</v>
      </c>
      <c r="V29" s="59">
        <f t="shared" si="2"/>
        <v>0</v>
      </c>
      <c r="W29" s="2" t="str" cm="1">
        <f t="array" aca="1" ref="W29" ca="1">TRIM(SUBSTITUTE(_xlfn.ARRAYTOTEXT(IFERROR(CONCATENATE(SUMIF(INDIRECT("'"&amp;Assemblies[Assy]&amp;"'!"&amp;"C$5:C1000"), $B29, INDIRECT("'"&amp;Assemblies[Assy]&amp;"'!"&amp;"O$5:O1000")), "x",Assemblies[Assy],".",IF(SUMIF(INDIRECT("'"&amp;Assemblies[Assy]&amp;"'!"&amp;"C$5:C1000"), $B29, INDIRECT("'"&amp;Assemblies[Assy]&amp;"'!"&amp;"A$5:A1000"))=0,NA(),SUMIF(INDIRECT("'"&amp;Assemblies[Assy]&amp;"'!"&amp;"C$5:C1000"), $B29, INDIRECT("'"&amp;Assemblies[Assy]&amp;"'!"&amp;"A$5:A1000")))),"")), " ,", ""))</f>
        <v>, 2x12.701</v>
      </c>
      <c r="X29" s="54">
        <f ca="1">Extrusion[[#This Row],[Length]]*Extrusion[[#This Row],[Total Qty]]</f>
        <v>240</v>
      </c>
      <c r="Y29" s="54">
        <f>Extrusion[[#This Row],[Length]]*Extrusion[[#This Row],[Cut QTY]]</f>
        <v>240</v>
      </c>
      <c r="Z29" s="54">
        <f ca="1">Extrusion[[#This Row],[Required Length]]-Extrusion[[#This Row],[Cut Length]]</f>
        <v>0</v>
      </c>
      <c r="AA29" s="54"/>
    </row>
    <row r="30" spans="1:28" x14ac:dyDescent="0.25">
      <c r="A30" s="143">
        <v>1882</v>
      </c>
      <c r="B30" t="s">
        <v>1460</v>
      </c>
      <c r="C30" t="s">
        <v>3806</v>
      </c>
      <c r="D30" s="157" cm="1">
        <f t="array" aca="1" ref="D30" ca="1">SUMPRODUCT(SUMIF(INDIRECT("'"&amp;Assemblies[Assy]&amp;"'!"&amp;"C:C"),B30,(INDIRECT("'"&amp;Assemblies[Assy]&amp;"'!"&amp;"O:O"))))</f>
        <v>3</v>
      </c>
      <c r="E30">
        <v>3</v>
      </c>
      <c r="F30" t="str">
        <f t="shared" ca="1" si="0"/>
        <v/>
      </c>
      <c r="G30" s="39">
        <f t="shared" si="1"/>
        <v>1</v>
      </c>
      <c r="I30" t="s">
        <v>3595</v>
      </c>
      <c r="P30" s="7">
        <v>1</v>
      </c>
      <c r="Q30" s="7">
        <v>0</v>
      </c>
      <c r="R30" s="7">
        <v>0</v>
      </c>
      <c r="S30" s="54">
        <v>0</v>
      </c>
      <c r="T30" s="2">
        <v>6</v>
      </c>
      <c r="U30" s="55">
        <v>0</v>
      </c>
      <c r="V30" s="59">
        <f t="shared" si="2"/>
        <v>0</v>
      </c>
      <c r="W30" s="2" t="str" cm="1">
        <f t="array" aca="1" ref="W30" ca="1">TRIM(SUBSTITUTE(_xlfn.ARRAYTOTEXT(IFERROR(CONCATENATE(SUMIF(INDIRECT("'"&amp;Assemblies[Assy]&amp;"'!"&amp;"C$5:C1000"), $B30, INDIRECT("'"&amp;Assemblies[Assy]&amp;"'!"&amp;"O$5:O1000")), "x",Assemblies[Assy],".",IF(SUMIF(INDIRECT("'"&amp;Assemblies[Assy]&amp;"'!"&amp;"C$5:C1000"), $B30, INDIRECT("'"&amp;Assemblies[Assy]&amp;"'!"&amp;"A$5:A1000"))=0,NA(),SUMIF(INDIRECT("'"&amp;Assemblies[Assy]&amp;"'!"&amp;"C$5:C1000"), $B30, INDIRECT("'"&amp;Assemblies[Assy]&amp;"'!"&amp;"A$5:A1000")))),"")), " ,", ""))</f>
        <v>, 3x12.710</v>
      </c>
      <c r="X30" s="54">
        <f ca="1">Extrusion[[#This Row],[Length]]*Extrusion[[#This Row],[Total Qty]]</f>
        <v>5646</v>
      </c>
      <c r="Y30" s="54">
        <f>Extrusion[[#This Row],[Length]]*Extrusion[[#This Row],[Cut QTY]]</f>
        <v>5646</v>
      </c>
      <c r="Z30" s="54">
        <f ca="1">Extrusion[[#This Row],[Required Length]]-Extrusion[[#This Row],[Cut Length]]</f>
        <v>0</v>
      </c>
      <c r="AA30" s="54"/>
    </row>
    <row r="31" spans="1:28" x14ac:dyDescent="0.25">
      <c r="A31" s="143">
        <v>215</v>
      </c>
      <c r="B31" t="s">
        <v>3798</v>
      </c>
      <c r="C31" t="s">
        <v>3806</v>
      </c>
      <c r="D31" s="157" cm="1">
        <f t="array" aca="1" ref="D31" ca="1">SUMPRODUCT(SUMIF(INDIRECT("'"&amp;Assemblies[Assy]&amp;"'!"&amp;"C:C"),B31,(INDIRECT("'"&amp;Assemblies[Assy]&amp;"'!"&amp;"O:O"))))</f>
        <v>4</v>
      </c>
      <c r="E31">
        <v>4</v>
      </c>
      <c r="F31" t="str">
        <f t="shared" ca="1" si="0"/>
        <v/>
      </c>
      <c r="G31" s="39">
        <f t="shared" si="1"/>
        <v>1</v>
      </c>
      <c r="I31" t="s">
        <v>3595</v>
      </c>
      <c r="P31" s="7">
        <v>1</v>
      </c>
      <c r="Q31" s="7">
        <v>0</v>
      </c>
      <c r="R31" s="7">
        <v>0</v>
      </c>
      <c r="S31" s="54">
        <v>0</v>
      </c>
      <c r="T31" s="2">
        <v>6</v>
      </c>
      <c r="U31" s="55">
        <v>0</v>
      </c>
      <c r="V31" s="59">
        <f t="shared" si="2"/>
        <v>0</v>
      </c>
      <c r="W31" s="2" t="str" cm="1">
        <f t="array" aca="1" ref="W31" ca="1">TRIM(SUBSTITUTE(_xlfn.ARRAYTOTEXT(IFERROR(CONCATENATE(SUMIF(INDIRECT("'"&amp;Assemblies[Assy]&amp;"'!"&amp;"C$5:C1000"), $B31, INDIRECT("'"&amp;Assemblies[Assy]&amp;"'!"&amp;"O$5:O1000")), "x",Assemblies[Assy],".",IF(SUMIF(INDIRECT("'"&amp;Assemblies[Assy]&amp;"'!"&amp;"C$5:C1000"), $B31, INDIRECT("'"&amp;Assemblies[Assy]&amp;"'!"&amp;"A$5:A1000"))=0,NA(),SUMIF(INDIRECT("'"&amp;Assemblies[Assy]&amp;"'!"&amp;"C$5:C1000"), $B31, INDIRECT("'"&amp;Assemblies[Assy]&amp;"'!"&amp;"A$5:A1000")))),"")), " ,", ""))</f>
        <v>, 4x12.702</v>
      </c>
      <c r="X31" s="54">
        <f ca="1">Extrusion[[#This Row],[Length]]*Extrusion[[#This Row],[Total Qty]]</f>
        <v>860</v>
      </c>
      <c r="Y31" s="54">
        <f>Extrusion[[#This Row],[Length]]*Extrusion[[#This Row],[Cut QTY]]</f>
        <v>860</v>
      </c>
      <c r="Z31" s="54">
        <f ca="1">Extrusion[[#This Row],[Required Length]]-Extrusion[[#This Row],[Cut Length]]</f>
        <v>0</v>
      </c>
      <c r="AA31" s="54"/>
    </row>
    <row r="32" spans="1:28" x14ac:dyDescent="0.25">
      <c r="A32" s="143">
        <v>385</v>
      </c>
      <c r="B32" t="s">
        <v>151</v>
      </c>
      <c r="D32" s="157" cm="1">
        <f t="array" aca="1" ref="D32" ca="1">SUMPRODUCT(SUMIF(INDIRECT("'"&amp;Assemblies[Assy]&amp;"'!"&amp;"C:C"),B32,(INDIRECT("'"&amp;Assemblies[Assy]&amp;"'!"&amp;"O:O"))))</f>
        <v>4</v>
      </c>
      <c r="E32">
        <v>4</v>
      </c>
      <c r="F32" t="str">
        <f t="shared" ca="1" si="0"/>
        <v/>
      </c>
      <c r="G32" s="39">
        <f t="shared" si="1"/>
        <v>1</v>
      </c>
      <c r="I32" t="s">
        <v>3595</v>
      </c>
      <c r="K32" s="40">
        <v>3</v>
      </c>
      <c r="L32" s="40">
        <v>4</v>
      </c>
      <c r="M32" s="40">
        <v>5</v>
      </c>
      <c r="N32" s="40">
        <v>6</v>
      </c>
      <c r="P32" s="7">
        <v>1</v>
      </c>
      <c r="Q32" s="7">
        <v>0</v>
      </c>
      <c r="R32" s="7">
        <v>0</v>
      </c>
      <c r="S32" s="54">
        <v>0</v>
      </c>
      <c r="T32" s="2">
        <v>6</v>
      </c>
      <c r="U32" s="55">
        <v>82.92</v>
      </c>
      <c r="V32" s="59">
        <f t="shared" si="2"/>
        <v>1.3820000000000001E-2</v>
      </c>
      <c r="W32" s="2" t="str" cm="1">
        <f t="array" aca="1" ref="W32" ca="1">TRIM(SUBSTITUTE(_xlfn.ARRAYTOTEXT(IFERROR(CONCATENATE(SUMIF(INDIRECT("'"&amp;Assemblies[Assy]&amp;"'!"&amp;"C$5:C1000"), $B32, INDIRECT("'"&amp;Assemblies[Assy]&amp;"'!"&amp;"O$5:O1000")), "x",Assemblies[Assy],".",IF(SUMIF(INDIRECT("'"&amp;Assemblies[Assy]&amp;"'!"&amp;"C$5:C1000"), $B32, INDIRECT("'"&amp;Assemblies[Assy]&amp;"'!"&amp;"A$5:A1000"))=0,NA(),SUMIF(INDIRECT("'"&amp;Assemblies[Assy]&amp;"'!"&amp;"C$5:C1000"), $B32, INDIRECT("'"&amp;Assemblies[Assy]&amp;"'!"&amp;"A$5:A1000")))),"")), " ,", ""))</f>
        <v>, 4x1.1.701,</v>
      </c>
      <c r="X32" s="54">
        <f ca="1">Extrusion[[#This Row],[Length]]*Extrusion[[#This Row],[Total Qty]]</f>
        <v>1540</v>
      </c>
      <c r="Y32" s="54">
        <f>Extrusion[[#This Row],[Length]]*Extrusion[[#This Row],[Cut QTY]]</f>
        <v>1540</v>
      </c>
      <c r="Z32" s="54">
        <f ca="1">Extrusion[[#This Row],[Required Length]]-Extrusion[[#This Row],[Cut Length]]</f>
        <v>0</v>
      </c>
      <c r="AA32" s="54"/>
      <c r="AB32" s="184"/>
    </row>
    <row r="33" spans="1:31" x14ac:dyDescent="0.25">
      <c r="A33" s="291">
        <v>513.25</v>
      </c>
      <c r="B33" t="s">
        <v>1459</v>
      </c>
      <c r="C33" t="s">
        <v>3806</v>
      </c>
      <c r="D33" s="157" cm="1">
        <f t="array" aca="1" ref="D33" ca="1">SUMPRODUCT(SUMIF(INDIRECT("'"&amp;Assemblies[Assy]&amp;"'!"&amp;"C:C"),B33,(INDIRECT("'"&amp;Assemblies[Assy]&amp;"'!"&amp;"O:O"))))</f>
        <v>7</v>
      </c>
      <c r="E33">
        <v>7</v>
      </c>
      <c r="F33" t="str">
        <f t="shared" ca="1" si="0"/>
        <v/>
      </c>
      <c r="G33" s="39">
        <f t="shared" si="1"/>
        <v>1</v>
      </c>
      <c r="I33" t="s">
        <v>3595</v>
      </c>
      <c r="P33" s="7">
        <v>1</v>
      </c>
      <c r="Q33" s="7">
        <v>0</v>
      </c>
      <c r="R33" s="7">
        <v>0</v>
      </c>
      <c r="S33" s="54">
        <v>0</v>
      </c>
      <c r="T33" s="2">
        <v>6</v>
      </c>
      <c r="U33" s="55">
        <v>0</v>
      </c>
      <c r="V33" s="59">
        <f t="shared" si="2"/>
        <v>0</v>
      </c>
      <c r="W33" s="2" t="str" cm="1">
        <f t="array" aca="1" ref="W33" ca="1">TRIM(SUBSTITUTE(_xlfn.ARRAYTOTEXT(IFERROR(CONCATENATE(SUMIF(INDIRECT("'"&amp;Assemblies[Assy]&amp;"'!"&amp;"C$5:C1000"), $B33, INDIRECT("'"&amp;Assemblies[Assy]&amp;"'!"&amp;"O$5:O1000")), "x",Assemblies[Assy],".",IF(SUMIF(INDIRECT("'"&amp;Assemblies[Assy]&amp;"'!"&amp;"C$5:C1000"), $B33, INDIRECT("'"&amp;Assemblies[Assy]&amp;"'!"&amp;"A$5:A1000"))=0,NA(),SUMIF(INDIRECT("'"&amp;Assemblies[Assy]&amp;"'!"&amp;"C$5:C1000"), $B33, INDIRECT("'"&amp;Assemblies[Assy]&amp;"'!"&amp;"A$5:A1000")))),"")), " ,", ""))</f>
        <v>, 7x12.705</v>
      </c>
      <c r="X33" s="54">
        <f ca="1">Extrusion[[#This Row],[Length]]*Extrusion[[#This Row],[Total Qty]]</f>
        <v>3592.75</v>
      </c>
      <c r="Y33" s="54">
        <f>Extrusion[[#This Row],[Length]]*Extrusion[[#This Row],[Cut QTY]]</f>
        <v>3592.75</v>
      </c>
      <c r="Z33" s="54">
        <f ca="1">Extrusion[[#This Row],[Required Length]]-Extrusion[[#This Row],[Cut Length]]</f>
        <v>0</v>
      </c>
      <c r="AA33" s="54"/>
    </row>
    <row r="34" spans="1:31" x14ac:dyDescent="0.25">
      <c r="A34" s="291">
        <v>818</v>
      </c>
      <c r="B34" t="s">
        <v>3799</v>
      </c>
      <c r="C34" t="s">
        <v>3806</v>
      </c>
      <c r="D34" s="157" cm="1">
        <f t="array" aca="1" ref="D34" ca="1">SUMPRODUCT(SUMIF(INDIRECT("'"&amp;Assemblies[Assy]&amp;"'!"&amp;"C:C"),B34,(INDIRECT("'"&amp;Assemblies[Assy]&amp;"'!"&amp;"O:O"))))</f>
        <v>1</v>
      </c>
      <c r="E34">
        <v>1</v>
      </c>
      <c r="F34" t="str">
        <f t="shared" ref="F34:F65" ca="1" si="3">IF(D34=E34, "", "YES")</f>
        <v/>
      </c>
      <c r="G34" s="39">
        <f t="shared" ref="G34:G65" si="4">P34+Q34+R34+(65*S34)</f>
        <v>1</v>
      </c>
      <c r="I34" t="s">
        <v>3595</v>
      </c>
      <c r="P34" s="7">
        <v>1</v>
      </c>
      <c r="Q34" s="7">
        <v>0</v>
      </c>
      <c r="R34" s="7">
        <v>0</v>
      </c>
      <c r="S34" s="54">
        <v>0</v>
      </c>
      <c r="T34" s="2">
        <v>6</v>
      </c>
      <c r="U34" s="55">
        <v>0</v>
      </c>
      <c r="V34" s="59">
        <f t="shared" ref="V34:V65" si="5">U34/(T34*1000)</f>
        <v>0</v>
      </c>
      <c r="W34" s="2" t="str" cm="1">
        <f t="array" aca="1" ref="W34" ca="1">TRIM(SUBSTITUTE(_xlfn.ARRAYTOTEXT(IFERROR(CONCATENATE(SUMIF(INDIRECT("'"&amp;Assemblies[Assy]&amp;"'!"&amp;"C$5:C1000"), $B34, INDIRECT("'"&amp;Assemblies[Assy]&amp;"'!"&amp;"O$5:O1000")), "x",Assemblies[Assy],".",IF(SUMIF(INDIRECT("'"&amp;Assemblies[Assy]&amp;"'!"&amp;"C$5:C1000"), $B34, INDIRECT("'"&amp;Assemblies[Assy]&amp;"'!"&amp;"A$5:A1000"))=0,NA(),SUMIF(INDIRECT("'"&amp;Assemblies[Assy]&amp;"'!"&amp;"C$5:C1000"), $B34, INDIRECT("'"&amp;Assemblies[Assy]&amp;"'!"&amp;"A$5:A1000")))),"")), " ,", ""))</f>
        <v>, 1x12.706</v>
      </c>
      <c r="X34" s="54">
        <f ca="1">Extrusion[[#This Row],[Length]]*Extrusion[[#This Row],[Total Qty]]</f>
        <v>818</v>
      </c>
      <c r="Y34" s="54">
        <f>Extrusion[[#This Row],[Length]]*Extrusion[[#This Row],[Cut QTY]]</f>
        <v>818</v>
      </c>
      <c r="Z34" s="54">
        <f ca="1">Extrusion[[#This Row],[Required Length]]-Extrusion[[#This Row],[Cut Length]]</f>
        <v>0</v>
      </c>
      <c r="AA34" s="54"/>
      <c r="AC34" s="39"/>
      <c r="AD34" s="39"/>
      <c r="AE34" s="39"/>
    </row>
    <row r="35" spans="1:31" x14ac:dyDescent="0.25">
      <c r="A35" s="291">
        <v>880</v>
      </c>
      <c r="B35" t="s">
        <v>1342</v>
      </c>
      <c r="C35" t="s">
        <v>3776</v>
      </c>
      <c r="D35" s="157" cm="1">
        <f t="array" aca="1" ref="D35" ca="1">SUMPRODUCT(SUMIF(INDIRECT("'"&amp;Assemblies[Assy]&amp;"'!"&amp;"C:C"),B35,(INDIRECT("'"&amp;Assemblies[Assy]&amp;"'!"&amp;"O:O"))))</f>
        <v>8</v>
      </c>
      <c r="E35">
        <v>4</v>
      </c>
      <c r="F35" t="str">
        <f t="shared" ca="1" si="3"/>
        <v>YES</v>
      </c>
      <c r="G35" s="39">
        <f t="shared" si="4"/>
        <v>1</v>
      </c>
      <c r="I35" t="s">
        <v>3595</v>
      </c>
      <c r="K35" s="40">
        <v>3</v>
      </c>
      <c r="L35" s="40">
        <v>4</v>
      </c>
      <c r="M35" s="40">
        <v>5</v>
      </c>
      <c r="N35" s="40">
        <v>6</v>
      </c>
      <c r="P35" s="7">
        <v>1</v>
      </c>
      <c r="Q35" s="7">
        <v>0</v>
      </c>
      <c r="R35" s="7">
        <v>0</v>
      </c>
      <c r="S35" s="54">
        <v>0</v>
      </c>
      <c r="T35" s="2">
        <v>6</v>
      </c>
      <c r="U35" s="55">
        <v>82.92</v>
      </c>
      <c r="V35" s="59">
        <f t="shared" si="5"/>
        <v>1.3820000000000001E-2</v>
      </c>
      <c r="W35" s="2" t="str" cm="1">
        <f t="array" aca="1" ref="W35" ca="1">TRIM(SUBSTITUTE(_xlfn.ARRAYTOTEXT(IFERROR(CONCATENATE(SUMIF(INDIRECT("'"&amp;Assemblies[Assy]&amp;"'!"&amp;"C$5:C1000"), $B35, INDIRECT("'"&amp;Assemblies[Assy]&amp;"'!"&amp;"O$5:O1000")), "x",Assemblies[Assy],".",IF(SUMIF(INDIRECT("'"&amp;Assemblies[Assy]&amp;"'!"&amp;"C$5:C1000"), $B35, INDIRECT("'"&amp;Assemblies[Assy]&amp;"'!"&amp;"A$5:A1000"))=0,NA(),SUMIF(INDIRECT("'"&amp;Assemblies[Assy]&amp;"'!"&amp;"C$5:C1000"), $B35, INDIRECT("'"&amp;Assemblies[Assy]&amp;"'!"&amp;"A$5:A1000")))),"")), " ,", ""))</f>
        <v>, 8x10.1.1.703,</v>
      </c>
      <c r="X35" s="54">
        <f ca="1">Extrusion[[#This Row],[Length]]*Extrusion[[#This Row],[Total Qty]]</f>
        <v>7040</v>
      </c>
      <c r="Y35" s="54">
        <f>Extrusion[[#This Row],[Length]]*Extrusion[[#This Row],[Cut QTY]]</f>
        <v>3520</v>
      </c>
      <c r="Z35" s="54">
        <f ca="1">Extrusion[[#This Row],[Required Length]]-Extrusion[[#This Row],[Cut Length]]</f>
        <v>3520</v>
      </c>
      <c r="AA35" s="54"/>
    </row>
    <row r="36" spans="1:31" x14ac:dyDescent="0.25">
      <c r="A36" s="291">
        <v>999</v>
      </c>
      <c r="B36" t="s">
        <v>484</v>
      </c>
      <c r="C36" t="s">
        <v>3776</v>
      </c>
      <c r="D36" s="157" cm="1">
        <f t="array" aca="1" ref="D36" ca="1">SUMPRODUCT(SUMIF(INDIRECT("'"&amp;Assemblies[Assy]&amp;"'!"&amp;"C:C"),B36,(INDIRECT("'"&amp;Assemblies[Assy]&amp;"'!"&amp;"O:O"))))</f>
        <v>16</v>
      </c>
      <c r="E36">
        <v>0</v>
      </c>
      <c r="F36" t="str">
        <f t="shared" ca="1" si="3"/>
        <v>YES</v>
      </c>
      <c r="G36" s="39">
        <f t="shared" si="4"/>
        <v>1</v>
      </c>
      <c r="I36" t="s">
        <v>3595</v>
      </c>
      <c r="P36" s="7">
        <v>1</v>
      </c>
      <c r="Q36" s="7">
        <v>0</v>
      </c>
      <c r="R36" s="7">
        <v>0</v>
      </c>
      <c r="S36" s="54">
        <v>0</v>
      </c>
      <c r="T36" s="2">
        <v>6</v>
      </c>
      <c r="U36" s="55">
        <v>0</v>
      </c>
      <c r="V36" s="59">
        <f t="shared" si="5"/>
        <v>0</v>
      </c>
      <c r="W36" s="2" t="str" cm="1">
        <f t="array" aca="1" ref="W36" ca="1">TRIM(SUBSTITUTE(_xlfn.ARRAYTOTEXT(IFERROR(CONCATENATE(SUMIF(INDIRECT("'"&amp;Assemblies[Assy]&amp;"'!"&amp;"C$5:C1000"), $B36, INDIRECT("'"&amp;Assemblies[Assy]&amp;"'!"&amp;"O$5:O1000")), "x",Assemblies[Assy],".",IF(SUMIF(INDIRECT("'"&amp;Assemblies[Assy]&amp;"'!"&amp;"C$5:C1000"), $B36, INDIRECT("'"&amp;Assemblies[Assy]&amp;"'!"&amp;"A$5:A1000"))=0,NA(),SUMIF(INDIRECT("'"&amp;Assemblies[Assy]&amp;"'!"&amp;"C$5:C1000"), $B36, INDIRECT("'"&amp;Assemblies[Assy]&amp;"'!"&amp;"A$5:A1000")))),"")), " ,", ""))</f>
        <v>, 8x3.2.5.703, 8x3.2.6.703,</v>
      </c>
      <c r="X36" s="54">
        <f ca="1">Extrusion[[#This Row],[Length]]*Extrusion[[#This Row],[Total Qty]]</f>
        <v>15984</v>
      </c>
      <c r="Y36" s="54">
        <f>Extrusion[[#This Row],[Length]]*Extrusion[[#This Row],[Cut QTY]]</f>
        <v>0</v>
      </c>
      <c r="Z36" s="54">
        <f ca="1">Extrusion[[#This Row],[Required Length]]-Extrusion[[#This Row],[Cut Length]]</f>
        <v>15984</v>
      </c>
      <c r="AA36" s="54"/>
    </row>
    <row r="37" spans="1:31" x14ac:dyDescent="0.25">
      <c r="A37" s="143">
        <v>891</v>
      </c>
      <c r="B37" t="s">
        <v>3805</v>
      </c>
      <c r="C37" t="s">
        <v>3806</v>
      </c>
      <c r="D37" s="157" cm="1">
        <f t="array" aca="1" ref="D37" ca="1">SUMPRODUCT(SUMIF(INDIRECT("'"&amp;Assemblies[Assy]&amp;"'!"&amp;"C:C"),B37,(INDIRECT("'"&amp;Assemblies[Assy]&amp;"'!"&amp;"O:O"))))</f>
        <v>2</v>
      </c>
      <c r="E37">
        <v>2</v>
      </c>
      <c r="F37" t="str">
        <f t="shared" ca="1" si="3"/>
        <v/>
      </c>
      <c r="G37" s="39">
        <f t="shared" si="4"/>
        <v>1</v>
      </c>
      <c r="I37" t="s">
        <v>3595</v>
      </c>
      <c r="P37" s="7">
        <v>1</v>
      </c>
      <c r="Q37" s="7">
        <v>0</v>
      </c>
      <c r="R37" s="7">
        <v>0</v>
      </c>
      <c r="S37" s="54">
        <v>0</v>
      </c>
      <c r="T37" s="2">
        <v>6</v>
      </c>
      <c r="U37" s="55">
        <v>82.92</v>
      </c>
      <c r="V37" s="59">
        <f t="shared" si="5"/>
        <v>1.3820000000000001E-2</v>
      </c>
      <c r="W37" s="2" t="str" cm="1">
        <f t="array" aca="1" ref="W37" ca="1">TRIM(SUBSTITUTE(_xlfn.ARRAYTOTEXT(IFERROR(CONCATENATE(SUMIF(INDIRECT("'"&amp;Assemblies[Assy]&amp;"'!"&amp;"C$5:C1000"), $B37, INDIRECT("'"&amp;Assemblies[Assy]&amp;"'!"&amp;"O$5:O1000")), "x",Assemblies[Assy],".",IF(SUMIF(INDIRECT("'"&amp;Assemblies[Assy]&amp;"'!"&amp;"C$5:C1000"), $B37, INDIRECT("'"&amp;Assemblies[Assy]&amp;"'!"&amp;"A$5:A1000"))=0,NA(),SUMIF(INDIRECT("'"&amp;Assemblies[Assy]&amp;"'!"&amp;"C$5:C1000"), $B37, INDIRECT("'"&amp;Assemblies[Assy]&amp;"'!"&amp;"A$5:A1000")))),"")), " ,", ""))</f>
        <v>, 2x12.707</v>
      </c>
      <c r="X37" s="54">
        <f ca="1">Extrusion[[#This Row],[Length]]*Extrusion[[#This Row],[Total Qty]]</f>
        <v>1782</v>
      </c>
      <c r="Y37" s="54">
        <f>Extrusion[[#This Row],[Length]]*Extrusion[[#This Row],[Cut QTY]]</f>
        <v>1782</v>
      </c>
      <c r="Z37" s="54">
        <f ca="1">Extrusion[[#This Row],[Required Length]]-Extrusion[[#This Row],[Cut Length]]</f>
        <v>0</v>
      </c>
      <c r="AA37" s="54"/>
    </row>
    <row r="38" spans="1:31" x14ac:dyDescent="0.25">
      <c r="A38" s="291">
        <v>937</v>
      </c>
      <c r="B38" t="s">
        <v>3779</v>
      </c>
      <c r="C38" t="s">
        <v>3776</v>
      </c>
      <c r="D38" s="157" cm="1">
        <f t="array" aca="1" ref="D38" ca="1">SUMPRODUCT(SUMIF(INDIRECT("'"&amp;Assemblies[Assy]&amp;"'!"&amp;"C:C"),B38,(INDIRECT("'"&amp;Assemblies[Assy]&amp;"'!"&amp;"O:O"))))</f>
        <v>4</v>
      </c>
      <c r="E38">
        <v>0</v>
      </c>
      <c r="F38" t="str">
        <f t="shared" ca="1" si="3"/>
        <v>YES</v>
      </c>
      <c r="G38" s="39">
        <f t="shared" si="4"/>
        <v>1</v>
      </c>
      <c r="I38" t="s">
        <v>3595</v>
      </c>
      <c r="K38" s="40">
        <v>3</v>
      </c>
      <c r="L38" s="40">
        <v>4</v>
      </c>
      <c r="M38" s="40">
        <v>5</v>
      </c>
      <c r="N38" s="40">
        <v>6</v>
      </c>
      <c r="P38" s="7">
        <v>1</v>
      </c>
      <c r="Q38" s="7">
        <v>0</v>
      </c>
      <c r="R38" s="7">
        <v>0</v>
      </c>
      <c r="S38" s="54">
        <v>0</v>
      </c>
      <c r="T38" s="2">
        <v>6</v>
      </c>
      <c r="U38" s="55">
        <v>82.92</v>
      </c>
      <c r="V38" s="59">
        <f t="shared" si="5"/>
        <v>1.3820000000000001E-2</v>
      </c>
      <c r="W38" s="2" t="str" cm="1">
        <f t="array" aca="1" ref="W38" ca="1">TRIM(SUBSTITUTE(_xlfn.ARRAYTOTEXT(IFERROR(CONCATENATE(SUMIF(INDIRECT("'"&amp;Assemblies[Assy]&amp;"'!"&amp;"C$5:C1000"), $B38, INDIRECT("'"&amp;Assemblies[Assy]&amp;"'!"&amp;"O$5:O1000")), "x",Assemblies[Assy],".",IF(SUMIF(INDIRECT("'"&amp;Assemblies[Assy]&amp;"'!"&amp;"C$5:C1000"), $B38, INDIRECT("'"&amp;Assemblies[Assy]&amp;"'!"&amp;"A$5:A1000"))=0,NA(),SUMIF(INDIRECT("'"&amp;Assemblies[Assy]&amp;"'!"&amp;"C$5:C1000"), $B38, INDIRECT("'"&amp;Assemblies[Assy]&amp;"'!"&amp;"A$5:A1000")))),"")), " ,", ""))</f>
        <v>, 4x10.1.1.702,</v>
      </c>
      <c r="X38" s="54">
        <f ca="1">Extrusion[[#This Row],[Length]]*Extrusion[[#This Row],[Total Qty]]</f>
        <v>3748</v>
      </c>
      <c r="Y38" s="54">
        <f>Extrusion[[#This Row],[Length]]*Extrusion[[#This Row],[Cut QTY]]</f>
        <v>0</v>
      </c>
      <c r="Z38" s="54">
        <f ca="1">Extrusion[[#This Row],[Required Length]]-Extrusion[[#This Row],[Cut Length]]</f>
        <v>3748</v>
      </c>
      <c r="AA38" s="54"/>
    </row>
    <row r="39" spans="1:31" x14ac:dyDescent="0.25">
      <c r="A39" s="291">
        <v>978</v>
      </c>
      <c r="B39" t="s">
        <v>3778</v>
      </c>
      <c r="C39" t="s">
        <v>3776</v>
      </c>
      <c r="D39" s="157" cm="1">
        <f t="array" aca="1" ref="D39" ca="1">SUMPRODUCT(SUMIF(INDIRECT("'"&amp;Assemblies[Assy]&amp;"'!"&amp;"C:C"),B39,(INDIRECT("'"&amp;Assemblies[Assy]&amp;"'!"&amp;"O:O"))))</f>
        <v>4</v>
      </c>
      <c r="E39">
        <v>0</v>
      </c>
      <c r="F39" t="str">
        <f t="shared" ca="1" si="3"/>
        <v>YES</v>
      </c>
      <c r="G39" s="39">
        <f t="shared" si="4"/>
        <v>1</v>
      </c>
      <c r="I39" t="s">
        <v>3595</v>
      </c>
      <c r="K39" s="40">
        <v>3</v>
      </c>
      <c r="L39" s="40">
        <v>4</v>
      </c>
      <c r="M39" s="40">
        <v>5</v>
      </c>
      <c r="N39" s="40">
        <v>6</v>
      </c>
      <c r="P39" s="7">
        <v>1</v>
      </c>
      <c r="Q39" s="7">
        <v>0</v>
      </c>
      <c r="R39" s="7">
        <v>0</v>
      </c>
      <c r="S39" s="54">
        <v>0</v>
      </c>
      <c r="T39" s="2">
        <v>6</v>
      </c>
      <c r="U39" s="55">
        <v>82.92</v>
      </c>
      <c r="V39" s="59">
        <f t="shared" si="5"/>
        <v>1.3820000000000001E-2</v>
      </c>
      <c r="W39" s="2" t="str" cm="1">
        <f t="array" aca="1" ref="W39" ca="1">TRIM(SUBSTITUTE(_xlfn.ARRAYTOTEXT(IFERROR(CONCATENATE(SUMIF(INDIRECT("'"&amp;Assemblies[Assy]&amp;"'!"&amp;"C$5:C1000"), $B39, INDIRECT("'"&amp;Assemblies[Assy]&amp;"'!"&amp;"O$5:O1000")), "x",Assemblies[Assy],".",IF(SUMIF(INDIRECT("'"&amp;Assemblies[Assy]&amp;"'!"&amp;"C$5:C1000"), $B39, INDIRECT("'"&amp;Assemblies[Assy]&amp;"'!"&amp;"A$5:A1000"))=0,NA(),SUMIF(INDIRECT("'"&amp;Assemblies[Assy]&amp;"'!"&amp;"C$5:C1000"), $B39, INDIRECT("'"&amp;Assemblies[Assy]&amp;"'!"&amp;"A$5:A1000")))),"")), " ,", ""))</f>
        <v>, 4x10.1.1.701,</v>
      </c>
      <c r="X39" s="54">
        <f ca="1">Extrusion[[#This Row],[Length]]*Extrusion[[#This Row],[Total Qty]]</f>
        <v>3912</v>
      </c>
      <c r="Y39" s="54">
        <f>Extrusion[[#This Row],[Length]]*Extrusion[[#This Row],[Cut QTY]]</f>
        <v>0</v>
      </c>
      <c r="Z39" s="54">
        <f ca="1">Extrusion[[#This Row],[Required Length]]-Extrusion[[#This Row],[Cut Length]]</f>
        <v>3912</v>
      </c>
      <c r="AA39" s="54"/>
    </row>
    <row r="40" spans="1:31" x14ac:dyDescent="0.25">
      <c r="A40" s="143">
        <v>960</v>
      </c>
      <c r="B40" t="s">
        <v>343</v>
      </c>
      <c r="C40" t="s">
        <v>3776</v>
      </c>
      <c r="D40" s="157" cm="1">
        <f t="array" aca="1" ref="D40" ca="1">SUMPRODUCT(SUMIF(INDIRECT("'"&amp;Assemblies[Assy]&amp;"'!"&amp;"C:C"),B40,(INDIRECT("'"&amp;Assemblies[Assy]&amp;"'!"&amp;"O:O"))))</f>
        <v>4</v>
      </c>
      <c r="E40">
        <v>4</v>
      </c>
      <c r="F40" t="str">
        <f t="shared" ca="1" si="3"/>
        <v/>
      </c>
      <c r="G40" s="39">
        <f t="shared" si="4"/>
        <v>1</v>
      </c>
      <c r="I40" t="s">
        <v>3595</v>
      </c>
      <c r="P40" s="7">
        <v>1</v>
      </c>
      <c r="Q40" s="7">
        <v>0</v>
      </c>
      <c r="R40" s="7">
        <v>0</v>
      </c>
      <c r="S40" s="54">
        <v>0</v>
      </c>
      <c r="T40" s="2">
        <v>6</v>
      </c>
      <c r="U40" s="55">
        <v>82.92</v>
      </c>
      <c r="V40" s="59">
        <f t="shared" si="5"/>
        <v>1.3820000000000001E-2</v>
      </c>
      <c r="W40" s="2" t="str" cm="1">
        <f t="array" aca="1" ref="W40" ca="1">TRIM(SUBSTITUTE(_xlfn.ARRAYTOTEXT(IFERROR(CONCATENATE(SUMIF(INDIRECT("'"&amp;Assemblies[Assy]&amp;"'!"&amp;"C$5:C1000"), $B40, INDIRECT("'"&amp;Assemblies[Assy]&amp;"'!"&amp;"O$5:O1000")), "x",Assemblies[Assy],".",IF(SUMIF(INDIRECT("'"&amp;Assemblies[Assy]&amp;"'!"&amp;"C$5:C1000"), $B40, INDIRECT("'"&amp;Assemblies[Assy]&amp;"'!"&amp;"A$5:A1000"))=0,NA(),SUMIF(INDIRECT("'"&amp;Assemblies[Assy]&amp;"'!"&amp;"C$5:C1000"), $B40, INDIRECT("'"&amp;Assemblies[Assy]&amp;"'!"&amp;"A$5:A1000")))),"")), " ,", ""))</f>
        <v>, 2x1.4.701, 2x1.5.701,</v>
      </c>
      <c r="X40" s="54">
        <f ca="1">Extrusion[[#This Row],[Length]]*Extrusion[[#This Row],[Total Qty]]</f>
        <v>3840</v>
      </c>
      <c r="Y40" s="54">
        <f>Extrusion[[#This Row],[Length]]*Extrusion[[#This Row],[Cut QTY]]</f>
        <v>3840</v>
      </c>
      <c r="Z40" s="54">
        <f ca="1">Extrusion[[#This Row],[Required Length]]-Extrusion[[#This Row],[Cut Length]]</f>
        <v>0</v>
      </c>
      <c r="AA40" s="54"/>
    </row>
    <row r="41" spans="1:31" x14ac:dyDescent="0.25">
      <c r="A41" s="143">
        <v>290</v>
      </c>
      <c r="B41" t="s">
        <v>1462</v>
      </c>
      <c r="C41" t="s">
        <v>3806</v>
      </c>
      <c r="D41" s="157" cm="1">
        <f t="array" aca="1" ref="D41" ca="1">SUMPRODUCT(SUMIF(INDIRECT("'"&amp;Assemblies[Assy]&amp;"'!"&amp;"C:C"),B41,(INDIRECT("'"&amp;Assemblies[Assy]&amp;"'!"&amp;"O:O"))))</f>
        <v>4</v>
      </c>
      <c r="E41">
        <v>4</v>
      </c>
      <c r="F41" t="str">
        <f t="shared" ca="1" si="3"/>
        <v/>
      </c>
      <c r="G41" s="39">
        <f t="shared" si="4"/>
        <v>1</v>
      </c>
      <c r="I41" t="s">
        <v>3595</v>
      </c>
      <c r="P41" s="7">
        <v>1</v>
      </c>
      <c r="Q41" s="7">
        <v>0</v>
      </c>
      <c r="R41" s="7">
        <v>0</v>
      </c>
      <c r="S41" s="54">
        <v>0</v>
      </c>
      <c r="T41" s="2">
        <v>6</v>
      </c>
      <c r="U41" s="55">
        <v>330.57</v>
      </c>
      <c r="V41" s="59">
        <f t="shared" si="5"/>
        <v>5.5094999999999998E-2</v>
      </c>
      <c r="W41" s="2" t="str" cm="1">
        <f t="array" aca="1" ref="W41" ca="1">TRIM(SUBSTITUTE(_xlfn.ARRAYTOTEXT(IFERROR(CONCATENATE(SUMIF(INDIRECT("'"&amp;Assemblies[Assy]&amp;"'!"&amp;"C$5:C1000"), $B41, INDIRECT("'"&amp;Assemblies[Assy]&amp;"'!"&amp;"O$5:O1000")), "x",Assemblies[Assy],".",IF(SUMIF(INDIRECT("'"&amp;Assemblies[Assy]&amp;"'!"&amp;"C$5:C1000"), $B41, INDIRECT("'"&amp;Assemblies[Assy]&amp;"'!"&amp;"A$5:A1000"))=0,NA(),SUMIF(INDIRECT("'"&amp;Assemblies[Assy]&amp;"'!"&amp;"C$5:C1000"), $B41, INDIRECT("'"&amp;Assemblies[Assy]&amp;"'!"&amp;"A$5:A1000")))),"")), " ,", ""))</f>
        <v>, 4x12.704</v>
      </c>
      <c r="X41" s="54">
        <f ca="1">Extrusion[[#This Row],[Length]]*Extrusion[[#This Row],[Total Qty]]</f>
        <v>1160</v>
      </c>
      <c r="Y41" s="54">
        <f>Extrusion[[#This Row],[Length]]*Extrusion[[#This Row],[Cut QTY]]</f>
        <v>1160</v>
      </c>
      <c r="Z41" s="54">
        <f ca="1">Extrusion[[#This Row],[Required Length]]-Extrusion[[#This Row],[Cut Length]]</f>
        <v>0</v>
      </c>
      <c r="AA41" s="54"/>
    </row>
    <row r="42" spans="1:31" x14ac:dyDescent="0.25">
      <c r="A42" s="143">
        <v>245</v>
      </c>
      <c r="B42" t="s">
        <v>3804</v>
      </c>
      <c r="C42" t="s">
        <v>3806</v>
      </c>
      <c r="D42" s="157" cm="1">
        <f t="array" aca="1" ref="D42" ca="1">SUMPRODUCT(SUMIF(INDIRECT("'"&amp;Assemblies[Assy]&amp;"'!"&amp;"C:C"),B42,(INDIRECT("'"&amp;Assemblies[Assy]&amp;"'!"&amp;"O:O"))))</f>
        <v>1</v>
      </c>
      <c r="E42">
        <v>1</v>
      </c>
      <c r="F42" t="str">
        <f t="shared" ca="1" si="3"/>
        <v/>
      </c>
      <c r="G42" s="39">
        <f t="shared" si="4"/>
        <v>1</v>
      </c>
      <c r="I42" t="s">
        <v>3595</v>
      </c>
      <c r="P42" s="7">
        <v>1</v>
      </c>
      <c r="Q42" s="7">
        <v>0</v>
      </c>
      <c r="R42" s="7">
        <v>0</v>
      </c>
      <c r="S42" s="54">
        <v>0</v>
      </c>
      <c r="T42" s="2">
        <v>6</v>
      </c>
      <c r="U42" s="55">
        <v>0</v>
      </c>
      <c r="V42" s="59">
        <f t="shared" si="5"/>
        <v>0</v>
      </c>
      <c r="W42" s="2" t="str" cm="1">
        <f t="array" aca="1" ref="W42" ca="1">TRIM(SUBSTITUTE(_xlfn.ARRAYTOTEXT(IFERROR(CONCATENATE(SUMIF(INDIRECT("'"&amp;Assemblies[Assy]&amp;"'!"&amp;"C$5:C1000"), $B42, INDIRECT("'"&amp;Assemblies[Assy]&amp;"'!"&amp;"O$5:O1000")), "x",Assemblies[Assy],".",IF(SUMIF(INDIRECT("'"&amp;Assemblies[Assy]&amp;"'!"&amp;"C$5:C1000"), $B42, INDIRECT("'"&amp;Assemblies[Assy]&amp;"'!"&amp;"A$5:A1000"))=0,NA(),SUMIF(INDIRECT("'"&amp;Assemblies[Assy]&amp;"'!"&amp;"C$5:C1000"), $B42, INDIRECT("'"&amp;Assemblies[Assy]&amp;"'!"&amp;"A$5:A1000")))),"")), " ,", ""))</f>
        <v>, 1x12.703</v>
      </c>
      <c r="X42" s="54">
        <f ca="1">Extrusion[[#This Row],[Length]]*Extrusion[[#This Row],[Total Qty]]</f>
        <v>245</v>
      </c>
      <c r="Y42" s="54">
        <f>Extrusion[[#This Row],[Length]]*Extrusion[[#This Row],[Cut QTY]]</f>
        <v>245</v>
      </c>
      <c r="Z42" s="54">
        <f ca="1">Extrusion[[#This Row],[Required Length]]-Extrusion[[#This Row],[Cut Length]]</f>
        <v>0</v>
      </c>
      <c r="AA42" s="54"/>
    </row>
    <row r="43" spans="1:31" x14ac:dyDescent="0.25">
      <c r="A43" s="143">
        <v>1510</v>
      </c>
      <c r="B43" t="s">
        <v>1252</v>
      </c>
      <c r="C43" t="s">
        <v>3596</v>
      </c>
      <c r="D43" s="157" cm="1">
        <f t="array" aca="1" ref="D43" ca="1">SUMPRODUCT(SUMIF(INDIRECT("'"&amp;Assemblies[Assy]&amp;"'!"&amp;"C:C"),B43,(INDIRECT("'"&amp;Assemblies[Assy]&amp;"'!"&amp;"O:O"))))</f>
        <v>2</v>
      </c>
      <c r="E43">
        <v>2</v>
      </c>
      <c r="F43" t="str">
        <f t="shared" ca="1" si="3"/>
        <v/>
      </c>
      <c r="G43" s="39">
        <f t="shared" si="4"/>
        <v>1</v>
      </c>
      <c r="I43" t="s">
        <v>3595</v>
      </c>
      <c r="P43" s="7">
        <v>1</v>
      </c>
      <c r="Q43" s="7">
        <v>0</v>
      </c>
      <c r="R43" s="7">
        <v>0</v>
      </c>
      <c r="S43" s="54">
        <v>0</v>
      </c>
      <c r="T43" s="2">
        <v>6</v>
      </c>
      <c r="U43" s="55">
        <v>330.57</v>
      </c>
      <c r="V43" s="59">
        <f t="shared" si="5"/>
        <v>5.5094999999999998E-2</v>
      </c>
      <c r="W43" s="2" t="str" cm="1">
        <f t="array" aca="1" ref="W43" ca="1">TRIM(SUBSTITUTE(_xlfn.ARRAYTOTEXT(IFERROR(CONCATENATE(SUMIF(INDIRECT("'"&amp;Assemblies[Assy]&amp;"'!"&amp;"C$5:C1000"), $B43, INDIRECT("'"&amp;Assemblies[Assy]&amp;"'!"&amp;"O$5:O1000")), "x",Assemblies[Assy],".",IF(SUMIF(INDIRECT("'"&amp;Assemblies[Assy]&amp;"'!"&amp;"C$5:C1000"), $B43, INDIRECT("'"&amp;Assemblies[Assy]&amp;"'!"&amp;"A$5:A1000"))=0,NA(),SUMIF(INDIRECT("'"&amp;Assemblies[Assy]&amp;"'!"&amp;"C$5:C1000"), $B43, INDIRECT("'"&amp;Assemblies[Assy]&amp;"'!"&amp;"A$5:A1000")))),"")), " ,", ""))</f>
        <v>, 2x8.3.701,</v>
      </c>
      <c r="X43" s="54">
        <f ca="1">Extrusion[[#This Row],[Length]]*Extrusion[[#This Row],[Total Qty]]</f>
        <v>3020</v>
      </c>
      <c r="Y43" s="54">
        <f>Extrusion[[#This Row],[Length]]*Extrusion[[#This Row],[Cut QTY]]</f>
        <v>3020</v>
      </c>
      <c r="Z43" s="54">
        <f ca="1">Extrusion[[#This Row],[Required Length]]-Extrusion[[#This Row],[Cut Length]]</f>
        <v>0</v>
      </c>
      <c r="AA43" s="54"/>
    </row>
    <row r="44" spans="1:31" x14ac:dyDescent="0.25">
      <c r="A44" s="143">
        <v>1270</v>
      </c>
      <c r="B44" t="s">
        <v>428</v>
      </c>
      <c r="C44" t="s">
        <v>3596</v>
      </c>
      <c r="D44" s="157" cm="1">
        <f t="array" aca="1" ref="D44" ca="1">SUMPRODUCT(SUMIF(INDIRECT("'"&amp;Assemblies[Assy]&amp;"'!"&amp;"C:C"),B44,(INDIRECT("'"&amp;Assemblies[Assy]&amp;"'!"&amp;"O:O"))))</f>
        <v>3</v>
      </c>
      <c r="E44">
        <v>3</v>
      </c>
      <c r="F44" t="str">
        <f t="shared" ca="1" si="3"/>
        <v/>
      </c>
      <c r="G44" s="39">
        <f t="shared" si="4"/>
        <v>1</v>
      </c>
      <c r="I44" t="s">
        <v>3595</v>
      </c>
      <c r="P44" s="7">
        <v>1</v>
      </c>
      <c r="Q44" s="7">
        <v>0</v>
      </c>
      <c r="R44" s="7">
        <v>0</v>
      </c>
      <c r="S44" s="54">
        <v>0</v>
      </c>
      <c r="T44" s="2">
        <v>6</v>
      </c>
      <c r="U44" s="55">
        <v>82.92</v>
      </c>
      <c r="V44" s="59">
        <f t="shared" si="5"/>
        <v>1.3820000000000001E-2</v>
      </c>
      <c r="W44" s="2" t="str" cm="1">
        <f t="array" aca="1" ref="W44" ca="1">TRIM(SUBSTITUTE(_xlfn.ARRAYTOTEXT(IFERROR(CONCATENATE(SUMIF(INDIRECT("'"&amp;Assemblies[Assy]&amp;"'!"&amp;"C$5:C1000"), $B44, INDIRECT("'"&amp;Assemblies[Assy]&amp;"'!"&amp;"O$5:O1000")), "x",Assemblies[Assy],".",IF(SUMIF(INDIRECT("'"&amp;Assemblies[Assy]&amp;"'!"&amp;"C$5:C1000"), $B44, INDIRECT("'"&amp;Assemblies[Assy]&amp;"'!"&amp;"A$5:A1000"))=0,NA(),SUMIF(INDIRECT("'"&amp;Assemblies[Assy]&amp;"'!"&amp;"C$5:C1000"), $B44, INDIRECT("'"&amp;Assemblies[Assy]&amp;"'!"&amp;"A$5:A1000")))),"")), " ,", ""))</f>
        <v>, 3x2.3.701,</v>
      </c>
      <c r="X44" s="54">
        <f ca="1">Extrusion[[#This Row],[Length]]*Extrusion[[#This Row],[Total Qty]]</f>
        <v>3810</v>
      </c>
      <c r="Y44" s="54">
        <f>Extrusion[[#This Row],[Length]]*Extrusion[[#This Row],[Cut QTY]]</f>
        <v>3810</v>
      </c>
      <c r="Z44" s="54">
        <f ca="1">Extrusion[[#This Row],[Required Length]]-Extrusion[[#This Row],[Cut Length]]</f>
        <v>0</v>
      </c>
      <c r="AA44" s="54"/>
    </row>
    <row r="45" spans="1:31" x14ac:dyDescent="0.25">
      <c r="A45" s="143">
        <v>45</v>
      </c>
      <c r="B45" t="s">
        <v>529</v>
      </c>
      <c r="C45" t="s">
        <v>3596</v>
      </c>
      <c r="D45" s="157" cm="1">
        <f t="array" aca="1" ref="D45" ca="1">SUMPRODUCT(SUMIF(INDIRECT("'"&amp;Assemblies[Assy]&amp;"'!"&amp;"C:C"),B45,(INDIRECT("'"&amp;Assemblies[Assy]&amp;"'!"&amp;"O:O"))))</f>
        <v>4</v>
      </c>
      <c r="E45">
        <v>4</v>
      </c>
      <c r="F45" t="str">
        <f t="shared" ca="1" si="3"/>
        <v/>
      </c>
      <c r="G45" s="39">
        <f t="shared" si="4"/>
        <v>1</v>
      </c>
      <c r="I45" t="s">
        <v>3595</v>
      </c>
      <c r="P45" s="7">
        <v>1</v>
      </c>
      <c r="Q45" s="7">
        <v>0</v>
      </c>
      <c r="R45" s="7">
        <v>0</v>
      </c>
      <c r="S45" s="54">
        <v>0</v>
      </c>
      <c r="T45" s="2">
        <v>6</v>
      </c>
      <c r="U45" s="55">
        <v>187.59</v>
      </c>
      <c r="V45" s="59">
        <f t="shared" si="5"/>
        <v>3.1265000000000001E-2</v>
      </c>
      <c r="W45" s="2" t="str" cm="1">
        <f t="array" aca="1" ref="W45" ca="1">TRIM(SUBSTITUTE(_xlfn.ARRAYTOTEXT(IFERROR(CONCATENATE(SUMIF(INDIRECT("'"&amp;Assemblies[Assy]&amp;"'!"&amp;"C$5:C1000"), $B45, INDIRECT("'"&amp;Assemblies[Assy]&amp;"'!"&amp;"O$5:O1000")), "x",Assemblies[Assy],".",IF(SUMIF(INDIRECT("'"&amp;Assemblies[Assy]&amp;"'!"&amp;"C$5:C1000"), $B45, INDIRECT("'"&amp;Assemblies[Assy]&amp;"'!"&amp;"A$5:A1000"))=0,NA(),SUMIF(INDIRECT("'"&amp;Assemblies[Assy]&amp;"'!"&amp;"C$5:C1000"), $B45, INDIRECT("'"&amp;Assemblies[Assy]&amp;"'!"&amp;"A$5:A1000")))),"")), " ,", ""))</f>
        <v>, 4x4.1.701,</v>
      </c>
      <c r="X45" s="54">
        <f ca="1">Extrusion[[#This Row],[Length]]*Extrusion[[#This Row],[Total Qty]]</f>
        <v>180</v>
      </c>
      <c r="Y45" s="54">
        <f>Extrusion[[#This Row],[Length]]*Extrusion[[#This Row],[Cut QTY]]</f>
        <v>180</v>
      </c>
      <c r="Z45" s="54">
        <f ca="1">Extrusion[[#This Row],[Required Length]]-Extrusion[[#This Row],[Cut Length]]</f>
        <v>0</v>
      </c>
      <c r="AA45" s="54"/>
    </row>
    <row r="46" spans="1:31" x14ac:dyDescent="0.25">
      <c r="A46" s="143">
        <v>490</v>
      </c>
      <c r="B46" t="s">
        <v>1057</v>
      </c>
      <c r="C46" t="s">
        <v>3863</v>
      </c>
      <c r="D46" s="157" cm="1">
        <f t="array" aca="1" ref="D46" ca="1">SUMPRODUCT(SUMIF(INDIRECT("'"&amp;Assemblies[Assy]&amp;"'!"&amp;"C:C"),B46,(INDIRECT("'"&amp;Assemblies[Assy]&amp;"'!"&amp;"O:O"))))</f>
        <v>4</v>
      </c>
      <c r="E46">
        <v>4</v>
      </c>
      <c r="F46" t="str">
        <f t="shared" ca="1" si="3"/>
        <v/>
      </c>
      <c r="G46" s="39">
        <f t="shared" si="4"/>
        <v>1</v>
      </c>
      <c r="I46" t="s">
        <v>3595</v>
      </c>
      <c r="P46" s="7">
        <v>1</v>
      </c>
      <c r="Q46" s="7">
        <v>0</v>
      </c>
      <c r="R46" s="7">
        <v>0</v>
      </c>
      <c r="S46" s="54">
        <v>0</v>
      </c>
      <c r="T46" s="2">
        <v>6</v>
      </c>
      <c r="U46" s="55">
        <v>187.59</v>
      </c>
      <c r="V46" s="59">
        <f t="shared" si="5"/>
        <v>3.1265000000000001E-2</v>
      </c>
      <c r="W46" s="2" t="str" cm="1">
        <f t="array" aca="1" ref="W46" ca="1">TRIM(SUBSTITUTE(_xlfn.ARRAYTOTEXT(IFERROR(CONCATENATE(SUMIF(INDIRECT("'"&amp;Assemblies[Assy]&amp;"'!"&amp;"C$5:C1000"), $B46, INDIRECT("'"&amp;Assemblies[Assy]&amp;"'!"&amp;"O$5:O1000")), "x",Assemblies[Assy],".",IF(SUMIF(INDIRECT("'"&amp;Assemblies[Assy]&amp;"'!"&amp;"C$5:C1000"), $B46, INDIRECT("'"&amp;Assemblies[Assy]&amp;"'!"&amp;"A$5:A1000"))=0,NA(),SUMIF(INDIRECT("'"&amp;Assemblies[Assy]&amp;"'!"&amp;"C$5:C1000"), $B46, INDIRECT("'"&amp;Assemblies[Assy]&amp;"'!"&amp;"A$5:A1000")))),"")), " ,", ""))</f>
        <v>, 4x6.9.705,</v>
      </c>
      <c r="X46" s="54">
        <f ca="1">Extrusion[[#This Row],[Length]]*Extrusion[[#This Row],[Total Qty]]</f>
        <v>1960</v>
      </c>
      <c r="Y46" s="54">
        <f>Extrusion[[#This Row],[Length]]*Extrusion[[#This Row],[Cut QTY]]</f>
        <v>1960</v>
      </c>
      <c r="Z46" s="54">
        <f ca="1">Extrusion[[#This Row],[Required Length]]-Extrusion[[#This Row],[Cut Length]]</f>
        <v>0</v>
      </c>
      <c r="AA46" s="54"/>
    </row>
    <row r="47" spans="1:31" x14ac:dyDescent="0.25">
      <c r="A47" s="143">
        <v>86</v>
      </c>
      <c r="B47" t="s">
        <v>1120</v>
      </c>
      <c r="C47" t="s">
        <v>3596</v>
      </c>
      <c r="D47" s="157" cm="1">
        <f t="array" aca="1" ref="D47" ca="1">SUMPRODUCT(SUMIF(INDIRECT("'"&amp;Assemblies[Assy]&amp;"'!"&amp;"C:C"),B47,(INDIRECT("'"&amp;Assemblies[Assy]&amp;"'!"&amp;"O:O"))))</f>
        <v>2</v>
      </c>
      <c r="E47">
        <v>2</v>
      </c>
      <c r="F47" t="str">
        <f t="shared" ca="1" si="3"/>
        <v/>
      </c>
      <c r="G47" s="39">
        <f t="shared" si="4"/>
        <v>1</v>
      </c>
      <c r="I47" t="s">
        <v>3595</v>
      </c>
      <c r="P47" s="7">
        <v>1</v>
      </c>
      <c r="Q47" s="7">
        <v>0</v>
      </c>
      <c r="R47" s="7">
        <v>0</v>
      </c>
      <c r="S47" s="54">
        <v>0</v>
      </c>
      <c r="T47" s="2">
        <v>6</v>
      </c>
      <c r="U47" s="55">
        <v>187.59</v>
      </c>
      <c r="V47" s="59">
        <f t="shared" si="5"/>
        <v>3.1265000000000001E-2</v>
      </c>
      <c r="W47" s="2" t="str" cm="1">
        <f t="array" aca="1" ref="W47" ca="1">TRIM(SUBSTITUTE(_xlfn.ARRAYTOTEXT(IFERROR(CONCATENATE(SUMIF(INDIRECT("'"&amp;Assemblies[Assy]&amp;"'!"&amp;"C$5:C1000"), $B47, INDIRECT("'"&amp;Assemblies[Assy]&amp;"'!"&amp;"O$5:O1000")), "x",Assemblies[Assy],".",IF(SUMIF(INDIRECT("'"&amp;Assemblies[Assy]&amp;"'!"&amp;"C$5:C1000"), $B47, INDIRECT("'"&amp;Assemblies[Assy]&amp;"'!"&amp;"A$5:A1000"))=0,NA(),SUMIF(INDIRECT("'"&amp;Assemblies[Assy]&amp;"'!"&amp;"C$5:C1000"), $B47, INDIRECT("'"&amp;Assemblies[Assy]&amp;"'!"&amp;"A$5:A1000")))),"")), " ,", ""))</f>
        <v>, 2x7.1.708,</v>
      </c>
      <c r="X47" s="54">
        <f ca="1">Extrusion[[#This Row],[Length]]*Extrusion[[#This Row],[Total Qty]]</f>
        <v>172</v>
      </c>
      <c r="Y47" s="54">
        <f>Extrusion[[#This Row],[Length]]*Extrusion[[#This Row],[Cut QTY]]</f>
        <v>172</v>
      </c>
      <c r="Z47" s="54">
        <f ca="1">Extrusion[[#This Row],[Required Length]]-Extrusion[[#This Row],[Cut Length]]</f>
        <v>0</v>
      </c>
      <c r="AA47" s="54"/>
    </row>
    <row r="48" spans="1:31" x14ac:dyDescent="0.25">
      <c r="A48" s="143">
        <v>1019</v>
      </c>
      <c r="B48" t="s">
        <v>3803</v>
      </c>
      <c r="C48" t="s">
        <v>3806</v>
      </c>
      <c r="D48" s="157" cm="1">
        <f t="array" aca="1" ref="D48" ca="1">SUMPRODUCT(SUMIF(INDIRECT("'"&amp;Assemblies[Assy]&amp;"'!"&amp;"C:C"),B48,(INDIRECT("'"&amp;Assemblies[Assy]&amp;"'!"&amp;"O:O"))))</f>
        <v>2</v>
      </c>
      <c r="E48">
        <v>2</v>
      </c>
      <c r="F48" t="str">
        <f t="shared" ca="1" si="3"/>
        <v/>
      </c>
      <c r="G48" s="39">
        <f t="shared" si="4"/>
        <v>1</v>
      </c>
      <c r="I48" t="s">
        <v>3595</v>
      </c>
      <c r="P48" s="7">
        <v>1</v>
      </c>
      <c r="Q48" s="7">
        <v>0</v>
      </c>
      <c r="R48" s="7">
        <v>0</v>
      </c>
      <c r="S48" s="54">
        <v>0</v>
      </c>
      <c r="T48" s="2">
        <v>6</v>
      </c>
      <c r="U48" s="55">
        <v>188.59</v>
      </c>
      <c r="V48" s="59">
        <f t="shared" si="5"/>
        <v>3.143166666666667E-2</v>
      </c>
      <c r="W48" s="2" t="str" cm="1">
        <f t="array" aca="1" ref="W48" ca="1">TRIM(SUBSTITUTE(_xlfn.ARRAYTOTEXT(IFERROR(CONCATENATE(SUMIF(INDIRECT("'"&amp;Assemblies[Assy]&amp;"'!"&amp;"C$5:C1000"), $B48, INDIRECT("'"&amp;Assemblies[Assy]&amp;"'!"&amp;"O$5:O1000")), "x",Assemblies[Assy],".",IF(SUMIF(INDIRECT("'"&amp;Assemblies[Assy]&amp;"'!"&amp;"C$5:C1000"), $B48, INDIRECT("'"&amp;Assemblies[Assy]&amp;"'!"&amp;"A$5:A1000"))=0,NA(),SUMIF(INDIRECT("'"&amp;Assemblies[Assy]&amp;"'!"&amp;"C$5:C1000"), $B48, INDIRECT("'"&amp;Assemblies[Assy]&amp;"'!"&amp;"A$5:A1000")))),"")), " ,", ""))</f>
        <v>, 2x12.713</v>
      </c>
      <c r="X48" s="54">
        <f ca="1">Extrusion[[#This Row],[Length]]*Extrusion[[#This Row],[Total Qty]]</f>
        <v>2038</v>
      </c>
      <c r="Y48" s="54">
        <f>Extrusion[[#This Row],[Length]]*Extrusion[[#This Row],[Cut QTY]]</f>
        <v>2038</v>
      </c>
      <c r="Z48" s="54">
        <f ca="1">Extrusion[[#This Row],[Required Length]]-Extrusion[[#This Row],[Cut Length]]</f>
        <v>0</v>
      </c>
      <c r="AA48" s="54"/>
    </row>
    <row r="49" spans="1:31" x14ac:dyDescent="0.25">
      <c r="A49" s="143">
        <v>1355</v>
      </c>
      <c r="B49" t="s">
        <v>752</v>
      </c>
      <c r="C49" t="s">
        <v>3596</v>
      </c>
      <c r="D49" s="157" cm="1">
        <f t="array" aca="1" ref="D49" ca="1">SUMPRODUCT(SUMIF(INDIRECT("'"&amp;Assemblies[Assy]&amp;"'!"&amp;"C:C"),B49,(INDIRECT("'"&amp;Assemblies[Assy]&amp;"'!"&amp;"O:O"))))</f>
        <v>2</v>
      </c>
      <c r="E49">
        <v>2</v>
      </c>
      <c r="F49" t="str">
        <f t="shared" ca="1" si="3"/>
        <v/>
      </c>
      <c r="G49" s="39">
        <f t="shared" si="4"/>
        <v>1</v>
      </c>
      <c r="I49" t="s">
        <v>3595</v>
      </c>
      <c r="P49" s="7">
        <v>1</v>
      </c>
      <c r="Q49" s="7">
        <v>0</v>
      </c>
      <c r="R49" s="7">
        <v>0</v>
      </c>
      <c r="S49" s="54">
        <v>0</v>
      </c>
      <c r="T49" s="2">
        <v>6</v>
      </c>
      <c r="U49" s="55">
        <v>187.59</v>
      </c>
      <c r="V49" s="59">
        <f t="shared" si="5"/>
        <v>3.1265000000000001E-2</v>
      </c>
      <c r="W49" s="2" t="str" cm="1">
        <f t="array" aca="1" ref="W49" ca="1">TRIM(SUBSTITUTE(_xlfn.ARRAYTOTEXT(IFERROR(CONCATENATE(SUMIF(INDIRECT("'"&amp;Assemblies[Assy]&amp;"'!"&amp;"C$5:C1000"), $B49, INDIRECT("'"&amp;Assemblies[Assy]&amp;"'!"&amp;"O$5:O1000")), "x",Assemblies[Assy],".",IF(SUMIF(INDIRECT("'"&amp;Assemblies[Assy]&amp;"'!"&amp;"C$5:C1000"), $B49, INDIRECT("'"&amp;Assemblies[Assy]&amp;"'!"&amp;"A$5:A1000"))=0,NA(),SUMIF(INDIRECT("'"&amp;Assemblies[Assy]&amp;"'!"&amp;"C$5:C1000"), $B49, INDIRECT("'"&amp;Assemblies[Assy]&amp;"'!"&amp;"A$5:A1000")))),"")), " ,", ""))</f>
        <v>, 1x5.3.706, 1x6.1.710,</v>
      </c>
      <c r="X49" s="54">
        <f ca="1">Extrusion[[#This Row],[Length]]*Extrusion[[#This Row],[Total Qty]]</f>
        <v>2710</v>
      </c>
      <c r="Y49" s="54">
        <f>Extrusion[[#This Row],[Length]]*Extrusion[[#This Row],[Cut QTY]]</f>
        <v>2710</v>
      </c>
      <c r="Z49" s="54">
        <f ca="1">Extrusion[[#This Row],[Required Length]]-Extrusion[[#This Row],[Cut Length]]</f>
        <v>0</v>
      </c>
      <c r="AA49" s="54"/>
    </row>
    <row r="50" spans="1:31" x14ac:dyDescent="0.25">
      <c r="A50" s="143">
        <v>1428</v>
      </c>
      <c r="B50" t="s">
        <v>1325</v>
      </c>
      <c r="C50" t="s">
        <v>3596</v>
      </c>
      <c r="D50" s="157" cm="1">
        <f t="array" aca="1" ref="D50" ca="1">SUMPRODUCT(SUMIF(INDIRECT("'"&amp;Assemblies[Assy]&amp;"'!"&amp;"C:C"),B50,(INDIRECT("'"&amp;Assemblies[Assy]&amp;"'!"&amp;"O:O"))))</f>
        <v>3</v>
      </c>
      <c r="E50">
        <v>3</v>
      </c>
      <c r="F50" t="str">
        <f t="shared" ca="1" si="3"/>
        <v/>
      </c>
      <c r="G50" s="39">
        <f t="shared" si="4"/>
        <v>1</v>
      </c>
      <c r="I50" t="s">
        <v>3595</v>
      </c>
      <c r="P50" s="7">
        <v>1</v>
      </c>
      <c r="Q50" s="7">
        <v>0</v>
      </c>
      <c r="R50" s="7">
        <v>0</v>
      </c>
      <c r="S50" s="54">
        <v>0</v>
      </c>
      <c r="T50" s="2">
        <v>6</v>
      </c>
      <c r="U50" s="55">
        <v>187.59</v>
      </c>
      <c r="V50" s="59">
        <f t="shared" si="5"/>
        <v>3.1265000000000001E-2</v>
      </c>
      <c r="W50" s="2" t="str" cm="1">
        <f t="array" aca="1" ref="W50" ca="1">TRIM(SUBSTITUTE(_xlfn.ARRAYTOTEXT(IFERROR(CONCATENATE(SUMIF(INDIRECT("'"&amp;Assemblies[Assy]&amp;"'!"&amp;"C$5:C1000"), $B50, INDIRECT("'"&amp;Assemblies[Assy]&amp;"'!"&amp;"O$5:O1000")), "x",Assemblies[Assy],".",IF(SUMIF(INDIRECT("'"&amp;Assemblies[Assy]&amp;"'!"&amp;"C$5:C1000"), $B50, INDIRECT("'"&amp;Assemblies[Assy]&amp;"'!"&amp;"A$5:A1000"))=0,NA(),SUMIF(INDIRECT("'"&amp;Assemblies[Assy]&amp;"'!"&amp;"C$5:C1000"), $B50, INDIRECT("'"&amp;Assemblies[Assy]&amp;"'!"&amp;"A$5:A1000")))),"")), " ,", ""))</f>
        <v>, 3x10.1.703,</v>
      </c>
      <c r="X50" s="54">
        <f ca="1">Extrusion[[#This Row],[Length]]*Extrusion[[#This Row],[Total Qty]]</f>
        <v>4284</v>
      </c>
      <c r="Y50" s="54">
        <f>Extrusion[[#This Row],[Length]]*Extrusion[[#This Row],[Cut QTY]]</f>
        <v>4284</v>
      </c>
      <c r="Z50" s="54">
        <f ca="1">Extrusion[[#This Row],[Required Length]]-Extrusion[[#This Row],[Cut Length]]</f>
        <v>0</v>
      </c>
      <c r="AA50" s="54"/>
    </row>
    <row r="51" spans="1:31" x14ac:dyDescent="0.25">
      <c r="A51" s="143">
        <v>1680</v>
      </c>
      <c r="B51" t="s">
        <v>154</v>
      </c>
      <c r="D51" s="157" cm="1">
        <f t="array" aca="1" ref="D51" ca="1">SUMPRODUCT(SUMIF(INDIRECT("'"&amp;Assemblies[Assy]&amp;"'!"&amp;"C:C"),B51,(INDIRECT("'"&amp;Assemblies[Assy]&amp;"'!"&amp;"O:O"))))</f>
        <v>6</v>
      </c>
      <c r="E51">
        <v>6</v>
      </c>
      <c r="F51" t="str">
        <f t="shared" ca="1" si="3"/>
        <v/>
      </c>
      <c r="G51" s="39">
        <f t="shared" si="4"/>
        <v>1</v>
      </c>
      <c r="I51" t="s">
        <v>3595</v>
      </c>
      <c r="P51" s="7">
        <v>1</v>
      </c>
      <c r="Q51" s="7">
        <v>0</v>
      </c>
      <c r="R51" s="7">
        <v>0</v>
      </c>
      <c r="S51" s="54">
        <v>0</v>
      </c>
      <c r="T51" s="2">
        <v>6</v>
      </c>
      <c r="U51" s="55">
        <v>187.59</v>
      </c>
      <c r="V51" s="59">
        <f t="shared" si="5"/>
        <v>3.1265000000000001E-2</v>
      </c>
      <c r="W51" s="2" t="str" cm="1">
        <f t="array" aca="1" ref="W51" ca="1">TRIM(SUBSTITUTE(_xlfn.ARRAYTOTEXT(IFERROR(CONCATENATE(SUMIF(INDIRECT("'"&amp;Assemblies[Assy]&amp;"'!"&amp;"C$5:C1000"), $B51, INDIRECT("'"&amp;Assemblies[Assy]&amp;"'!"&amp;"O$5:O1000")), "x",Assemblies[Assy],".",IF(SUMIF(INDIRECT("'"&amp;Assemblies[Assy]&amp;"'!"&amp;"C$5:C1000"), $B51, INDIRECT("'"&amp;Assemblies[Assy]&amp;"'!"&amp;"A$5:A1000"))=0,NA(),SUMIF(INDIRECT("'"&amp;Assemblies[Assy]&amp;"'!"&amp;"C$5:C1000"), $B51, INDIRECT("'"&amp;Assemblies[Assy]&amp;"'!"&amp;"A$5:A1000")))),"")), " ,", ""))</f>
        <v>, 6x1.1.704,</v>
      </c>
      <c r="X51" s="54">
        <f ca="1">Extrusion[[#This Row],[Length]]*Extrusion[[#This Row],[Total Qty]]</f>
        <v>10080</v>
      </c>
      <c r="Y51" s="54">
        <f>Extrusion[[#This Row],[Length]]*Extrusion[[#This Row],[Cut QTY]]</f>
        <v>10080</v>
      </c>
      <c r="Z51" s="54">
        <f ca="1">Extrusion[[#This Row],[Required Length]]-Extrusion[[#This Row],[Cut Length]]</f>
        <v>0</v>
      </c>
      <c r="AA51" s="54"/>
    </row>
    <row r="52" spans="1:31" x14ac:dyDescent="0.25">
      <c r="A52" s="143">
        <v>1880</v>
      </c>
      <c r="B52" t="s">
        <v>379</v>
      </c>
      <c r="C52" t="s">
        <v>3596</v>
      </c>
      <c r="D52" s="157" cm="1">
        <f t="array" aca="1" ref="D52" ca="1">SUMPRODUCT(SUMIF(INDIRECT("'"&amp;Assemblies[Assy]&amp;"'!"&amp;"C:C"),B52,(INDIRECT("'"&amp;Assemblies[Assy]&amp;"'!"&amp;"O:O"))))</f>
        <v>2</v>
      </c>
      <c r="E52">
        <v>2</v>
      </c>
      <c r="F52" t="str">
        <f t="shared" ca="1" si="3"/>
        <v/>
      </c>
      <c r="G52" s="39">
        <f t="shared" si="4"/>
        <v>1</v>
      </c>
      <c r="I52" t="s">
        <v>3595</v>
      </c>
      <c r="P52" s="7">
        <v>1</v>
      </c>
      <c r="Q52" s="7">
        <v>0</v>
      </c>
      <c r="R52" s="7">
        <v>0</v>
      </c>
      <c r="S52" s="54">
        <v>0</v>
      </c>
      <c r="T52" s="2">
        <v>6</v>
      </c>
      <c r="U52" s="55">
        <v>187.59</v>
      </c>
      <c r="V52" s="59">
        <f t="shared" si="5"/>
        <v>3.1265000000000001E-2</v>
      </c>
      <c r="W52" s="2" t="str" cm="1">
        <f t="array" aca="1" ref="W52" ca="1">TRIM(SUBSTITUTE(_xlfn.ARRAYTOTEXT(IFERROR(CONCATENATE(SUMIF(INDIRECT("'"&amp;Assemblies[Assy]&amp;"'!"&amp;"C$5:C1000"), $B52, INDIRECT("'"&amp;Assemblies[Assy]&amp;"'!"&amp;"O$5:O1000")), "x",Assemblies[Assy],".",IF(SUMIF(INDIRECT("'"&amp;Assemblies[Assy]&amp;"'!"&amp;"C$5:C1000"), $B52, INDIRECT("'"&amp;Assemblies[Assy]&amp;"'!"&amp;"A$5:A1000"))=0,NA(),SUMIF(INDIRECT("'"&amp;Assemblies[Assy]&amp;"'!"&amp;"C$5:C1000"), $B52, INDIRECT("'"&amp;Assemblies[Assy]&amp;"'!"&amp;"A$5:A1000")))),"")), " ,", ""))</f>
        <v>, 1x2.1.706, 1x2.2.704,</v>
      </c>
      <c r="X52" s="54">
        <f ca="1">Extrusion[[#This Row],[Length]]*Extrusion[[#This Row],[Total Qty]]</f>
        <v>3760</v>
      </c>
      <c r="Y52" s="54">
        <f>Extrusion[[#This Row],[Length]]*Extrusion[[#This Row],[Cut QTY]]</f>
        <v>3760</v>
      </c>
      <c r="Z52" s="54">
        <f ca="1">Extrusion[[#This Row],[Required Length]]-Extrusion[[#This Row],[Cut Length]]</f>
        <v>0</v>
      </c>
      <c r="AA52" s="54"/>
    </row>
    <row r="53" spans="1:31" x14ac:dyDescent="0.25">
      <c r="A53" s="143">
        <v>2118</v>
      </c>
      <c r="B53" t="s">
        <v>467</v>
      </c>
      <c r="C53" t="s">
        <v>3596</v>
      </c>
      <c r="D53" s="157" cm="1">
        <f t="array" aca="1" ref="D53" ca="1">SUMPRODUCT(SUMIF(INDIRECT("'"&amp;Assemblies[Assy]&amp;"'!"&amp;"C:C"),B53,(INDIRECT("'"&amp;Assemblies[Assy]&amp;"'!"&amp;"O:O"))))</f>
        <v>2</v>
      </c>
      <c r="E53">
        <v>2</v>
      </c>
      <c r="F53" t="str">
        <f t="shared" ca="1" si="3"/>
        <v/>
      </c>
      <c r="G53" s="39">
        <f t="shared" si="4"/>
        <v>1</v>
      </c>
      <c r="I53" t="s">
        <v>3595</v>
      </c>
      <c r="P53" s="7">
        <v>1</v>
      </c>
      <c r="Q53" s="7">
        <v>0</v>
      </c>
      <c r="R53" s="7">
        <v>0</v>
      </c>
      <c r="S53" s="54">
        <v>0</v>
      </c>
      <c r="T53" s="2">
        <v>6</v>
      </c>
      <c r="U53" s="55">
        <v>187.59</v>
      </c>
      <c r="V53" s="59">
        <f t="shared" si="5"/>
        <v>3.1265000000000001E-2</v>
      </c>
      <c r="W53" s="2" t="str" cm="1">
        <f t="array" aca="1" ref="W53" ca="1">TRIM(SUBSTITUTE(_xlfn.ARRAYTOTEXT(IFERROR(CONCATENATE(SUMIF(INDIRECT("'"&amp;Assemblies[Assy]&amp;"'!"&amp;"C$5:C1000"), $B53, INDIRECT("'"&amp;Assemblies[Assy]&amp;"'!"&amp;"O$5:O1000")), "x",Assemblies[Assy],".",IF(SUMIF(INDIRECT("'"&amp;Assemblies[Assy]&amp;"'!"&amp;"C$5:C1000"), $B53, INDIRECT("'"&amp;Assemblies[Assy]&amp;"'!"&amp;"A$5:A1000"))=0,NA(),SUMIF(INDIRECT("'"&amp;Assemblies[Assy]&amp;"'!"&amp;"C$5:C1000"), $B53, INDIRECT("'"&amp;Assemblies[Assy]&amp;"'!"&amp;"A$5:A1000")))),"")), " ,", ""))</f>
        <v>, 2x3.2.705,</v>
      </c>
      <c r="X53" s="54">
        <f ca="1">Extrusion[[#This Row],[Length]]*Extrusion[[#This Row],[Total Qty]]</f>
        <v>4236</v>
      </c>
      <c r="Y53" s="54">
        <f>Extrusion[[#This Row],[Length]]*Extrusion[[#This Row],[Cut QTY]]</f>
        <v>4236</v>
      </c>
      <c r="Z53" s="54">
        <f ca="1">Extrusion[[#This Row],[Required Length]]-Extrusion[[#This Row],[Cut Length]]</f>
        <v>0</v>
      </c>
      <c r="AA53" s="54"/>
    </row>
    <row r="54" spans="1:31" x14ac:dyDescent="0.25">
      <c r="A54" s="143">
        <v>2119</v>
      </c>
      <c r="B54" t="s">
        <v>155</v>
      </c>
      <c r="D54" s="157" cm="1">
        <f t="array" aca="1" ref="D54" ca="1">SUMPRODUCT(SUMIF(INDIRECT("'"&amp;Assemblies[Assy]&amp;"'!"&amp;"C:C"),B54,(INDIRECT("'"&amp;Assemblies[Assy]&amp;"'!"&amp;"O:O"))))</f>
        <v>2</v>
      </c>
      <c r="E54">
        <v>2</v>
      </c>
      <c r="F54" t="str">
        <f t="shared" ca="1" si="3"/>
        <v/>
      </c>
      <c r="G54" s="39">
        <f t="shared" si="4"/>
        <v>1</v>
      </c>
      <c r="I54" t="s">
        <v>3595</v>
      </c>
      <c r="P54" s="7">
        <v>1</v>
      </c>
      <c r="Q54" s="7">
        <v>0</v>
      </c>
      <c r="R54" s="7">
        <v>0</v>
      </c>
      <c r="S54" s="54">
        <v>0</v>
      </c>
      <c r="T54" s="2">
        <v>6</v>
      </c>
      <c r="U54" s="55">
        <v>187.59</v>
      </c>
      <c r="V54" s="59">
        <f t="shared" si="5"/>
        <v>3.1265000000000001E-2</v>
      </c>
      <c r="W54" s="2" t="str" cm="1">
        <f t="array" aca="1" ref="W54" ca="1">TRIM(SUBSTITUTE(_xlfn.ARRAYTOTEXT(IFERROR(CONCATENATE(SUMIF(INDIRECT("'"&amp;Assemblies[Assy]&amp;"'!"&amp;"C$5:C1000"), $B54, INDIRECT("'"&amp;Assemblies[Assy]&amp;"'!"&amp;"O$5:O1000")), "x",Assemblies[Assy],".",IF(SUMIF(INDIRECT("'"&amp;Assemblies[Assy]&amp;"'!"&amp;"C$5:C1000"), $B54, INDIRECT("'"&amp;Assemblies[Assy]&amp;"'!"&amp;"A$5:A1000"))=0,NA(),SUMIF(INDIRECT("'"&amp;Assemblies[Assy]&amp;"'!"&amp;"C$5:C1000"), $B54, INDIRECT("'"&amp;Assemblies[Assy]&amp;"'!"&amp;"A$5:A1000")))),"")), " ,", ""))</f>
        <v>, 2x1.1.705,</v>
      </c>
      <c r="X54" s="54">
        <f ca="1">Extrusion[[#This Row],[Length]]*Extrusion[[#This Row],[Total Qty]]</f>
        <v>4238</v>
      </c>
      <c r="Y54" s="54">
        <f>Extrusion[[#This Row],[Length]]*Extrusion[[#This Row],[Cut QTY]]</f>
        <v>4238</v>
      </c>
      <c r="Z54" s="54">
        <f ca="1">Extrusion[[#This Row],[Required Length]]-Extrusion[[#This Row],[Cut Length]]</f>
        <v>0</v>
      </c>
      <c r="AA54" s="54"/>
    </row>
    <row r="55" spans="1:31" x14ac:dyDescent="0.25">
      <c r="A55" s="143">
        <v>2242</v>
      </c>
      <c r="B55" t="s">
        <v>574</v>
      </c>
      <c r="C55" t="s">
        <v>3596</v>
      </c>
      <c r="D55" s="157" cm="1">
        <f t="array" aca="1" ref="D55" ca="1">SUMPRODUCT(SUMIF(INDIRECT("'"&amp;Assemblies[Assy]&amp;"'!"&amp;"C:C"),B55,(INDIRECT("'"&amp;Assemblies[Assy]&amp;"'!"&amp;"O:O"))))</f>
        <v>1</v>
      </c>
      <c r="E55">
        <v>1</v>
      </c>
      <c r="F55" t="str">
        <f t="shared" ca="1" si="3"/>
        <v/>
      </c>
      <c r="G55" s="39">
        <f t="shared" si="4"/>
        <v>1</v>
      </c>
      <c r="I55" t="s">
        <v>3595</v>
      </c>
      <c r="P55" s="7">
        <v>1</v>
      </c>
      <c r="Q55" s="7">
        <v>0</v>
      </c>
      <c r="R55" s="7">
        <v>0</v>
      </c>
      <c r="S55" s="54">
        <v>0</v>
      </c>
      <c r="T55" s="2">
        <v>6</v>
      </c>
      <c r="U55" s="55">
        <v>187.59</v>
      </c>
      <c r="V55" s="59">
        <f t="shared" si="5"/>
        <v>3.1265000000000001E-2</v>
      </c>
      <c r="W55" s="2" t="str" cm="1">
        <f t="array" aca="1" ref="W55" ca="1">TRIM(SUBSTITUTE(_xlfn.ARRAYTOTEXT(IFERROR(CONCATENATE(SUMIF(INDIRECT("'"&amp;Assemblies[Assy]&amp;"'!"&amp;"C$5:C1000"), $B55, INDIRECT("'"&amp;Assemblies[Assy]&amp;"'!"&amp;"O$5:O1000")), "x",Assemblies[Assy],".",IF(SUMIF(INDIRECT("'"&amp;Assemblies[Assy]&amp;"'!"&amp;"C$5:C1000"), $B55, INDIRECT("'"&amp;Assemblies[Assy]&amp;"'!"&amp;"A$5:A1000"))=0,NA(),SUMIF(INDIRECT("'"&amp;Assemblies[Assy]&amp;"'!"&amp;"C$5:C1000"), $B55, INDIRECT("'"&amp;Assemblies[Assy]&amp;"'!"&amp;"A$5:A1000")))),"")), " ,", ""))</f>
        <v>, 1x4.2.707,</v>
      </c>
      <c r="X55" s="54">
        <f ca="1">Extrusion[[#This Row],[Length]]*Extrusion[[#This Row],[Total Qty]]</f>
        <v>2242</v>
      </c>
      <c r="Y55" s="54">
        <f>Extrusion[[#This Row],[Length]]*Extrusion[[#This Row],[Cut QTY]]</f>
        <v>2242</v>
      </c>
      <c r="Z55" s="54">
        <f ca="1">Extrusion[[#This Row],[Required Length]]-Extrusion[[#This Row],[Cut Length]]</f>
        <v>0</v>
      </c>
      <c r="AA55" s="54"/>
    </row>
    <row r="56" spans="1:31" x14ac:dyDescent="0.25">
      <c r="A56" s="143">
        <v>247</v>
      </c>
      <c r="B56" t="s">
        <v>1324</v>
      </c>
      <c r="C56" t="s">
        <v>3596</v>
      </c>
      <c r="D56" s="157" cm="1">
        <f t="array" aca="1" ref="D56" ca="1">SUMPRODUCT(SUMIF(INDIRECT("'"&amp;Assemblies[Assy]&amp;"'!"&amp;"C:C"),B56,(INDIRECT("'"&amp;Assemblies[Assy]&amp;"'!"&amp;"O:O"))))</f>
        <v>2</v>
      </c>
      <c r="E56">
        <v>2</v>
      </c>
      <c r="F56" t="str">
        <f t="shared" ca="1" si="3"/>
        <v/>
      </c>
      <c r="G56" s="39">
        <f t="shared" si="4"/>
        <v>1</v>
      </c>
      <c r="I56" t="s">
        <v>3595</v>
      </c>
      <c r="P56" s="7">
        <v>1</v>
      </c>
      <c r="Q56" s="7">
        <v>0</v>
      </c>
      <c r="R56" s="7">
        <v>0</v>
      </c>
      <c r="S56" s="54">
        <v>0</v>
      </c>
      <c r="T56" s="2">
        <v>6</v>
      </c>
      <c r="U56" s="55">
        <v>187.59</v>
      </c>
      <c r="V56" s="59">
        <f t="shared" si="5"/>
        <v>3.1265000000000001E-2</v>
      </c>
      <c r="W56" s="2" t="str" cm="1">
        <f t="array" aca="1" ref="W56" ca="1">TRIM(SUBSTITUTE(_xlfn.ARRAYTOTEXT(IFERROR(CONCATENATE(SUMIF(INDIRECT("'"&amp;Assemblies[Assy]&amp;"'!"&amp;"C$5:C1000"), $B56, INDIRECT("'"&amp;Assemblies[Assy]&amp;"'!"&amp;"O$5:O1000")), "x",Assemblies[Assy],".",IF(SUMIF(INDIRECT("'"&amp;Assemblies[Assy]&amp;"'!"&amp;"C$5:C1000"), $B56, INDIRECT("'"&amp;Assemblies[Assy]&amp;"'!"&amp;"A$5:A1000"))=0,NA(),SUMIF(INDIRECT("'"&amp;Assemblies[Assy]&amp;"'!"&amp;"C$5:C1000"), $B56, INDIRECT("'"&amp;Assemblies[Assy]&amp;"'!"&amp;"A$5:A1000")))),"")), " ,", ""))</f>
        <v>, 2x10.1.702,</v>
      </c>
      <c r="X56" s="54">
        <f ca="1">Extrusion[[#This Row],[Length]]*Extrusion[[#This Row],[Total Qty]]</f>
        <v>494</v>
      </c>
      <c r="Y56" s="54">
        <f>Extrusion[[#This Row],[Length]]*Extrusion[[#This Row],[Cut QTY]]</f>
        <v>494</v>
      </c>
      <c r="Z56" s="54">
        <f ca="1">Extrusion[[#This Row],[Required Length]]-Extrusion[[#This Row],[Cut Length]]</f>
        <v>0</v>
      </c>
      <c r="AA56" s="54"/>
    </row>
    <row r="57" spans="1:31" x14ac:dyDescent="0.25">
      <c r="A57" s="143">
        <v>250</v>
      </c>
      <c r="B57" t="s">
        <v>451</v>
      </c>
      <c r="C57" t="s">
        <v>3596</v>
      </c>
      <c r="D57" s="157" cm="1">
        <f t="array" aca="1" ref="D57" ca="1">SUMPRODUCT(SUMIF(INDIRECT("'"&amp;Assemblies[Assy]&amp;"'!"&amp;"C:C"),B57,(INDIRECT("'"&amp;Assemblies[Assy]&amp;"'!"&amp;"O:O"))))</f>
        <v>2</v>
      </c>
      <c r="E57">
        <v>2</v>
      </c>
      <c r="F57" t="str">
        <f t="shared" ca="1" si="3"/>
        <v/>
      </c>
      <c r="G57" s="39">
        <f t="shared" si="4"/>
        <v>1</v>
      </c>
      <c r="I57" t="s">
        <v>3595</v>
      </c>
      <c r="P57" s="7">
        <v>1</v>
      </c>
      <c r="Q57" s="7">
        <v>0</v>
      </c>
      <c r="R57" s="7">
        <v>0</v>
      </c>
      <c r="S57" s="54">
        <v>0</v>
      </c>
      <c r="T57" s="2">
        <v>6</v>
      </c>
      <c r="U57" s="55">
        <v>187.59</v>
      </c>
      <c r="V57" s="59">
        <f t="shared" si="5"/>
        <v>3.1265000000000001E-2</v>
      </c>
      <c r="W57" s="2" t="str" cm="1">
        <f t="array" aca="1" ref="W57" ca="1">TRIM(SUBSTITUTE(_xlfn.ARRAYTOTEXT(IFERROR(CONCATENATE(SUMIF(INDIRECT("'"&amp;Assemblies[Assy]&amp;"'!"&amp;"C$5:C1000"), $B57, INDIRECT("'"&amp;Assemblies[Assy]&amp;"'!"&amp;"O$5:O1000")), "x",Assemblies[Assy],".",IF(SUMIF(INDIRECT("'"&amp;Assemblies[Assy]&amp;"'!"&amp;"C$5:C1000"), $B57, INDIRECT("'"&amp;Assemblies[Assy]&amp;"'!"&amp;"A$5:A1000"))=0,NA(),SUMIF(INDIRECT("'"&amp;Assemblies[Assy]&amp;"'!"&amp;"C$5:C1000"), $B57, INDIRECT("'"&amp;Assemblies[Assy]&amp;"'!"&amp;"A$5:A1000")))),"")), " ,", ""))</f>
        <v>, 2x3.1.706,</v>
      </c>
      <c r="X57" s="54">
        <f ca="1">Extrusion[[#This Row],[Length]]*Extrusion[[#This Row],[Total Qty]]</f>
        <v>500</v>
      </c>
      <c r="Y57" s="54">
        <f>Extrusion[[#This Row],[Length]]*Extrusion[[#This Row],[Cut QTY]]</f>
        <v>500</v>
      </c>
      <c r="Z57" s="54">
        <f ca="1">Extrusion[[#This Row],[Required Length]]-Extrusion[[#This Row],[Cut Length]]</f>
        <v>0</v>
      </c>
      <c r="AA57" s="54"/>
    </row>
    <row r="58" spans="1:31" x14ac:dyDescent="0.25">
      <c r="A58" s="143">
        <v>260</v>
      </c>
      <c r="B58" t="s">
        <v>911</v>
      </c>
      <c r="C58" t="s">
        <v>3596</v>
      </c>
      <c r="D58" s="157" cm="1">
        <f t="array" aca="1" ref="D58" ca="1">SUMPRODUCT(SUMIF(INDIRECT("'"&amp;Assemblies[Assy]&amp;"'!"&amp;"C:C"),B58,(INDIRECT("'"&amp;Assemblies[Assy]&amp;"'!"&amp;"O:O"))))</f>
        <v>1</v>
      </c>
      <c r="E58">
        <v>1</v>
      </c>
      <c r="F58" t="str">
        <f t="shared" ca="1" si="3"/>
        <v/>
      </c>
      <c r="G58" s="39">
        <f t="shared" si="4"/>
        <v>1</v>
      </c>
      <c r="I58" t="s">
        <v>3595</v>
      </c>
      <c r="P58" s="7">
        <v>1</v>
      </c>
      <c r="Q58" s="7">
        <v>0</v>
      </c>
      <c r="R58" s="7">
        <v>0</v>
      </c>
      <c r="S58" s="54">
        <v>0</v>
      </c>
      <c r="T58" s="2">
        <v>6</v>
      </c>
      <c r="U58" s="55">
        <v>187.59</v>
      </c>
      <c r="V58" s="59">
        <f t="shared" si="5"/>
        <v>3.1265000000000001E-2</v>
      </c>
      <c r="W58" s="2" t="str" cm="1">
        <f t="array" aca="1" ref="W58" ca="1">TRIM(SUBSTITUTE(_xlfn.ARRAYTOTEXT(IFERROR(CONCATENATE(SUMIF(INDIRECT("'"&amp;Assemblies[Assy]&amp;"'!"&amp;"C$5:C1000"), $B58, INDIRECT("'"&amp;Assemblies[Assy]&amp;"'!"&amp;"O$5:O1000")), "x",Assemblies[Assy],".",IF(SUMIF(INDIRECT("'"&amp;Assemblies[Assy]&amp;"'!"&amp;"C$5:C1000"), $B58, INDIRECT("'"&amp;Assemblies[Assy]&amp;"'!"&amp;"A$5:A1000"))=0,NA(),SUMIF(INDIRECT("'"&amp;Assemblies[Assy]&amp;"'!"&amp;"C$5:C1000"), $B58, INDIRECT("'"&amp;Assemblies[Assy]&amp;"'!"&amp;"A$5:A1000")))),"")), " ,", ""))</f>
        <v>, 1x6.1.709,</v>
      </c>
      <c r="X58" s="54">
        <f ca="1">Extrusion[[#This Row],[Length]]*Extrusion[[#This Row],[Total Qty]]</f>
        <v>260</v>
      </c>
      <c r="Y58" s="54">
        <f>Extrusion[[#This Row],[Length]]*Extrusion[[#This Row],[Cut QTY]]</f>
        <v>260</v>
      </c>
      <c r="Z58" s="54">
        <f ca="1">Extrusion[[#This Row],[Required Length]]-Extrusion[[#This Row],[Cut Length]]</f>
        <v>0</v>
      </c>
      <c r="AA58" s="54"/>
    </row>
    <row r="59" spans="1:31" x14ac:dyDescent="0.25">
      <c r="A59" s="143">
        <v>370</v>
      </c>
      <c r="B59" t="s">
        <v>153</v>
      </c>
      <c r="D59" s="157" cm="1">
        <f t="array" aca="1" ref="D59" ca="1">SUMPRODUCT(SUMIF(INDIRECT("'"&amp;Assemblies[Assy]&amp;"'!"&amp;"C:C"),B59,(INDIRECT("'"&amp;Assemblies[Assy]&amp;"'!"&amp;"O:O"))))</f>
        <v>8</v>
      </c>
      <c r="E59">
        <v>8</v>
      </c>
      <c r="F59" t="str">
        <f t="shared" ca="1" si="3"/>
        <v/>
      </c>
      <c r="G59" s="39">
        <f t="shared" si="4"/>
        <v>1</v>
      </c>
      <c r="I59" t="s">
        <v>3595</v>
      </c>
      <c r="P59" s="7">
        <v>1</v>
      </c>
      <c r="Q59" s="7">
        <v>0</v>
      </c>
      <c r="R59" s="7">
        <v>0</v>
      </c>
      <c r="S59" s="54">
        <v>0</v>
      </c>
      <c r="T59" s="2">
        <v>6</v>
      </c>
      <c r="U59" s="55">
        <v>187.59</v>
      </c>
      <c r="V59" s="59">
        <f t="shared" si="5"/>
        <v>3.1265000000000001E-2</v>
      </c>
      <c r="W59" s="2" t="str" cm="1">
        <f t="array" aca="1" ref="W59" ca="1">TRIM(SUBSTITUTE(_xlfn.ARRAYTOTEXT(IFERROR(CONCATENATE(SUMIF(INDIRECT("'"&amp;Assemblies[Assy]&amp;"'!"&amp;"C$5:C1000"), $B59, INDIRECT("'"&amp;Assemblies[Assy]&amp;"'!"&amp;"O$5:O1000")), "x",Assemblies[Assy],".",IF(SUMIF(INDIRECT("'"&amp;Assemblies[Assy]&amp;"'!"&amp;"C$5:C1000"), $B59, INDIRECT("'"&amp;Assemblies[Assy]&amp;"'!"&amp;"A$5:A1000"))=0,NA(),SUMIF(INDIRECT("'"&amp;Assemblies[Assy]&amp;"'!"&amp;"C$5:C1000"), $B59, INDIRECT("'"&amp;Assemblies[Assy]&amp;"'!"&amp;"A$5:A1000")))),"")), " ,", ""))</f>
        <v>, 8x1.1.703,</v>
      </c>
      <c r="X59" s="54">
        <f ca="1">Extrusion[[#This Row],[Length]]*Extrusion[[#This Row],[Total Qty]]</f>
        <v>2960</v>
      </c>
      <c r="Y59" s="54">
        <f>Extrusion[[#This Row],[Length]]*Extrusion[[#This Row],[Cut QTY]]</f>
        <v>2960</v>
      </c>
      <c r="Z59" s="54">
        <f ca="1">Extrusion[[#This Row],[Required Length]]-Extrusion[[#This Row],[Cut Length]]</f>
        <v>0</v>
      </c>
      <c r="AA59" s="54"/>
      <c r="AB59" s="184"/>
    </row>
    <row r="60" spans="1:31" x14ac:dyDescent="0.25">
      <c r="A60" s="143">
        <v>552</v>
      </c>
      <c r="B60" t="s">
        <v>3890</v>
      </c>
      <c r="C60" t="s">
        <v>3780</v>
      </c>
      <c r="D60" s="157" cm="1">
        <f t="array" aca="1" ref="D60" ca="1">SUMPRODUCT(SUMIF(INDIRECT("'"&amp;Assemblies[Assy]&amp;"'!"&amp;"C:C"),B60,(INDIRECT("'"&amp;Assemblies[Assy]&amp;"'!"&amp;"O:O"))))</f>
        <v>2</v>
      </c>
      <c r="E60">
        <v>0</v>
      </c>
      <c r="F60" t="str">
        <f t="shared" ca="1" si="3"/>
        <v>YES</v>
      </c>
      <c r="G60" s="39">
        <f t="shared" si="4"/>
        <v>1</v>
      </c>
      <c r="I60" t="s">
        <v>3595</v>
      </c>
      <c r="P60" s="7">
        <v>1</v>
      </c>
      <c r="Q60" s="7">
        <v>0</v>
      </c>
      <c r="R60" s="7">
        <v>0</v>
      </c>
      <c r="S60" s="54">
        <v>0</v>
      </c>
      <c r="T60" s="2">
        <v>6</v>
      </c>
      <c r="U60" s="55">
        <v>188.59</v>
      </c>
      <c r="V60" s="59">
        <f t="shared" si="5"/>
        <v>3.143166666666667E-2</v>
      </c>
      <c r="W60" s="2" t="str" cm="1">
        <f t="array" aca="1" ref="W60" ca="1">TRIM(SUBSTITUTE(_xlfn.ARRAYTOTEXT(IFERROR(CONCATENATE(SUMIF(INDIRECT("'"&amp;Assemblies[Assy]&amp;"'!"&amp;"C$5:C1000"), $B60, INDIRECT("'"&amp;Assemblies[Assy]&amp;"'!"&amp;"O$5:O1000")), "x",Assemblies[Assy],".",IF(SUMIF(INDIRECT("'"&amp;Assemblies[Assy]&amp;"'!"&amp;"C$5:C1000"), $B60, INDIRECT("'"&amp;Assemblies[Assy]&amp;"'!"&amp;"A$5:A1000"))=0,NA(),SUMIF(INDIRECT("'"&amp;Assemblies[Assy]&amp;"'!"&amp;"C$5:C1000"), $B60, INDIRECT("'"&amp;Assemblies[Assy]&amp;"'!"&amp;"A$5:A1000")))),"")), " ,", ""))</f>
        <v>, 2x4.7.702,</v>
      </c>
      <c r="X60" s="54">
        <f ca="1">Extrusion[[#This Row],[Length]]*Extrusion[[#This Row],[Total Qty]]</f>
        <v>1104</v>
      </c>
      <c r="Y60" s="54">
        <f>Extrusion[[#This Row],[Length]]*Extrusion[[#This Row],[Cut QTY]]</f>
        <v>0</v>
      </c>
      <c r="Z60" s="54">
        <f ca="1">Extrusion[[#This Row],[Required Length]]-Extrusion[[#This Row],[Cut Length]]</f>
        <v>1104</v>
      </c>
      <c r="AA60" s="54"/>
    </row>
    <row r="61" spans="1:31" x14ac:dyDescent="0.25">
      <c r="A61" s="143">
        <v>700</v>
      </c>
      <c r="B61" t="s">
        <v>378</v>
      </c>
      <c r="C61" t="s">
        <v>3596</v>
      </c>
      <c r="D61" s="157" cm="1">
        <f t="array" aca="1" ref="D61" ca="1">SUMPRODUCT(SUMIF(INDIRECT("'"&amp;Assemblies[Assy]&amp;"'!"&amp;"C:C"),B61,(INDIRECT("'"&amp;Assemblies[Assy]&amp;"'!"&amp;"O:O"))))</f>
        <v>2</v>
      </c>
      <c r="E61">
        <v>2</v>
      </c>
      <c r="F61" t="str">
        <f t="shared" ca="1" si="3"/>
        <v/>
      </c>
      <c r="G61" s="39">
        <f t="shared" si="4"/>
        <v>1</v>
      </c>
      <c r="I61" t="s">
        <v>3595</v>
      </c>
      <c r="P61" s="7">
        <v>1</v>
      </c>
      <c r="Q61" s="7">
        <v>0</v>
      </c>
      <c r="R61" s="7">
        <v>0</v>
      </c>
      <c r="S61" s="54">
        <v>0</v>
      </c>
      <c r="T61" s="2">
        <v>6</v>
      </c>
      <c r="U61" s="55">
        <v>187.59</v>
      </c>
      <c r="V61" s="59">
        <f t="shared" si="5"/>
        <v>3.1265000000000001E-2</v>
      </c>
      <c r="W61" s="2" t="str" cm="1">
        <f t="array" aca="1" ref="W61" ca="1">TRIM(SUBSTITUTE(_xlfn.ARRAYTOTEXT(IFERROR(CONCATENATE(SUMIF(INDIRECT("'"&amp;Assemblies[Assy]&amp;"'!"&amp;"C$5:C1000"), $B61, INDIRECT("'"&amp;Assemblies[Assy]&amp;"'!"&amp;"O$5:O1000")), "x",Assemblies[Assy],".",IF(SUMIF(INDIRECT("'"&amp;Assemblies[Assy]&amp;"'!"&amp;"C$5:C1000"), $B61, INDIRECT("'"&amp;Assemblies[Assy]&amp;"'!"&amp;"A$5:A1000"))=0,NA(),SUMIF(INDIRECT("'"&amp;Assemblies[Assy]&amp;"'!"&amp;"C$5:C1000"), $B61, INDIRECT("'"&amp;Assemblies[Assy]&amp;"'!"&amp;"A$5:A1000")))),"")), " ,", ""))</f>
        <v>, 2x2.1.704,</v>
      </c>
      <c r="X61" s="54">
        <f ca="1">Extrusion[[#This Row],[Length]]*Extrusion[[#This Row],[Total Qty]]</f>
        <v>1400</v>
      </c>
      <c r="Y61" s="54">
        <f>Extrusion[[#This Row],[Length]]*Extrusion[[#This Row],[Cut QTY]]</f>
        <v>1400</v>
      </c>
      <c r="Z61" s="54">
        <f ca="1">Extrusion[[#This Row],[Required Length]]-Extrusion[[#This Row],[Cut Length]]</f>
        <v>0</v>
      </c>
      <c r="AA61" s="54"/>
      <c r="AC61" s="39"/>
      <c r="AD61" s="39"/>
      <c r="AE61" s="39"/>
    </row>
    <row r="62" spans="1:31" x14ac:dyDescent="0.25">
      <c r="A62" s="143">
        <v>800.86</v>
      </c>
      <c r="B62" t="s">
        <v>468</v>
      </c>
      <c r="C62" t="s">
        <v>3596</v>
      </c>
      <c r="D62" s="157" cm="1">
        <f t="array" aca="1" ref="D62" ca="1">SUMPRODUCT(SUMIF(INDIRECT("'"&amp;Assemblies[Assy]&amp;"'!"&amp;"C:C"),B62,(INDIRECT("'"&amp;Assemblies[Assy]&amp;"'!"&amp;"O:O"))))</f>
        <v>1</v>
      </c>
      <c r="E62">
        <v>1</v>
      </c>
      <c r="F62" t="str">
        <f t="shared" ca="1" si="3"/>
        <v/>
      </c>
      <c r="G62" s="39">
        <f t="shared" si="4"/>
        <v>1</v>
      </c>
      <c r="I62" t="s">
        <v>3595</v>
      </c>
      <c r="P62" s="7">
        <v>1</v>
      </c>
      <c r="Q62" s="7">
        <v>0</v>
      </c>
      <c r="R62" s="7">
        <v>0</v>
      </c>
      <c r="S62" s="54">
        <v>0</v>
      </c>
      <c r="T62" s="2">
        <v>6</v>
      </c>
      <c r="U62" s="55">
        <v>187.59</v>
      </c>
      <c r="V62" s="59">
        <f t="shared" si="5"/>
        <v>3.1265000000000001E-2</v>
      </c>
      <c r="W62" s="2" t="str" cm="1">
        <f t="array" aca="1" ref="W62" ca="1">TRIM(SUBSTITUTE(_xlfn.ARRAYTOTEXT(IFERROR(CONCATENATE(SUMIF(INDIRECT("'"&amp;Assemblies[Assy]&amp;"'!"&amp;"C$5:C1000"), $B62, INDIRECT("'"&amp;Assemblies[Assy]&amp;"'!"&amp;"O$5:O1000")), "x",Assemblies[Assy],".",IF(SUMIF(INDIRECT("'"&amp;Assemblies[Assy]&amp;"'!"&amp;"C$5:C1000"), $B62, INDIRECT("'"&amp;Assemblies[Assy]&amp;"'!"&amp;"A$5:A1000"))=0,NA(),SUMIF(INDIRECT("'"&amp;Assemblies[Assy]&amp;"'!"&amp;"C$5:C1000"), $B62, INDIRECT("'"&amp;Assemblies[Assy]&amp;"'!"&amp;"A$5:A1000")))),"")), " ,", ""))</f>
        <v>, 1x3.2.706,</v>
      </c>
      <c r="X62" s="54">
        <f ca="1">Extrusion[[#This Row],[Length]]*Extrusion[[#This Row],[Total Qty]]</f>
        <v>800.86</v>
      </c>
      <c r="Y62" s="54">
        <f>Extrusion[[#This Row],[Length]]*Extrusion[[#This Row],[Cut QTY]]</f>
        <v>800.86</v>
      </c>
      <c r="Z62" s="54">
        <f ca="1">Extrusion[[#This Row],[Required Length]]-Extrusion[[#This Row],[Cut Length]]</f>
        <v>0</v>
      </c>
      <c r="AA62" s="54"/>
    </row>
    <row r="63" spans="1:31" x14ac:dyDescent="0.25">
      <c r="A63" s="143">
        <v>818</v>
      </c>
      <c r="B63" t="s">
        <v>3802</v>
      </c>
      <c r="C63" t="s">
        <v>3806</v>
      </c>
      <c r="D63" s="157" cm="1">
        <f t="array" aca="1" ref="D63" ca="1">SUMPRODUCT(SUMIF(INDIRECT("'"&amp;Assemblies[Assy]&amp;"'!"&amp;"C:C"),B63,(INDIRECT("'"&amp;Assemblies[Assy]&amp;"'!"&amp;"O:O"))))</f>
        <v>2</v>
      </c>
      <c r="E63">
        <v>2</v>
      </c>
      <c r="F63" t="str">
        <f t="shared" ca="1" si="3"/>
        <v/>
      </c>
      <c r="G63" s="39">
        <f t="shared" si="4"/>
        <v>1</v>
      </c>
      <c r="I63" t="s">
        <v>3595</v>
      </c>
      <c r="P63" s="7">
        <v>1</v>
      </c>
      <c r="Q63" s="7">
        <v>0</v>
      </c>
      <c r="R63" s="7">
        <v>0</v>
      </c>
      <c r="S63" s="54">
        <v>0</v>
      </c>
      <c r="T63" s="2">
        <v>6</v>
      </c>
      <c r="U63" s="55">
        <v>188.59</v>
      </c>
      <c r="V63" s="55">
        <f t="shared" si="5"/>
        <v>3.143166666666667E-2</v>
      </c>
      <c r="W63" s="2" t="str" cm="1">
        <f t="array" aca="1" ref="W63" ca="1">TRIM(SUBSTITUTE(_xlfn.ARRAYTOTEXT(IFERROR(CONCATENATE(SUMIF(INDIRECT("'"&amp;Assemblies[Assy]&amp;"'!"&amp;"C$5:C1000"), $B63, INDIRECT("'"&amp;Assemblies[Assy]&amp;"'!"&amp;"O$5:O1000")), "x",Assemblies[Assy],".",IF(SUMIF(INDIRECT("'"&amp;Assemblies[Assy]&amp;"'!"&amp;"C$5:C1000"), $B63, INDIRECT("'"&amp;Assemblies[Assy]&amp;"'!"&amp;"A$5:A1000"))=0,NA(),SUMIF(INDIRECT("'"&amp;Assemblies[Assy]&amp;"'!"&amp;"C$5:C1000"), $B63, INDIRECT("'"&amp;Assemblies[Assy]&amp;"'!"&amp;"A$5:A1000")))),"")), " ,", ""))</f>
        <v>, 2x12.712</v>
      </c>
      <c r="X63" s="54">
        <f ca="1">Extrusion[[#This Row],[Length]]*Extrusion[[#This Row],[Total Qty]]</f>
        <v>1636</v>
      </c>
      <c r="Y63" s="54">
        <f>Extrusion[[#This Row],[Length]]*Extrusion[[#This Row],[Cut QTY]]</f>
        <v>1636</v>
      </c>
      <c r="Z63" s="54">
        <f ca="1">Extrusion[[#This Row],[Required Length]]-Extrusion[[#This Row],[Cut Length]]</f>
        <v>0</v>
      </c>
      <c r="AA63" s="54"/>
    </row>
    <row r="64" spans="1:31" x14ac:dyDescent="0.25">
      <c r="A64" s="143">
        <v>875</v>
      </c>
      <c r="B64" t="s">
        <v>530</v>
      </c>
      <c r="C64" t="s">
        <v>3596</v>
      </c>
      <c r="D64" s="157" cm="1">
        <f t="array" aca="1" ref="D64" ca="1">SUMPRODUCT(SUMIF(INDIRECT("'"&amp;Assemblies[Assy]&amp;"'!"&amp;"C:C"),B64,(INDIRECT("'"&amp;Assemblies[Assy]&amp;"'!"&amp;"O:O"))))</f>
        <v>5</v>
      </c>
      <c r="E64">
        <v>5</v>
      </c>
      <c r="F64" t="str">
        <f t="shared" ca="1" si="3"/>
        <v/>
      </c>
      <c r="G64" s="39">
        <f t="shared" si="4"/>
        <v>1</v>
      </c>
      <c r="I64" t="s">
        <v>3595</v>
      </c>
      <c r="P64" s="7">
        <v>1</v>
      </c>
      <c r="Q64" s="7">
        <v>0</v>
      </c>
      <c r="R64" s="7">
        <v>0</v>
      </c>
      <c r="S64" s="54">
        <v>0</v>
      </c>
      <c r="T64" s="2">
        <v>6</v>
      </c>
      <c r="U64" s="55">
        <v>187.59</v>
      </c>
      <c r="V64" s="59">
        <f t="shared" si="5"/>
        <v>3.1265000000000001E-2</v>
      </c>
      <c r="W64" s="2" t="str" cm="1">
        <f t="array" aca="1" ref="W64" ca="1">TRIM(SUBSTITUTE(_xlfn.ARRAYTOTEXT(IFERROR(CONCATENATE(SUMIF(INDIRECT("'"&amp;Assemblies[Assy]&amp;"'!"&amp;"C$5:C1000"), $B64, INDIRECT("'"&amp;Assemblies[Assy]&amp;"'!"&amp;"O$5:O1000")), "x",Assemblies[Assy],".",IF(SUMIF(INDIRECT("'"&amp;Assemblies[Assy]&amp;"'!"&amp;"C$5:C1000"), $B64, INDIRECT("'"&amp;Assemblies[Assy]&amp;"'!"&amp;"A$5:A1000"))=0,NA(),SUMIF(INDIRECT("'"&amp;Assemblies[Assy]&amp;"'!"&amp;"C$5:C1000"), $B64, INDIRECT("'"&amp;Assemblies[Assy]&amp;"'!"&amp;"A$5:A1000")))),"")), " ,", ""))</f>
        <v>, 4x4.1.702, 1x4.2.705,</v>
      </c>
      <c r="X64" s="54">
        <f ca="1">Extrusion[[#This Row],[Length]]*Extrusion[[#This Row],[Total Qty]]</f>
        <v>4375</v>
      </c>
      <c r="Y64" s="54">
        <f>Extrusion[[#This Row],[Length]]*Extrusion[[#This Row],[Cut QTY]]</f>
        <v>4375</v>
      </c>
      <c r="Z64" s="54">
        <f ca="1">Extrusion[[#This Row],[Required Length]]-Extrusion[[#This Row],[Cut Length]]</f>
        <v>0</v>
      </c>
      <c r="AA64" s="54"/>
    </row>
    <row r="65" spans="1:27" x14ac:dyDescent="0.25">
      <c r="A65" s="143">
        <v>1102</v>
      </c>
      <c r="B65" t="s">
        <v>469</v>
      </c>
      <c r="C65" t="s">
        <v>3596</v>
      </c>
      <c r="D65" s="157" cm="1">
        <f t="array" aca="1" ref="D65" ca="1">SUMPRODUCT(SUMIF(INDIRECT("'"&amp;Assemblies[Assy]&amp;"'!"&amp;"C:C"),B65,(INDIRECT("'"&amp;Assemblies[Assy]&amp;"'!"&amp;"O:O"))))</f>
        <v>2</v>
      </c>
      <c r="E65">
        <v>2</v>
      </c>
      <c r="F65" t="str">
        <f t="shared" ca="1" si="3"/>
        <v/>
      </c>
      <c r="G65" s="39">
        <f t="shared" si="4"/>
        <v>1</v>
      </c>
      <c r="I65" t="s">
        <v>3595</v>
      </c>
      <c r="P65" s="7">
        <v>1</v>
      </c>
      <c r="Q65" s="7">
        <v>0</v>
      </c>
      <c r="R65" s="7">
        <v>0</v>
      </c>
      <c r="S65" s="54">
        <v>0</v>
      </c>
      <c r="T65" s="2">
        <v>6</v>
      </c>
      <c r="U65" s="55">
        <v>187.59</v>
      </c>
      <c r="V65" s="59">
        <f t="shared" si="5"/>
        <v>3.1265000000000001E-2</v>
      </c>
      <c r="W65" s="2" t="str" cm="1">
        <f t="array" aca="1" ref="W65" ca="1">TRIM(SUBSTITUTE(_xlfn.ARRAYTOTEXT(IFERROR(CONCATENATE(SUMIF(INDIRECT("'"&amp;Assemblies[Assy]&amp;"'!"&amp;"C$5:C1000"), $B65, INDIRECT("'"&amp;Assemblies[Assy]&amp;"'!"&amp;"O$5:O1000")), "x",Assemblies[Assy],".",IF(SUMIF(INDIRECT("'"&amp;Assemblies[Assy]&amp;"'!"&amp;"C$5:C1000"), $B65, INDIRECT("'"&amp;Assemblies[Assy]&amp;"'!"&amp;"A$5:A1000"))=0,NA(),SUMIF(INDIRECT("'"&amp;Assemblies[Assy]&amp;"'!"&amp;"C$5:C1000"), $B65, INDIRECT("'"&amp;Assemblies[Assy]&amp;"'!"&amp;"A$5:A1000")))),"")), " ,", ""))</f>
        <v>, 2x3.2.707,</v>
      </c>
      <c r="X65" s="54">
        <f ca="1">Extrusion[[#This Row],[Length]]*Extrusion[[#This Row],[Total Qty]]</f>
        <v>2204</v>
      </c>
      <c r="Y65" s="54">
        <f>Extrusion[[#This Row],[Length]]*Extrusion[[#This Row],[Cut QTY]]</f>
        <v>2204</v>
      </c>
      <c r="Z65" s="54">
        <f ca="1">Extrusion[[#This Row],[Required Length]]-Extrusion[[#This Row],[Cut Length]]</f>
        <v>0</v>
      </c>
      <c r="AA65" s="54"/>
    </row>
    <row r="66" spans="1:27" x14ac:dyDescent="0.25">
      <c r="A66" s="143">
        <v>1510</v>
      </c>
      <c r="B66" t="s">
        <v>1253</v>
      </c>
      <c r="C66" t="s">
        <v>3596</v>
      </c>
      <c r="D66" s="157" cm="1">
        <f t="array" aca="1" ref="D66" ca="1">SUMPRODUCT(SUMIF(INDIRECT("'"&amp;Assemblies[Assy]&amp;"'!"&amp;"C:C"),B66,(INDIRECT("'"&amp;Assemblies[Assy]&amp;"'!"&amp;"O:O"))))</f>
        <v>1</v>
      </c>
      <c r="E66">
        <v>1</v>
      </c>
      <c r="F66" t="str">
        <f t="shared" ref="F66:F97" ca="1" si="6">IF(D66=E66, "", "YES")</f>
        <v/>
      </c>
      <c r="G66" s="39">
        <f t="shared" ref="G66:G97" si="7">P66+Q66+R66+(65*S66)</f>
        <v>1</v>
      </c>
      <c r="I66" t="s">
        <v>3595</v>
      </c>
      <c r="P66" s="7">
        <v>1</v>
      </c>
      <c r="Q66" s="7">
        <v>0</v>
      </c>
      <c r="R66" s="7">
        <v>0</v>
      </c>
      <c r="S66" s="54">
        <v>0</v>
      </c>
      <c r="T66" s="2">
        <v>6</v>
      </c>
      <c r="U66" s="55">
        <v>330.57</v>
      </c>
      <c r="V66" s="59">
        <f t="shared" ref="V66:V97" si="8">U66/(T66*1000)</f>
        <v>5.5094999999999998E-2</v>
      </c>
      <c r="W66" s="2" t="str" cm="1">
        <f t="array" aca="1" ref="W66" ca="1">TRIM(SUBSTITUTE(_xlfn.ARRAYTOTEXT(IFERROR(CONCATENATE(SUMIF(INDIRECT("'"&amp;Assemblies[Assy]&amp;"'!"&amp;"C$5:C1000"), $B66, INDIRECT("'"&amp;Assemblies[Assy]&amp;"'!"&amp;"O$5:O1000")), "x",Assemblies[Assy],".",IF(SUMIF(INDIRECT("'"&amp;Assemblies[Assy]&amp;"'!"&amp;"C$5:C1000"), $B66, INDIRECT("'"&amp;Assemblies[Assy]&amp;"'!"&amp;"A$5:A1000"))=0,NA(),SUMIF(INDIRECT("'"&amp;Assemblies[Assy]&amp;"'!"&amp;"C$5:C1000"), $B66, INDIRECT("'"&amp;Assemblies[Assy]&amp;"'!"&amp;"A$5:A1000")))),"")), " ,", ""))</f>
        <v>, 1x8.3.702,</v>
      </c>
      <c r="X66" s="54">
        <f ca="1">Extrusion[[#This Row],[Length]]*Extrusion[[#This Row],[Total Qty]]</f>
        <v>1510</v>
      </c>
      <c r="Y66" s="54">
        <f>Extrusion[[#This Row],[Length]]*Extrusion[[#This Row],[Cut QTY]]</f>
        <v>1510</v>
      </c>
      <c r="Z66" s="54">
        <f ca="1">Extrusion[[#This Row],[Required Length]]-Extrusion[[#This Row],[Cut Length]]</f>
        <v>0</v>
      </c>
      <c r="AA66" s="54"/>
    </row>
    <row r="67" spans="1:27" x14ac:dyDescent="0.25">
      <c r="A67" s="143">
        <v>1641</v>
      </c>
      <c r="B67" t="s">
        <v>619</v>
      </c>
      <c r="C67" t="s">
        <v>3596</v>
      </c>
      <c r="D67" s="157" cm="1">
        <f t="array" aca="1" ref="D67" ca="1">SUMPRODUCT(SUMIF(INDIRECT("'"&amp;Assemblies[Assy]&amp;"'!"&amp;"C:C"),B67,(INDIRECT("'"&amp;Assemblies[Assy]&amp;"'!"&amp;"O:O"))))</f>
        <v>1</v>
      </c>
      <c r="E67">
        <v>1</v>
      </c>
      <c r="F67" t="str">
        <f t="shared" ca="1" si="6"/>
        <v/>
      </c>
      <c r="G67" s="39">
        <f t="shared" si="7"/>
        <v>1</v>
      </c>
      <c r="I67" t="s">
        <v>3595</v>
      </c>
      <c r="P67" s="7">
        <v>1</v>
      </c>
      <c r="Q67" s="7">
        <v>0</v>
      </c>
      <c r="R67" s="7">
        <v>0</v>
      </c>
      <c r="S67" s="54">
        <v>0</v>
      </c>
      <c r="T67" s="2">
        <v>6</v>
      </c>
      <c r="U67" s="55">
        <v>187.59</v>
      </c>
      <c r="V67" s="59">
        <f t="shared" si="8"/>
        <v>3.1265000000000001E-2</v>
      </c>
      <c r="W67" s="2" t="str" cm="1">
        <f t="array" aca="1" ref="W67" ca="1">TRIM(SUBSTITUTE(_xlfn.ARRAYTOTEXT(IFERROR(CONCATENATE(SUMIF(INDIRECT("'"&amp;Assemblies[Assy]&amp;"'!"&amp;"C$5:C1000"), $B67, INDIRECT("'"&amp;Assemblies[Assy]&amp;"'!"&amp;"O$5:O1000")), "x",Assemblies[Assy],".",IF(SUMIF(INDIRECT("'"&amp;Assemblies[Assy]&amp;"'!"&amp;"C$5:C1000"), $B67, INDIRECT("'"&amp;Assemblies[Assy]&amp;"'!"&amp;"A$5:A1000"))=0,NA(),SUMIF(INDIRECT("'"&amp;Assemblies[Assy]&amp;"'!"&amp;"C$5:C1000"), $B67, INDIRECT("'"&amp;Assemblies[Assy]&amp;"'!"&amp;"A$5:A1000")))),"")), " ,", ""))</f>
        <v>, 1x4.3.701,</v>
      </c>
      <c r="X67" s="54">
        <f ca="1">Extrusion[[#This Row],[Length]]*Extrusion[[#This Row],[Total Qty]]</f>
        <v>1641</v>
      </c>
      <c r="Y67" s="54">
        <f>Extrusion[[#This Row],[Length]]*Extrusion[[#This Row],[Cut QTY]]</f>
        <v>1641</v>
      </c>
      <c r="Z67" s="54">
        <f ca="1">Extrusion[[#This Row],[Required Length]]-Extrusion[[#This Row],[Cut Length]]</f>
        <v>0</v>
      </c>
      <c r="AA67" s="54"/>
    </row>
    <row r="68" spans="1:27" x14ac:dyDescent="0.25">
      <c r="A68" s="143">
        <v>1654</v>
      </c>
      <c r="B68" t="s">
        <v>1283</v>
      </c>
      <c r="C68" t="s">
        <v>3596</v>
      </c>
      <c r="D68" s="157" cm="1">
        <f t="array" aca="1" ref="D68" ca="1">SUMPRODUCT(SUMIF(INDIRECT("'"&amp;Assemblies[Assy]&amp;"'!"&amp;"C:C"),B68,(INDIRECT("'"&amp;Assemblies[Assy]&amp;"'!"&amp;"O:O"))))</f>
        <v>3</v>
      </c>
      <c r="E68">
        <v>3</v>
      </c>
      <c r="F68" t="str">
        <f t="shared" ca="1" si="6"/>
        <v/>
      </c>
      <c r="G68" s="39">
        <f t="shared" si="7"/>
        <v>1</v>
      </c>
      <c r="I68" t="s">
        <v>3595</v>
      </c>
      <c r="P68" s="7">
        <v>1</v>
      </c>
      <c r="Q68" s="7">
        <v>0</v>
      </c>
      <c r="R68" s="7">
        <v>0</v>
      </c>
      <c r="S68" s="54">
        <v>0</v>
      </c>
      <c r="T68" s="2">
        <v>6</v>
      </c>
      <c r="U68" s="55">
        <v>187.59</v>
      </c>
      <c r="V68" s="59">
        <f t="shared" si="8"/>
        <v>3.1265000000000001E-2</v>
      </c>
      <c r="W68" s="2" t="str" cm="1">
        <f t="array" aca="1" ref="W68" ca="1">TRIM(SUBSTITUTE(_xlfn.ARRAYTOTEXT(IFERROR(CONCATENATE(SUMIF(INDIRECT("'"&amp;Assemblies[Assy]&amp;"'!"&amp;"C$5:C1000"), $B68, INDIRECT("'"&amp;Assemblies[Assy]&amp;"'!"&amp;"O$5:O1000")), "x",Assemblies[Assy],".",IF(SUMIF(INDIRECT("'"&amp;Assemblies[Assy]&amp;"'!"&amp;"C$5:C1000"), $B68, INDIRECT("'"&amp;Assemblies[Assy]&amp;"'!"&amp;"A$5:A1000"))=0,NA(),SUMIF(INDIRECT("'"&amp;Assemblies[Assy]&amp;"'!"&amp;"C$5:C1000"), $B68, INDIRECT("'"&amp;Assemblies[Assy]&amp;"'!"&amp;"A$5:A1000")))),"")), " ,", ""))</f>
        <v>, 3x9.1.701,</v>
      </c>
      <c r="X68" s="54">
        <f ca="1">Extrusion[[#This Row],[Length]]*Extrusion[[#This Row],[Total Qty]]</f>
        <v>4962</v>
      </c>
      <c r="Y68" s="54">
        <f>Extrusion[[#This Row],[Length]]*Extrusion[[#This Row],[Cut QTY]]</f>
        <v>4962</v>
      </c>
      <c r="Z68" s="54">
        <f ca="1">Extrusion[[#This Row],[Required Length]]-Extrusion[[#This Row],[Cut Length]]</f>
        <v>0</v>
      </c>
      <c r="AA68" s="54"/>
    </row>
    <row r="69" spans="1:27" x14ac:dyDescent="0.25">
      <c r="A69" s="143">
        <v>1679</v>
      </c>
      <c r="B69" t="s">
        <v>399</v>
      </c>
      <c r="C69" t="s">
        <v>3596</v>
      </c>
      <c r="D69" s="157" cm="1">
        <f t="array" aca="1" ref="D69" ca="1">SUMPRODUCT(SUMIF(INDIRECT("'"&amp;Assemblies[Assy]&amp;"'!"&amp;"C:C"),B69,(INDIRECT("'"&amp;Assemblies[Assy]&amp;"'!"&amp;"O:O"))))</f>
        <v>3</v>
      </c>
      <c r="E69">
        <v>3</v>
      </c>
      <c r="F69" t="str">
        <f t="shared" ca="1" si="6"/>
        <v/>
      </c>
      <c r="G69" s="39">
        <f t="shared" si="7"/>
        <v>1</v>
      </c>
      <c r="I69" t="s">
        <v>3595</v>
      </c>
      <c r="P69" s="7">
        <v>1</v>
      </c>
      <c r="Q69" s="7">
        <v>0</v>
      </c>
      <c r="R69" s="7">
        <v>0</v>
      </c>
      <c r="S69" s="54">
        <v>0</v>
      </c>
      <c r="T69" s="2">
        <v>6</v>
      </c>
      <c r="U69" s="55">
        <v>187.59</v>
      </c>
      <c r="V69" s="59">
        <f t="shared" si="8"/>
        <v>3.1265000000000001E-2</v>
      </c>
      <c r="W69" s="2" t="str" cm="1">
        <f t="array" aca="1" ref="W69" ca="1">TRIM(SUBSTITUTE(_xlfn.ARRAYTOTEXT(IFERROR(CONCATENATE(SUMIF(INDIRECT("'"&amp;Assemblies[Assy]&amp;"'!"&amp;"C$5:C1000"), $B69, INDIRECT("'"&amp;Assemblies[Assy]&amp;"'!"&amp;"O$5:O1000")), "x",Assemblies[Assy],".",IF(SUMIF(INDIRECT("'"&amp;Assemblies[Assy]&amp;"'!"&amp;"C$5:C1000"), $B69, INDIRECT("'"&amp;Assemblies[Assy]&amp;"'!"&amp;"A$5:A1000"))=0,NA(),SUMIF(INDIRECT("'"&amp;Assemblies[Assy]&amp;"'!"&amp;"C$5:C1000"), $B69, INDIRECT("'"&amp;Assemblies[Assy]&amp;"'!"&amp;"A$5:A1000")))),"")), " ,", ""))</f>
        <v>, 1x2.2.705, 1x3.2.704, 1x4.2.706,</v>
      </c>
      <c r="X69" s="54">
        <f ca="1">Extrusion[[#This Row],[Length]]*Extrusion[[#This Row],[Total Qty]]</f>
        <v>5037</v>
      </c>
      <c r="Y69" s="54">
        <f>Extrusion[[#This Row],[Length]]*Extrusion[[#This Row],[Cut QTY]]</f>
        <v>5037</v>
      </c>
      <c r="Z69" s="54">
        <f ca="1">Extrusion[[#This Row],[Required Length]]-Extrusion[[#This Row],[Cut Length]]</f>
        <v>0</v>
      </c>
      <c r="AA69" s="54"/>
    </row>
    <row r="70" spans="1:27" x14ac:dyDescent="0.25">
      <c r="A70" s="143">
        <v>139</v>
      </c>
      <c r="B70" t="s">
        <v>1115</v>
      </c>
      <c r="C70" t="s">
        <v>3596</v>
      </c>
      <c r="D70" s="157" cm="1">
        <f t="array" aca="1" ref="D70" ca="1">SUMPRODUCT(SUMIF(INDIRECT("'"&amp;Assemblies[Assy]&amp;"'!"&amp;"C:C"),B70,(INDIRECT("'"&amp;Assemblies[Assy]&amp;"'!"&amp;"O:O"))))</f>
        <v>2</v>
      </c>
      <c r="E70">
        <v>2</v>
      </c>
      <c r="F70" t="str">
        <f t="shared" ca="1" si="6"/>
        <v/>
      </c>
      <c r="G70" s="39">
        <f t="shared" si="7"/>
        <v>1</v>
      </c>
      <c r="I70" t="s">
        <v>3595</v>
      </c>
      <c r="P70" s="7">
        <v>1</v>
      </c>
      <c r="Q70" s="7">
        <v>0</v>
      </c>
      <c r="R70" s="7">
        <v>0</v>
      </c>
      <c r="S70" s="54">
        <v>0</v>
      </c>
      <c r="T70" s="2">
        <v>6</v>
      </c>
      <c r="U70" s="55">
        <v>187.59</v>
      </c>
      <c r="V70" s="59">
        <f t="shared" si="8"/>
        <v>3.1265000000000001E-2</v>
      </c>
      <c r="W70" s="2" t="str" cm="1">
        <f t="array" aca="1" ref="W70" ca="1">TRIM(SUBSTITUTE(_xlfn.ARRAYTOTEXT(IFERROR(CONCATENATE(SUMIF(INDIRECT("'"&amp;Assemblies[Assy]&amp;"'!"&amp;"C$5:C1000"), $B70, INDIRECT("'"&amp;Assemblies[Assy]&amp;"'!"&amp;"O$5:O1000")), "x",Assemblies[Assy],".",IF(SUMIF(INDIRECT("'"&amp;Assemblies[Assy]&amp;"'!"&amp;"C$5:C1000"), $B70, INDIRECT("'"&amp;Assemblies[Assy]&amp;"'!"&amp;"A$5:A1000"))=0,NA(),SUMIF(INDIRECT("'"&amp;Assemblies[Assy]&amp;"'!"&amp;"C$5:C1000"), $B70, INDIRECT("'"&amp;Assemblies[Assy]&amp;"'!"&amp;"A$5:A1000")))),"")), " ,", ""))</f>
        <v>, 2x7.1.702,</v>
      </c>
      <c r="X70" s="54">
        <f ca="1">Extrusion[[#This Row],[Length]]*Extrusion[[#This Row],[Total Qty]]</f>
        <v>278</v>
      </c>
      <c r="Y70" s="54">
        <f>Extrusion[[#This Row],[Length]]*Extrusion[[#This Row],[Cut QTY]]</f>
        <v>278</v>
      </c>
      <c r="Z70" s="54">
        <f ca="1">Extrusion[[#This Row],[Required Length]]-Extrusion[[#This Row],[Cut Length]]</f>
        <v>0</v>
      </c>
      <c r="AA70" s="54"/>
    </row>
    <row r="71" spans="1:27" x14ac:dyDescent="0.25">
      <c r="A71" s="143">
        <v>283.2</v>
      </c>
      <c r="B71" t="s">
        <v>701</v>
      </c>
      <c r="C71" t="s">
        <v>3596</v>
      </c>
      <c r="D71" s="157" cm="1">
        <f t="array" aca="1" ref="D71" ca="1">SUMPRODUCT(SUMIF(INDIRECT("'"&amp;Assemblies[Assy]&amp;"'!"&amp;"C:C"),B71,(INDIRECT("'"&amp;Assemblies[Assy]&amp;"'!"&amp;"O:O"))))</f>
        <v>2</v>
      </c>
      <c r="E71">
        <v>2</v>
      </c>
      <c r="F71" t="str">
        <f t="shared" ca="1" si="6"/>
        <v/>
      </c>
      <c r="G71" s="39">
        <f t="shared" si="7"/>
        <v>1</v>
      </c>
      <c r="I71" t="s">
        <v>3595</v>
      </c>
      <c r="P71" s="7">
        <v>1</v>
      </c>
      <c r="Q71" s="7">
        <v>0</v>
      </c>
      <c r="R71" s="7">
        <v>0</v>
      </c>
      <c r="S71" s="54">
        <v>0</v>
      </c>
      <c r="T71" s="2">
        <v>6</v>
      </c>
      <c r="U71" s="55">
        <v>0</v>
      </c>
      <c r="V71" s="59">
        <f t="shared" si="8"/>
        <v>0</v>
      </c>
      <c r="W71" s="2" t="str" cm="1">
        <f t="array" aca="1" ref="W71" ca="1">TRIM(SUBSTITUTE(_xlfn.ARRAYTOTEXT(IFERROR(CONCATENATE(SUMIF(INDIRECT("'"&amp;Assemblies[Assy]&amp;"'!"&amp;"C$5:C1000"), $B71, INDIRECT("'"&amp;Assemblies[Assy]&amp;"'!"&amp;"O$5:O1000")), "x",Assemblies[Assy],".",IF(SUMIF(INDIRECT("'"&amp;Assemblies[Assy]&amp;"'!"&amp;"C$5:C1000"), $B71, INDIRECT("'"&amp;Assemblies[Assy]&amp;"'!"&amp;"A$5:A1000"))=0,NA(),SUMIF(INDIRECT("'"&amp;Assemblies[Assy]&amp;"'!"&amp;"C$5:C1000"), $B71, INDIRECT("'"&amp;Assemblies[Assy]&amp;"'!"&amp;"A$5:A1000")))),"")), " ,", ""))</f>
        <v>, 2x5.2.703,</v>
      </c>
      <c r="X71" s="54">
        <f ca="1">Extrusion[[#This Row],[Length]]*Extrusion[[#This Row],[Total Qty]]</f>
        <v>566.4</v>
      </c>
      <c r="Y71" s="54">
        <f>Extrusion[[#This Row],[Length]]*Extrusion[[#This Row],[Cut QTY]]</f>
        <v>566.4</v>
      </c>
      <c r="Z71" s="54">
        <f ca="1">Extrusion[[#This Row],[Required Length]]-Extrusion[[#This Row],[Cut Length]]</f>
        <v>0</v>
      </c>
      <c r="AA71" s="54"/>
    </row>
    <row r="72" spans="1:27" x14ac:dyDescent="0.25">
      <c r="A72" s="143">
        <v>1095.3</v>
      </c>
      <c r="B72" t="s">
        <v>700</v>
      </c>
      <c r="C72" t="s">
        <v>3596</v>
      </c>
      <c r="D72" s="157" cm="1">
        <f t="array" aca="1" ref="D72" ca="1">SUMPRODUCT(SUMIF(INDIRECT("'"&amp;Assemblies[Assy]&amp;"'!"&amp;"C:C"),B72,(INDIRECT("'"&amp;Assemblies[Assy]&amp;"'!"&amp;"O:O"))))</f>
        <v>2</v>
      </c>
      <c r="E72">
        <v>2</v>
      </c>
      <c r="F72" t="str">
        <f t="shared" ca="1" si="6"/>
        <v/>
      </c>
      <c r="G72" s="39">
        <f t="shared" si="7"/>
        <v>1</v>
      </c>
      <c r="I72" t="s">
        <v>3595</v>
      </c>
      <c r="P72" s="7">
        <v>1</v>
      </c>
      <c r="Q72" s="7">
        <v>0</v>
      </c>
      <c r="R72" s="7">
        <v>0</v>
      </c>
      <c r="S72" s="54">
        <v>0</v>
      </c>
      <c r="T72" s="2">
        <v>6</v>
      </c>
      <c r="U72" s="55">
        <v>0</v>
      </c>
      <c r="V72" s="59">
        <f t="shared" si="8"/>
        <v>0</v>
      </c>
      <c r="W72" s="2" t="str" cm="1">
        <f t="array" aca="1" ref="W72" ca="1">TRIM(SUBSTITUTE(_xlfn.ARRAYTOTEXT(IFERROR(CONCATENATE(SUMIF(INDIRECT("'"&amp;Assemblies[Assy]&amp;"'!"&amp;"C$5:C1000"), $B72, INDIRECT("'"&amp;Assemblies[Assy]&amp;"'!"&amp;"O$5:O1000")), "x",Assemblies[Assy],".",IF(SUMIF(INDIRECT("'"&amp;Assemblies[Assy]&amp;"'!"&amp;"C$5:C1000"), $B72, INDIRECT("'"&amp;Assemblies[Assy]&amp;"'!"&amp;"A$5:A1000"))=0,NA(),SUMIF(INDIRECT("'"&amp;Assemblies[Assy]&amp;"'!"&amp;"C$5:C1000"), $B72, INDIRECT("'"&amp;Assemblies[Assy]&amp;"'!"&amp;"A$5:A1000")))),"")), " ,", ""))</f>
        <v>, 2x5.2.702,</v>
      </c>
      <c r="X72" s="54">
        <f ca="1">Extrusion[[#This Row],[Length]]*Extrusion[[#This Row],[Total Qty]]</f>
        <v>2190.6</v>
      </c>
      <c r="Y72" s="54">
        <f>Extrusion[[#This Row],[Length]]*Extrusion[[#This Row],[Cut QTY]]</f>
        <v>2190.6</v>
      </c>
      <c r="Z72" s="54">
        <f ca="1">Extrusion[[#This Row],[Required Length]]-Extrusion[[#This Row],[Cut Length]]</f>
        <v>0</v>
      </c>
      <c r="AA72" s="54"/>
    </row>
    <row r="73" spans="1:27" x14ac:dyDescent="0.25">
      <c r="A73" s="143">
        <v>290</v>
      </c>
      <c r="B73" t="s">
        <v>3801</v>
      </c>
      <c r="C73" t="s">
        <v>3806</v>
      </c>
      <c r="D73" s="157" cm="1">
        <f t="array" aca="1" ref="D73" ca="1">SUMPRODUCT(SUMIF(INDIRECT("'"&amp;Assemblies[Assy]&amp;"'!"&amp;"C:C"),B73,(INDIRECT("'"&amp;Assemblies[Assy]&amp;"'!"&amp;"O:O"))))</f>
        <v>3</v>
      </c>
      <c r="E73">
        <v>3</v>
      </c>
      <c r="F73" t="str">
        <f t="shared" ca="1" si="6"/>
        <v/>
      </c>
      <c r="G73" s="39">
        <f t="shared" si="7"/>
        <v>1</v>
      </c>
      <c r="I73" t="s">
        <v>3595</v>
      </c>
      <c r="P73" s="7">
        <v>1</v>
      </c>
      <c r="Q73" s="7">
        <v>0</v>
      </c>
      <c r="R73" s="7">
        <v>0</v>
      </c>
      <c r="S73" s="54">
        <v>0</v>
      </c>
      <c r="T73" s="2">
        <v>6</v>
      </c>
      <c r="U73" s="55">
        <v>188.59</v>
      </c>
      <c r="V73" s="59">
        <f t="shared" si="8"/>
        <v>3.143166666666667E-2</v>
      </c>
      <c r="W73" s="2" t="str" cm="1">
        <f t="array" aca="1" ref="W73" ca="1">TRIM(SUBSTITUTE(_xlfn.ARRAYTOTEXT(IFERROR(CONCATENATE(SUMIF(INDIRECT("'"&amp;Assemblies[Assy]&amp;"'!"&amp;"C$5:C1000"), $B73, INDIRECT("'"&amp;Assemblies[Assy]&amp;"'!"&amp;"O$5:O1000")), "x",Assemblies[Assy],".",IF(SUMIF(INDIRECT("'"&amp;Assemblies[Assy]&amp;"'!"&amp;"C$5:C1000"), $B73, INDIRECT("'"&amp;Assemblies[Assy]&amp;"'!"&amp;"A$5:A1000"))=0,NA(),SUMIF(INDIRECT("'"&amp;Assemblies[Assy]&amp;"'!"&amp;"C$5:C1000"), $B73, INDIRECT("'"&amp;Assemblies[Assy]&amp;"'!"&amp;"A$5:A1000")))),"")), " ,", ""))</f>
        <v>, 3x12.711</v>
      </c>
      <c r="X73" s="54">
        <f ca="1">Extrusion[[#This Row],[Length]]*Extrusion[[#This Row],[Total Qty]]</f>
        <v>870</v>
      </c>
      <c r="Y73" s="54">
        <f>Extrusion[[#This Row],[Length]]*Extrusion[[#This Row],[Cut QTY]]</f>
        <v>870</v>
      </c>
      <c r="Z73" s="54">
        <f ca="1">Extrusion[[#This Row],[Required Length]]-Extrusion[[#This Row],[Cut Length]]</f>
        <v>0</v>
      </c>
      <c r="AA73" s="54"/>
    </row>
    <row r="74" spans="1:27" x14ac:dyDescent="0.25">
      <c r="A74" s="143">
        <v>410</v>
      </c>
      <c r="B74" t="s">
        <v>3888</v>
      </c>
      <c r="C74" t="s">
        <v>3889</v>
      </c>
      <c r="D74" s="157" cm="1">
        <f t="array" aca="1" ref="D74" ca="1">SUMPRODUCT(SUMIF(INDIRECT("'"&amp;Assemblies[Assy]&amp;"'!"&amp;"C:C"),B74,(INDIRECT("'"&amp;Assemblies[Assy]&amp;"'!"&amp;"O:O"))))</f>
        <v>4</v>
      </c>
      <c r="E74">
        <v>0</v>
      </c>
      <c r="F74" t="str">
        <f t="shared" ca="1" si="6"/>
        <v>YES</v>
      </c>
      <c r="G74" s="39">
        <f t="shared" si="7"/>
        <v>1</v>
      </c>
      <c r="I74" t="s">
        <v>3595</v>
      </c>
      <c r="P74" s="7">
        <v>1</v>
      </c>
      <c r="Q74" s="7">
        <v>0</v>
      </c>
      <c r="R74" s="7">
        <v>0</v>
      </c>
      <c r="S74" s="54">
        <v>0</v>
      </c>
      <c r="T74" s="2">
        <v>6</v>
      </c>
      <c r="U74" s="55">
        <v>1</v>
      </c>
      <c r="V74" s="59">
        <f t="shared" si="8"/>
        <v>1.6666666666666666E-4</v>
      </c>
      <c r="W74" s="2" t="str" cm="1">
        <f t="array" aca="1" ref="W74" ca="1">TRIM(SUBSTITUTE(_xlfn.ARRAYTOTEXT(IFERROR(CONCATENATE(SUMIF(INDIRECT("'"&amp;Assemblies[Assy]&amp;"'!"&amp;"C$5:C1000"), $B74, INDIRECT("'"&amp;Assemblies[Assy]&amp;"'!"&amp;"O$5:O1000")), "x",Assemblies[Assy],".",IF(SUMIF(INDIRECT("'"&amp;Assemblies[Assy]&amp;"'!"&amp;"C$5:C1000"), $B74, INDIRECT("'"&amp;Assemblies[Assy]&amp;"'!"&amp;"A$5:A1000"))=0,NA(),SUMIF(INDIRECT("'"&amp;Assemblies[Assy]&amp;"'!"&amp;"C$5:C1000"), $B74, INDIRECT("'"&amp;Assemblies[Assy]&amp;"'!"&amp;"A$5:A1000")))),"")), " ,", ""))</f>
        <v>, 4x4.7.701,</v>
      </c>
      <c r="X74" s="54">
        <f ca="1">Extrusion[[#This Row],[Length]]*Extrusion[[#This Row],[Total Qty]]</f>
        <v>1640</v>
      </c>
      <c r="Y74" s="54">
        <f>Extrusion[[#This Row],[Length]]*Extrusion[[#This Row],[Cut QTY]]</f>
        <v>0</v>
      </c>
      <c r="Z74" s="54">
        <f ca="1">Extrusion[[#This Row],[Required Length]]-Extrusion[[#This Row],[Cut Length]]</f>
        <v>1640</v>
      </c>
      <c r="AA74" s="54"/>
    </row>
    <row r="75" spans="1:27" x14ac:dyDescent="0.25">
      <c r="A75" s="143">
        <v>129</v>
      </c>
      <c r="B75" t="s">
        <v>1082</v>
      </c>
      <c r="C75" t="s">
        <v>3780</v>
      </c>
      <c r="D75" s="157" cm="1">
        <f t="array" aca="1" ref="D75" ca="1">SUMPRODUCT(SUMIF(INDIRECT("'"&amp;Assemblies[Assy]&amp;"'!"&amp;"C:C"),B75,(INDIRECT("'"&amp;Assemblies[Assy]&amp;"'!"&amp;"O:O"))))</f>
        <v>4</v>
      </c>
      <c r="E75">
        <v>0</v>
      </c>
      <c r="F75" t="str">
        <f t="shared" ca="1" si="6"/>
        <v>YES</v>
      </c>
      <c r="G75" s="39">
        <f t="shared" si="7"/>
        <v>1</v>
      </c>
      <c r="I75" t="s">
        <v>3595</v>
      </c>
      <c r="P75" s="7">
        <v>1</v>
      </c>
      <c r="Q75" s="7">
        <v>0</v>
      </c>
      <c r="R75" s="7">
        <v>0</v>
      </c>
      <c r="S75" s="54">
        <v>0</v>
      </c>
      <c r="T75" s="2">
        <v>6</v>
      </c>
      <c r="U75" s="55">
        <v>0</v>
      </c>
      <c r="V75" s="59">
        <f t="shared" si="8"/>
        <v>0</v>
      </c>
      <c r="W75" s="2" t="str" cm="1">
        <f t="array" aca="1" ref="W75" ca="1">TRIM(SUBSTITUTE(_xlfn.ARRAYTOTEXT(IFERROR(CONCATENATE(SUMIF(INDIRECT("'"&amp;Assemblies[Assy]&amp;"'!"&amp;"C$5:C1000"), $B75, INDIRECT("'"&amp;Assemblies[Assy]&amp;"'!"&amp;"O$5:O1000")), "x",Assemblies[Assy],".",IF(SUMIF(INDIRECT("'"&amp;Assemblies[Assy]&amp;"'!"&amp;"C$5:C1000"), $B75, INDIRECT("'"&amp;Assemblies[Assy]&amp;"'!"&amp;"A$5:A1000"))=0,NA(),SUMIF(INDIRECT("'"&amp;Assemblies[Assy]&amp;"'!"&amp;"C$5:C1000"), $B75, INDIRECT("'"&amp;Assemblies[Assy]&amp;"'!"&amp;"A$5:A1000")))),"")), " ,", ""))</f>
        <v>, 4x6.10.701,</v>
      </c>
      <c r="X75" s="54">
        <f ca="1">Extrusion[[#This Row],[Length]]*Extrusion[[#This Row],[Total Qty]]</f>
        <v>516</v>
      </c>
      <c r="Y75" s="54">
        <f>Extrusion[[#This Row],[Length]]*Extrusion[[#This Row],[Cut QTY]]</f>
        <v>0</v>
      </c>
      <c r="Z75" s="54">
        <f ca="1">Extrusion[[#This Row],[Required Length]]-Extrusion[[#This Row],[Cut Length]]</f>
        <v>516</v>
      </c>
      <c r="AA75" s="54"/>
    </row>
    <row r="76" spans="1:27" x14ac:dyDescent="0.25">
      <c r="A76" s="143">
        <v>217.7</v>
      </c>
      <c r="B76" t="s">
        <v>699</v>
      </c>
      <c r="C76" t="s">
        <v>3596</v>
      </c>
      <c r="D76" s="157" cm="1">
        <f t="array" aca="1" ref="D76" ca="1">SUMPRODUCT(SUMIF(INDIRECT("'"&amp;Assemblies[Assy]&amp;"'!"&amp;"C:C"),B76,(INDIRECT("'"&amp;Assemblies[Assy]&amp;"'!"&amp;"O:O"))))</f>
        <v>2</v>
      </c>
      <c r="E76">
        <v>2</v>
      </c>
      <c r="F76" t="str">
        <f t="shared" ca="1" si="6"/>
        <v/>
      </c>
      <c r="G76" s="39">
        <f t="shared" si="7"/>
        <v>1</v>
      </c>
      <c r="I76" t="s">
        <v>3595</v>
      </c>
      <c r="P76" s="7">
        <v>1</v>
      </c>
      <c r="Q76" s="7">
        <v>0</v>
      </c>
      <c r="R76" s="7">
        <v>0</v>
      </c>
      <c r="S76" s="54">
        <v>0</v>
      </c>
      <c r="T76" s="2">
        <v>6</v>
      </c>
      <c r="U76" s="55">
        <v>0</v>
      </c>
      <c r="V76" s="59">
        <f t="shared" si="8"/>
        <v>0</v>
      </c>
      <c r="W76" s="2" t="str" cm="1">
        <f t="array" aca="1" ref="W76" ca="1">TRIM(SUBSTITUTE(_xlfn.ARRAYTOTEXT(IFERROR(CONCATENATE(SUMIF(INDIRECT("'"&amp;Assemblies[Assy]&amp;"'!"&amp;"C$5:C1000"), $B76, INDIRECT("'"&amp;Assemblies[Assy]&amp;"'!"&amp;"O$5:O1000")), "x",Assemblies[Assy],".",IF(SUMIF(INDIRECT("'"&amp;Assemblies[Assy]&amp;"'!"&amp;"C$5:C1000"), $B76, INDIRECT("'"&amp;Assemblies[Assy]&amp;"'!"&amp;"A$5:A1000"))=0,NA(),SUMIF(INDIRECT("'"&amp;Assemblies[Assy]&amp;"'!"&amp;"C$5:C1000"), $B76, INDIRECT("'"&amp;Assemblies[Assy]&amp;"'!"&amp;"A$5:A1000")))),"")), " ,", ""))</f>
        <v>, 2x5.2.701,</v>
      </c>
      <c r="X76" s="54">
        <f ca="1">Extrusion[[#This Row],[Length]]*Extrusion[[#This Row],[Total Qty]]</f>
        <v>435.4</v>
      </c>
      <c r="Y76" s="54">
        <f>Extrusion[[#This Row],[Length]]*Extrusion[[#This Row],[Cut QTY]]</f>
        <v>435.4</v>
      </c>
      <c r="Z76" s="54">
        <f ca="1">Extrusion[[#This Row],[Required Length]]-Extrusion[[#This Row],[Cut Length]]</f>
        <v>0</v>
      </c>
      <c r="AA76" s="54"/>
    </row>
    <row r="77" spans="1:27" x14ac:dyDescent="0.25">
      <c r="A77" s="143">
        <v>1120</v>
      </c>
      <c r="B77" t="s">
        <v>537</v>
      </c>
      <c r="C77" t="s">
        <v>3596</v>
      </c>
      <c r="D77" s="157" cm="1">
        <f t="array" aca="1" ref="D77" ca="1">SUMPRODUCT(SUMIF(INDIRECT("'"&amp;Assemblies[Assy]&amp;"'!"&amp;"C:C"),B77,(INDIRECT("'"&amp;Assemblies[Assy]&amp;"'!"&amp;"O:O"))))</f>
        <v>2</v>
      </c>
      <c r="E77">
        <v>2</v>
      </c>
      <c r="F77" t="str">
        <f t="shared" ca="1" si="6"/>
        <v/>
      </c>
      <c r="G77" s="39">
        <f t="shared" si="7"/>
        <v>1</v>
      </c>
      <c r="I77" t="s">
        <v>3595</v>
      </c>
      <c r="P77" s="7">
        <v>1</v>
      </c>
      <c r="Q77" s="7">
        <v>0</v>
      </c>
      <c r="R77" s="7">
        <v>0</v>
      </c>
      <c r="S77" s="54">
        <v>0</v>
      </c>
      <c r="T77" s="2">
        <v>6</v>
      </c>
      <c r="U77" s="55">
        <v>330.57</v>
      </c>
      <c r="V77" s="59">
        <f t="shared" si="8"/>
        <v>5.5094999999999998E-2</v>
      </c>
      <c r="W77" s="2" t="str" cm="1">
        <f t="array" aca="1" ref="W77" ca="1">TRIM(SUBSTITUTE(_xlfn.ARRAYTOTEXT(IFERROR(CONCATENATE(SUMIF(INDIRECT("'"&amp;Assemblies[Assy]&amp;"'!"&amp;"C$5:C1000"), $B77, INDIRECT("'"&amp;Assemblies[Assy]&amp;"'!"&amp;"O$5:O1000")), "x",Assemblies[Assy],".",IF(SUMIF(INDIRECT("'"&amp;Assemblies[Assy]&amp;"'!"&amp;"C$5:C1000"), $B77, INDIRECT("'"&amp;Assemblies[Assy]&amp;"'!"&amp;"A$5:A1000"))=0,NA(),SUMIF(INDIRECT("'"&amp;Assemblies[Assy]&amp;"'!"&amp;"C$5:C1000"), $B77, INDIRECT("'"&amp;Assemblies[Assy]&amp;"'!"&amp;"A$5:A1000")))),"")), " ,", ""))</f>
        <v>, 2x4.1.710,</v>
      </c>
      <c r="X77" s="54">
        <f ca="1">Extrusion[[#This Row],[Length]]*Extrusion[[#This Row],[Total Qty]]</f>
        <v>2240</v>
      </c>
      <c r="Y77" s="54">
        <f>Extrusion[[#This Row],[Length]]*Extrusion[[#This Row],[Cut QTY]]</f>
        <v>2240</v>
      </c>
      <c r="Z77" s="54">
        <f ca="1">Extrusion[[#This Row],[Required Length]]-Extrusion[[#This Row],[Cut Length]]</f>
        <v>0</v>
      </c>
      <c r="AA77" s="54"/>
    </row>
    <row r="78" spans="1:27" x14ac:dyDescent="0.25">
      <c r="A78" s="143">
        <v>1500</v>
      </c>
      <c r="B78" t="s">
        <v>1043</v>
      </c>
      <c r="C78" t="s">
        <v>3596</v>
      </c>
      <c r="D78" s="157" cm="1">
        <f t="array" aca="1" ref="D78" ca="1">SUMPRODUCT(SUMIF(INDIRECT("'"&amp;Assemblies[Assy]&amp;"'!"&amp;"C:C"),B78,(INDIRECT("'"&amp;Assemblies[Assy]&amp;"'!"&amp;"O:O"))))</f>
        <v>4</v>
      </c>
      <c r="E78">
        <v>4</v>
      </c>
      <c r="F78" t="str">
        <f t="shared" ca="1" si="6"/>
        <v/>
      </c>
      <c r="G78" s="39">
        <f t="shared" si="7"/>
        <v>1</v>
      </c>
      <c r="I78" t="s">
        <v>3595</v>
      </c>
      <c r="P78" s="7">
        <v>1</v>
      </c>
      <c r="Q78" s="7">
        <v>0</v>
      </c>
      <c r="R78" s="7">
        <v>0</v>
      </c>
      <c r="S78" s="54">
        <v>0</v>
      </c>
      <c r="T78" s="2">
        <v>6</v>
      </c>
      <c r="U78" s="55">
        <v>330.57</v>
      </c>
      <c r="V78" s="59">
        <f t="shared" si="8"/>
        <v>5.5094999999999998E-2</v>
      </c>
      <c r="W78" s="2" t="str" cm="1">
        <f t="array" aca="1" ref="W78" ca="1">TRIM(SUBSTITUTE(_xlfn.ARRAYTOTEXT(IFERROR(CONCATENATE(SUMIF(INDIRECT("'"&amp;Assemblies[Assy]&amp;"'!"&amp;"C$5:C1000"), $B78, INDIRECT("'"&amp;Assemblies[Assy]&amp;"'!"&amp;"O$5:O1000")), "x",Assemblies[Assy],".",IF(SUMIF(INDIRECT("'"&amp;Assemblies[Assy]&amp;"'!"&amp;"C$5:C1000"), $B78, INDIRECT("'"&amp;Assemblies[Assy]&amp;"'!"&amp;"A$5:A1000"))=0,NA(),SUMIF(INDIRECT("'"&amp;Assemblies[Assy]&amp;"'!"&amp;"C$5:C1000"), $B78, INDIRECT("'"&amp;Assemblies[Assy]&amp;"'!"&amp;"A$5:A1000")))),"")), " ,", ""))</f>
        <v>, 4x6.8.701,</v>
      </c>
      <c r="X78" s="54">
        <f ca="1">Extrusion[[#This Row],[Length]]*Extrusion[[#This Row],[Total Qty]]</f>
        <v>6000</v>
      </c>
      <c r="Y78" s="54">
        <f>Extrusion[[#This Row],[Length]]*Extrusion[[#This Row],[Cut QTY]]</f>
        <v>6000</v>
      </c>
      <c r="Z78" s="54">
        <f ca="1">Extrusion[[#This Row],[Required Length]]-Extrusion[[#This Row],[Cut Length]]</f>
        <v>0</v>
      </c>
      <c r="AA78" s="54"/>
    </row>
    <row r="79" spans="1:27" x14ac:dyDescent="0.25">
      <c r="A79" s="143">
        <v>1517</v>
      </c>
      <c r="B79" t="s">
        <v>1336</v>
      </c>
      <c r="C79" t="s">
        <v>3596</v>
      </c>
      <c r="D79" s="157" cm="1">
        <f t="array" aca="1" ref="D79" ca="1">SUMPRODUCT(SUMIF(INDIRECT("'"&amp;Assemblies[Assy]&amp;"'!"&amp;"C:C"),B79,(INDIRECT("'"&amp;Assemblies[Assy]&amp;"'!"&amp;"O:O"))))</f>
        <v>1</v>
      </c>
      <c r="E79">
        <v>1</v>
      </c>
      <c r="F79" t="str">
        <f t="shared" ca="1" si="6"/>
        <v/>
      </c>
      <c r="G79" s="39">
        <f t="shared" si="7"/>
        <v>1</v>
      </c>
      <c r="I79" t="s">
        <v>3595</v>
      </c>
      <c r="P79" s="7">
        <v>1</v>
      </c>
      <c r="Q79" s="7">
        <v>0</v>
      </c>
      <c r="R79" s="7">
        <v>0</v>
      </c>
      <c r="S79" s="54">
        <v>0</v>
      </c>
      <c r="T79" s="2">
        <v>6</v>
      </c>
      <c r="U79" s="55">
        <v>330.57</v>
      </c>
      <c r="V79" s="59">
        <f t="shared" si="8"/>
        <v>5.5094999999999998E-2</v>
      </c>
      <c r="W79" s="2" t="str" cm="1">
        <f t="array" aca="1" ref="W79" ca="1">TRIM(SUBSTITUTE(_xlfn.ARRAYTOTEXT(IFERROR(CONCATENATE(SUMIF(INDIRECT("'"&amp;Assemblies[Assy]&amp;"'!"&amp;"C$5:C1000"), $B79, INDIRECT("'"&amp;Assemblies[Assy]&amp;"'!"&amp;"O$5:O1000")), "x",Assemblies[Assy],".",IF(SUMIF(INDIRECT("'"&amp;Assemblies[Assy]&amp;"'!"&amp;"C$5:C1000"), $B79, INDIRECT("'"&amp;Assemblies[Assy]&amp;"'!"&amp;"A$5:A1000"))=0,NA(),SUMIF(INDIRECT("'"&amp;Assemblies[Assy]&amp;"'!"&amp;"C$5:C1000"), $B79, INDIRECT("'"&amp;Assemblies[Assy]&amp;"'!"&amp;"A$5:A1000")))),"")), " ,", ""))</f>
        <v>, 1x10.1.714,</v>
      </c>
      <c r="X79" s="54">
        <f ca="1">Extrusion[[#This Row],[Length]]*Extrusion[[#This Row],[Total Qty]]</f>
        <v>1517</v>
      </c>
      <c r="Y79" s="54">
        <f>Extrusion[[#This Row],[Length]]*Extrusion[[#This Row],[Cut QTY]]</f>
        <v>1517</v>
      </c>
      <c r="Z79" s="54">
        <f ca="1">Extrusion[[#This Row],[Required Length]]-Extrusion[[#This Row],[Cut Length]]</f>
        <v>0</v>
      </c>
      <c r="AA79" s="54"/>
    </row>
    <row r="80" spans="1:27" x14ac:dyDescent="0.25">
      <c r="A80" s="143">
        <v>1535</v>
      </c>
      <c r="B80" t="s">
        <v>748</v>
      </c>
      <c r="C80" t="s">
        <v>3596</v>
      </c>
      <c r="D80" s="157" cm="1">
        <f t="array" aca="1" ref="D80" ca="1">SUMPRODUCT(SUMIF(INDIRECT("'"&amp;Assemblies[Assy]&amp;"'!"&amp;"C:C"),B80,(INDIRECT("'"&amp;Assemblies[Assy]&amp;"'!"&amp;"O:O"))))</f>
        <v>10</v>
      </c>
      <c r="E80">
        <v>10</v>
      </c>
      <c r="F80" t="str">
        <f t="shared" ca="1" si="6"/>
        <v/>
      </c>
      <c r="G80" s="39">
        <f t="shared" si="7"/>
        <v>1</v>
      </c>
      <c r="I80" t="s">
        <v>3595</v>
      </c>
      <c r="P80" s="7">
        <v>1</v>
      </c>
      <c r="Q80" s="7">
        <v>0</v>
      </c>
      <c r="R80" s="7">
        <v>0</v>
      </c>
      <c r="S80" s="54">
        <v>0</v>
      </c>
      <c r="T80" s="2">
        <v>6</v>
      </c>
      <c r="U80" s="55">
        <v>330.57</v>
      </c>
      <c r="V80" s="59">
        <f t="shared" si="8"/>
        <v>5.5094999999999998E-2</v>
      </c>
      <c r="W80" s="2" t="str" cm="1">
        <f t="array" aca="1" ref="W80" ca="1">TRIM(SUBSTITUTE(_xlfn.ARRAYTOTEXT(IFERROR(CONCATENATE(SUMIF(INDIRECT("'"&amp;Assemblies[Assy]&amp;"'!"&amp;"C$5:C1000"), $B80, INDIRECT("'"&amp;Assemblies[Assy]&amp;"'!"&amp;"O$5:O1000")), "x",Assemblies[Assy],".",IF(SUMIF(INDIRECT("'"&amp;Assemblies[Assy]&amp;"'!"&amp;"C$5:C1000"), $B80, INDIRECT("'"&amp;Assemblies[Assy]&amp;"'!"&amp;"A$5:A1000"))=0,NA(),SUMIF(INDIRECT("'"&amp;Assemblies[Assy]&amp;"'!"&amp;"C$5:C1000"), $B80, INDIRECT("'"&amp;Assemblies[Assy]&amp;"'!"&amp;"A$5:A1000")))),"")), " ,", ""))</f>
        <v>, 4x5.3.701, 6x6.1.701,</v>
      </c>
      <c r="X80" s="54">
        <f ca="1">Extrusion[[#This Row],[Length]]*Extrusion[[#This Row],[Total Qty]]</f>
        <v>15350</v>
      </c>
      <c r="Y80" s="54">
        <f>Extrusion[[#This Row],[Length]]*Extrusion[[#This Row],[Cut QTY]]</f>
        <v>15350</v>
      </c>
      <c r="Z80" s="54">
        <f ca="1">Extrusion[[#This Row],[Required Length]]-Extrusion[[#This Row],[Cut Length]]</f>
        <v>0</v>
      </c>
      <c r="AA80" s="54"/>
    </row>
    <row r="81" spans="1:27" x14ac:dyDescent="0.25">
      <c r="A81" s="143">
        <v>1590</v>
      </c>
      <c r="B81" t="s">
        <v>1121</v>
      </c>
      <c r="C81" t="s">
        <v>3596</v>
      </c>
      <c r="D81" s="157" cm="1">
        <f t="array" aca="1" ref="D81" ca="1">SUMPRODUCT(SUMIF(INDIRECT("'"&amp;Assemblies[Assy]&amp;"'!"&amp;"C:C"),B81,(INDIRECT("'"&amp;Assemblies[Assy]&amp;"'!"&amp;"O:O"))))</f>
        <v>1</v>
      </c>
      <c r="E81">
        <v>1</v>
      </c>
      <c r="F81" t="str">
        <f t="shared" ca="1" si="6"/>
        <v/>
      </c>
      <c r="G81" s="39">
        <f t="shared" si="7"/>
        <v>1</v>
      </c>
      <c r="I81" t="s">
        <v>3595</v>
      </c>
      <c r="P81" s="7">
        <v>1</v>
      </c>
      <c r="Q81" s="7">
        <v>0</v>
      </c>
      <c r="R81" s="7">
        <v>0</v>
      </c>
      <c r="S81" s="54">
        <v>0</v>
      </c>
      <c r="T81" s="2">
        <v>6</v>
      </c>
      <c r="U81" s="55">
        <v>330.57</v>
      </c>
      <c r="V81" s="59">
        <f t="shared" si="8"/>
        <v>5.5094999999999998E-2</v>
      </c>
      <c r="W81" s="2" t="str" cm="1">
        <f t="array" aca="1" ref="W81" ca="1">TRIM(SUBSTITUTE(_xlfn.ARRAYTOTEXT(IFERROR(CONCATENATE(SUMIF(INDIRECT("'"&amp;Assemblies[Assy]&amp;"'!"&amp;"C$5:C1000"), $B81, INDIRECT("'"&amp;Assemblies[Assy]&amp;"'!"&amp;"O$5:O1000")), "x",Assemblies[Assy],".",IF(SUMIF(INDIRECT("'"&amp;Assemblies[Assy]&amp;"'!"&amp;"C$5:C1000"), $B81, INDIRECT("'"&amp;Assemblies[Assy]&amp;"'!"&amp;"A$5:A1000"))=0,NA(),SUMIF(INDIRECT("'"&amp;Assemblies[Assy]&amp;"'!"&amp;"C$5:C1000"), $B81, INDIRECT("'"&amp;Assemblies[Assy]&amp;"'!"&amp;"A$5:A1000")))),"")), " ,", ""))</f>
        <v>, 1x7.1.709,</v>
      </c>
      <c r="X81" s="54">
        <f ca="1">Extrusion[[#This Row],[Length]]*Extrusion[[#This Row],[Total Qty]]</f>
        <v>1590</v>
      </c>
      <c r="Y81" s="54">
        <f>Extrusion[[#This Row],[Length]]*Extrusion[[#This Row],[Cut QTY]]</f>
        <v>1590</v>
      </c>
      <c r="Z81" s="54">
        <f ca="1">Extrusion[[#This Row],[Required Length]]-Extrusion[[#This Row],[Cut Length]]</f>
        <v>0</v>
      </c>
      <c r="AA81" s="54"/>
    </row>
    <row r="82" spans="1:27" x14ac:dyDescent="0.25">
      <c r="A82" s="143">
        <v>1610</v>
      </c>
      <c r="B82" t="s">
        <v>159</v>
      </c>
      <c r="D82" s="157" cm="1">
        <f t="array" aca="1" ref="D82" ca="1">SUMPRODUCT(SUMIF(INDIRECT("'"&amp;Assemblies[Assy]&amp;"'!"&amp;"C:C"),B82,(INDIRECT("'"&amp;Assemblies[Assy]&amp;"'!"&amp;"O:O"))))</f>
        <v>2</v>
      </c>
      <c r="E82">
        <v>2</v>
      </c>
      <c r="F82" t="str">
        <f t="shared" ca="1" si="6"/>
        <v/>
      </c>
      <c r="G82" s="39">
        <f t="shared" si="7"/>
        <v>1</v>
      </c>
      <c r="I82" t="s">
        <v>3595</v>
      </c>
      <c r="P82" s="7">
        <v>1</v>
      </c>
      <c r="Q82" s="7">
        <v>0</v>
      </c>
      <c r="R82" s="7">
        <v>0</v>
      </c>
      <c r="S82" s="54">
        <v>0</v>
      </c>
      <c r="T82" s="2">
        <v>6</v>
      </c>
      <c r="U82" s="55">
        <v>330.57</v>
      </c>
      <c r="V82" s="59">
        <f t="shared" si="8"/>
        <v>5.5094999999999998E-2</v>
      </c>
      <c r="W82" s="2" t="str" cm="1">
        <f t="array" aca="1" ref="W82" ca="1">TRIM(SUBSTITUTE(_xlfn.ARRAYTOTEXT(IFERROR(CONCATENATE(SUMIF(INDIRECT("'"&amp;Assemblies[Assy]&amp;"'!"&amp;"C$5:C1000"), $B82, INDIRECT("'"&amp;Assemblies[Assy]&amp;"'!"&amp;"O$5:O1000")), "x",Assemblies[Assy],".",IF(SUMIF(INDIRECT("'"&amp;Assemblies[Assy]&amp;"'!"&amp;"C$5:C1000"), $B82, INDIRECT("'"&amp;Assemblies[Assy]&amp;"'!"&amp;"A$5:A1000"))=0,NA(),SUMIF(INDIRECT("'"&amp;Assemblies[Assy]&amp;"'!"&amp;"C$5:C1000"), $B82, INDIRECT("'"&amp;Assemblies[Assy]&amp;"'!"&amp;"A$5:A1000")))),"")), " ,", ""))</f>
        <v>, 2x1.1.709,</v>
      </c>
      <c r="X82" s="54">
        <f ca="1">Extrusion[[#This Row],[Length]]*Extrusion[[#This Row],[Total Qty]]</f>
        <v>3220</v>
      </c>
      <c r="Y82" s="54">
        <f>Extrusion[[#This Row],[Length]]*Extrusion[[#This Row],[Cut QTY]]</f>
        <v>3220</v>
      </c>
      <c r="Z82" s="54">
        <f ca="1">Extrusion[[#This Row],[Required Length]]-Extrusion[[#This Row],[Cut Length]]</f>
        <v>0</v>
      </c>
      <c r="AA82" s="54"/>
    </row>
    <row r="83" spans="1:27" x14ac:dyDescent="0.25">
      <c r="A83" s="143">
        <v>1679</v>
      </c>
      <c r="B83" t="s">
        <v>1114</v>
      </c>
      <c r="C83" t="s">
        <v>3596</v>
      </c>
      <c r="D83" s="157" cm="1">
        <f t="array" aca="1" ref="D83" ca="1">SUMPRODUCT(SUMIF(INDIRECT("'"&amp;Assemblies[Assy]&amp;"'!"&amp;"C:C"),B83,(INDIRECT("'"&amp;Assemblies[Assy]&amp;"'!"&amp;"O:O"))))</f>
        <v>6</v>
      </c>
      <c r="E83">
        <v>6</v>
      </c>
      <c r="F83" t="str">
        <f t="shared" ca="1" si="6"/>
        <v/>
      </c>
      <c r="G83" s="39">
        <f t="shared" si="7"/>
        <v>1</v>
      </c>
      <c r="I83" t="s">
        <v>3595</v>
      </c>
      <c r="P83" s="7">
        <v>1</v>
      </c>
      <c r="Q83" s="7">
        <v>0</v>
      </c>
      <c r="R83" s="7">
        <v>0</v>
      </c>
      <c r="S83" s="54">
        <v>0</v>
      </c>
      <c r="T83" s="2">
        <v>6</v>
      </c>
      <c r="U83" s="55">
        <v>330.57</v>
      </c>
      <c r="V83" s="59">
        <f t="shared" si="8"/>
        <v>5.5094999999999998E-2</v>
      </c>
      <c r="W83" s="2" t="str" cm="1">
        <f t="array" aca="1" ref="W83" ca="1">TRIM(SUBSTITUTE(_xlfn.ARRAYTOTEXT(IFERROR(CONCATENATE(SUMIF(INDIRECT("'"&amp;Assemblies[Assy]&amp;"'!"&amp;"C$5:C1000"), $B83, INDIRECT("'"&amp;Assemblies[Assy]&amp;"'!"&amp;"O$5:O1000")), "x",Assemblies[Assy],".",IF(SUMIF(INDIRECT("'"&amp;Assemblies[Assy]&amp;"'!"&amp;"C$5:C1000"), $B83, INDIRECT("'"&amp;Assemblies[Assy]&amp;"'!"&amp;"A$5:A1000"))=0,NA(),SUMIF(INDIRECT("'"&amp;Assemblies[Assy]&amp;"'!"&amp;"C$5:C1000"), $B83, INDIRECT("'"&amp;Assemblies[Assy]&amp;"'!"&amp;"A$5:A1000")))),"")), " ,", ""))</f>
        <v>, 6x7.1.701,</v>
      </c>
      <c r="X83" s="54">
        <f ca="1">Extrusion[[#This Row],[Length]]*Extrusion[[#This Row],[Total Qty]]</f>
        <v>10074</v>
      </c>
      <c r="Y83" s="54">
        <f>Extrusion[[#This Row],[Length]]*Extrusion[[#This Row],[Cut QTY]]</f>
        <v>10074</v>
      </c>
      <c r="Z83" s="54">
        <f ca="1">Extrusion[[#This Row],[Required Length]]-Extrusion[[#This Row],[Cut Length]]</f>
        <v>0</v>
      </c>
      <c r="AA83" s="54"/>
    </row>
    <row r="84" spans="1:27" x14ac:dyDescent="0.25">
      <c r="A84" s="143">
        <v>1740</v>
      </c>
      <c r="B84" t="s">
        <v>690</v>
      </c>
      <c r="C84" t="s">
        <v>3596</v>
      </c>
      <c r="D84" s="157" cm="1">
        <f t="array" aca="1" ref="D84" ca="1">SUMPRODUCT(SUMIF(INDIRECT("'"&amp;Assemblies[Assy]&amp;"'!"&amp;"C:C"),B84,(INDIRECT("'"&amp;Assemblies[Assy]&amp;"'!"&amp;"O:O"))))</f>
        <v>2</v>
      </c>
      <c r="E84">
        <v>2</v>
      </c>
      <c r="F84" t="str">
        <f t="shared" ca="1" si="6"/>
        <v/>
      </c>
      <c r="G84" s="39">
        <f t="shared" si="7"/>
        <v>1</v>
      </c>
      <c r="I84" t="s">
        <v>3595</v>
      </c>
      <c r="P84" s="7">
        <v>1</v>
      </c>
      <c r="Q84" s="7">
        <v>0</v>
      </c>
      <c r="R84" s="7">
        <v>0</v>
      </c>
      <c r="S84" s="54">
        <v>0</v>
      </c>
      <c r="T84" s="2">
        <v>6</v>
      </c>
      <c r="U84" s="55">
        <v>330.57</v>
      </c>
      <c r="V84" s="59">
        <f t="shared" si="8"/>
        <v>5.5094999999999998E-2</v>
      </c>
      <c r="W84" s="2" t="str" cm="1">
        <f t="array" aca="1" ref="W84" ca="1">TRIM(SUBSTITUTE(_xlfn.ARRAYTOTEXT(IFERROR(CONCATENATE(SUMIF(INDIRECT("'"&amp;Assemblies[Assy]&amp;"'!"&amp;"C$5:C1000"), $B84, INDIRECT("'"&amp;Assemblies[Assy]&amp;"'!"&amp;"O$5:O1000")), "x",Assemblies[Assy],".",IF(SUMIF(INDIRECT("'"&amp;Assemblies[Assy]&amp;"'!"&amp;"C$5:C1000"), $B84, INDIRECT("'"&amp;Assemblies[Assy]&amp;"'!"&amp;"A$5:A1000"))=0,NA(),SUMIF(INDIRECT("'"&amp;Assemblies[Assy]&amp;"'!"&amp;"C$5:C1000"), $B84, INDIRECT("'"&amp;Assemblies[Assy]&amp;"'!"&amp;"A$5:A1000")))),"")), " ,", ""))</f>
        <v>, 2x5.1.705,</v>
      </c>
      <c r="X84" s="54">
        <f ca="1">Extrusion[[#This Row],[Length]]*Extrusion[[#This Row],[Total Qty]]</f>
        <v>3480</v>
      </c>
      <c r="Y84" s="54">
        <f>Extrusion[[#This Row],[Length]]*Extrusion[[#This Row],[Cut QTY]]</f>
        <v>3480</v>
      </c>
      <c r="Z84" s="54">
        <f ca="1">Extrusion[[#This Row],[Required Length]]-Extrusion[[#This Row],[Cut Length]]</f>
        <v>0</v>
      </c>
      <c r="AA84" s="54"/>
    </row>
    <row r="85" spans="1:27" x14ac:dyDescent="0.25">
      <c r="A85" s="143">
        <v>2110</v>
      </c>
      <c r="B85" t="s">
        <v>1327</v>
      </c>
      <c r="C85" t="s">
        <v>3596</v>
      </c>
      <c r="D85" s="157" cm="1">
        <f t="array" aca="1" ref="D85" ca="1">SUMPRODUCT(SUMIF(INDIRECT("'"&amp;Assemblies[Assy]&amp;"'!"&amp;"C:C"),B85,(INDIRECT("'"&amp;Assemblies[Assy]&amp;"'!"&amp;"O:O"))))</f>
        <v>4</v>
      </c>
      <c r="E85">
        <v>4</v>
      </c>
      <c r="F85" t="str">
        <f t="shared" ca="1" si="6"/>
        <v/>
      </c>
      <c r="G85" s="39">
        <f t="shared" si="7"/>
        <v>1</v>
      </c>
      <c r="I85" t="s">
        <v>3595</v>
      </c>
      <c r="P85" s="7">
        <v>1</v>
      </c>
      <c r="Q85" s="7">
        <v>0</v>
      </c>
      <c r="R85" s="7">
        <v>0</v>
      </c>
      <c r="S85" s="54">
        <v>0</v>
      </c>
      <c r="T85" s="2">
        <v>6</v>
      </c>
      <c r="U85" s="55">
        <v>330.57</v>
      </c>
      <c r="V85" s="59">
        <f t="shared" si="8"/>
        <v>5.5094999999999998E-2</v>
      </c>
      <c r="W85" s="2" t="str" cm="1">
        <f t="array" aca="1" ref="W85" ca="1">TRIM(SUBSTITUTE(_xlfn.ARRAYTOTEXT(IFERROR(CONCATENATE(SUMIF(INDIRECT("'"&amp;Assemblies[Assy]&amp;"'!"&amp;"C$5:C1000"), $B85, INDIRECT("'"&amp;Assemblies[Assy]&amp;"'!"&amp;"O$5:O1000")), "x",Assemblies[Assy],".",IF(SUMIF(INDIRECT("'"&amp;Assemblies[Assy]&amp;"'!"&amp;"C$5:C1000"), $B85, INDIRECT("'"&amp;Assemblies[Assy]&amp;"'!"&amp;"A$5:A1000"))=0,NA(),SUMIF(INDIRECT("'"&amp;Assemblies[Assy]&amp;"'!"&amp;"C$5:C1000"), $B85, INDIRECT("'"&amp;Assemblies[Assy]&amp;"'!"&amp;"A$5:A1000")))),"")), " ,", ""))</f>
        <v>, 4x10.1.705,</v>
      </c>
      <c r="X85" s="54">
        <f ca="1">Extrusion[[#This Row],[Length]]*Extrusion[[#This Row],[Total Qty]]</f>
        <v>8440</v>
      </c>
      <c r="Y85" s="54">
        <f>Extrusion[[#This Row],[Length]]*Extrusion[[#This Row],[Cut QTY]]</f>
        <v>8440</v>
      </c>
      <c r="Z85" s="54">
        <f ca="1">Extrusion[[#This Row],[Required Length]]-Extrusion[[#This Row],[Cut Length]]</f>
        <v>0</v>
      </c>
      <c r="AA85" s="54"/>
    </row>
    <row r="86" spans="1:27" x14ac:dyDescent="0.25">
      <c r="A86" s="143">
        <v>2638</v>
      </c>
      <c r="B86" t="s">
        <v>450</v>
      </c>
      <c r="C86" t="s">
        <v>3596</v>
      </c>
      <c r="D86" s="157" cm="1">
        <f t="array" aca="1" ref="D86" ca="1">SUMPRODUCT(SUMIF(INDIRECT("'"&amp;Assemblies[Assy]&amp;"'!"&amp;"C:C"),B86,(INDIRECT("'"&amp;Assemblies[Assy]&amp;"'!"&amp;"O:O"))))</f>
        <v>2</v>
      </c>
      <c r="E86">
        <v>2</v>
      </c>
      <c r="F86" t="str">
        <f t="shared" ca="1" si="6"/>
        <v/>
      </c>
      <c r="G86" s="39">
        <f t="shared" si="7"/>
        <v>1</v>
      </c>
      <c r="I86" t="s">
        <v>3595</v>
      </c>
      <c r="P86" s="7">
        <v>1</v>
      </c>
      <c r="Q86" s="7">
        <v>0</v>
      </c>
      <c r="R86" s="7">
        <v>0</v>
      </c>
      <c r="S86" s="54">
        <v>0</v>
      </c>
      <c r="T86" s="2">
        <v>6</v>
      </c>
      <c r="U86" s="55">
        <v>330.57</v>
      </c>
      <c r="V86" s="59">
        <f t="shared" si="8"/>
        <v>5.5094999999999998E-2</v>
      </c>
      <c r="W86" s="2" t="str" cm="1">
        <f t="array" aca="1" ref="W86" ca="1">TRIM(SUBSTITUTE(_xlfn.ARRAYTOTEXT(IFERROR(CONCATENATE(SUMIF(INDIRECT("'"&amp;Assemblies[Assy]&amp;"'!"&amp;"C$5:C1000"), $B86, INDIRECT("'"&amp;Assemblies[Assy]&amp;"'!"&amp;"O$5:O1000")), "x",Assemblies[Assy],".",IF(SUMIF(INDIRECT("'"&amp;Assemblies[Assy]&amp;"'!"&amp;"C$5:C1000"), $B86, INDIRECT("'"&amp;Assemblies[Assy]&amp;"'!"&amp;"A$5:A1000"))=0,NA(),SUMIF(INDIRECT("'"&amp;Assemblies[Assy]&amp;"'!"&amp;"C$5:C1000"), $B86, INDIRECT("'"&amp;Assemblies[Assy]&amp;"'!"&amp;"A$5:A1000")))),"")), " ,", ""))</f>
        <v>, 2x3.1.705,</v>
      </c>
      <c r="X86" s="54">
        <f ca="1">Extrusion[[#This Row],[Length]]*Extrusion[[#This Row],[Total Qty]]</f>
        <v>5276</v>
      </c>
      <c r="Y86" s="54">
        <f>Extrusion[[#This Row],[Length]]*Extrusion[[#This Row],[Cut QTY]]</f>
        <v>5276</v>
      </c>
      <c r="Z86" s="54">
        <f ca="1">Extrusion[[#This Row],[Required Length]]-Extrusion[[#This Row],[Cut Length]]</f>
        <v>0</v>
      </c>
      <c r="AA86" s="54"/>
    </row>
    <row r="87" spans="1:27" x14ac:dyDescent="0.25">
      <c r="A87" s="143">
        <v>2850</v>
      </c>
      <c r="B87" t="s">
        <v>376</v>
      </c>
      <c r="C87" t="s">
        <v>3596</v>
      </c>
      <c r="D87" s="157" cm="1">
        <f t="array" aca="1" ref="D87" ca="1">SUMPRODUCT(SUMIF(INDIRECT("'"&amp;Assemblies[Assy]&amp;"'!"&amp;"C:C"),B87,(INDIRECT("'"&amp;Assemblies[Assy]&amp;"'!"&amp;"O:O"))))</f>
        <v>4</v>
      </c>
      <c r="E87">
        <v>4</v>
      </c>
      <c r="F87" t="str">
        <f t="shared" ca="1" si="6"/>
        <v/>
      </c>
      <c r="G87" s="39">
        <f t="shared" si="7"/>
        <v>1</v>
      </c>
      <c r="I87" t="s">
        <v>3595</v>
      </c>
      <c r="P87" s="7">
        <v>1</v>
      </c>
      <c r="Q87" s="7">
        <v>0</v>
      </c>
      <c r="R87" s="7">
        <v>0</v>
      </c>
      <c r="S87" s="54">
        <v>0</v>
      </c>
      <c r="T87" s="2">
        <v>6</v>
      </c>
      <c r="U87" s="55">
        <v>330.57</v>
      </c>
      <c r="V87" s="59">
        <f t="shared" si="8"/>
        <v>5.5094999999999998E-2</v>
      </c>
      <c r="W87" s="2" t="str" cm="1">
        <f t="array" aca="1" ref="W87" ca="1">TRIM(SUBSTITUTE(_xlfn.ARRAYTOTEXT(IFERROR(CONCATENATE(SUMIF(INDIRECT("'"&amp;Assemblies[Assy]&amp;"'!"&amp;"C$5:C1000"), $B87, INDIRECT("'"&amp;Assemblies[Assy]&amp;"'!"&amp;"O$5:O1000")), "x",Assemblies[Assy],".",IF(SUMIF(INDIRECT("'"&amp;Assemblies[Assy]&amp;"'!"&amp;"C$5:C1000"), $B87, INDIRECT("'"&amp;Assemblies[Assy]&amp;"'!"&amp;"A$5:A1000"))=0,NA(),SUMIF(INDIRECT("'"&amp;Assemblies[Assy]&amp;"'!"&amp;"C$5:C1000"), $B87, INDIRECT("'"&amp;Assemblies[Assy]&amp;"'!"&amp;"A$5:A1000")))),"")), " ,", ""))</f>
        <v>, 2x2.1.701, 2x2.2.703,</v>
      </c>
      <c r="X87" s="54">
        <f ca="1">Extrusion[[#This Row],[Length]]*Extrusion[[#This Row],[Total Qty]]</f>
        <v>11400</v>
      </c>
      <c r="Y87" s="54">
        <f>Extrusion[[#This Row],[Length]]*Extrusion[[#This Row],[Cut QTY]]</f>
        <v>11400</v>
      </c>
      <c r="Z87" s="54">
        <f ca="1">Extrusion[[#This Row],[Required Length]]-Extrusion[[#This Row],[Cut Length]]</f>
        <v>0</v>
      </c>
      <c r="AA87" s="54"/>
    </row>
    <row r="88" spans="1:27" x14ac:dyDescent="0.25">
      <c r="A88" s="143">
        <v>3400</v>
      </c>
      <c r="B88" t="s">
        <v>539</v>
      </c>
      <c r="C88" t="s">
        <v>3596</v>
      </c>
      <c r="D88" s="157" cm="1">
        <f t="array" aca="1" ref="D88" ca="1">SUMPRODUCT(SUMIF(INDIRECT("'"&amp;Assemblies[Assy]&amp;"'!"&amp;"C:C"),B88,(INDIRECT("'"&amp;Assemblies[Assy]&amp;"'!"&amp;"O:O"))))</f>
        <v>2</v>
      </c>
      <c r="E88">
        <v>2</v>
      </c>
      <c r="F88" t="str">
        <f t="shared" ca="1" si="6"/>
        <v/>
      </c>
      <c r="G88" s="39">
        <f t="shared" si="7"/>
        <v>1</v>
      </c>
      <c r="I88" t="s">
        <v>3595</v>
      </c>
      <c r="P88" s="7">
        <v>1</v>
      </c>
      <c r="Q88" s="7">
        <v>0</v>
      </c>
      <c r="R88" s="7">
        <v>0</v>
      </c>
      <c r="S88" s="54">
        <v>0</v>
      </c>
      <c r="T88" s="2">
        <v>6</v>
      </c>
      <c r="U88" s="55">
        <v>330.57</v>
      </c>
      <c r="V88" s="59">
        <f t="shared" si="8"/>
        <v>5.5094999999999998E-2</v>
      </c>
      <c r="W88" s="2" t="str" cm="1">
        <f t="array" aca="1" ref="W88" ca="1">TRIM(SUBSTITUTE(_xlfn.ARRAYTOTEXT(IFERROR(CONCATENATE(SUMIF(INDIRECT("'"&amp;Assemblies[Assy]&amp;"'!"&amp;"C$5:C1000"), $B88, INDIRECT("'"&amp;Assemblies[Assy]&amp;"'!"&amp;"O$5:O1000")), "x",Assemblies[Assy],".",IF(SUMIF(INDIRECT("'"&amp;Assemblies[Assy]&amp;"'!"&amp;"C$5:C1000"), $B88, INDIRECT("'"&amp;Assemblies[Assy]&amp;"'!"&amp;"A$5:A1000"))=0,NA(),SUMIF(INDIRECT("'"&amp;Assemblies[Assy]&amp;"'!"&amp;"C$5:C1000"), $B88, INDIRECT("'"&amp;Assemblies[Assy]&amp;"'!"&amp;"A$5:A1000")))),"")), " ,", ""))</f>
        <v>, 2x4.1.714,</v>
      </c>
      <c r="X88" s="54">
        <f ca="1">Extrusion[[#This Row],[Length]]*Extrusion[[#This Row],[Total Qty]]</f>
        <v>6800</v>
      </c>
      <c r="Y88" s="54">
        <f>Extrusion[[#This Row],[Length]]*Extrusion[[#This Row],[Cut QTY]]</f>
        <v>6800</v>
      </c>
      <c r="Z88" s="54">
        <f ca="1">Extrusion[[#This Row],[Required Length]]-Extrusion[[#This Row],[Cut Length]]</f>
        <v>0</v>
      </c>
      <c r="AA88" s="54"/>
    </row>
    <row r="89" spans="1:27" x14ac:dyDescent="0.25">
      <c r="A89" s="143">
        <v>4380.8599999999997</v>
      </c>
      <c r="B89" t="s">
        <v>466</v>
      </c>
      <c r="C89" t="s">
        <v>3596</v>
      </c>
      <c r="D89" s="157" cm="1">
        <f t="array" aca="1" ref="D89" ca="1">SUMPRODUCT(SUMIF(INDIRECT("'"&amp;Assemblies[Assy]&amp;"'!"&amp;"C:C"),B89,(INDIRECT("'"&amp;Assemblies[Assy]&amp;"'!"&amp;"O:O"))))</f>
        <v>2</v>
      </c>
      <c r="E89">
        <v>2</v>
      </c>
      <c r="F89" t="str">
        <f t="shared" ca="1" si="6"/>
        <v/>
      </c>
      <c r="G89" s="39">
        <f t="shared" si="7"/>
        <v>1</v>
      </c>
      <c r="I89" t="s">
        <v>3595</v>
      </c>
      <c r="P89" s="7">
        <v>1</v>
      </c>
      <c r="Q89" s="7">
        <v>0</v>
      </c>
      <c r="R89" s="7">
        <v>0</v>
      </c>
      <c r="S89" s="54">
        <v>0</v>
      </c>
      <c r="T89" s="2">
        <v>6</v>
      </c>
      <c r="U89" s="55">
        <v>330.57</v>
      </c>
      <c r="V89" s="59">
        <f t="shared" si="8"/>
        <v>5.5094999999999998E-2</v>
      </c>
      <c r="W89" s="2" t="str" cm="1">
        <f t="array" aca="1" ref="W89" ca="1">TRIM(SUBSTITUTE(_xlfn.ARRAYTOTEXT(IFERROR(CONCATENATE(SUMIF(INDIRECT("'"&amp;Assemblies[Assy]&amp;"'!"&amp;"C$5:C1000"), $B89, INDIRECT("'"&amp;Assemblies[Assy]&amp;"'!"&amp;"O$5:O1000")), "x",Assemblies[Assy],".",IF(SUMIF(INDIRECT("'"&amp;Assemblies[Assy]&amp;"'!"&amp;"C$5:C1000"), $B89, INDIRECT("'"&amp;Assemblies[Assy]&amp;"'!"&amp;"A$5:A1000"))=0,NA(),SUMIF(INDIRECT("'"&amp;Assemblies[Assy]&amp;"'!"&amp;"C$5:C1000"), $B89, INDIRECT("'"&amp;Assemblies[Assy]&amp;"'!"&amp;"A$5:A1000")))),"")), " ,", ""))</f>
        <v>, 2x3.2.703,</v>
      </c>
      <c r="X89" s="54">
        <f ca="1">Extrusion[[#This Row],[Length]]*Extrusion[[#This Row],[Total Qty]]</f>
        <v>8761.7199999999993</v>
      </c>
      <c r="Y89" s="54">
        <f>Extrusion[[#This Row],[Length]]*Extrusion[[#This Row],[Cut QTY]]</f>
        <v>8761.7199999999993</v>
      </c>
      <c r="Z89" s="54">
        <f ca="1">Extrusion[[#This Row],[Required Length]]-Extrusion[[#This Row],[Cut Length]]</f>
        <v>0</v>
      </c>
      <c r="AA89" s="54"/>
    </row>
    <row r="90" spans="1:27" x14ac:dyDescent="0.25">
      <c r="A90" s="143">
        <v>4707</v>
      </c>
      <c r="B90" t="s">
        <v>573</v>
      </c>
      <c r="C90" t="s">
        <v>3596</v>
      </c>
      <c r="D90" s="157" cm="1">
        <f t="array" aca="1" ref="D90" ca="1">SUMPRODUCT(SUMIF(INDIRECT("'"&amp;Assemblies[Assy]&amp;"'!"&amp;"C:C"),B90,(INDIRECT("'"&amp;Assemblies[Assy]&amp;"'!"&amp;"O:O"))))</f>
        <v>2</v>
      </c>
      <c r="E90">
        <v>2</v>
      </c>
      <c r="F90" t="str">
        <f t="shared" ca="1" si="6"/>
        <v/>
      </c>
      <c r="G90" s="39">
        <f t="shared" si="7"/>
        <v>1</v>
      </c>
      <c r="I90" t="s">
        <v>3595</v>
      </c>
      <c r="P90" s="7">
        <v>1</v>
      </c>
      <c r="Q90" s="7">
        <v>0</v>
      </c>
      <c r="R90" s="7">
        <v>0</v>
      </c>
      <c r="S90" s="54">
        <v>0</v>
      </c>
      <c r="T90" s="2">
        <v>6</v>
      </c>
      <c r="U90" s="55">
        <v>330.57</v>
      </c>
      <c r="V90" s="59">
        <f t="shared" si="8"/>
        <v>5.5094999999999998E-2</v>
      </c>
      <c r="W90" s="2" t="str" cm="1">
        <f t="array" aca="1" ref="W90" ca="1">TRIM(SUBSTITUTE(_xlfn.ARRAYTOTEXT(IFERROR(CONCATENATE(SUMIF(INDIRECT("'"&amp;Assemblies[Assy]&amp;"'!"&amp;"C$5:C1000"), $B90, INDIRECT("'"&amp;Assemblies[Assy]&amp;"'!"&amp;"O$5:O1000")), "x",Assemblies[Assy],".",IF(SUMIF(INDIRECT("'"&amp;Assemblies[Assy]&amp;"'!"&amp;"C$5:C1000"), $B90, INDIRECT("'"&amp;Assemblies[Assy]&amp;"'!"&amp;"A$5:A1000"))=0,NA(),SUMIF(INDIRECT("'"&amp;Assemblies[Assy]&amp;"'!"&amp;"C$5:C1000"), $B90, INDIRECT("'"&amp;Assemblies[Assy]&amp;"'!"&amp;"A$5:A1000")))),"")), " ,", ""))</f>
        <v>, 2x4.2.704,</v>
      </c>
      <c r="X90" s="54">
        <f ca="1">Extrusion[[#This Row],[Length]]*Extrusion[[#This Row],[Total Qty]]</f>
        <v>9414</v>
      </c>
      <c r="Y90" s="54">
        <f>Extrusion[[#This Row],[Length]]*Extrusion[[#This Row],[Cut QTY]]</f>
        <v>9414</v>
      </c>
      <c r="Z90" s="54">
        <f ca="1">Extrusion[[#This Row],[Required Length]]-Extrusion[[#This Row],[Cut Length]]</f>
        <v>0</v>
      </c>
      <c r="AA90" s="54"/>
    </row>
    <row r="91" spans="1:27" x14ac:dyDescent="0.25">
      <c r="A91" s="143">
        <v>700</v>
      </c>
      <c r="B91" t="s">
        <v>535</v>
      </c>
      <c r="C91" t="s">
        <v>3596</v>
      </c>
      <c r="D91" s="157" cm="1">
        <f t="array" aca="1" ref="D91" ca="1">SUMPRODUCT(SUMIF(INDIRECT("'"&amp;Assemblies[Assy]&amp;"'!"&amp;"C:C"),B91,(INDIRECT("'"&amp;Assemblies[Assy]&amp;"'!"&amp;"O:O"))))</f>
        <v>4</v>
      </c>
      <c r="E91">
        <v>4</v>
      </c>
      <c r="F91" t="str">
        <f t="shared" ca="1" si="6"/>
        <v/>
      </c>
      <c r="G91" s="39">
        <f t="shared" si="7"/>
        <v>1</v>
      </c>
      <c r="I91" t="s">
        <v>3595</v>
      </c>
      <c r="P91" s="7">
        <v>1</v>
      </c>
      <c r="Q91" s="7">
        <v>0</v>
      </c>
      <c r="R91" s="7">
        <v>0</v>
      </c>
      <c r="S91" s="54">
        <v>0</v>
      </c>
      <c r="T91" s="2">
        <v>6</v>
      </c>
      <c r="U91" s="55">
        <v>330.57</v>
      </c>
      <c r="V91" s="59">
        <f t="shared" si="8"/>
        <v>5.5094999999999998E-2</v>
      </c>
      <c r="W91" s="2" t="str" cm="1">
        <f t="array" aca="1" ref="W91" ca="1">TRIM(SUBSTITUTE(_xlfn.ARRAYTOTEXT(IFERROR(CONCATENATE(SUMIF(INDIRECT("'"&amp;Assemblies[Assy]&amp;"'!"&amp;"C$5:C1000"), $B91, INDIRECT("'"&amp;Assemblies[Assy]&amp;"'!"&amp;"O$5:O1000")), "x",Assemblies[Assy],".",IF(SUMIF(INDIRECT("'"&amp;Assemblies[Assy]&amp;"'!"&amp;"C$5:C1000"), $B91, INDIRECT("'"&amp;Assemblies[Assy]&amp;"'!"&amp;"A$5:A1000"))=0,NA(),SUMIF(INDIRECT("'"&amp;Assemblies[Assy]&amp;"'!"&amp;"C$5:C1000"), $B91, INDIRECT("'"&amp;Assemblies[Assy]&amp;"'!"&amp;"A$5:A1000")))),"")), " ,", ""))</f>
        <v>, 4x4.1.708,</v>
      </c>
      <c r="X91" s="54">
        <f ca="1">Extrusion[[#This Row],[Length]]*Extrusion[[#This Row],[Total Qty]]</f>
        <v>2800</v>
      </c>
      <c r="Y91" s="54">
        <f>Extrusion[[#This Row],[Length]]*Extrusion[[#This Row],[Cut QTY]]</f>
        <v>2800</v>
      </c>
      <c r="Z91" s="54">
        <f ca="1">Extrusion[[#This Row],[Required Length]]-Extrusion[[#This Row],[Cut Length]]</f>
        <v>0</v>
      </c>
      <c r="AA91" s="54"/>
    </row>
    <row r="92" spans="1:27" x14ac:dyDescent="0.25">
      <c r="A92" s="143">
        <v>930</v>
      </c>
      <c r="B92" t="s">
        <v>751</v>
      </c>
      <c r="C92" t="s">
        <v>3596</v>
      </c>
      <c r="D92" s="157" cm="1">
        <f t="array" aca="1" ref="D92" ca="1">SUMPRODUCT(SUMIF(INDIRECT("'"&amp;Assemblies[Assy]&amp;"'!"&amp;"C:C"),B92,(INDIRECT("'"&amp;Assemblies[Assy]&amp;"'!"&amp;"O:O"))))</f>
        <v>1</v>
      </c>
      <c r="E92">
        <v>1</v>
      </c>
      <c r="F92" t="str">
        <f t="shared" ca="1" si="6"/>
        <v/>
      </c>
      <c r="G92" s="39">
        <f t="shared" si="7"/>
        <v>1</v>
      </c>
      <c r="I92" t="s">
        <v>3595</v>
      </c>
      <c r="P92" s="7">
        <v>1</v>
      </c>
      <c r="Q92" s="7">
        <v>0</v>
      </c>
      <c r="R92" s="7">
        <v>0</v>
      </c>
      <c r="S92" s="54">
        <v>0</v>
      </c>
      <c r="T92" s="2">
        <v>6</v>
      </c>
      <c r="U92" s="55">
        <v>330.57</v>
      </c>
      <c r="V92" s="59">
        <f t="shared" si="8"/>
        <v>5.5094999999999998E-2</v>
      </c>
      <c r="W92" s="2" t="str" cm="1">
        <f t="array" aca="1" ref="W92" ca="1">TRIM(SUBSTITUTE(_xlfn.ARRAYTOTEXT(IFERROR(CONCATENATE(SUMIF(INDIRECT("'"&amp;Assemblies[Assy]&amp;"'!"&amp;"C$5:C1000"), $B92, INDIRECT("'"&amp;Assemblies[Assy]&amp;"'!"&amp;"O$5:O1000")), "x",Assemblies[Assy],".",IF(SUMIF(INDIRECT("'"&amp;Assemblies[Assy]&amp;"'!"&amp;"C$5:C1000"), $B92, INDIRECT("'"&amp;Assemblies[Assy]&amp;"'!"&amp;"A$5:A1000"))=0,NA(),SUMIF(INDIRECT("'"&amp;Assemblies[Assy]&amp;"'!"&amp;"C$5:C1000"), $B92, INDIRECT("'"&amp;Assemblies[Assy]&amp;"'!"&amp;"A$5:A1000")))),"")), " ,", ""))</f>
        <v>, 1x5.3.705,</v>
      </c>
      <c r="X92" s="54">
        <f ca="1">Extrusion[[#This Row],[Length]]*Extrusion[[#This Row],[Total Qty]]</f>
        <v>930</v>
      </c>
      <c r="Y92" s="54">
        <f>Extrusion[[#This Row],[Length]]*Extrusion[[#This Row],[Cut QTY]]</f>
        <v>930</v>
      </c>
      <c r="Z92" s="54">
        <f ca="1">Extrusion[[#This Row],[Required Length]]-Extrusion[[#This Row],[Cut Length]]</f>
        <v>0</v>
      </c>
      <c r="AA92" s="54"/>
    </row>
    <row r="93" spans="1:27" x14ac:dyDescent="0.25">
      <c r="A93" s="143">
        <v>980.86</v>
      </c>
      <c r="B93" t="s">
        <v>449</v>
      </c>
      <c r="C93" t="s">
        <v>3596</v>
      </c>
      <c r="D93" s="157" cm="1">
        <f t="array" aca="1" ref="D93" ca="1">SUMPRODUCT(SUMIF(INDIRECT("'"&amp;Assemblies[Assy]&amp;"'!"&amp;"C:C"),B93,(INDIRECT("'"&amp;Assemblies[Assy]&amp;"'!"&amp;"O:O"))))</f>
        <v>2</v>
      </c>
      <c r="E93">
        <v>2</v>
      </c>
      <c r="F93" t="str">
        <f t="shared" ca="1" si="6"/>
        <v/>
      </c>
      <c r="G93" s="39">
        <f t="shared" si="7"/>
        <v>1</v>
      </c>
      <c r="I93" t="s">
        <v>3595</v>
      </c>
      <c r="P93" s="7">
        <v>1</v>
      </c>
      <c r="Q93" s="7">
        <v>0</v>
      </c>
      <c r="R93" s="7">
        <v>0</v>
      </c>
      <c r="S93" s="54">
        <v>0</v>
      </c>
      <c r="T93" s="2">
        <v>6</v>
      </c>
      <c r="U93" s="55">
        <v>330.57</v>
      </c>
      <c r="V93" s="59">
        <f t="shared" si="8"/>
        <v>5.5094999999999998E-2</v>
      </c>
      <c r="W93" s="2" t="str" cm="1">
        <f t="array" aca="1" ref="W93" ca="1">TRIM(SUBSTITUTE(_xlfn.ARRAYTOTEXT(IFERROR(CONCATENATE(SUMIF(INDIRECT("'"&amp;Assemblies[Assy]&amp;"'!"&amp;"C$5:C1000"), $B93, INDIRECT("'"&amp;Assemblies[Assy]&amp;"'!"&amp;"O$5:O1000")), "x",Assemblies[Assy],".",IF(SUMIF(INDIRECT("'"&amp;Assemblies[Assy]&amp;"'!"&amp;"C$5:C1000"), $B93, INDIRECT("'"&amp;Assemblies[Assy]&amp;"'!"&amp;"A$5:A1000"))=0,NA(),SUMIF(INDIRECT("'"&amp;Assemblies[Assy]&amp;"'!"&amp;"C$5:C1000"), $B93, INDIRECT("'"&amp;Assemblies[Assy]&amp;"'!"&amp;"A$5:A1000")))),"")), " ,", ""))</f>
        <v>, 2x3.1.703,</v>
      </c>
      <c r="X93" s="54">
        <f ca="1">Extrusion[[#This Row],[Length]]*Extrusion[[#This Row],[Total Qty]]</f>
        <v>1961.72</v>
      </c>
      <c r="Y93" s="54">
        <f>Extrusion[[#This Row],[Length]]*Extrusion[[#This Row],[Cut QTY]]</f>
        <v>1961.72</v>
      </c>
      <c r="Z93" s="54">
        <f ca="1">Extrusion[[#This Row],[Required Length]]-Extrusion[[#This Row],[Cut Length]]</f>
        <v>0</v>
      </c>
      <c r="AA93" s="54"/>
    </row>
    <row r="94" spans="1:27" x14ac:dyDescent="0.25">
      <c r="A94" s="143">
        <v>1050</v>
      </c>
      <c r="B94" t="s">
        <v>1326</v>
      </c>
      <c r="C94" t="s">
        <v>3596</v>
      </c>
      <c r="D94" s="157" cm="1">
        <f t="array" aca="1" ref="D94" ca="1">SUMPRODUCT(SUMIF(INDIRECT("'"&amp;Assemblies[Assy]&amp;"'!"&amp;"C:C"),B94,(INDIRECT("'"&amp;Assemblies[Assy]&amp;"'!"&amp;"O:O"))))</f>
        <v>2</v>
      </c>
      <c r="E94">
        <v>2</v>
      </c>
      <c r="F94" t="str">
        <f t="shared" ca="1" si="6"/>
        <v/>
      </c>
      <c r="G94" s="39">
        <f t="shared" si="7"/>
        <v>1</v>
      </c>
      <c r="I94" t="s">
        <v>3595</v>
      </c>
      <c r="P94" s="7">
        <v>1</v>
      </c>
      <c r="Q94" s="7">
        <v>0</v>
      </c>
      <c r="R94" s="7">
        <v>0</v>
      </c>
      <c r="S94" s="54">
        <v>0</v>
      </c>
      <c r="T94" s="2">
        <v>6</v>
      </c>
      <c r="U94" s="55">
        <v>330.57</v>
      </c>
      <c r="V94" s="59">
        <f t="shared" si="8"/>
        <v>5.5094999999999998E-2</v>
      </c>
      <c r="W94" s="2" t="str" cm="1">
        <f t="array" aca="1" ref="W94" ca="1">TRIM(SUBSTITUTE(_xlfn.ARRAYTOTEXT(IFERROR(CONCATENATE(SUMIF(INDIRECT("'"&amp;Assemblies[Assy]&amp;"'!"&amp;"C$5:C1000"), $B94, INDIRECT("'"&amp;Assemblies[Assy]&amp;"'!"&amp;"O$5:O1000")), "x",Assemblies[Assy],".",IF(SUMIF(INDIRECT("'"&amp;Assemblies[Assy]&amp;"'!"&amp;"C$5:C1000"), $B94, INDIRECT("'"&amp;Assemblies[Assy]&amp;"'!"&amp;"A$5:A1000"))=0,NA(),SUMIF(INDIRECT("'"&amp;Assemblies[Assy]&amp;"'!"&amp;"C$5:C1000"), $B94, INDIRECT("'"&amp;Assemblies[Assy]&amp;"'!"&amp;"A$5:A1000")))),"")), " ,", ""))</f>
        <v>, 2x10.1.704,</v>
      </c>
      <c r="X94" s="54">
        <f ca="1">Extrusion[[#This Row],[Length]]*Extrusion[[#This Row],[Total Qty]]</f>
        <v>2100</v>
      </c>
      <c r="Y94" s="54">
        <f>Extrusion[[#This Row],[Length]]*Extrusion[[#This Row],[Cut QTY]]</f>
        <v>2100</v>
      </c>
      <c r="Z94" s="54">
        <f ca="1">Extrusion[[#This Row],[Required Length]]-Extrusion[[#This Row],[Cut Length]]</f>
        <v>0</v>
      </c>
      <c r="AA94" s="54"/>
    </row>
    <row r="95" spans="1:27" x14ac:dyDescent="0.25">
      <c r="A95" s="143">
        <v>107</v>
      </c>
      <c r="B95" t="s">
        <v>1056</v>
      </c>
      <c r="C95" t="s">
        <v>3863</v>
      </c>
      <c r="D95" s="157" cm="1">
        <f t="array" aca="1" ref="D95" ca="1">SUMPRODUCT(SUMIF(INDIRECT("'"&amp;Assemblies[Assy]&amp;"'!"&amp;"C:C"),B95,(INDIRECT("'"&amp;Assemblies[Assy]&amp;"'!"&amp;"O:O"))))</f>
        <v>4</v>
      </c>
      <c r="E95">
        <v>4</v>
      </c>
      <c r="F95" t="str">
        <f t="shared" ca="1" si="6"/>
        <v/>
      </c>
      <c r="G95" s="39">
        <f t="shared" si="7"/>
        <v>1</v>
      </c>
      <c r="I95" t="s">
        <v>3595</v>
      </c>
      <c r="P95" s="7">
        <v>1</v>
      </c>
      <c r="Q95" s="7">
        <v>0</v>
      </c>
      <c r="R95" s="7">
        <v>0</v>
      </c>
      <c r="S95" s="54">
        <v>0</v>
      </c>
      <c r="T95" s="2">
        <v>6</v>
      </c>
      <c r="U95" s="55">
        <v>330.57</v>
      </c>
      <c r="V95" s="59">
        <f t="shared" si="8"/>
        <v>5.5094999999999998E-2</v>
      </c>
      <c r="W95" s="2" t="str" cm="1">
        <f t="array" aca="1" ref="W95" ca="1">TRIM(SUBSTITUTE(_xlfn.ARRAYTOTEXT(IFERROR(CONCATENATE(SUMIF(INDIRECT("'"&amp;Assemblies[Assy]&amp;"'!"&amp;"C$5:C1000"), $B95, INDIRECT("'"&amp;Assemblies[Assy]&amp;"'!"&amp;"O$5:O1000")), "x",Assemblies[Assy],".",IF(SUMIF(INDIRECT("'"&amp;Assemblies[Assy]&amp;"'!"&amp;"C$5:C1000"), $B95, INDIRECT("'"&amp;Assemblies[Assy]&amp;"'!"&amp;"A$5:A1000"))=0,NA(),SUMIF(INDIRECT("'"&amp;Assemblies[Assy]&amp;"'!"&amp;"C$5:C1000"), $B95, INDIRECT("'"&amp;Assemblies[Assy]&amp;"'!"&amp;"A$5:A1000")))),"")), " ,", ""))</f>
        <v>, 4x6.9.704,</v>
      </c>
      <c r="X95" s="54">
        <f ca="1">Extrusion[[#This Row],[Length]]*Extrusion[[#This Row],[Total Qty]]</f>
        <v>428</v>
      </c>
      <c r="Y95" s="54">
        <f>Extrusion[[#This Row],[Length]]*Extrusion[[#This Row],[Cut QTY]]</f>
        <v>428</v>
      </c>
      <c r="Z95" s="54">
        <f ca="1">Extrusion[[#This Row],[Required Length]]-Extrusion[[#This Row],[Cut Length]]</f>
        <v>0</v>
      </c>
      <c r="AA95" s="54"/>
    </row>
    <row r="96" spans="1:27" x14ac:dyDescent="0.25">
      <c r="A96" s="143">
        <v>197.5</v>
      </c>
      <c r="B96" t="s">
        <v>156</v>
      </c>
      <c r="C96" t="s">
        <v>3596</v>
      </c>
      <c r="D96" s="157" cm="1">
        <f t="array" aca="1" ref="D96" ca="1">SUMPRODUCT(SUMIF(INDIRECT("'"&amp;Assemblies[Assy]&amp;"'!"&amp;"C:C"),B96,(INDIRECT("'"&amp;Assemblies[Assy]&amp;"'!"&amp;"O:O"))))</f>
        <v>18</v>
      </c>
      <c r="E96">
        <v>18</v>
      </c>
      <c r="F96" t="str">
        <f t="shared" ca="1" si="6"/>
        <v/>
      </c>
      <c r="G96" s="39">
        <f t="shared" si="7"/>
        <v>1</v>
      </c>
      <c r="I96" t="s">
        <v>3595</v>
      </c>
      <c r="J96" t="s">
        <v>3597</v>
      </c>
      <c r="P96" s="7">
        <v>1</v>
      </c>
      <c r="Q96" s="7">
        <v>0</v>
      </c>
      <c r="R96" s="7">
        <v>0</v>
      </c>
      <c r="S96" s="54">
        <v>0</v>
      </c>
      <c r="T96" s="2">
        <v>6</v>
      </c>
      <c r="U96" s="55">
        <v>330.57</v>
      </c>
      <c r="V96" s="59">
        <f t="shared" si="8"/>
        <v>5.5094999999999998E-2</v>
      </c>
      <c r="W96" s="2" t="str" cm="1">
        <f t="array" aca="1" ref="W96" ca="1">TRIM(SUBSTITUTE(_xlfn.ARRAYTOTEXT(IFERROR(CONCATENATE(SUMIF(INDIRECT("'"&amp;Assemblies[Assy]&amp;"'!"&amp;"C$5:C1000"), $B96, INDIRECT("'"&amp;Assemblies[Assy]&amp;"'!"&amp;"O$5:O1000")), "x",Assemblies[Assy],".",IF(SUMIF(INDIRECT("'"&amp;Assemblies[Assy]&amp;"'!"&amp;"C$5:C1000"), $B96, INDIRECT("'"&amp;Assemblies[Assy]&amp;"'!"&amp;"A$5:A1000"))=0,NA(),SUMIF(INDIRECT("'"&amp;Assemblies[Assy]&amp;"'!"&amp;"C$5:C1000"), $B96, INDIRECT("'"&amp;Assemblies[Assy]&amp;"'!"&amp;"A$5:A1000")))),"")), " ,", ""))</f>
        <v>, 3x1.1.706, 4x2.1.705, 5x3.1.707, 6x4.1.715,</v>
      </c>
      <c r="X96" s="54">
        <f ca="1">Extrusion[[#This Row],[Length]]*Extrusion[[#This Row],[Total Qty]]</f>
        <v>3555</v>
      </c>
      <c r="Y96" s="54">
        <f>Extrusion[[#This Row],[Length]]*Extrusion[[#This Row],[Cut QTY]]</f>
        <v>3555</v>
      </c>
      <c r="Z96" s="54">
        <f ca="1">Extrusion[[#This Row],[Required Length]]-Extrusion[[#This Row],[Cut Length]]</f>
        <v>0</v>
      </c>
      <c r="AA96" s="54"/>
    </row>
    <row r="97" spans="1:27" x14ac:dyDescent="0.25">
      <c r="A97" s="143">
        <v>323.5</v>
      </c>
      <c r="B97" t="s">
        <v>3598</v>
      </c>
      <c r="D97" s="157" cm="1">
        <f t="array" aca="1" ref="D97" ca="1">SUMPRODUCT(SUMIF(INDIRECT("'"&amp;Assemblies[Assy]&amp;"'!"&amp;"C:C"),B97,(INDIRECT("'"&amp;Assemblies[Assy]&amp;"'!"&amp;"O:O"))))</f>
        <v>0</v>
      </c>
      <c r="E97">
        <v>2</v>
      </c>
      <c r="F97" t="str">
        <f t="shared" ca="1" si="6"/>
        <v>YES</v>
      </c>
      <c r="G97" s="39">
        <f t="shared" si="7"/>
        <v>1</v>
      </c>
      <c r="I97" t="s">
        <v>3595</v>
      </c>
      <c r="P97" s="7">
        <v>1</v>
      </c>
      <c r="Q97" s="7">
        <v>0</v>
      </c>
      <c r="R97" s="7">
        <v>0</v>
      </c>
      <c r="S97" s="54">
        <v>0</v>
      </c>
      <c r="T97" s="2">
        <v>6</v>
      </c>
      <c r="U97" s="55">
        <v>330.57</v>
      </c>
      <c r="V97" s="59">
        <f t="shared" si="8"/>
        <v>5.5094999999999998E-2</v>
      </c>
      <c r="W97" s="192" t="str" cm="1">
        <f t="array" aca="1" ref="W97" ca="1">TRIM(SUBSTITUTE(_xlfn.ARRAYTOTEXT(IFERROR(CONCATENATE(SUMIF(INDIRECT("'"&amp;Assemblies[Assy]&amp;"'!"&amp;"C$5:C1000"), $B97, INDIRECT("'"&amp;Assemblies[Assy]&amp;"'!"&amp;"O$5:O1000")), "x",Assemblies[Assy],".",IF(SUMIF(INDIRECT("'"&amp;Assemblies[Assy]&amp;"'!"&amp;"C$5:C1000"), $B97, INDIRECT("'"&amp;Assemblies[Assy]&amp;"'!"&amp;"A$5:A1000"))=0,NA(),SUMIF(INDIRECT("'"&amp;Assemblies[Assy]&amp;"'!"&amp;"C$5:C1000"), $B97, INDIRECT("'"&amp;Assemblies[Assy]&amp;"'!"&amp;"A$5:A1000")))),"")), " ,", ""))</f>
        <v>,</v>
      </c>
      <c r="X97" s="54">
        <f ca="1">Extrusion[[#This Row],[Length]]*Extrusion[[#This Row],[Total Qty]]</f>
        <v>0</v>
      </c>
      <c r="Y97" s="54">
        <f>Extrusion[[#This Row],[Length]]*Extrusion[[#This Row],[Cut QTY]]</f>
        <v>647</v>
      </c>
      <c r="Z97" s="54">
        <f ca="1">Extrusion[[#This Row],[Required Length]]-Extrusion[[#This Row],[Cut Length]]</f>
        <v>-647</v>
      </c>
      <c r="AA97" s="54"/>
    </row>
    <row r="98" spans="1:27" x14ac:dyDescent="0.25">
      <c r="A98" s="143">
        <v>340</v>
      </c>
      <c r="B98" t="s">
        <v>1047</v>
      </c>
      <c r="C98" t="s">
        <v>3596</v>
      </c>
      <c r="D98" s="157" cm="1">
        <f t="array" aca="1" ref="D98" ca="1">SUMPRODUCT(SUMIF(INDIRECT("'"&amp;Assemblies[Assy]&amp;"'!"&amp;"C:C"),B98,(INDIRECT("'"&amp;Assemblies[Assy]&amp;"'!"&amp;"O:O"))))</f>
        <v>4</v>
      </c>
      <c r="E98">
        <v>4</v>
      </c>
      <c r="F98" t="str">
        <f t="shared" ref="F98:F129" ca="1" si="9">IF(D98=E98, "", "YES")</f>
        <v/>
      </c>
      <c r="G98" s="39">
        <f t="shared" ref="G98:G129" si="10">P98+Q98+R98+(65*S98)</f>
        <v>1</v>
      </c>
      <c r="I98" t="s">
        <v>3595</v>
      </c>
      <c r="P98" s="7">
        <v>1</v>
      </c>
      <c r="Q98" s="7">
        <v>0</v>
      </c>
      <c r="R98" s="7">
        <v>0</v>
      </c>
      <c r="S98" s="54">
        <v>0</v>
      </c>
      <c r="T98" s="2">
        <v>6</v>
      </c>
      <c r="U98" s="55">
        <v>330.57</v>
      </c>
      <c r="V98" s="59">
        <f t="shared" ref="V98:V129" si="11">U98/(T98*1000)</f>
        <v>5.5094999999999998E-2</v>
      </c>
      <c r="W98" s="2" t="str" cm="1">
        <f t="array" aca="1" ref="W98" ca="1">TRIM(SUBSTITUTE(_xlfn.ARRAYTOTEXT(IFERROR(CONCATENATE(SUMIF(INDIRECT("'"&amp;Assemblies[Assy]&amp;"'!"&amp;"C$5:C1000"), $B98, INDIRECT("'"&amp;Assemblies[Assy]&amp;"'!"&amp;"O$5:O1000")), "x",Assemblies[Assy],".",IF(SUMIF(INDIRECT("'"&amp;Assemblies[Assy]&amp;"'!"&amp;"C$5:C1000"), $B98, INDIRECT("'"&amp;Assemblies[Assy]&amp;"'!"&amp;"A$5:A1000"))=0,NA(),SUMIF(INDIRECT("'"&amp;Assemblies[Assy]&amp;"'!"&amp;"C$5:C1000"), $B98, INDIRECT("'"&amp;Assemblies[Assy]&amp;"'!"&amp;"A$5:A1000")))),"")), " ,", ""))</f>
        <v>, 4x6.8.705,</v>
      </c>
      <c r="X98" s="54">
        <f ca="1">Extrusion[[#This Row],[Length]]*Extrusion[[#This Row],[Total Qty]]</f>
        <v>1360</v>
      </c>
      <c r="Y98" s="54">
        <f>Extrusion[[#This Row],[Length]]*Extrusion[[#This Row],[Cut QTY]]</f>
        <v>1360</v>
      </c>
      <c r="Z98" s="54">
        <f ca="1">Extrusion[[#This Row],[Required Length]]-Extrusion[[#This Row],[Cut Length]]</f>
        <v>0</v>
      </c>
      <c r="AA98" s="54"/>
    </row>
    <row r="99" spans="1:27" x14ac:dyDescent="0.25">
      <c r="A99" s="143">
        <v>380</v>
      </c>
      <c r="B99" t="s">
        <v>687</v>
      </c>
      <c r="C99" t="s">
        <v>3596</v>
      </c>
      <c r="D99" s="157" cm="1">
        <f t="array" aca="1" ref="D99" ca="1">SUMPRODUCT(SUMIF(INDIRECT("'"&amp;Assemblies[Assy]&amp;"'!"&amp;"C:C"),B99,(INDIRECT("'"&amp;Assemblies[Assy]&amp;"'!"&amp;"O:O"))))</f>
        <v>2</v>
      </c>
      <c r="E99">
        <v>2</v>
      </c>
      <c r="F99" t="str">
        <f t="shared" ca="1" si="9"/>
        <v/>
      </c>
      <c r="G99" s="39">
        <f t="shared" si="10"/>
        <v>1</v>
      </c>
      <c r="I99" t="s">
        <v>3595</v>
      </c>
      <c r="P99" s="7">
        <v>1</v>
      </c>
      <c r="Q99" s="7">
        <v>0</v>
      </c>
      <c r="R99" s="7">
        <v>0</v>
      </c>
      <c r="S99" s="54">
        <v>0</v>
      </c>
      <c r="T99" s="2">
        <v>6</v>
      </c>
      <c r="U99" s="55">
        <v>330.57</v>
      </c>
      <c r="V99" s="59">
        <f t="shared" si="11"/>
        <v>5.5094999999999998E-2</v>
      </c>
      <c r="W99" s="2" t="str" cm="1">
        <f t="array" aca="1" ref="W99" ca="1">TRIM(SUBSTITUTE(_xlfn.ARRAYTOTEXT(IFERROR(CONCATENATE(SUMIF(INDIRECT("'"&amp;Assemblies[Assy]&amp;"'!"&amp;"C$5:C1000"), $B99, INDIRECT("'"&amp;Assemblies[Assy]&amp;"'!"&amp;"O$5:O1000")), "x",Assemblies[Assy],".",IF(SUMIF(INDIRECT("'"&amp;Assemblies[Assy]&amp;"'!"&amp;"C$5:C1000"), $B99, INDIRECT("'"&amp;Assemblies[Assy]&amp;"'!"&amp;"A$5:A1000"))=0,NA(),SUMIF(INDIRECT("'"&amp;Assemblies[Assy]&amp;"'!"&amp;"C$5:C1000"), $B99, INDIRECT("'"&amp;Assemblies[Assy]&amp;"'!"&amp;"A$5:A1000")))),"")), " ,", ""))</f>
        <v>, 2x5.1.701,</v>
      </c>
      <c r="X99" s="54">
        <f ca="1">Extrusion[[#This Row],[Length]]*Extrusion[[#This Row],[Total Qty]]</f>
        <v>760</v>
      </c>
      <c r="Y99" s="54">
        <f>Extrusion[[#This Row],[Length]]*Extrusion[[#This Row],[Cut QTY]]</f>
        <v>760</v>
      </c>
      <c r="Z99" s="54">
        <f ca="1">Extrusion[[#This Row],[Required Length]]-Extrusion[[#This Row],[Cut Length]]</f>
        <v>0</v>
      </c>
      <c r="AA99" s="54"/>
    </row>
    <row r="100" spans="1:27" x14ac:dyDescent="0.25">
      <c r="A100" s="143">
        <v>900</v>
      </c>
      <c r="B100" t="s">
        <v>158</v>
      </c>
      <c r="D100" s="157" cm="1">
        <f t="array" aca="1" ref="D100" ca="1">SUMPRODUCT(SUMIF(INDIRECT("'"&amp;Assemblies[Assy]&amp;"'!"&amp;"C:C"),B100,(INDIRECT("'"&amp;Assemblies[Assy]&amp;"'!"&amp;"O:O"))))</f>
        <v>2</v>
      </c>
      <c r="E100">
        <v>2</v>
      </c>
      <c r="F100" t="str">
        <f t="shared" ca="1" si="9"/>
        <v/>
      </c>
      <c r="G100" s="39">
        <f t="shared" si="10"/>
        <v>1</v>
      </c>
      <c r="I100" t="s">
        <v>3595</v>
      </c>
      <c r="P100" s="7">
        <v>1</v>
      </c>
      <c r="Q100" s="7">
        <v>0</v>
      </c>
      <c r="R100" s="7">
        <v>0</v>
      </c>
      <c r="S100" s="54">
        <v>0</v>
      </c>
      <c r="T100" s="2">
        <v>6</v>
      </c>
      <c r="U100" s="55">
        <v>330.57</v>
      </c>
      <c r="V100" s="59">
        <f t="shared" si="11"/>
        <v>5.5094999999999998E-2</v>
      </c>
      <c r="W100" s="2" t="str" cm="1">
        <f t="array" aca="1" ref="W100" ca="1">TRIM(SUBSTITUTE(_xlfn.ARRAYTOTEXT(IFERROR(CONCATENATE(SUMIF(INDIRECT("'"&amp;Assemblies[Assy]&amp;"'!"&amp;"C$5:C1000"), $B100, INDIRECT("'"&amp;Assemblies[Assy]&amp;"'!"&amp;"O$5:O1000")), "x",Assemblies[Assy],".",IF(SUMIF(INDIRECT("'"&amp;Assemblies[Assy]&amp;"'!"&amp;"C$5:C1000"), $B100, INDIRECT("'"&amp;Assemblies[Assy]&amp;"'!"&amp;"A$5:A1000"))=0,NA(),SUMIF(INDIRECT("'"&amp;Assemblies[Assy]&amp;"'!"&amp;"C$5:C1000"), $B100, INDIRECT("'"&amp;Assemblies[Assy]&amp;"'!"&amp;"A$5:A1000")))),"")), " ,", ""))</f>
        <v>, 2x1.1.708,</v>
      </c>
      <c r="X100" s="54">
        <f ca="1">Extrusion[[#This Row],[Length]]*Extrusion[[#This Row],[Total Qty]]</f>
        <v>1800</v>
      </c>
      <c r="Y100" s="54">
        <f>Extrusion[[#This Row],[Length]]*Extrusion[[#This Row],[Cut QTY]]</f>
        <v>1800</v>
      </c>
      <c r="Z100" s="54">
        <f ca="1">Extrusion[[#This Row],[Required Length]]-Extrusion[[#This Row],[Cut Length]]</f>
        <v>0</v>
      </c>
      <c r="AA100" s="54"/>
    </row>
    <row r="101" spans="1:27" x14ac:dyDescent="0.25">
      <c r="A101" s="143">
        <v>1068</v>
      </c>
      <c r="B101" t="s">
        <v>1337</v>
      </c>
      <c r="C101" t="s">
        <v>3596</v>
      </c>
      <c r="D101" s="157" cm="1">
        <f t="array" aca="1" ref="D101" ca="1">SUMPRODUCT(SUMIF(INDIRECT("'"&amp;Assemblies[Assy]&amp;"'!"&amp;"C:C"),B101,(INDIRECT("'"&amp;Assemblies[Assy]&amp;"'!"&amp;"O:O"))))</f>
        <v>1</v>
      </c>
      <c r="E101">
        <v>1</v>
      </c>
      <c r="F101" t="str">
        <f t="shared" ca="1" si="9"/>
        <v/>
      </c>
      <c r="G101" s="39">
        <f t="shared" si="10"/>
        <v>1</v>
      </c>
      <c r="I101" t="s">
        <v>3595</v>
      </c>
      <c r="P101" s="7">
        <v>1</v>
      </c>
      <c r="Q101" s="7">
        <v>0</v>
      </c>
      <c r="R101" s="7">
        <v>0</v>
      </c>
      <c r="S101" s="54">
        <v>0</v>
      </c>
      <c r="T101" s="2">
        <v>6</v>
      </c>
      <c r="U101" s="55">
        <v>330.57</v>
      </c>
      <c r="V101" s="59">
        <f t="shared" si="11"/>
        <v>5.5094999999999998E-2</v>
      </c>
      <c r="W101" s="2" t="str" cm="1">
        <f t="array" aca="1" ref="W101" ca="1">TRIM(SUBSTITUTE(_xlfn.ARRAYTOTEXT(IFERROR(CONCATENATE(SUMIF(INDIRECT("'"&amp;Assemblies[Assy]&amp;"'!"&amp;"C$5:C1000"), $B101, INDIRECT("'"&amp;Assemblies[Assy]&amp;"'!"&amp;"O$5:O1000")), "x",Assemblies[Assy],".",IF(SUMIF(INDIRECT("'"&amp;Assemblies[Assy]&amp;"'!"&amp;"C$5:C1000"), $B101, INDIRECT("'"&amp;Assemblies[Assy]&amp;"'!"&amp;"A$5:A1000"))=0,NA(),SUMIF(INDIRECT("'"&amp;Assemblies[Assy]&amp;"'!"&amp;"C$5:C1000"), $B101, INDIRECT("'"&amp;Assemblies[Assy]&amp;"'!"&amp;"A$5:A1000")))),"")), " ,", ""))</f>
        <v>, 1x10.1.715,</v>
      </c>
      <c r="X101" s="54">
        <f ca="1">Extrusion[[#This Row],[Length]]*Extrusion[[#This Row],[Total Qty]]</f>
        <v>1068</v>
      </c>
      <c r="Y101" s="54">
        <f>Extrusion[[#This Row],[Length]]*Extrusion[[#This Row],[Cut QTY]]</f>
        <v>1068</v>
      </c>
      <c r="Z101" s="54">
        <f ca="1">Extrusion[[#This Row],[Required Length]]-Extrusion[[#This Row],[Cut Length]]</f>
        <v>0</v>
      </c>
      <c r="AA101" s="54"/>
    </row>
    <row r="102" spans="1:27" x14ac:dyDescent="0.25">
      <c r="A102" s="143">
        <v>1100</v>
      </c>
      <c r="B102" t="s">
        <v>909</v>
      </c>
      <c r="C102" t="s">
        <v>3596</v>
      </c>
      <c r="D102" s="157" cm="1">
        <f t="array" aca="1" ref="D102" ca="1">SUMPRODUCT(SUMIF(INDIRECT("'"&amp;Assemblies[Assy]&amp;"'!"&amp;"C:C"),B102,(INDIRECT("'"&amp;Assemblies[Assy]&amp;"'!"&amp;"O:O"))))</f>
        <v>2</v>
      </c>
      <c r="E102">
        <v>2</v>
      </c>
      <c r="F102" t="str">
        <f t="shared" ca="1" si="9"/>
        <v/>
      </c>
      <c r="G102" s="39">
        <f t="shared" si="10"/>
        <v>1</v>
      </c>
      <c r="I102" t="s">
        <v>3595</v>
      </c>
      <c r="P102" s="7">
        <v>1</v>
      </c>
      <c r="Q102" s="7">
        <v>0</v>
      </c>
      <c r="R102" s="7">
        <v>0</v>
      </c>
      <c r="S102" s="54">
        <v>0</v>
      </c>
      <c r="T102" s="2">
        <v>6</v>
      </c>
      <c r="U102" s="55">
        <v>330.57</v>
      </c>
      <c r="V102" s="59">
        <f t="shared" si="11"/>
        <v>5.5094999999999998E-2</v>
      </c>
      <c r="W102" s="2" t="str" cm="1">
        <f t="array" aca="1" ref="W102" ca="1">TRIM(SUBSTITUTE(_xlfn.ARRAYTOTEXT(IFERROR(CONCATENATE(SUMIF(INDIRECT("'"&amp;Assemblies[Assy]&amp;"'!"&amp;"C$5:C1000"), $B102, INDIRECT("'"&amp;Assemblies[Assy]&amp;"'!"&amp;"O$5:O1000")), "x",Assemblies[Assy],".",IF(SUMIF(INDIRECT("'"&amp;Assemblies[Assy]&amp;"'!"&amp;"C$5:C1000"), $B102, INDIRECT("'"&amp;Assemblies[Assy]&amp;"'!"&amp;"A$5:A1000"))=0,NA(),SUMIF(INDIRECT("'"&amp;Assemblies[Assy]&amp;"'!"&amp;"C$5:C1000"), $B102, INDIRECT("'"&amp;Assemblies[Assy]&amp;"'!"&amp;"A$5:A1000")))),"")), " ,", ""))</f>
        <v>, 2x6.1.706,</v>
      </c>
      <c r="X102" s="54">
        <f ca="1">Extrusion[[#This Row],[Length]]*Extrusion[[#This Row],[Total Qty]]</f>
        <v>2200</v>
      </c>
      <c r="Y102" s="54">
        <f>Extrusion[[#This Row],[Length]]*Extrusion[[#This Row],[Cut QTY]]</f>
        <v>2200</v>
      </c>
      <c r="Z102" s="54">
        <f ca="1">Extrusion[[#This Row],[Required Length]]-Extrusion[[#This Row],[Cut Length]]</f>
        <v>0</v>
      </c>
      <c r="AA102" s="54"/>
    </row>
    <row r="103" spans="1:27" x14ac:dyDescent="0.25">
      <c r="A103" s="143">
        <v>1128</v>
      </c>
      <c r="B103" t="s">
        <v>750</v>
      </c>
      <c r="C103" t="s">
        <v>3596</v>
      </c>
      <c r="D103" s="157" cm="1">
        <f t="array" aca="1" ref="D103" ca="1">SUMPRODUCT(SUMIF(INDIRECT("'"&amp;Assemblies[Assy]&amp;"'!"&amp;"C:C"),B103,(INDIRECT("'"&amp;Assemblies[Assy]&amp;"'!"&amp;"O:O"))))</f>
        <v>4</v>
      </c>
      <c r="E103">
        <v>4</v>
      </c>
      <c r="F103" t="str">
        <f t="shared" ca="1" si="9"/>
        <v/>
      </c>
      <c r="G103" s="39">
        <f t="shared" si="10"/>
        <v>1</v>
      </c>
      <c r="I103" t="s">
        <v>3595</v>
      </c>
      <c r="P103" s="7">
        <v>1</v>
      </c>
      <c r="Q103" s="7">
        <v>0</v>
      </c>
      <c r="R103" s="7">
        <v>0</v>
      </c>
      <c r="S103" s="54">
        <v>0</v>
      </c>
      <c r="T103" s="2">
        <v>6</v>
      </c>
      <c r="U103" s="55">
        <v>330.57</v>
      </c>
      <c r="V103" s="59">
        <f t="shared" si="11"/>
        <v>5.5094999999999998E-2</v>
      </c>
      <c r="W103" s="2" t="str" cm="1">
        <f t="array" aca="1" ref="W103" ca="1">TRIM(SUBSTITUTE(_xlfn.ARRAYTOTEXT(IFERROR(CONCATENATE(SUMIF(INDIRECT("'"&amp;Assemblies[Assy]&amp;"'!"&amp;"C$5:C1000"), $B103, INDIRECT("'"&amp;Assemblies[Assy]&amp;"'!"&amp;"O$5:O1000")), "x",Assemblies[Assy],".",IF(SUMIF(INDIRECT("'"&amp;Assemblies[Assy]&amp;"'!"&amp;"C$5:C1000"), $B103, INDIRECT("'"&amp;Assemblies[Assy]&amp;"'!"&amp;"A$5:A1000"))=0,NA(),SUMIF(INDIRECT("'"&amp;Assemblies[Assy]&amp;"'!"&amp;"C$5:C1000"), $B103, INDIRECT("'"&amp;Assemblies[Assy]&amp;"'!"&amp;"A$5:A1000")))),"")), " ,", ""))</f>
        <v>, 4x5.3.704,</v>
      </c>
      <c r="X103" s="54">
        <f ca="1">Extrusion[[#This Row],[Length]]*Extrusion[[#This Row],[Total Qty]]</f>
        <v>4512</v>
      </c>
      <c r="Y103" s="54">
        <f>Extrusion[[#This Row],[Length]]*Extrusion[[#This Row],[Cut QTY]]</f>
        <v>4512</v>
      </c>
      <c r="Z103" s="54">
        <f ca="1">Extrusion[[#This Row],[Required Length]]-Extrusion[[#This Row],[Cut Length]]</f>
        <v>0</v>
      </c>
      <c r="AA103" s="54"/>
    </row>
    <row r="104" spans="1:27" x14ac:dyDescent="0.25">
      <c r="A104" s="143">
        <v>1200</v>
      </c>
      <c r="B104" t="s">
        <v>910</v>
      </c>
      <c r="C104" t="s">
        <v>3596</v>
      </c>
      <c r="D104" s="157" cm="1">
        <f t="array" aca="1" ref="D104" ca="1">SUMPRODUCT(SUMIF(INDIRECT("'"&amp;Assemblies[Assy]&amp;"'!"&amp;"C:C"),B104,(INDIRECT("'"&amp;Assemblies[Assy]&amp;"'!"&amp;"O:O"))))</f>
        <v>2</v>
      </c>
      <c r="E104">
        <v>2</v>
      </c>
      <c r="F104" t="str">
        <f t="shared" ca="1" si="9"/>
        <v/>
      </c>
      <c r="G104" s="39">
        <f t="shared" si="10"/>
        <v>1</v>
      </c>
      <c r="I104" t="s">
        <v>3595</v>
      </c>
      <c r="P104" s="7">
        <v>1</v>
      </c>
      <c r="Q104" s="7">
        <v>0</v>
      </c>
      <c r="R104" s="7">
        <v>0</v>
      </c>
      <c r="S104" s="54">
        <v>0</v>
      </c>
      <c r="T104" s="2">
        <v>6</v>
      </c>
      <c r="U104" s="55">
        <v>330.57</v>
      </c>
      <c r="V104" s="59">
        <f t="shared" si="11"/>
        <v>5.5094999999999998E-2</v>
      </c>
      <c r="W104" s="2" t="str" cm="1">
        <f t="array" aca="1" ref="W104" ca="1">TRIM(SUBSTITUTE(_xlfn.ARRAYTOTEXT(IFERROR(CONCATENATE(SUMIF(INDIRECT("'"&amp;Assemblies[Assy]&amp;"'!"&amp;"C$5:C1000"), $B104, INDIRECT("'"&amp;Assemblies[Assy]&amp;"'!"&amp;"O$5:O1000")), "x",Assemblies[Assy],".",IF(SUMIF(INDIRECT("'"&amp;Assemblies[Assy]&amp;"'!"&amp;"C$5:C1000"), $B104, INDIRECT("'"&amp;Assemblies[Assy]&amp;"'!"&amp;"A$5:A1000"))=0,NA(),SUMIF(INDIRECT("'"&amp;Assemblies[Assy]&amp;"'!"&amp;"C$5:C1000"), $B104, INDIRECT("'"&amp;Assemblies[Assy]&amp;"'!"&amp;"A$5:A1000")))),"")), " ,", ""))</f>
        <v>, 2x6.1.707,</v>
      </c>
      <c r="X104" s="54">
        <f ca="1">Extrusion[[#This Row],[Length]]*Extrusion[[#This Row],[Total Qty]]</f>
        <v>2400</v>
      </c>
      <c r="Y104" s="54">
        <f>Extrusion[[#This Row],[Length]]*Extrusion[[#This Row],[Cut QTY]]</f>
        <v>2400</v>
      </c>
      <c r="Z104" s="54">
        <f ca="1">Extrusion[[#This Row],[Required Length]]-Extrusion[[#This Row],[Cut Length]]</f>
        <v>0</v>
      </c>
      <c r="AA104" s="54"/>
    </row>
    <row r="105" spans="1:27" x14ac:dyDescent="0.25">
      <c r="A105" s="143">
        <v>1230</v>
      </c>
      <c r="B105" t="s">
        <v>572</v>
      </c>
      <c r="C105" t="s">
        <v>3596</v>
      </c>
      <c r="D105" s="157" cm="1">
        <f t="array" aca="1" ref="D105" ca="1">SUMPRODUCT(SUMIF(INDIRECT("'"&amp;Assemblies[Assy]&amp;"'!"&amp;"C:C"),B105,(INDIRECT("'"&amp;Assemblies[Assy]&amp;"'!"&amp;"O:O"))))</f>
        <v>2</v>
      </c>
      <c r="E105">
        <v>2</v>
      </c>
      <c r="F105" t="str">
        <f t="shared" ca="1" si="9"/>
        <v/>
      </c>
      <c r="G105" s="39">
        <f t="shared" si="10"/>
        <v>1</v>
      </c>
      <c r="I105" t="s">
        <v>3595</v>
      </c>
      <c r="P105" s="7">
        <v>1</v>
      </c>
      <c r="Q105" s="7">
        <v>0</v>
      </c>
      <c r="R105" s="7">
        <v>0</v>
      </c>
      <c r="S105" s="54">
        <v>0</v>
      </c>
      <c r="T105" s="2">
        <v>6</v>
      </c>
      <c r="U105" s="55">
        <v>330.57</v>
      </c>
      <c r="V105" s="59">
        <f t="shared" si="11"/>
        <v>5.5094999999999998E-2</v>
      </c>
      <c r="W105" s="2" t="str" cm="1">
        <f t="array" aca="1" ref="W105" ca="1">TRIM(SUBSTITUTE(_xlfn.ARRAYTOTEXT(IFERROR(CONCATENATE(SUMIF(INDIRECT("'"&amp;Assemblies[Assy]&amp;"'!"&amp;"C$5:C1000"), $B105, INDIRECT("'"&amp;Assemblies[Assy]&amp;"'!"&amp;"O$5:O1000")), "x",Assemblies[Assy],".",IF(SUMIF(INDIRECT("'"&amp;Assemblies[Assy]&amp;"'!"&amp;"C$5:C1000"), $B105, INDIRECT("'"&amp;Assemblies[Assy]&amp;"'!"&amp;"A$5:A1000"))=0,NA(),SUMIF(INDIRECT("'"&amp;Assemblies[Assy]&amp;"'!"&amp;"C$5:C1000"), $B105, INDIRECT("'"&amp;Assemblies[Assy]&amp;"'!"&amp;"A$5:A1000")))),"")), " ,", ""))</f>
        <v>, 2x4.2.702,</v>
      </c>
      <c r="X105" s="54">
        <f ca="1">Extrusion[[#This Row],[Length]]*Extrusion[[#This Row],[Total Qty]]</f>
        <v>2460</v>
      </c>
      <c r="Y105" s="54">
        <f>Extrusion[[#This Row],[Length]]*Extrusion[[#This Row],[Cut QTY]]</f>
        <v>2460</v>
      </c>
      <c r="Z105" s="54">
        <f ca="1">Extrusion[[#This Row],[Required Length]]-Extrusion[[#This Row],[Cut Length]]</f>
        <v>0</v>
      </c>
      <c r="AA105" s="54"/>
    </row>
    <row r="106" spans="1:27" x14ac:dyDescent="0.25">
      <c r="A106" s="143">
        <v>1294</v>
      </c>
      <c r="B106" t="s">
        <v>398</v>
      </c>
      <c r="C106" t="s">
        <v>3596</v>
      </c>
      <c r="D106" s="157" cm="1">
        <f t="array" aca="1" ref="D106" ca="1">SUMPRODUCT(SUMIF(INDIRECT("'"&amp;Assemblies[Assy]&amp;"'!"&amp;"C:C"),B106,(INDIRECT("'"&amp;Assemblies[Assy]&amp;"'!"&amp;"O:O"))))</f>
        <v>20</v>
      </c>
      <c r="E106">
        <v>20</v>
      </c>
      <c r="F106" t="str">
        <f t="shared" ca="1" si="9"/>
        <v/>
      </c>
      <c r="G106" s="39">
        <f t="shared" si="10"/>
        <v>1</v>
      </c>
      <c r="I106" t="s">
        <v>3595</v>
      </c>
      <c r="P106" s="7">
        <v>1</v>
      </c>
      <c r="Q106" s="7">
        <v>0</v>
      </c>
      <c r="R106" s="7">
        <v>0</v>
      </c>
      <c r="S106" s="54">
        <v>0</v>
      </c>
      <c r="T106" s="2">
        <v>6</v>
      </c>
      <c r="U106" s="55">
        <v>330.57</v>
      </c>
      <c r="V106" s="59">
        <f t="shared" si="11"/>
        <v>5.5094999999999998E-2</v>
      </c>
      <c r="W106" s="2" t="str" cm="1">
        <f t="array" aca="1" ref="W106" ca="1">TRIM(SUBSTITUTE(_xlfn.ARRAYTOTEXT(IFERROR(CONCATENATE(SUMIF(INDIRECT("'"&amp;Assemblies[Assy]&amp;"'!"&amp;"C$5:C1000"), $B106, INDIRECT("'"&amp;Assemblies[Assy]&amp;"'!"&amp;"O$5:O1000")), "x",Assemblies[Assy],".",IF(SUMIF(INDIRECT("'"&amp;Assemblies[Assy]&amp;"'!"&amp;"C$5:C1000"), $B106, INDIRECT("'"&amp;Assemblies[Assy]&amp;"'!"&amp;"A$5:A1000"))=0,NA(),SUMIF(INDIRECT("'"&amp;Assemblies[Assy]&amp;"'!"&amp;"C$5:C1000"), $B106, INDIRECT("'"&amp;Assemblies[Assy]&amp;"'!"&amp;"A$5:A1000")))),"")), " ,", ""))</f>
        <v>, 6x2.2.701, 8x3.2.701, 6x4.2.701,</v>
      </c>
      <c r="X106" s="54">
        <f ca="1">Extrusion[[#This Row],[Length]]*Extrusion[[#This Row],[Total Qty]]</f>
        <v>25880</v>
      </c>
      <c r="Y106" s="54">
        <f>Extrusion[[#This Row],[Length]]*Extrusion[[#This Row],[Cut QTY]]</f>
        <v>25880</v>
      </c>
      <c r="Z106" s="54">
        <f ca="1">Extrusion[[#This Row],[Required Length]]-Extrusion[[#This Row],[Cut Length]]</f>
        <v>0</v>
      </c>
      <c r="AA106" s="54"/>
    </row>
    <row r="107" spans="1:27" x14ac:dyDescent="0.25">
      <c r="A107" s="143">
        <v>1355</v>
      </c>
      <c r="B107" t="s">
        <v>749</v>
      </c>
      <c r="C107" t="s">
        <v>3596</v>
      </c>
      <c r="D107" s="157" cm="1">
        <f t="array" aca="1" ref="D107" ca="1">SUMPRODUCT(SUMIF(INDIRECT("'"&amp;Assemblies[Assy]&amp;"'!"&amp;"C:C"),B107,(INDIRECT("'"&amp;Assemblies[Assy]&amp;"'!"&amp;"O:O"))))</f>
        <v>5</v>
      </c>
      <c r="E107">
        <v>5</v>
      </c>
      <c r="F107" t="str">
        <f t="shared" ca="1" si="9"/>
        <v/>
      </c>
      <c r="G107" s="39">
        <f t="shared" si="10"/>
        <v>1</v>
      </c>
      <c r="I107" t="s">
        <v>3595</v>
      </c>
      <c r="P107" s="7">
        <v>1</v>
      </c>
      <c r="Q107" s="7">
        <v>0</v>
      </c>
      <c r="R107" s="7">
        <v>0</v>
      </c>
      <c r="S107" s="54">
        <v>0</v>
      </c>
      <c r="T107" s="2">
        <v>6</v>
      </c>
      <c r="U107" s="55">
        <v>330.57</v>
      </c>
      <c r="V107" s="59">
        <f t="shared" si="11"/>
        <v>5.5094999999999998E-2</v>
      </c>
      <c r="W107" s="2" t="str" cm="1">
        <f t="array" aca="1" ref="W107" ca="1">TRIM(SUBSTITUTE(_xlfn.ARRAYTOTEXT(IFERROR(CONCATENATE(SUMIF(INDIRECT("'"&amp;Assemblies[Assy]&amp;"'!"&amp;"C$5:C1000"), $B107, INDIRECT("'"&amp;Assemblies[Assy]&amp;"'!"&amp;"O$5:O1000")), "x",Assemblies[Assy],".",IF(SUMIF(INDIRECT("'"&amp;Assemblies[Assy]&amp;"'!"&amp;"C$5:C1000"), $B107, INDIRECT("'"&amp;Assemblies[Assy]&amp;"'!"&amp;"A$5:A1000"))=0,NA(),SUMIF(INDIRECT("'"&amp;Assemblies[Assy]&amp;"'!"&amp;"C$5:C1000"), $B107, INDIRECT("'"&amp;Assemblies[Assy]&amp;"'!"&amp;"A$5:A1000")))),"")), " ,", ""))</f>
        <v>, 3x5.3.702, 2x6.1.708,</v>
      </c>
      <c r="X107" s="54">
        <f ca="1">Extrusion[[#This Row],[Length]]*Extrusion[[#This Row],[Total Qty]]</f>
        <v>6775</v>
      </c>
      <c r="Y107" s="54">
        <f>Extrusion[[#This Row],[Length]]*Extrusion[[#This Row],[Cut QTY]]</f>
        <v>6775</v>
      </c>
      <c r="Z107" s="54">
        <f ca="1">Extrusion[[#This Row],[Required Length]]-Extrusion[[#This Row],[Cut Length]]</f>
        <v>0</v>
      </c>
      <c r="AA107" s="54"/>
    </row>
    <row r="108" spans="1:27" x14ac:dyDescent="0.25">
      <c r="A108" s="143">
        <v>1428</v>
      </c>
      <c r="B108" t="s">
        <v>1332</v>
      </c>
      <c r="C108" t="s">
        <v>3596</v>
      </c>
      <c r="D108" s="157" cm="1">
        <f t="array" aca="1" ref="D108" ca="1">SUMPRODUCT(SUMIF(INDIRECT("'"&amp;Assemblies[Assy]&amp;"'!"&amp;"C:C"),B108,(INDIRECT("'"&amp;Assemblies[Assy]&amp;"'!"&amp;"O:O"))))</f>
        <v>5</v>
      </c>
      <c r="E108">
        <v>5</v>
      </c>
      <c r="F108" t="str">
        <f t="shared" ca="1" si="9"/>
        <v/>
      </c>
      <c r="G108" s="39">
        <f t="shared" si="10"/>
        <v>1</v>
      </c>
      <c r="I108" t="s">
        <v>3595</v>
      </c>
      <c r="P108" s="7">
        <v>1</v>
      </c>
      <c r="Q108" s="7">
        <v>0</v>
      </c>
      <c r="R108" s="7">
        <v>0</v>
      </c>
      <c r="S108" s="54">
        <v>0</v>
      </c>
      <c r="T108" s="2">
        <v>6</v>
      </c>
      <c r="U108" s="55">
        <v>330.57</v>
      </c>
      <c r="V108" s="59">
        <f t="shared" si="11"/>
        <v>5.5094999999999998E-2</v>
      </c>
      <c r="W108" s="2" t="str" cm="1">
        <f t="array" aca="1" ref="W108" ca="1">TRIM(SUBSTITUTE(_xlfn.ARRAYTOTEXT(IFERROR(CONCATENATE(SUMIF(INDIRECT("'"&amp;Assemblies[Assy]&amp;"'!"&amp;"C$5:C1000"), $B108, INDIRECT("'"&amp;Assemblies[Assy]&amp;"'!"&amp;"O$5:O1000")), "x",Assemblies[Assy],".",IF(SUMIF(INDIRECT("'"&amp;Assemblies[Assy]&amp;"'!"&amp;"C$5:C1000"), $B108, INDIRECT("'"&amp;Assemblies[Assy]&amp;"'!"&amp;"A$5:A1000"))=0,NA(),SUMIF(INDIRECT("'"&amp;Assemblies[Assy]&amp;"'!"&amp;"C$5:C1000"), $B108, INDIRECT("'"&amp;Assemblies[Assy]&amp;"'!"&amp;"A$5:A1000")))),"")), " ,", ""))</f>
        <v>, 5x10.1.710,</v>
      </c>
      <c r="X108" s="54">
        <f ca="1">Extrusion[[#This Row],[Length]]*Extrusion[[#This Row],[Total Qty]]</f>
        <v>7140</v>
      </c>
      <c r="Y108" s="54">
        <f>Extrusion[[#This Row],[Length]]*Extrusion[[#This Row],[Cut QTY]]</f>
        <v>7140</v>
      </c>
      <c r="Z108" s="54">
        <f ca="1">Extrusion[[#This Row],[Required Length]]-Extrusion[[#This Row],[Cut Length]]</f>
        <v>0</v>
      </c>
      <c r="AA108" s="54"/>
    </row>
    <row r="109" spans="1:27" x14ac:dyDescent="0.25">
      <c r="A109" s="143">
        <v>1499</v>
      </c>
      <c r="B109" t="s">
        <v>1119</v>
      </c>
      <c r="C109" t="s">
        <v>3596</v>
      </c>
      <c r="D109" s="157" cm="1">
        <f t="array" aca="1" ref="D109" ca="1">SUMPRODUCT(SUMIF(INDIRECT("'"&amp;Assemblies[Assy]&amp;"'!"&amp;"C:C"),B109,(INDIRECT("'"&amp;Assemblies[Assy]&amp;"'!"&amp;"O:O"))))</f>
        <v>2</v>
      </c>
      <c r="E109">
        <v>2</v>
      </c>
      <c r="F109" t="str">
        <f t="shared" ca="1" si="9"/>
        <v/>
      </c>
      <c r="G109" s="39">
        <f t="shared" si="10"/>
        <v>1</v>
      </c>
      <c r="I109" t="s">
        <v>3595</v>
      </c>
      <c r="P109" s="7">
        <v>1</v>
      </c>
      <c r="Q109" s="7">
        <v>0</v>
      </c>
      <c r="R109" s="7">
        <v>0</v>
      </c>
      <c r="S109" s="54">
        <v>0</v>
      </c>
      <c r="T109" s="2">
        <v>6</v>
      </c>
      <c r="U109" s="55">
        <v>330.57</v>
      </c>
      <c r="V109" s="59">
        <f t="shared" si="11"/>
        <v>5.5094999999999998E-2</v>
      </c>
      <c r="W109" s="2" t="str" cm="1">
        <f t="array" aca="1" ref="W109" ca="1">TRIM(SUBSTITUTE(_xlfn.ARRAYTOTEXT(IFERROR(CONCATENATE(SUMIF(INDIRECT("'"&amp;Assemblies[Assy]&amp;"'!"&amp;"C$5:C1000"), $B109, INDIRECT("'"&amp;Assemblies[Assy]&amp;"'!"&amp;"O$5:O1000")), "x",Assemblies[Assy],".",IF(SUMIF(INDIRECT("'"&amp;Assemblies[Assy]&amp;"'!"&amp;"C$5:C1000"), $B109, INDIRECT("'"&amp;Assemblies[Assy]&amp;"'!"&amp;"A$5:A1000"))=0,NA(),SUMIF(INDIRECT("'"&amp;Assemblies[Assy]&amp;"'!"&amp;"C$5:C1000"), $B109, INDIRECT("'"&amp;Assemblies[Assy]&amp;"'!"&amp;"A$5:A1000")))),"")), " ,", ""))</f>
        <v>, 2x7.1.707,</v>
      </c>
      <c r="X109" s="54">
        <f ca="1">Extrusion[[#This Row],[Length]]*Extrusion[[#This Row],[Total Qty]]</f>
        <v>2998</v>
      </c>
      <c r="Y109" s="54">
        <f>Extrusion[[#This Row],[Length]]*Extrusion[[#This Row],[Cut QTY]]</f>
        <v>2998</v>
      </c>
      <c r="Z109" s="54">
        <f ca="1">Extrusion[[#This Row],[Required Length]]-Extrusion[[#This Row],[Cut Length]]</f>
        <v>0</v>
      </c>
      <c r="AA109" s="54"/>
    </row>
    <row r="110" spans="1:27" x14ac:dyDescent="0.25">
      <c r="A110" s="143">
        <v>1680</v>
      </c>
      <c r="B110" t="s">
        <v>160</v>
      </c>
      <c r="C110" t="s">
        <v>3596</v>
      </c>
      <c r="D110" s="157" cm="1">
        <f t="array" aca="1" ref="D110" ca="1">SUMPRODUCT(SUMIF(INDIRECT("'"&amp;Assemblies[Assy]&amp;"'!"&amp;"C:C"),B110,(INDIRECT("'"&amp;Assemblies[Assy]&amp;"'!"&amp;"O:O"))))</f>
        <v>34</v>
      </c>
      <c r="E110">
        <v>34</v>
      </c>
      <c r="F110" t="str">
        <f t="shared" ca="1" si="9"/>
        <v/>
      </c>
      <c r="G110" s="39">
        <f t="shared" si="10"/>
        <v>1</v>
      </c>
      <c r="I110" t="s">
        <v>3595</v>
      </c>
      <c r="P110" s="7">
        <v>1</v>
      </c>
      <c r="Q110" s="7">
        <v>0</v>
      </c>
      <c r="R110" s="7">
        <v>0</v>
      </c>
      <c r="S110" s="54">
        <v>0</v>
      </c>
      <c r="T110" s="2">
        <v>6</v>
      </c>
      <c r="U110" s="55">
        <v>187.59</v>
      </c>
      <c r="V110" s="59">
        <f t="shared" si="11"/>
        <v>3.1265000000000001E-2</v>
      </c>
      <c r="W110" s="2" t="str" cm="1">
        <f t="array" aca="1" ref="W110" ca="1">TRIM(SUBSTITUTE(_xlfn.ARRAYTOTEXT(IFERROR(CONCATENATE(SUMIF(INDIRECT("'"&amp;Assemblies[Assy]&amp;"'!"&amp;"C$5:C1000"), $B110, INDIRECT("'"&amp;Assemblies[Assy]&amp;"'!"&amp;"O$5:O1000")), "x",Assemblies[Assy],".",IF(SUMIF(INDIRECT("'"&amp;Assemblies[Assy]&amp;"'!"&amp;"C$5:C1000"), $B110, INDIRECT("'"&amp;Assemblies[Assy]&amp;"'!"&amp;"A$5:A1000"))=0,NA(),SUMIF(INDIRECT("'"&amp;Assemblies[Assy]&amp;"'!"&amp;"C$5:C1000"), $B110, INDIRECT("'"&amp;Assemblies[Assy]&amp;"'!"&amp;"A$5:A1000")))),"")), " ,", ""))</f>
        <v>, 7x1.1.710, 3x2.1.702, 3x2.2.702, 4x3.1.701, 4x3.2.702, 9x4.1.703, 4x4.2.703,</v>
      </c>
      <c r="X110" s="54">
        <f ca="1">Extrusion[[#This Row],[Length]]*Extrusion[[#This Row],[Total Qty]]</f>
        <v>57120</v>
      </c>
      <c r="Y110" s="54">
        <f>Extrusion[[#This Row],[Length]]*Extrusion[[#This Row],[Cut QTY]]</f>
        <v>57120</v>
      </c>
      <c r="Z110" s="54">
        <f ca="1">Extrusion[[#This Row],[Required Length]]-Extrusion[[#This Row],[Cut Length]]</f>
        <v>0</v>
      </c>
      <c r="AA110" s="54"/>
    </row>
    <row r="111" spans="1:27" x14ac:dyDescent="0.25">
      <c r="A111" s="143">
        <v>1930</v>
      </c>
      <c r="B111" t="s">
        <v>1333</v>
      </c>
      <c r="C111" t="s">
        <v>3596</v>
      </c>
      <c r="D111" s="157" cm="1">
        <f t="array" aca="1" ref="D111" ca="1">SUMPRODUCT(SUMIF(INDIRECT("'"&amp;Assemblies[Assy]&amp;"'!"&amp;"C:C"),B111,(INDIRECT("'"&amp;Assemblies[Assy]&amp;"'!"&amp;"O:O"))))</f>
        <v>2</v>
      </c>
      <c r="E111">
        <v>2</v>
      </c>
      <c r="F111" t="str">
        <f t="shared" ca="1" si="9"/>
        <v/>
      </c>
      <c r="G111" s="39">
        <f t="shared" si="10"/>
        <v>1</v>
      </c>
      <c r="I111" t="s">
        <v>3595</v>
      </c>
      <c r="P111" s="7">
        <v>1</v>
      </c>
      <c r="Q111" s="7">
        <v>0</v>
      </c>
      <c r="R111" s="7">
        <v>0</v>
      </c>
      <c r="S111" s="54">
        <v>0</v>
      </c>
      <c r="T111" s="2">
        <v>6</v>
      </c>
      <c r="U111" s="55">
        <v>330.57</v>
      </c>
      <c r="V111" s="59">
        <f t="shared" si="11"/>
        <v>5.5094999999999998E-2</v>
      </c>
      <c r="W111" s="2" t="str" cm="1">
        <f t="array" aca="1" ref="W111" ca="1">TRIM(SUBSTITUTE(_xlfn.ARRAYTOTEXT(IFERROR(CONCATENATE(SUMIF(INDIRECT("'"&amp;Assemblies[Assy]&amp;"'!"&amp;"C$5:C1000"), $B111, INDIRECT("'"&amp;Assemblies[Assy]&amp;"'!"&amp;"O$5:O1000")), "x",Assemblies[Assy],".",IF(SUMIF(INDIRECT("'"&amp;Assemblies[Assy]&amp;"'!"&amp;"C$5:C1000"), $B111, INDIRECT("'"&amp;Assemblies[Assy]&amp;"'!"&amp;"A$5:A1000"))=0,NA(),SUMIF(INDIRECT("'"&amp;Assemblies[Assy]&amp;"'!"&amp;"C$5:C1000"), $B111, INDIRECT("'"&amp;Assemblies[Assy]&amp;"'!"&amp;"A$5:A1000")))),"")), " ,", ""))</f>
        <v>, 2x10.1.711,</v>
      </c>
      <c r="X111" s="54">
        <f ca="1">Extrusion[[#This Row],[Length]]*Extrusion[[#This Row],[Total Qty]]</f>
        <v>3860</v>
      </c>
      <c r="Y111" s="54">
        <f>Extrusion[[#This Row],[Length]]*Extrusion[[#This Row],[Cut QTY]]</f>
        <v>3860</v>
      </c>
      <c r="Z111" s="54">
        <f ca="1">Extrusion[[#This Row],[Required Length]]-Extrusion[[#This Row],[Cut Length]]</f>
        <v>0</v>
      </c>
      <c r="AA111" s="54"/>
    </row>
    <row r="112" spans="1:27" x14ac:dyDescent="0.25">
      <c r="A112" s="143">
        <v>2119</v>
      </c>
      <c r="B112" t="s">
        <v>161</v>
      </c>
      <c r="C112" t="s">
        <v>3596</v>
      </c>
      <c r="D112" s="157" cm="1">
        <f t="array" aca="1" ref="D112" ca="1">SUMPRODUCT(SUMIF(INDIRECT("'"&amp;Assemblies[Assy]&amp;"'!"&amp;"C:C"),B112,(INDIRECT("'"&amp;Assemblies[Assy]&amp;"'!"&amp;"O:O"))))</f>
        <v>8</v>
      </c>
      <c r="E112">
        <v>8</v>
      </c>
      <c r="F112" t="str">
        <f t="shared" ca="1" si="9"/>
        <v/>
      </c>
      <c r="G112" s="39">
        <f t="shared" si="10"/>
        <v>1</v>
      </c>
      <c r="I112" t="s">
        <v>3595</v>
      </c>
      <c r="P112" s="7">
        <v>1</v>
      </c>
      <c r="Q112" s="7">
        <v>0</v>
      </c>
      <c r="R112" s="7">
        <v>0</v>
      </c>
      <c r="S112" s="54">
        <v>0</v>
      </c>
      <c r="T112" s="2">
        <v>6</v>
      </c>
      <c r="U112" s="55">
        <v>330.57</v>
      </c>
      <c r="V112" s="59">
        <f t="shared" si="11"/>
        <v>5.5094999999999998E-2</v>
      </c>
      <c r="W112" s="2" t="str" cm="1">
        <f t="array" aca="1" ref="W112" ca="1">TRIM(SUBSTITUTE(_xlfn.ARRAYTOTEXT(IFERROR(CONCATENATE(SUMIF(INDIRECT("'"&amp;Assemblies[Assy]&amp;"'!"&amp;"C$5:C1000"), $B112, INDIRECT("'"&amp;Assemblies[Assy]&amp;"'!"&amp;"O$5:O1000")), "x",Assemblies[Assy],".",IF(SUMIF(INDIRECT("'"&amp;Assemblies[Assy]&amp;"'!"&amp;"C$5:C1000"), $B112, INDIRECT("'"&amp;Assemblies[Assy]&amp;"'!"&amp;"A$5:A1000"))=0,NA(),SUMIF(INDIRECT("'"&amp;Assemblies[Assy]&amp;"'!"&amp;"C$5:C1000"), $B112, INDIRECT("'"&amp;Assemblies[Assy]&amp;"'!"&amp;"A$5:A1000")))),"")), " ,", ""))</f>
        <v>, 6x1.1.711, 2x4.1.713,</v>
      </c>
      <c r="X112" s="54">
        <f ca="1">Extrusion[[#This Row],[Length]]*Extrusion[[#This Row],[Total Qty]]</f>
        <v>16952</v>
      </c>
      <c r="Y112" s="54">
        <f>Extrusion[[#This Row],[Length]]*Extrusion[[#This Row],[Cut QTY]]</f>
        <v>16952</v>
      </c>
      <c r="Z112" s="54">
        <f ca="1">Extrusion[[#This Row],[Required Length]]-Extrusion[[#This Row],[Cut Length]]</f>
        <v>0</v>
      </c>
      <c r="AA112" s="54"/>
    </row>
    <row r="113" spans="1:27" x14ac:dyDescent="0.25">
      <c r="A113" s="143">
        <v>215</v>
      </c>
      <c r="B113" t="s">
        <v>906</v>
      </c>
      <c r="C113" t="s">
        <v>3596</v>
      </c>
      <c r="D113" s="157" cm="1">
        <f t="array" aca="1" ref="D113" ca="1">SUMPRODUCT(SUMIF(INDIRECT("'"&amp;Assemblies[Assy]&amp;"'!"&amp;"C:C"),B113,(INDIRECT("'"&amp;Assemblies[Assy]&amp;"'!"&amp;"O:O"))))</f>
        <v>2</v>
      </c>
      <c r="E113">
        <v>2</v>
      </c>
      <c r="F113" t="str">
        <f t="shared" ca="1" si="9"/>
        <v/>
      </c>
      <c r="G113" s="39">
        <f t="shared" si="10"/>
        <v>1</v>
      </c>
      <c r="I113" t="s">
        <v>3595</v>
      </c>
      <c r="P113" s="7">
        <v>1</v>
      </c>
      <c r="Q113" s="7">
        <v>0</v>
      </c>
      <c r="R113" s="7">
        <v>0</v>
      </c>
      <c r="S113" s="54">
        <v>0</v>
      </c>
      <c r="T113" s="2">
        <v>6</v>
      </c>
      <c r="U113" s="55">
        <v>330.57</v>
      </c>
      <c r="V113" s="59">
        <f t="shared" si="11"/>
        <v>5.5094999999999998E-2</v>
      </c>
      <c r="W113" s="2" t="str" cm="1">
        <f t="array" aca="1" ref="W113" ca="1">TRIM(SUBSTITUTE(_xlfn.ARRAYTOTEXT(IFERROR(CONCATENATE(SUMIF(INDIRECT("'"&amp;Assemblies[Assy]&amp;"'!"&amp;"C$5:C1000"), $B113, INDIRECT("'"&amp;Assemblies[Assy]&amp;"'!"&amp;"O$5:O1000")), "x",Assemblies[Assy],".",IF(SUMIF(INDIRECT("'"&amp;Assemblies[Assy]&amp;"'!"&amp;"C$5:C1000"), $B113, INDIRECT("'"&amp;Assemblies[Assy]&amp;"'!"&amp;"A$5:A1000"))=0,NA(),SUMIF(INDIRECT("'"&amp;Assemblies[Assy]&amp;"'!"&amp;"C$5:C1000"), $B113, INDIRECT("'"&amp;Assemblies[Assy]&amp;"'!"&amp;"A$5:A1000")))),"")), " ,", ""))</f>
        <v>, 2x6.1.702,</v>
      </c>
      <c r="X113" s="54">
        <f ca="1">Extrusion[[#This Row],[Length]]*Extrusion[[#This Row],[Total Qty]]</f>
        <v>430</v>
      </c>
      <c r="Y113" s="54">
        <f>Extrusion[[#This Row],[Length]]*Extrusion[[#This Row],[Cut QTY]]</f>
        <v>430</v>
      </c>
      <c r="Z113" s="54">
        <f ca="1">Extrusion[[#This Row],[Required Length]]-Extrusion[[#This Row],[Cut Length]]</f>
        <v>0</v>
      </c>
      <c r="AA113" s="54"/>
    </row>
    <row r="114" spans="1:27" x14ac:dyDescent="0.25">
      <c r="A114" s="143">
        <v>2242</v>
      </c>
      <c r="B114" t="s">
        <v>534</v>
      </c>
      <c r="C114" t="s">
        <v>3596</v>
      </c>
      <c r="D114" s="157" cm="1">
        <f t="array" aca="1" ref="D114" ca="1">SUMPRODUCT(SUMIF(INDIRECT("'"&amp;Assemblies[Assy]&amp;"'!"&amp;"C:C"),B114,(INDIRECT("'"&amp;Assemblies[Assy]&amp;"'!"&amp;"O:O"))))</f>
        <v>2</v>
      </c>
      <c r="E114">
        <v>2</v>
      </c>
      <c r="F114" t="str">
        <f t="shared" ca="1" si="9"/>
        <v/>
      </c>
      <c r="G114" s="39">
        <f t="shared" si="10"/>
        <v>1</v>
      </c>
      <c r="I114" t="s">
        <v>3595</v>
      </c>
      <c r="P114" s="7">
        <v>1</v>
      </c>
      <c r="Q114" s="7">
        <v>0</v>
      </c>
      <c r="R114" s="7">
        <v>0</v>
      </c>
      <c r="S114" s="54">
        <v>0</v>
      </c>
      <c r="T114" s="2">
        <v>6</v>
      </c>
      <c r="U114" s="55">
        <v>330.57</v>
      </c>
      <c r="V114" s="59">
        <f t="shared" si="11"/>
        <v>5.5094999999999998E-2</v>
      </c>
      <c r="W114" s="2" t="str" cm="1">
        <f t="array" aca="1" ref="W114" ca="1">TRIM(SUBSTITUTE(_xlfn.ARRAYTOTEXT(IFERROR(CONCATENATE(SUMIF(INDIRECT("'"&amp;Assemblies[Assy]&amp;"'!"&amp;"C$5:C1000"), $B114, INDIRECT("'"&amp;Assemblies[Assy]&amp;"'!"&amp;"O$5:O1000")), "x",Assemblies[Assy],".",IF(SUMIF(INDIRECT("'"&amp;Assemblies[Assy]&amp;"'!"&amp;"C$5:C1000"), $B114, INDIRECT("'"&amp;Assemblies[Assy]&amp;"'!"&amp;"A$5:A1000"))=0,NA(),SUMIF(INDIRECT("'"&amp;Assemblies[Assy]&amp;"'!"&amp;"C$5:C1000"), $B114, INDIRECT("'"&amp;Assemblies[Assy]&amp;"'!"&amp;"A$5:A1000")))),"")), " ,", ""))</f>
        <v>, 2x4.1.707,</v>
      </c>
      <c r="X114" s="54">
        <f ca="1">Extrusion[[#This Row],[Length]]*Extrusion[[#This Row],[Total Qty]]</f>
        <v>4484</v>
      </c>
      <c r="Y114" s="54">
        <f>Extrusion[[#This Row],[Length]]*Extrusion[[#This Row],[Cut QTY]]</f>
        <v>4484</v>
      </c>
      <c r="Z114" s="54">
        <f ca="1">Extrusion[[#This Row],[Required Length]]-Extrusion[[#This Row],[Cut Length]]</f>
        <v>0</v>
      </c>
      <c r="AA114" s="54"/>
    </row>
    <row r="115" spans="1:27" x14ac:dyDescent="0.25">
      <c r="A115" s="143">
        <v>235</v>
      </c>
      <c r="B115" t="s">
        <v>533</v>
      </c>
      <c r="C115" t="s">
        <v>3596</v>
      </c>
      <c r="D115" s="157" cm="1">
        <f t="array" aca="1" ref="D115" ca="1">SUMPRODUCT(SUMIF(INDIRECT("'"&amp;Assemblies[Assy]&amp;"'!"&amp;"C:C"),B115,(INDIRECT("'"&amp;Assemblies[Assy]&amp;"'!"&amp;"O:O"))))</f>
        <v>2</v>
      </c>
      <c r="E115">
        <v>2</v>
      </c>
      <c r="F115" t="str">
        <f t="shared" ca="1" si="9"/>
        <v/>
      </c>
      <c r="G115" s="39">
        <f t="shared" si="10"/>
        <v>1</v>
      </c>
      <c r="I115" t="s">
        <v>3595</v>
      </c>
      <c r="P115" s="7">
        <v>1</v>
      </c>
      <c r="Q115" s="7">
        <v>0</v>
      </c>
      <c r="R115" s="7">
        <v>0</v>
      </c>
      <c r="S115" s="54">
        <v>0</v>
      </c>
      <c r="T115" s="2">
        <v>6</v>
      </c>
      <c r="U115" s="55">
        <v>330.57</v>
      </c>
      <c r="V115" s="59">
        <f t="shared" si="11"/>
        <v>5.5094999999999998E-2</v>
      </c>
      <c r="W115" s="2" t="str" cm="1">
        <f t="array" aca="1" ref="W115" ca="1">TRIM(SUBSTITUTE(_xlfn.ARRAYTOTEXT(IFERROR(CONCATENATE(SUMIF(INDIRECT("'"&amp;Assemblies[Assy]&amp;"'!"&amp;"C$5:C1000"), $B115, INDIRECT("'"&amp;Assemblies[Assy]&amp;"'!"&amp;"O$5:O1000")), "x",Assemblies[Assy],".",IF(SUMIF(INDIRECT("'"&amp;Assemblies[Assy]&amp;"'!"&amp;"C$5:C1000"), $B115, INDIRECT("'"&amp;Assemblies[Assy]&amp;"'!"&amp;"A$5:A1000"))=0,NA(),SUMIF(INDIRECT("'"&amp;Assemblies[Assy]&amp;"'!"&amp;"C$5:C1000"), $B115, INDIRECT("'"&amp;Assemblies[Assy]&amp;"'!"&amp;"A$5:A1000")))),"")), " ,", ""))</f>
        <v>, 2x4.1.706,</v>
      </c>
      <c r="X115" s="54">
        <f ca="1">Extrusion[[#This Row],[Length]]*Extrusion[[#This Row],[Total Qty]]</f>
        <v>470</v>
      </c>
      <c r="Y115" s="54">
        <f>Extrusion[[#This Row],[Length]]*Extrusion[[#This Row],[Cut QTY]]</f>
        <v>470</v>
      </c>
      <c r="Z115" s="54">
        <f ca="1">Extrusion[[#This Row],[Required Length]]-Extrusion[[#This Row],[Cut Length]]</f>
        <v>0</v>
      </c>
      <c r="AA115" s="54"/>
    </row>
    <row r="116" spans="1:27" x14ac:dyDescent="0.25">
      <c r="A116" s="143">
        <v>247</v>
      </c>
      <c r="B116" t="s">
        <v>1328</v>
      </c>
      <c r="C116" t="s">
        <v>3596</v>
      </c>
      <c r="D116" s="157" cm="1">
        <f t="array" aca="1" ref="D116" ca="1">SUMPRODUCT(SUMIF(INDIRECT("'"&amp;Assemblies[Assy]&amp;"'!"&amp;"C:C"),B116,(INDIRECT("'"&amp;Assemblies[Assy]&amp;"'!"&amp;"O:O"))))</f>
        <v>2</v>
      </c>
      <c r="E116">
        <v>2</v>
      </c>
      <c r="F116" t="str">
        <f t="shared" ca="1" si="9"/>
        <v/>
      </c>
      <c r="G116" s="39">
        <f t="shared" si="10"/>
        <v>1</v>
      </c>
      <c r="I116" t="s">
        <v>3595</v>
      </c>
      <c r="P116" s="7">
        <v>1</v>
      </c>
      <c r="Q116" s="7">
        <v>0</v>
      </c>
      <c r="R116" s="7">
        <v>0</v>
      </c>
      <c r="S116" s="54">
        <v>0</v>
      </c>
      <c r="T116" s="2">
        <v>6</v>
      </c>
      <c r="U116" s="55">
        <v>330.57</v>
      </c>
      <c r="V116" s="59">
        <f t="shared" si="11"/>
        <v>5.5094999999999998E-2</v>
      </c>
      <c r="W116" s="2" t="str" cm="1">
        <f t="array" aca="1" ref="W116" ca="1">TRIM(SUBSTITUTE(_xlfn.ARRAYTOTEXT(IFERROR(CONCATENATE(SUMIF(INDIRECT("'"&amp;Assemblies[Assy]&amp;"'!"&amp;"C$5:C1000"), $B116, INDIRECT("'"&amp;Assemblies[Assy]&amp;"'!"&amp;"O$5:O1000")), "x",Assemblies[Assy],".",IF(SUMIF(INDIRECT("'"&amp;Assemblies[Assy]&amp;"'!"&amp;"C$5:C1000"), $B116, INDIRECT("'"&amp;Assemblies[Assy]&amp;"'!"&amp;"A$5:A1000"))=0,NA(),SUMIF(INDIRECT("'"&amp;Assemblies[Assy]&amp;"'!"&amp;"C$5:C1000"), $B116, INDIRECT("'"&amp;Assemblies[Assy]&amp;"'!"&amp;"A$5:A1000")))),"")), " ,", ""))</f>
        <v>, 2x10.1.706,</v>
      </c>
      <c r="X116" s="54">
        <f ca="1">Extrusion[[#This Row],[Length]]*Extrusion[[#This Row],[Total Qty]]</f>
        <v>494</v>
      </c>
      <c r="Y116" s="54">
        <f>Extrusion[[#This Row],[Length]]*Extrusion[[#This Row],[Cut QTY]]</f>
        <v>494</v>
      </c>
      <c r="Z116" s="54">
        <f ca="1">Extrusion[[#This Row],[Required Length]]-Extrusion[[#This Row],[Cut Length]]</f>
        <v>0</v>
      </c>
      <c r="AA116" s="54"/>
    </row>
    <row r="117" spans="1:27" x14ac:dyDescent="0.25">
      <c r="A117" s="143">
        <v>260</v>
      </c>
      <c r="B117" t="s">
        <v>907</v>
      </c>
      <c r="C117" t="s">
        <v>3596</v>
      </c>
      <c r="D117" s="157" cm="1">
        <f t="array" aca="1" ref="D117" ca="1">SUMPRODUCT(SUMIF(INDIRECT("'"&amp;Assemblies[Assy]&amp;"'!"&amp;"C:C"),B117,(INDIRECT("'"&amp;Assemblies[Assy]&amp;"'!"&amp;"O:O"))))</f>
        <v>2</v>
      </c>
      <c r="E117">
        <v>2</v>
      </c>
      <c r="F117" t="str">
        <f t="shared" ca="1" si="9"/>
        <v/>
      </c>
      <c r="G117" s="39">
        <f t="shared" si="10"/>
        <v>1</v>
      </c>
      <c r="I117" t="s">
        <v>3595</v>
      </c>
      <c r="P117" s="7">
        <v>1</v>
      </c>
      <c r="Q117" s="7">
        <v>0</v>
      </c>
      <c r="R117" s="7">
        <v>0</v>
      </c>
      <c r="S117" s="54">
        <v>0</v>
      </c>
      <c r="T117" s="2">
        <v>6</v>
      </c>
      <c r="U117" s="55">
        <v>330.57</v>
      </c>
      <c r="V117" s="59">
        <f t="shared" si="11"/>
        <v>5.5094999999999998E-2</v>
      </c>
      <c r="W117" s="2" t="str" cm="1">
        <f t="array" aca="1" ref="W117" ca="1">TRIM(SUBSTITUTE(_xlfn.ARRAYTOTEXT(IFERROR(CONCATENATE(SUMIF(INDIRECT("'"&amp;Assemblies[Assy]&amp;"'!"&amp;"C$5:C1000"), $B117, INDIRECT("'"&amp;Assemblies[Assy]&amp;"'!"&amp;"O$5:O1000")), "x",Assemblies[Assy],".",IF(SUMIF(INDIRECT("'"&amp;Assemblies[Assy]&amp;"'!"&amp;"C$5:C1000"), $B117, INDIRECT("'"&amp;Assemblies[Assy]&amp;"'!"&amp;"A$5:A1000"))=0,NA(),SUMIF(INDIRECT("'"&amp;Assemblies[Assy]&amp;"'!"&amp;"C$5:C1000"), $B117, INDIRECT("'"&amp;Assemblies[Assy]&amp;"'!"&amp;"A$5:A1000")))),"")), " ,", ""))</f>
        <v>, 2x6.1.703,</v>
      </c>
      <c r="X117" s="54">
        <f ca="1">Extrusion[[#This Row],[Length]]*Extrusion[[#This Row],[Total Qty]]</f>
        <v>520</v>
      </c>
      <c r="Y117" s="54">
        <f>Extrusion[[#This Row],[Length]]*Extrusion[[#This Row],[Cut QTY]]</f>
        <v>520</v>
      </c>
      <c r="Z117" s="54">
        <f ca="1">Extrusion[[#This Row],[Required Length]]-Extrusion[[#This Row],[Cut Length]]</f>
        <v>0</v>
      </c>
      <c r="AA117" s="54"/>
    </row>
    <row r="118" spans="1:27" x14ac:dyDescent="0.25">
      <c r="A118" s="143">
        <v>293</v>
      </c>
      <c r="B118" t="s">
        <v>538</v>
      </c>
      <c r="C118" t="s">
        <v>3596</v>
      </c>
      <c r="D118" s="157" cm="1">
        <f t="array" aca="1" ref="D118" ca="1">SUMPRODUCT(SUMIF(INDIRECT("'"&amp;Assemblies[Assy]&amp;"'!"&amp;"C:C"),B118,(INDIRECT("'"&amp;Assemblies[Assy]&amp;"'!"&amp;"O:O"))))</f>
        <v>8</v>
      </c>
      <c r="E118">
        <v>8</v>
      </c>
      <c r="F118" t="str">
        <f t="shared" ca="1" si="9"/>
        <v/>
      </c>
      <c r="G118" s="39">
        <f t="shared" si="10"/>
        <v>1</v>
      </c>
      <c r="I118" t="s">
        <v>3595</v>
      </c>
      <c r="P118" s="7">
        <v>1</v>
      </c>
      <c r="Q118" s="7">
        <v>0</v>
      </c>
      <c r="R118" s="7">
        <v>0</v>
      </c>
      <c r="S118" s="54">
        <v>0</v>
      </c>
      <c r="T118" s="2">
        <v>6</v>
      </c>
      <c r="U118" s="55">
        <v>330.57</v>
      </c>
      <c r="V118" s="59">
        <f t="shared" si="11"/>
        <v>5.5094999999999998E-2</v>
      </c>
      <c r="W118" s="2" t="str" cm="1">
        <f t="array" aca="1" ref="W118" ca="1">TRIM(SUBSTITUTE(_xlfn.ARRAYTOTEXT(IFERROR(CONCATENATE(SUMIF(INDIRECT("'"&amp;Assemblies[Assy]&amp;"'!"&amp;"C$5:C1000"), $B118, INDIRECT("'"&amp;Assemblies[Assy]&amp;"'!"&amp;"O$5:O1000")), "x",Assemblies[Assy],".",IF(SUMIF(INDIRECT("'"&amp;Assemblies[Assy]&amp;"'!"&amp;"C$5:C1000"), $B118, INDIRECT("'"&amp;Assemblies[Assy]&amp;"'!"&amp;"A$5:A1000"))=0,NA(),SUMIF(INDIRECT("'"&amp;Assemblies[Assy]&amp;"'!"&amp;"C$5:C1000"), $B118, INDIRECT("'"&amp;Assemblies[Assy]&amp;"'!"&amp;"A$5:A1000")))),"")), " ,", ""))</f>
        <v>, 4x4.1.711, 4x7.1.703,</v>
      </c>
      <c r="X118" s="54">
        <f ca="1">Extrusion[[#This Row],[Length]]*Extrusion[[#This Row],[Total Qty]]</f>
        <v>2344</v>
      </c>
      <c r="Y118" s="54">
        <f>Extrusion[[#This Row],[Length]]*Extrusion[[#This Row],[Cut QTY]]</f>
        <v>2344</v>
      </c>
      <c r="Z118" s="54">
        <f ca="1">Extrusion[[#This Row],[Required Length]]-Extrusion[[#This Row],[Cut Length]]</f>
        <v>0</v>
      </c>
      <c r="AA118" s="54"/>
    </row>
    <row r="119" spans="1:27" x14ac:dyDescent="0.25">
      <c r="A119" s="143">
        <v>325</v>
      </c>
      <c r="B119" t="s">
        <v>1055</v>
      </c>
      <c r="C119" t="s">
        <v>3596</v>
      </c>
      <c r="D119" s="157" cm="1">
        <f t="array" aca="1" ref="D119" ca="1">SUMPRODUCT(SUMIF(INDIRECT("'"&amp;Assemblies[Assy]&amp;"'!"&amp;"C:C"),B119,(INDIRECT("'"&amp;Assemblies[Assy]&amp;"'!"&amp;"O:O"))))</f>
        <v>4</v>
      </c>
      <c r="E119">
        <v>4</v>
      </c>
      <c r="F119" t="str">
        <f t="shared" ca="1" si="9"/>
        <v/>
      </c>
      <c r="G119" s="39">
        <f t="shared" si="10"/>
        <v>1</v>
      </c>
      <c r="I119" t="s">
        <v>3595</v>
      </c>
      <c r="P119" s="7">
        <v>1</v>
      </c>
      <c r="Q119" s="7">
        <v>0</v>
      </c>
      <c r="R119" s="7">
        <v>0</v>
      </c>
      <c r="S119" s="54">
        <v>0</v>
      </c>
      <c r="T119" s="2">
        <v>6</v>
      </c>
      <c r="U119" s="55">
        <v>330.57</v>
      </c>
      <c r="V119" s="59">
        <f t="shared" si="11"/>
        <v>5.5094999999999998E-2</v>
      </c>
      <c r="W119" s="2" t="str" cm="1">
        <f t="array" aca="1" ref="W119" ca="1">TRIM(SUBSTITUTE(_xlfn.ARRAYTOTEXT(IFERROR(CONCATENATE(SUMIF(INDIRECT("'"&amp;Assemblies[Assy]&amp;"'!"&amp;"C$5:C1000"), $B119, INDIRECT("'"&amp;Assemblies[Assy]&amp;"'!"&amp;"O$5:O1000")), "x",Assemblies[Assy],".",IF(SUMIF(INDIRECT("'"&amp;Assemblies[Assy]&amp;"'!"&amp;"C$5:C1000"), $B119, INDIRECT("'"&amp;Assemblies[Assy]&amp;"'!"&amp;"A$5:A1000"))=0,NA(),SUMIF(INDIRECT("'"&amp;Assemblies[Assy]&amp;"'!"&amp;"C$5:C1000"), $B119, INDIRECT("'"&amp;Assemblies[Assy]&amp;"'!"&amp;"A$5:A1000")))),"")), " ,", ""))</f>
        <v>, 4x6.9.703,</v>
      </c>
      <c r="X119" s="54">
        <f ca="1">Extrusion[[#This Row],[Length]]*Extrusion[[#This Row],[Total Qty]]</f>
        <v>1300</v>
      </c>
      <c r="Y119" s="54">
        <f>Extrusion[[#This Row],[Length]]*Extrusion[[#This Row],[Cut QTY]]</f>
        <v>1300</v>
      </c>
      <c r="Z119" s="54">
        <f ca="1">Extrusion[[#This Row],[Required Length]]-Extrusion[[#This Row],[Cut Length]]</f>
        <v>0</v>
      </c>
      <c r="AA119" s="54"/>
    </row>
    <row r="120" spans="1:27" x14ac:dyDescent="0.25">
      <c r="A120" s="143">
        <v>351.4</v>
      </c>
      <c r="B120" t="s">
        <v>531</v>
      </c>
      <c r="C120" t="s">
        <v>3596</v>
      </c>
      <c r="D120" s="157" cm="1">
        <f t="array" aca="1" ref="D120" ca="1">SUMPRODUCT(SUMIF(INDIRECT("'"&amp;Assemblies[Assy]&amp;"'!"&amp;"C:C"),B120,(INDIRECT("'"&amp;Assemblies[Assy]&amp;"'!"&amp;"O:O"))))</f>
        <v>4</v>
      </c>
      <c r="E120">
        <v>4</v>
      </c>
      <c r="F120" t="str">
        <f t="shared" ca="1" si="9"/>
        <v/>
      </c>
      <c r="G120" s="39">
        <f t="shared" si="10"/>
        <v>1</v>
      </c>
      <c r="I120" t="s">
        <v>3595</v>
      </c>
      <c r="P120" s="7">
        <v>1</v>
      </c>
      <c r="Q120" s="7">
        <v>0</v>
      </c>
      <c r="R120" s="7">
        <v>0</v>
      </c>
      <c r="S120" s="54">
        <v>0</v>
      </c>
      <c r="T120" s="2">
        <v>6</v>
      </c>
      <c r="U120" s="55">
        <v>330.57</v>
      </c>
      <c r="V120" s="59">
        <f t="shared" si="11"/>
        <v>5.5094999999999998E-2</v>
      </c>
      <c r="W120" s="2" t="str" cm="1">
        <f t="array" aca="1" ref="W120" ca="1">TRIM(SUBSTITUTE(_xlfn.ARRAYTOTEXT(IFERROR(CONCATENATE(SUMIF(INDIRECT("'"&amp;Assemblies[Assy]&amp;"'!"&amp;"C$5:C1000"), $B120, INDIRECT("'"&amp;Assemblies[Assy]&amp;"'!"&amp;"O$5:O1000")), "x",Assemblies[Assy],".",IF(SUMIF(INDIRECT("'"&amp;Assemblies[Assy]&amp;"'!"&amp;"C$5:C1000"), $B120, INDIRECT("'"&amp;Assemblies[Assy]&amp;"'!"&amp;"A$5:A1000"))=0,NA(),SUMIF(INDIRECT("'"&amp;Assemblies[Assy]&amp;"'!"&amp;"C$5:C1000"), $B120, INDIRECT("'"&amp;Assemblies[Assy]&amp;"'!"&amp;"A$5:A1000")))),"")), " ,", ""))</f>
        <v>, 4x4.1.704,</v>
      </c>
      <c r="X120" s="54">
        <f ca="1">Extrusion[[#This Row],[Length]]*Extrusion[[#This Row],[Total Qty]]</f>
        <v>1405.6</v>
      </c>
      <c r="Y120" s="54">
        <f>Extrusion[[#This Row],[Length]]*Extrusion[[#This Row],[Cut QTY]]</f>
        <v>1405.6</v>
      </c>
      <c r="Z120" s="54">
        <f ca="1">Extrusion[[#This Row],[Required Length]]-Extrusion[[#This Row],[Cut Length]]</f>
        <v>0</v>
      </c>
      <c r="AA120" s="54"/>
    </row>
    <row r="121" spans="1:27" x14ac:dyDescent="0.25">
      <c r="A121" s="143">
        <v>380</v>
      </c>
      <c r="B121" t="s">
        <v>1046</v>
      </c>
      <c r="C121" t="s">
        <v>3863</v>
      </c>
      <c r="D121" s="157" cm="1">
        <f t="array" aca="1" ref="D121" ca="1">SUMPRODUCT(SUMIF(INDIRECT("'"&amp;Assemblies[Assy]&amp;"'!"&amp;"C:C"),B121,(INDIRECT("'"&amp;Assemblies[Assy]&amp;"'!"&amp;"O:O"))))</f>
        <v>12</v>
      </c>
      <c r="E121">
        <v>12</v>
      </c>
      <c r="F121" t="str">
        <f t="shared" ca="1" si="9"/>
        <v/>
      </c>
      <c r="G121" s="39">
        <f t="shared" si="10"/>
        <v>1</v>
      </c>
      <c r="I121" t="s">
        <v>3595</v>
      </c>
      <c r="P121" s="7">
        <v>1</v>
      </c>
      <c r="Q121" s="7">
        <v>0</v>
      </c>
      <c r="R121" s="7">
        <v>0</v>
      </c>
      <c r="S121" s="54">
        <v>0</v>
      </c>
      <c r="T121" s="2">
        <v>6</v>
      </c>
      <c r="U121" s="55">
        <v>330.57</v>
      </c>
      <c r="V121" s="59">
        <f t="shared" si="11"/>
        <v>5.5094999999999998E-2</v>
      </c>
      <c r="W121" s="2" t="str" cm="1">
        <f t="array" aca="1" ref="W121" ca="1">TRIM(SUBSTITUTE(_xlfn.ARRAYTOTEXT(IFERROR(CONCATENATE(SUMIF(INDIRECT("'"&amp;Assemblies[Assy]&amp;"'!"&amp;"C$5:C1000"), $B121, INDIRECT("'"&amp;Assemblies[Assy]&amp;"'!"&amp;"O$5:O1000")), "x",Assemblies[Assy],".",IF(SUMIF(INDIRECT("'"&amp;Assemblies[Assy]&amp;"'!"&amp;"C$5:C1000"), $B121, INDIRECT("'"&amp;Assemblies[Assy]&amp;"'!"&amp;"A$5:A1000"))=0,NA(),SUMIF(INDIRECT("'"&amp;Assemblies[Assy]&amp;"'!"&amp;"C$5:C1000"), $B121, INDIRECT("'"&amp;Assemblies[Assy]&amp;"'!"&amp;"A$5:A1000")))),"")), " ,", ""))</f>
        <v>, 12x6.8.704,</v>
      </c>
      <c r="X121" s="54">
        <f ca="1">Extrusion[[#This Row],[Length]]*Extrusion[[#This Row],[Total Qty]]</f>
        <v>4560</v>
      </c>
      <c r="Y121" s="54">
        <f>Extrusion[[#This Row],[Length]]*Extrusion[[#This Row],[Cut QTY]]</f>
        <v>4560</v>
      </c>
      <c r="Z121" s="54">
        <f ca="1">Extrusion[[#This Row],[Required Length]]-Extrusion[[#This Row],[Cut Length]]</f>
        <v>0</v>
      </c>
      <c r="AA121" s="54"/>
    </row>
    <row r="122" spans="1:27" x14ac:dyDescent="0.25">
      <c r="A122" s="143">
        <v>410</v>
      </c>
      <c r="B122" t="s">
        <v>532</v>
      </c>
      <c r="C122" t="s">
        <v>3596</v>
      </c>
      <c r="D122" s="157" cm="1">
        <f t="array" aca="1" ref="D122" ca="1">SUMPRODUCT(SUMIF(INDIRECT("'"&amp;Assemblies[Assy]&amp;"'!"&amp;"C:C"),B122,(INDIRECT("'"&amp;Assemblies[Assy]&amp;"'!"&amp;"O:O"))))</f>
        <v>2</v>
      </c>
      <c r="E122">
        <v>2</v>
      </c>
      <c r="F122" t="str">
        <f t="shared" ca="1" si="9"/>
        <v/>
      </c>
      <c r="G122" s="39">
        <f t="shared" si="10"/>
        <v>1</v>
      </c>
      <c r="I122" t="s">
        <v>3595</v>
      </c>
      <c r="P122" s="7">
        <v>1</v>
      </c>
      <c r="Q122" s="7">
        <v>0</v>
      </c>
      <c r="R122" s="7">
        <v>0</v>
      </c>
      <c r="S122" s="54">
        <v>0</v>
      </c>
      <c r="T122" s="2">
        <v>6</v>
      </c>
      <c r="U122" s="55">
        <v>330.57</v>
      </c>
      <c r="V122" s="59">
        <f t="shared" si="11"/>
        <v>5.5094999999999998E-2</v>
      </c>
      <c r="W122" s="2" t="str" cm="1">
        <f t="array" aca="1" ref="W122" ca="1">TRIM(SUBSTITUTE(_xlfn.ARRAYTOTEXT(IFERROR(CONCATENATE(SUMIF(INDIRECT("'"&amp;Assemblies[Assy]&amp;"'!"&amp;"C$5:C1000"), $B122, INDIRECT("'"&amp;Assemblies[Assy]&amp;"'!"&amp;"O$5:O1000")), "x",Assemblies[Assy],".",IF(SUMIF(INDIRECT("'"&amp;Assemblies[Assy]&amp;"'!"&amp;"C$5:C1000"), $B122, INDIRECT("'"&amp;Assemblies[Assy]&amp;"'!"&amp;"A$5:A1000"))=0,NA(),SUMIF(INDIRECT("'"&amp;Assemblies[Assy]&amp;"'!"&amp;"C$5:C1000"), $B122, INDIRECT("'"&amp;Assemblies[Assy]&amp;"'!"&amp;"A$5:A1000")))),"")), " ,", ""))</f>
        <v>, 2x4.1.705,</v>
      </c>
      <c r="X122" s="54">
        <f ca="1">Extrusion[[#This Row],[Length]]*Extrusion[[#This Row],[Total Qty]]</f>
        <v>820</v>
      </c>
      <c r="Y122" s="54">
        <f>Extrusion[[#This Row],[Length]]*Extrusion[[#This Row],[Cut QTY]]</f>
        <v>820</v>
      </c>
      <c r="Z122" s="54">
        <f ca="1">Extrusion[[#This Row],[Required Length]]-Extrusion[[#This Row],[Cut Length]]</f>
        <v>0</v>
      </c>
      <c r="AA122" s="54"/>
    </row>
    <row r="123" spans="1:27" x14ac:dyDescent="0.25">
      <c r="A123" s="143">
        <v>420.61099999999999</v>
      </c>
      <c r="B123" t="s">
        <v>536</v>
      </c>
      <c r="C123" t="s">
        <v>3596</v>
      </c>
      <c r="D123" s="157" cm="1">
        <f t="array" aca="1" ref="D123" ca="1">SUMPRODUCT(SUMIF(INDIRECT("'"&amp;Assemblies[Assy]&amp;"'!"&amp;"C:C"),B123,(INDIRECT("'"&amp;Assemblies[Assy]&amp;"'!"&amp;"O:O"))))</f>
        <v>4</v>
      </c>
      <c r="E123">
        <v>4</v>
      </c>
      <c r="F123" t="str">
        <f t="shared" ca="1" si="9"/>
        <v/>
      </c>
      <c r="G123" s="39">
        <f t="shared" si="10"/>
        <v>1</v>
      </c>
      <c r="I123" t="s">
        <v>3595</v>
      </c>
      <c r="P123" s="7">
        <v>1</v>
      </c>
      <c r="Q123" s="7">
        <v>0</v>
      </c>
      <c r="R123" s="7">
        <v>0</v>
      </c>
      <c r="S123" s="54">
        <v>0</v>
      </c>
      <c r="T123" s="2">
        <v>6</v>
      </c>
      <c r="U123" s="55">
        <v>330.57</v>
      </c>
      <c r="V123" s="59">
        <f t="shared" si="11"/>
        <v>5.5094999999999998E-2</v>
      </c>
      <c r="W123" s="2" t="str" cm="1">
        <f t="array" aca="1" ref="W123" ca="1">TRIM(SUBSTITUTE(_xlfn.ARRAYTOTEXT(IFERROR(CONCATENATE(SUMIF(INDIRECT("'"&amp;Assemblies[Assy]&amp;"'!"&amp;"C$5:C1000"), $B123, INDIRECT("'"&amp;Assemblies[Assy]&amp;"'!"&amp;"O$5:O1000")), "x",Assemblies[Assy],".",IF(SUMIF(INDIRECT("'"&amp;Assemblies[Assy]&amp;"'!"&amp;"C$5:C1000"), $B123, INDIRECT("'"&amp;Assemblies[Assy]&amp;"'!"&amp;"A$5:A1000"))=0,NA(),SUMIF(INDIRECT("'"&amp;Assemblies[Assy]&amp;"'!"&amp;"C$5:C1000"), $B123, INDIRECT("'"&amp;Assemblies[Assy]&amp;"'!"&amp;"A$5:A1000")))),"")), " ,", ""))</f>
        <v>, 4x4.1.709,</v>
      </c>
      <c r="X123" s="54">
        <f ca="1">Extrusion[[#This Row],[Length]]*Extrusion[[#This Row],[Total Qty]]</f>
        <v>1682.444</v>
      </c>
      <c r="Y123" s="54">
        <f>Extrusion[[#This Row],[Length]]*Extrusion[[#This Row],[Cut QTY]]</f>
        <v>1682.444</v>
      </c>
      <c r="Z123" s="54">
        <f ca="1">Extrusion[[#This Row],[Required Length]]-Extrusion[[#This Row],[Cut Length]]</f>
        <v>0</v>
      </c>
      <c r="AA123" s="54"/>
    </row>
    <row r="124" spans="1:27" x14ac:dyDescent="0.25">
      <c r="A124" s="143">
        <v>432.7</v>
      </c>
      <c r="B124" t="s">
        <v>1116</v>
      </c>
      <c r="C124" t="s">
        <v>3596</v>
      </c>
      <c r="D124" s="157" cm="1">
        <f t="array" aca="1" ref="D124" ca="1">SUMPRODUCT(SUMIF(INDIRECT("'"&amp;Assemblies[Assy]&amp;"'!"&amp;"C:C"),B124,(INDIRECT("'"&amp;Assemblies[Assy]&amp;"'!"&amp;"O:O"))))</f>
        <v>4</v>
      </c>
      <c r="E124">
        <v>4</v>
      </c>
      <c r="F124" t="str">
        <f t="shared" ca="1" si="9"/>
        <v/>
      </c>
      <c r="G124" s="39">
        <f t="shared" si="10"/>
        <v>1</v>
      </c>
      <c r="I124" t="s">
        <v>3595</v>
      </c>
      <c r="P124" s="7">
        <v>1</v>
      </c>
      <c r="Q124" s="7">
        <v>0</v>
      </c>
      <c r="R124" s="7">
        <v>0</v>
      </c>
      <c r="S124" s="54">
        <v>0</v>
      </c>
      <c r="T124" s="2">
        <v>6</v>
      </c>
      <c r="U124" s="55">
        <v>330.57</v>
      </c>
      <c r="V124" s="59">
        <f t="shared" si="11"/>
        <v>5.5094999999999998E-2</v>
      </c>
      <c r="W124" s="2" t="str" cm="1">
        <f t="array" aca="1" ref="W124" ca="1">TRIM(SUBSTITUTE(_xlfn.ARRAYTOTEXT(IFERROR(CONCATENATE(SUMIF(INDIRECT("'"&amp;Assemblies[Assy]&amp;"'!"&amp;"C$5:C1000"), $B124, INDIRECT("'"&amp;Assemblies[Assy]&amp;"'!"&amp;"O$5:O1000")), "x",Assemblies[Assy],".",IF(SUMIF(INDIRECT("'"&amp;Assemblies[Assy]&amp;"'!"&amp;"C$5:C1000"), $B124, INDIRECT("'"&amp;Assemblies[Assy]&amp;"'!"&amp;"A$5:A1000"))=0,NA(),SUMIF(INDIRECT("'"&amp;Assemblies[Assy]&amp;"'!"&amp;"C$5:C1000"), $B124, INDIRECT("'"&amp;Assemblies[Assy]&amp;"'!"&amp;"A$5:A1000")))),"")), " ,", ""))</f>
        <v>, 4x7.1.704,</v>
      </c>
      <c r="X124" s="54">
        <f ca="1">Extrusion[[#This Row],[Length]]*Extrusion[[#This Row],[Total Qty]]</f>
        <v>1730.8</v>
      </c>
      <c r="Y124" s="54">
        <f>Extrusion[[#This Row],[Length]]*Extrusion[[#This Row],[Cut QTY]]</f>
        <v>1730.8</v>
      </c>
      <c r="Z124" s="54">
        <f ca="1">Extrusion[[#This Row],[Required Length]]-Extrusion[[#This Row],[Cut Length]]</f>
        <v>0</v>
      </c>
      <c r="AA124" s="54"/>
    </row>
    <row r="125" spans="1:27" x14ac:dyDescent="0.25">
      <c r="A125" s="143">
        <v>460</v>
      </c>
      <c r="B125" t="s">
        <v>688</v>
      </c>
      <c r="C125" t="s">
        <v>3596</v>
      </c>
      <c r="D125" s="157" cm="1">
        <f t="array" aca="1" ref="D125" ca="1">SUMPRODUCT(SUMIF(INDIRECT("'"&amp;Assemblies[Assy]&amp;"'!"&amp;"C:C"),B125,(INDIRECT("'"&amp;Assemblies[Assy]&amp;"'!"&amp;"O:O"))))</f>
        <v>6</v>
      </c>
      <c r="E125">
        <v>6</v>
      </c>
      <c r="F125" t="str">
        <f t="shared" ca="1" si="9"/>
        <v/>
      </c>
      <c r="G125" s="39">
        <f t="shared" si="10"/>
        <v>1</v>
      </c>
      <c r="I125" t="s">
        <v>3595</v>
      </c>
      <c r="P125" s="7">
        <v>1</v>
      </c>
      <c r="Q125" s="7">
        <v>0</v>
      </c>
      <c r="R125" s="7">
        <v>0</v>
      </c>
      <c r="S125" s="54">
        <v>0</v>
      </c>
      <c r="T125" s="2">
        <v>6</v>
      </c>
      <c r="U125" s="55">
        <v>330.57</v>
      </c>
      <c r="V125" s="59">
        <f t="shared" si="11"/>
        <v>5.5094999999999998E-2</v>
      </c>
      <c r="W125" s="2" t="str" cm="1">
        <f t="array" aca="1" ref="W125" ca="1">TRIM(SUBSTITUTE(_xlfn.ARRAYTOTEXT(IFERROR(CONCATENATE(SUMIF(INDIRECT("'"&amp;Assemblies[Assy]&amp;"'!"&amp;"C$5:C1000"), $B125, INDIRECT("'"&amp;Assemblies[Assy]&amp;"'!"&amp;"O$5:O1000")), "x",Assemblies[Assy],".",IF(SUMIF(INDIRECT("'"&amp;Assemblies[Assy]&amp;"'!"&amp;"C$5:C1000"), $B125, INDIRECT("'"&amp;Assemblies[Assy]&amp;"'!"&amp;"A$5:A1000"))=0,NA(),SUMIF(INDIRECT("'"&amp;Assemblies[Assy]&amp;"'!"&amp;"C$5:C1000"), $B125, INDIRECT("'"&amp;Assemblies[Assy]&amp;"'!"&amp;"A$5:A1000")))),"")), " ,", ""))</f>
        <v>, 6x5.1.702,</v>
      </c>
      <c r="X125" s="54">
        <f ca="1">Extrusion[[#This Row],[Length]]*Extrusion[[#This Row],[Total Qty]]</f>
        <v>2760</v>
      </c>
      <c r="Y125" s="54">
        <f>Extrusion[[#This Row],[Length]]*Extrusion[[#This Row],[Cut QTY]]</f>
        <v>2760</v>
      </c>
      <c r="Z125" s="54">
        <f ca="1">Extrusion[[#This Row],[Required Length]]-Extrusion[[#This Row],[Cut Length]]</f>
        <v>0</v>
      </c>
      <c r="AA125" s="54"/>
    </row>
    <row r="126" spans="1:27" x14ac:dyDescent="0.25">
      <c r="A126" s="143">
        <v>505</v>
      </c>
      <c r="B126" t="s">
        <v>1117</v>
      </c>
      <c r="C126" t="s">
        <v>3596</v>
      </c>
      <c r="D126" s="157" cm="1">
        <f t="array" aca="1" ref="D126" ca="1">SUMPRODUCT(SUMIF(INDIRECT("'"&amp;Assemblies[Assy]&amp;"'!"&amp;"C:C"),B126,(INDIRECT("'"&amp;Assemblies[Assy]&amp;"'!"&amp;"O:O"))))</f>
        <v>4</v>
      </c>
      <c r="E126">
        <v>4</v>
      </c>
      <c r="F126" t="str">
        <f t="shared" ca="1" si="9"/>
        <v/>
      </c>
      <c r="G126" s="39">
        <f t="shared" si="10"/>
        <v>1</v>
      </c>
      <c r="I126" t="s">
        <v>3595</v>
      </c>
      <c r="P126" s="7">
        <v>1</v>
      </c>
      <c r="Q126" s="7">
        <v>0</v>
      </c>
      <c r="R126" s="7">
        <v>0</v>
      </c>
      <c r="S126" s="54">
        <v>0</v>
      </c>
      <c r="T126" s="2">
        <v>6</v>
      </c>
      <c r="U126" s="55">
        <v>330.57</v>
      </c>
      <c r="V126" s="59">
        <f t="shared" si="11"/>
        <v>5.5094999999999998E-2</v>
      </c>
      <c r="W126" s="2" t="str" cm="1">
        <f t="array" aca="1" ref="W126" ca="1">TRIM(SUBSTITUTE(_xlfn.ARRAYTOTEXT(IFERROR(CONCATENATE(SUMIF(INDIRECT("'"&amp;Assemblies[Assy]&amp;"'!"&amp;"C$5:C1000"), $B126, INDIRECT("'"&amp;Assemblies[Assy]&amp;"'!"&amp;"O$5:O1000")), "x",Assemblies[Assy],".",IF(SUMIF(INDIRECT("'"&amp;Assemblies[Assy]&amp;"'!"&amp;"C$5:C1000"), $B126, INDIRECT("'"&amp;Assemblies[Assy]&amp;"'!"&amp;"A$5:A1000"))=0,NA(),SUMIF(INDIRECT("'"&amp;Assemblies[Assy]&amp;"'!"&amp;"C$5:C1000"), $B126, INDIRECT("'"&amp;Assemblies[Assy]&amp;"'!"&amp;"A$5:A1000")))),"")), " ,", ""))</f>
        <v>, 4x7.1.705,</v>
      </c>
      <c r="X126" s="54">
        <f ca="1">Extrusion[[#This Row],[Length]]*Extrusion[[#This Row],[Total Qty]]</f>
        <v>2020</v>
      </c>
      <c r="Y126" s="54">
        <f>Extrusion[[#This Row],[Length]]*Extrusion[[#This Row],[Cut QTY]]</f>
        <v>2020</v>
      </c>
      <c r="Z126" s="54">
        <f ca="1">Extrusion[[#This Row],[Required Length]]-Extrusion[[#This Row],[Cut Length]]</f>
        <v>0</v>
      </c>
      <c r="AA126" s="54"/>
    </row>
    <row r="127" spans="1:27" x14ac:dyDescent="0.25">
      <c r="A127" s="143">
        <v>522</v>
      </c>
      <c r="B127" t="s">
        <v>1329</v>
      </c>
      <c r="C127" t="s">
        <v>3596</v>
      </c>
      <c r="D127" s="157" cm="1">
        <f t="array" aca="1" ref="D127" ca="1">SUMPRODUCT(SUMIF(INDIRECT("'"&amp;Assemblies[Assy]&amp;"'!"&amp;"C:C"),B127,(INDIRECT("'"&amp;Assemblies[Assy]&amp;"'!"&amp;"O:O"))))</f>
        <v>2</v>
      </c>
      <c r="E127">
        <v>2</v>
      </c>
      <c r="F127" t="str">
        <f t="shared" ca="1" si="9"/>
        <v/>
      </c>
      <c r="G127" s="39">
        <f t="shared" si="10"/>
        <v>1</v>
      </c>
      <c r="I127" t="s">
        <v>3595</v>
      </c>
      <c r="P127" s="7">
        <v>1</v>
      </c>
      <c r="Q127" s="7">
        <v>0</v>
      </c>
      <c r="R127" s="7">
        <v>0</v>
      </c>
      <c r="S127" s="54">
        <v>0</v>
      </c>
      <c r="T127" s="2">
        <v>6</v>
      </c>
      <c r="U127" s="55">
        <v>330.57</v>
      </c>
      <c r="V127" s="59">
        <f t="shared" si="11"/>
        <v>5.5094999999999998E-2</v>
      </c>
      <c r="W127" s="2" t="str" cm="1">
        <f t="array" aca="1" ref="W127" ca="1">TRIM(SUBSTITUTE(_xlfn.ARRAYTOTEXT(IFERROR(CONCATENATE(SUMIF(INDIRECT("'"&amp;Assemblies[Assy]&amp;"'!"&amp;"C$5:C1000"), $B127, INDIRECT("'"&amp;Assemblies[Assy]&amp;"'!"&amp;"O$5:O1000")), "x",Assemblies[Assy],".",IF(SUMIF(INDIRECT("'"&amp;Assemblies[Assy]&amp;"'!"&amp;"C$5:C1000"), $B127, INDIRECT("'"&amp;Assemblies[Assy]&amp;"'!"&amp;"A$5:A1000"))=0,NA(),SUMIF(INDIRECT("'"&amp;Assemblies[Assy]&amp;"'!"&amp;"C$5:C1000"), $B127, INDIRECT("'"&amp;Assemblies[Assy]&amp;"'!"&amp;"A$5:A1000")))),"")), " ,", ""))</f>
        <v>, 2x10.1.707,</v>
      </c>
      <c r="X127" s="54">
        <f ca="1">Extrusion[[#This Row],[Length]]*Extrusion[[#This Row],[Total Qty]]</f>
        <v>1044</v>
      </c>
      <c r="Y127" s="54">
        <f>Extrusion[[#This Row],[Length]]*Extrusion[[#This Row],[Cut QTY]]</f>
        <v>1044</v>
      </c>
      <c r="Z127" s="54">
        <f ca="1">Extrusion[[#This Row],[Required Length]]-Extrusion[[#This Row],[Cut Length]]</f>
        <v>0</v>
      </c>
      <c r="AA127" s="54"/>
    </row>
    <row r="128" spans="1:27" x14ac:dyDescent="0.25">
      <c r="A128" s="143">
        <v>685</v>
      </c>
      <c r="B128" t="s">
        <v>1330</v>
      </c>
      <c r="C128" t="s">
        <v>3599</v>
      </c>
      <c r="D128" s="157" cm="1">
        <f t="array" aca="1" ref="D128" ca="1">SUMPRODUCT(SUMIF(INDIRECT("'"&amp;Assemblies[Assy]&amp;"'!"&amp;"C:C"),B128,(INDIRECT("'"&amp;Assemblies[Assy]&amp;"'!"&amp;"O:O"))))</f>
        <v>2</v>
      </c>
      <c r="E128">
        <v>2</v>
      </c>
      <c r="F128" t="str">
        <f t="shared" ca="1" si="9"/>
        <v/>
      </c>
      <c r="G128" s="39">
        <f t="shared" si="10"/>
        <v>1</v>
      </c>
      <c r="I128" t="s">
        <v>3595</v>
      </c>
      <c r="P128" s="7">
        <v>1</v>
      </c>
      <c r="Q128" s="7">
        <v>0</v>
      </c>
      <c r="R128" s="7">
        <v>0</v>
      </c>
      <c r="S128" s="54">
        <v>0</v>
      </c>
      <c r="T128" s="2">
        <v>6</v>
      </c>
      <c r="U128" s="55">
        <v>330.57</v>
      </c>
      <c r="V128" s="59">
        <f t="shared" si="11"/>
        <v>5.5094999999999998E-2</v>
      </c>
      <c r="W128" s="2" t="str" cm="1">
        <f t="array" aca="1" ref="W128" ca="1">TRIM(SUBSTITUTE(_xlfn.ARRAYTOTEXT(IFERROR(CONCATENATE(SUMIF(INDIRECT("'"&amp;Assemblies[Assy]&amp;"'!"&amp;"C$5:C1000"), $B128, INDIRECT("'"&amp;Assemblies[Assy]&amp;"'!"&amp;"O$5:O1000")), "x",Assemblies[Assy],".",IF(SUMIF(INDIRECT("'"&amp;Assemblies[Assy]&amp;"'!"&amp;"C$5:C1000"), $B128, INDIRECT("'"&amp;Assemblies[Assy]&amp;"'!"&amp;"A$5:A1000"))=0,NA(),SUMIF(INDIRECT("'"&amp;Assemblies[Assy]&amp;"'!"&amp;"C$5:C1000"), $B128, INDIRECT("'"&amp;Assemblies[Assy]&amp;"'!"&amp;"A$5:A1000")))),"")), " ,", ""))</f>
        <v>, 2x10.1.708,</v>
      </c>
      <c r="X128" s="54">
        <f ca="1">Extrusion[[#This Row],[Length]]*Extrusion[[#This Row],[Total Qty]]</f>
        <v>1370</v>
      </c>
      <c r="Y128" s="54">
        <f>Extrusion[[#This Row],[Length]]*Extrusion[[#This Row],[Cut QTY]]</f>
        <v>1370</v>
      </c>
      <c r="Z128" s="54">
        <f ca="1">Extrusion[[#This Row],[Required Length]]-Extrusion[[#This Row],[Cut Length]]</f>
        <v>0</v>
      </c>
      <c r="AA128" s="54"/>
    </row>
    <row r="129" spans="1:33" x14ac:dyDescent="0.25">
      <c r="A129" s="143">
        <v>735</v>
      </c>
      <c r="B129" t="s">
        <v>377</v>
      </c>
      <c r="C129" t="s">
        <v>3596</v>
      </c>
      <c r="D129" s="157" cm="1">
        <f t="array" aca="1" ref="D129" ca="1">SUMPRODUCT(SUMIF(INDIRECT("'"&amp;Assemblies[Assy]&amp;"'!"&amp;"C:C"),B129,(INDIRECT("'"&amp;Assemblies[Assy]&amp;"'!"&amp;"O:O"))))</f>
        <v>22</v>
      </c>
      <c r="E129">
        <v>22</v>
      </c>
      <c r="F129" t="str">
        <f t="shared" ca="1" si="9"/>
        <v/>
      </c>
      <c r="G129" s="39">
        <f t="shared" si="10"/>
        <v>1</v>
      </c>
      <c r="I129" t="s">
        <v>3595</v>
      </c>
      <c r="P129" s="7">
        <v>1</v>
      </c>
      <c r="Q129" s="7">
        <v>0</v>
      </c>
      <c r="R129" s="7">
        <v>0</v>
      </c>
      <c r="S129" s="54">
        <v>0</v>
      </c>
      <c r="T129" s="2">
        <v>6</v>
      </c>
      <c r="U129" s="55">
        <v>330.57</v>
      </c>
      <c r="V129" s="59">
        <f t="shared" si="11"/>
        <v>5.5094999999999998E-2</v>
      </c>
      <c r="W129" s="2" t="str" cm="1">
        <f t="array" aca="1" ref="W129" ca="1">TRIM(SUBSTITUTE(_xlfn.ARRAYTOTEXT(IFERROR(CONCATENATE(SUMIF(INDIRECT("'"&amp;Assemblies[Assy]&amp;"'!"&amp;"C$5:C1000"), $B129, INDIRECT("'"&amp;Assemblies[Assy]&amp;"'!"&amp;"O$5:O1000")), "x",Assemblies[Assy],".",IF(SUMIF(INDIRECT("'"&amp;Assemblies[Assy]&amp;"'!"&amp;"C$5:C1000"), $B129, INDIRECT("'"&amp;Assemblies[Assy]&amp;"'!"&amp;"A$5:A1000"))=0,NA(),SUMIF(INDIRECT("'"&amp;Assemblies[Assy]&amp;"'!"&amp;"C$5:C1000"), $B129, INDIRECT("'"&amp;Assemblies[Assy]&amp;"'!"&amp;"A$5:A1000")))),"")), " ,", ""))</f>
        <v>, 6x2.1.703, 10x3.1.704, 6x4.1.712,</v>
      </c>
      <c r="X129" s="54">
        <f ca="1">Extrusion[[#This Row],[Length]]*Extrusion[[#This Row],[Total Qty]]</f>
        <v>16170</v>
      </c>
      <c r="Y129" s="54">
        <f>Extrusion[[#This Row],[Length]]*Extrusion[[#This Row],[Cut QTY]]</f>
        <v>16170</v>
      </c>
      <c r="Z129" s="54">
        <f ca="1">Extrusion[[#This Row],[Required Length]]-Extrusion[[#This Row],[Cut Length]]</f>
        <v>0</v>
      </c>
      <c r="AA129" s="54"/>
    </row>
    <row r="130" spans="1:33" x14ac:dyDescent="0.25">
      <c r="A130" s="143">
        <v>750</v>
      </c>
      <c r="B130" t="s">
        <v>157</v>
      </c>
      <c r="C130" t="s">
        <v>3596</v>
      </c>
      <c r="D130" s="157" cm="1">
        <f t="array" aca="1" ref="D130" ca="1">SUMPRODUCT(SUMIF(INDIRECT("'"&amp;Assemblies[Assy]&amp;"'!"&amp;"C:C"),B130,(INDIRECT("'"&amp;Assemblies[Assy]&amp;"'!"&amp;"O:O"))))</f>
        <v>14</v>
      </c>
      <c r="E130">
        <v>14</v>
      </c>
      <c r="F130" t="str">
        <f t="shared" ref="F130:F145" ca="1" si="12">IF(D130=E130, "", "YES")</f>
        <v/>
      </c>
      <c r="G130" s="39">
        <f t="shared" ref="G130:G145" si="13">P130+Q130+R130+(65*S130)</f>
        <v>1</v>
      </c>
      <c r="I130" t="s">
        <v>3595</v>
      </c>
      <c r="P130" s="7">
        <v>1</v>
      </c>
      <c r="Q130" s="7">
        <v>0</v>
      </c>
      <c r="R130" s="7">
        <v>0</v>
      </c>
      <c r="S130" s="54">
        <v>0</v>
      </c>
      <c r="T130" s="2">
        <v>6</v>
      </c>
      <c r="U130" s="55">
        <v>330.57</v>
      </c>
      <c r="V130" s="59">
        <f t="shared" ref="V130:V145" si="14">U130/(T130*1000)</f>
        <v>5.5094999999999998E-2</v>
      </c>
      <c r="W130" s="2" t="str" cm="1">
        <f t="array" aca="1" ref="W130" ca="1">TRIM(SUBSTITUTE(_xlfn.ARRAYTOTEXT(IFERROR(CONCATENATE(SUMIF(INDIRECT("'"&amp;Assemblies[Assy]&amp;"'!"&amp;"C$5:C1000"), $B130, INDIRECT("'"&amp;Assemblies[Assy]&amp;"'!"&amp;"O$5:O1000")), "x",Assemblies[Assy],".",IF(SUMIF(INDIRECT("'"&amp;Assemblies[Assy]&amp;"'!"&amp;"C$5:C1000"), $B130, INDIRECT("'"&amp;Assemblies[Assy]&amp;"'!"&amp;"A$5:A1000"))=0,NA(),SUMIF(INDIRECT("'"&amp;Assemblies[Assy]&amp;"'!"&amp;"C$5:C1000"), $B130, INDIRECT("'"&amp;Assemblies[Assy]&amp;"'!"&amp;"A$5:A1000")))),"")), " ,", ""))</f>
        <v>, 2x1.1.707, 4x5.1.703, 6x5.3.703, 2x6.1.704,</v>
      </c>
      <c r="X130" s="54">
        <f ca="1">Extrusion[[#This Row],[Length]]*Extrusion[[#This Row],[Total Qty]]</f>
        <v>10500</v>
      </c>
      <c r="Y130" s="54">
        <f>Extrusion[[#This Row],[Length]]*Extrusion[[#This Row],[Cut QTY]]</f>
        <v>10500</v>
      </c>
      <c r="Z130" s="54">
        <f ca="1">Extrusion[[#This Row],[Required Length]]-Extrusion[[#This Row],[Cut Length]]</f>
        <v>0</v>
      </c>
      <c r="AA130" s="54"/>
    </row>
    <row r="131" spans="1:33" x14ac:dyDescent="0.25">
      <c r="A131" s="143">
        <v>762</v>
      </c>
      <c r="B131" t="s">
        <v>448</v>
      </c>
      <c r="C131" t="s">
        <v>3596</v>
      </c>
      <c r="D131" s="157" cm="1">
        <f t="array" aca="1" ref="D131" ca="1">SUMPRODUCT(SUMIF(INDIRECT("'"&amp;Assemblies[Assy]&amp;"'!"&amp;"C:C"),B131,(INDIRECT("'"&amp;Assemblies[Assy]&amp;"'!"&amp;"O:O"))))</f>
        <v>2</v>
      </c>
      <c r="E131">
        <v>2</v>
      </c>
      <c r="F131" t="str">
        <f t="shared" ca="1" si="12"/>
        <v/>
      </c>
      <c r="G131" s="39">
        <f t="shared" si="13"/>
        <v>1</v>
      </c>
      <c r="I131" t="s">
        <v>3595</v>
      </c>
      <c r="P131" s="7">
        <v>1</v>
      </c>
      <c r="Q131" s="7">
        <v>0</v>
      </c>
      <c r="R131" s="7">
        <v>0</v>
      </c>
      <c r="S131" s="54">
        <v>0</v>
      </c>
      <c r="T131" s="2">
        <v>6</v>
      </c>
      <c r="U131" s="55">
        <v>330.57</v>
      </c>
      <c r="V131" s="59">
        <f t="shared" si="14"/>
        <v>5.5094999999999998E-2</v>
      </c>
      <c r="W131" s="2" t="str" cm="1">
        <f t="array" aca="1" ref="W131" ca="1">TRIM(SUBSTITUTE(_xlfn.ARRAYTOTEXT(IFERROR(CONCATENATE(SUMIF(INDIRECT("'"&amp;Assemblies[Assy]&amp;"'!"&amp;"C$5:C1000"), $B131, INDIRECT("'"&amp;Assemblies[Assy]&amp;"'!"&amp;"O$5:O1000")), "x",Assemblies[Assy],".",IF(SUMIF(INDIRECT("'"&amp;Assemblies[Assy]&amp;"'!"&amp;"C$5:C1000"), $B131, INDIRECT("'"&amp;Assemblies[Assy]&amp;"'!"&amp;"A$5:A1000"))=0,NA(),SUMIF(INDIRECT("'"&amp;Assemblies[Assy]&amp;"'!"&amp;"C$5:C1000"), $B131, INDIRECT("'"&amp;Assemblies[Assy]&amp;"'!"&amp;"A$5:A1000")))),"")), " ,", ""))</f>
        <v>, 2x3.1.702,</v>
      </c>
      <c r="X131" s="54">
        <f ca="1">Extrusion[[#This Row],[Length]]*Extrusion[[#This Row],[Total Qty]]</f>
        <v>1524</v>
      </c>
      <c r="Y131" s="54">
        <f>Extrusion[[#This Row],[Length]]*Extrusion[[#This Row],[Cut QTY]]</f>
        <v>1524</v>
      </c>
      <c r="Z131" s="54">
        <f ca="1">Extrusion[[#This Row],[Required Length]]-Extrusion[[#This Row],[Cut Length]]</f>
        <v>0</v>
      </c>
      <c r="AA131" s="54"/>
    </row>
    <row r="132" spans="1:33" x14ac:dyDescent="0.25">
      <c r="A132" s="143">
        <v>800.86</v>
      </c>
      <c r="B132" t="s">
        <v>1118</v>
      </c>
      <c r="C132" t="s">
        <v>3596</v>
      </c>
      <c r="D132" s="157" cm="1">
        <f t="array" aca="1" ref="D132" ca="1">SUMPRODUCT(SUMIF(INDIRECT("'"&amp;Assemblies[Assy]&amp;"'!"&amp;"C:C"),B132,(INDIRECT("'"&amp;Assemblies[Assy]&amp;"'!"&amp;"O:O"))))</f>
        <v>2</v>
      </c>
      <c r="E132">
        <v>2</v>
      </c>
      <c r="F132" t="str">
        <f t="shared" ca="1" si="12"/>
        <v/>
      </c>
      <c r="G132" s="39">
        <f t="shared" si="13"/>
        <v>1</v>
      </c>
      <c r="I132" t="s">
        <v>3595</v>
      </c>
      <c r="P132" s="7">
        <v>1</v>
      </c>
      <c r="Q132" s="7">
        <v>0</v>
      </c>
      <c r="R132" s="7">
        <v>0</v>
      </c>
      <c r="S132" s="54">
        <v>0</v>
      </c>
      <c r="T132" s="2">
        <v>6</v>
      </c>
      <c r="U132" s="55">
        <v>330.57</v>
      </c>
      <c r="V132" s="59">
        <f t="shared" si="14"/>
        <v>5.5094999999999998E-2</v>
      </c>
      <c r="W132" s="2" t="str" cm="1">
        <f t="array" aca="1" ref="W132" ca="1">TRIM(SUBSTITUTE(_xlfn.ARRAYTOTEXT(IFERROR(CONCATENATE(SUMIF(INDIRECT("'"&amp;Assemblies[Assy]&amp;"'!"&amp;"C$5:C1000"), $B132, INDIRECT("'"&amp;Assemblies[Assy]&amp;"'!"&amp;"O$5:O1000")), "x",Assemblies[Assy],".",IF(SUMIF(INDIRECT("'"&amp;Assemblies[Assy]&amp;"'!"&amp;"C$5:C1000"), $B132, INDIRECT("'"&amp;Assemblies[Assy]&amp;"'!"&amp;"A$5:A1000"))=0,NA(),SUMIF(INDIRECT("'"&amp;Assemblies[Assy]&amp;"'!"&amp;"C$5:C1000"), $B132, INDIRECT("'"&amp;Assemblies[Assy]&amp;"'!"&amp;"A$5:A1000")))),"")), " ,", ""))</f>
        <v>, 2x7.1.706,</v>
      </c>
      <c r="X132" s="54">
        <f ca="1">Extrusion[[#This Row],[Length]]*Extrusion[[#This Row],[Total Qty]]</f>
        <v>1601.72</v>
      </c>
      <c r="Y132" s="54">
        <f>Extrusion[[#This Row],[Length]]*Extrusion[[#This Row],[Cut QTY]]</f>
        <v>1601.72</v>
      </c>
      <c r="Z132" s="54">
        <f ca="1">Extrusion[[#This Row],[Required Length]]-Extrusion[[#This Row],[Cut Length]]</f>
        <v>0</v>
      </c>
      <c r="AA132" s="54"/>
    </row>
    <row r="133" spans="1:33" x14ac:dyDescent="0.25">
      <c r="A133" s="143">
        <v>887</v>
      </c>
      <c r="B133" t="s">
        <v>1045</v>
      </c>
      <c r="C133" t="s">
        <v>3596</v>
      </c>
      <c r="D133" s="157" cm="1">
        <f t="array" aca="1" ref="D133" ca="1">SUMPRODUCT(SUMIF(INDIRECT("'"&amp;Assemblies[Assy]&amp;"'!"&amp;"C:C"),B133,(INDIRECT("'"&amp;Assemblies[Assy]&amp;"'!"&amp;"O:O"))))</f>
        <v>8</v>
      </c>
      <c r="E133">
        <v>8</v>
      </c>
      <c r="F133" t="str">
        <f t="shared" ca="1" si="12"/>
        <v/>
      </c>
      <c r="G133" s="39">
        <f t="shared" si="13"/>
        <v>1</v>
      </c>
      <c r="I133" t="s">
        <v>3595</v>
      </c>
      <c r="P133" s="7">
        <v>1</v>
      </c>
      <c r="Q133" s="7">
        <v>0</v>
      </c>
      <c r="R133" s="7">
        <v>0</v>
      </c>
      <c r="S133" s="54">
        <v>0</v>
      </c>
      <c r="T133" s="2">
        <v>6</v>
      </c>
      <c r="U133" s="55">
        <v>330.57</v>
      </c>
      <c r="V133" s="59">
        <f t="shared" si="14"/>
        <v>5.5094999999999998E-2</v>
      </c>
      <c r="W133" s="2" t="str" cm="1">
        <f t="array" aca="1" ref="W133" ca="1">TRIM(SUBSTITUTE(_xlfn.ARRAYTOTEXT(IFERROR(CONCATENATE(SUMIF(INDIRECT("'"&amp;Assemblies[Assy]&amp;"'!"&amp;"C$5:C1000"), $B133, INDIRECT("'"&amp;Assemblies[Assy]&amp;"'!"&amp;"O$5:O1000")), "x",Assemblies[Assy],".",IF(SUMIF(INDIRECT("'"&amp;Assemblies[Assy]&amp;"'!"&amp;"C$5:C1000"), $B133, INDIRECT("'"&amp;Assemblies[Assy]&amp;"'!"&amp;"A$5:A1000"))=0,NA(),SUMIF(INDIRECT("'"&amp;Assemblies[Assy]&amp;"'!"&amp;"C$5:C1000"), $B133, INDIRECT("'"&amp;Assemblies[Assy]&amp;"'!"&amp;"A$5:A1000")))),"")), " ,", ""))</f>
        <v>, 8x6.8.703,</v>
      </c>
      <c r="X133" s="54">
        <f ca="1">Extrusion[[#This Row],[Length]]*Extrusion[[#This Row],[Total Qty]]</f>
        <v>7096</v>
      </c>
      <c r="Y133" s="54">
        <f>Extrusion[[#This Row],[Length]]*Extrusion[[#This Row],[Cut QTY]]</f>
        <v>7096</v>
      </c>
      <c r="Z133" s="54">
        <f ca="1">Extrusion[[#This Row],[Required Length]]-Extrusion[[#This Row],[Cut Length]]</f>
        <v>0</v>
      </c>
      <c r="AA133" s="54"/>
    </row>
    <row r="134" spans="1:33" x14ac:dyDescent="0.25">
      <c r="A134" s="143">
        <v>895</v>
      </c>
      <c r="B134" t="s">
        <v>908</v>
      </c>
      <c r="C134" t="s">
        <v>3596</v>
      </c>
      <c r="D134" s="157" cm="1">
        <f t="array" aca="1" ref="D134" ca="1">SUMPRODUCT(SUMIF(INDIRECT("'"&amp;Assemblies[Assy]&amp;"'!"&amp;"C:C"),B134,(INDIRECT("'"&amp;Assemblies[Assy]&amp;"'!"&amp;"O:O"))))</f>
        <v>2</v>
      </c>
      <c r="E134">
        <v>2</v>
      </c>
      <c r="F134" t="str">
        <f t="shared" ca="1" si="12"/>
        <v/>
      </c>
      <c r="G134" s="39">
        <f t="shared" si="13"/>
        <v>1</v>
      </c>
      <c r="I134" t="s">
        <v>3595</v>
      </c>
      <c r="P134" s="7">
        <v>1</v>
      </c>
      <c r="Q134" s="7">
        <v>0</v>
      </c>
      <c r="R134" s="7">
        <v>0</v>
      </c>
      <c r="S134" s="54">
        <v>0</v>
      </c>
      <c r="T134" s="2">
        <v>6</v>
      </c>
      <c r="U134" s="55">
        <v>330.57</v>
      </c>
      <c r="V134" s="59">
        <f t="shared" si="14"/>
        <v>5.5094999999999998E-2</v>
      </c>
      <c r="W134" s="2" t="str" cm="1">
        <f t="array" aca="1" ref="W134" ca="1">TRIM(SUBSTITUTE(_xlfn.ARRAYTOTEXT(IFERROR(CONCATENATE(SUMIF(INDIRECT("'"&amp;Assemblies[Assy]&amp;"'!"&amp;"C$5:C1000"), $B134, INDIRECT("'"&amp;Assemblies[Assy]&amp;"'!"&amp;"O$5:O1000")), "x",Assemblies[Assy],".",IF(SUMIF(INDIRECT("'"&amp;Assemblies[Assy]&amp;"'!"&amp;"C$5:C1000"), $B134, INDIRECT("'"&amp;Assemblies[Assy]&amp;"'!"&amp;"A$5:A1000"))=0,NA(),SUMIF(INDIRECT("'"&amp;Assemblies[Assy]&amp;"'!"&amp;"C$5:C1000"), $B134, INDIRECT("'"&amp;Assemblies[Assy]&amp;"'!"&amp;"A$5:A1000")))),"")), " ,", ""))</f>
        <v>, 2x6.1.705,</v>
      </c>
      <c r="X134" s="54">
        <f ca="1">Extrusion[[#This Row],[Length]]*Extrusion[[#This Row],[Total Qty]]</f>
        <v>1790</v>
      </c>
      <c r="Y134" s="54">
        <f>Extrusion[[#This Row],[Length]]*Extrusion[[#This Row],[Cut QTY]]</f>
        <v>1790</v>
      </c>
      <c r="Z134" s="54">
        <f ca="1">Extrusion[[#This Row],[Required Length]]-Extrusion[[#This Row],[Cut Length]]</f>
        <v>0</v>
      </c>
      <c r="AA134" s="54"/>
    </row>
    <row r="135" spans="1:33" x14ac:dyDescent="0.25">
      <c r="A135" s="143">
        <v>980</v>
      </c>
      <c r="B135" t="s">
        <v>1331</v>
      </c>
      <c r="C135" t="s">
        <v>3596</v>
      </c>
      <c r="D135" s="157" cm="1">
        <f t="array" aca="1" ref="D135" ca="1">SUMPRODUCT(SUMIF(INDIRECT("'"&amp;Assemblies[Assy]&amp;"'!"&amp;"C:C"),B135,(INDIRECT("'"&amp;Assemblies[Assy]&amp;"'!"&amp;"O:O"))))</f>
        <v>4</v>
      </c>
      <c r="E135">
        <v>4</v>
      </c>
      <c r="F135" t="str">
        <f t="shared" ca="1" si="12"/>
        <v/>
      </c>
      <c r="G135" s="39">
        <f t="shared" si="13"/>
        <v>1</v>
      </c>
      <c r="I135" t="s">
        <v>3595</v>
      </c>
      <c r="P135" s="7">
        <v>1</v>
      </c>
      <c r="Q135" s="7">
        <v>0</v>
      </c>
      <c r="R135" s="7">
        <v>0</v>
      </c>
      <c r="S135" s="54">
        <v>0</v>
      </c>
      <c r="T135" s="2">
        <v>6</v>
      </c>
      <c r="U135" s="55">
        <v>330.57</v>
      </c>
      <c r="V135" s="59">
        <f t="shared" si="14"/>
        <v>5.5094999999999998E-2</v>
      </c>
      <c r="W135" s="2" t="str" cm="1">
        <f t="array" aca="1" ref="W135" ca="1">TRIM(SUBSTITUTE(_xlfn.ARRAYTOTEXT(IFERROR(CONCATENATE(SUMIF(INDIRECT("'"&amp;Assemblies[Assy]&amp;"'!"&amp;"C$5:C1000"), $B135, INDIRECT("'"&amp;Assemblies[Assy]&amp;"'!"&amp;"O$5:O1000")), "x",Assemblies[Assy],".",IF(SUMIF(INDIRECT("'"&amp;Assemblies[Assy]&amp;"'!"&amp;"C$5:C1000"), $B135, INDIRECT("'"&amp;Assemblies[Assy]&amp;"'!"&amp;"A$5:A1000"))=0,NA(),SUMIF(INDIRECT("'"&amp;Assemblies[Assy]&amp;"'!"&amp;"C$5:C1000"), $B135, INDIRECT("'"&amp;Assemblies[Assy]&amp;"'!"&amp;"A$5:A1000")))),"")), " ,", ""))</f>
        <v>, 4x10.1.709,</v>
      </c>
      <c r="X135" s="54">
        <f ca="1">Extrusion[[#This Row],[Length]]*Extrusion[[#This Row],[Total Qty]]</f>
        <v>3920</v>
      </c>
      <c r="Y135" s="54">
        <f>Extrusion[[#This Row],[Length]]*Extrusion[[#This Row],[Cut QTY]]</f>
        <v>3920</v>
      </c>
      <c r="Z135" s="54">
        <f ca="1">Extrusion[[#This Row],[Required Length]]-Extrusion[[#This Row],[Cut Length]]</f>
        <v>0</v>
      </c>
      <c r="AA135" s="54"/>
      <c r="AB135" s="184"/>
    </row>
    <row r="136" spans="1:33" x14ac:dyDescent="0.25">
      <c r="A136" s="143">
        <v>689</v>
      </c>
      <c r="B136" t="s">
        <v>1152</v>
      </c>
      <c r="C136" t="s">
        <v>3596</v>
      </c>
      <c r="D136" s="157" cm="1">
        <f t="array" aca="1" ref="D136" ca="1">SUMPRODUCT(SUMIF(INDIRECT("'"&amp;Assemblies[Assy]&amp;"'!"&amp;"C:C"),B136,(INDIRECT("'"&amp;Assemblies[Assy]&amp;"'!"&amp;"O:O"))))</f>
        <v>6</v>
      </c>
      <c r="E136">
        <v>6</v>
      </c>
      <c r="F136" t="str">
        <f t="shared" ca="1" si="12"/>
        <v/>
      </c>
      <c r="G136" s="39">
        <f t="shared" si="13"/>
        <v>1</v>
      </c>
      <c r="I136" t="s">
        <v>3595</v>
      </c>
      <c r="P136" s="7">
        <v>1</v>
      </c>
      <c r="Q136" s="7">
        <v>0</v>
      </c>
      <c r="R136" s="7">
        <v>0</v>
      </c>
      <c r="S136" s="54">
        <v>0</v>
      </c>
      <c r="T136" s="2">
        <v>6</v>
      </c>
      <c r="U136" s="55">
        <v>330.57</v>
      </c>
      <c r="V136" s="59">
        <f t="shared" si="14"/>
        <v>5.5094999999999998E-2</v>
      </c>
      <c r="W136" s="2" t="str" cm="1">
        <f t="array" aca="1" ref="W136" ca="1">TRIM(SUBSTITUTE(_xlfn.ARRAYTOTEXT(IFERROR(CONCATENATE(SUMIF(INDIRECT("'"&amp;Assemblies[Assy]&amp;"'!"&amp;"C$5:C1000"), $B136, INDIRECT("'"&amp;Assemblies[Assy]&amp;"'!"&amp;"O$5:O1000")), "x",Assemblies[Assy],".",IF(SUMIF(INDIRECT("'"&amp;Assemblies[Assy]&amp;"'!"&amp;"C$5:C1000"), $B136, INDIRECT("'"&amp;Assemblies[Assy]&amp;"'!"&amp;"A$5:A1000"))=0,NA(),SUMIF(INDIRECT("'"&amp;Assemblies[Assy]&amp;"'!"&amp;"C$5:C1000"), $B136, INDIRECT("'"&amp;Assemblies[Assy]&amp;"'!"&amp;"A$5:A1000")))),"")), " ,", ""))</f>
        <v>, 6x7.2.1.701,</v>
      </c>
      <c r="X136" s="54">
        <f ca="1">Extrusion[[#This Row],[Length]]*Extrusion[[#This Row],[Total Qty]]</f>
        <v>4134</v>
      </c>
      <c r="Y136" s="54">
        <f>Extrusion[[#This Row],[Length]]*Extrusion[[#This Row],[Cut QTY]]</f>
        <v>4134</v>
      </c>
      <c r="Z136" s="54">
        <f ca="1">Extrusion[[#This Row],[Required Length]]-Extrusion[[#This Row],[Cut Length]]</f>
        <v>0</v>
      </c>
      <c r="AA136" s="54"/>
    </row>
    <row r="137" spans="1:33" x14ac:dyDescent="0.25">
      <c r="A137" s="143">
        <v>1500</v>
      </c>
      <c r="B137" t="s">
        <v>1053</v>
      </c>
      <c r="C137" t="s">
        <v>3596</v>
      </c>
      <c r="D137" s="157" cm="1">
        <f t="array" aca="1" ref="D137" ca="1">SUMPRODUCT(SUMIF(INDIRECT("'"&amp;Assemblies[Assy]&amp;"'!"&amp;"C:C"),B137,(INDIRECT("'"&amp;Assemblies[Assy]&amp;"'!"&amp;"O:O"))))</f>
        <v>4</v>
      </c>
      <c r="E137">
        <v>4</v>
      </c>
      <c r="F137" t="str">
        <f t="shared" ca="1" si="12"/>
        <v/>
      </c>
      <c r="G137" s="39">
        <f t="shared" si="13"/>
        <v>1</v>
      </c>
      <c r="I137" t="s">
        <v>3595</v>
      </c>
      <c r="P137" s="7">
        <v>1</v>
      </c>
      <c r="Q137" s="7">
        <v>0</v>
      </c>
      <c r="R137" s="7">
        <v>0</v>
      </c>
      <c r="S137" s="54">
        <v>0</v>
      </c>
      <c r="T137" s="2">
        <v>6</v>
      </c>
      <c r="U137" s="55">
        <v>330.57</v>
      </c>
      <c r="V137" s="59">
        <f t="shared" si="14"/>
        <v>5.5094999999999998E-2</v>
      </c>
      <c r="W137" s="2" t="str" cm="1">
        <f t="array" aca="1" ref="W137" ca="1">TRIM(SUBSTITUTE(_xlfn.ARRAYTOTEXT(IFERROR(CONCATENATE(SUMIF(INDIRECT("'"&amp;Assemblies[Assy]&amp;"'!"&amp;"C$5:C1000"), $B137, INDIRECT("'"&amp;Assemblies[Assy]&amp;"'!"&amp;"O$5:O1000")), "x",Assemblies[Assy],".",IF(SUMIF(INDIRECT("'"&amp;Assemblies[Assy]&amp;"'!"&amp;"C$5:C1000"), $B137, INDIRECT("'"&amp;Assemblies[Assy]&amp;"'!"&amp;"A$5:A1000"))=0,NA(),SUMIF(INDIRECT("'"&amp;Assemblies[Assy]&amp;"'!"&amp;"C$5:C1000"), $B137, INDIRECT("'"&amp;Assemblies[Assy]&amp;"'!"&amp;"A$5:A1000")))),"")), " ,", ""))</f>
        <v>, 4x6.9.701,</v>
      </c>
      <c r="X137" s="54">
        <f ca="1">Extrusion[[#This Row],[Length]]*Extrusion[[#This Row],[Total Qty]]</f>
        <v>6000</v>
      </c>
      <c r="Y137" s="54">
        <f>Extrusion[[#This Row],[Length]]*Extrusion[[#This Row],[Cut QTY]]</f>
        <v>6000</v>
      </c>
      <c r="Z137" s="54">
        <f ca="1">Extrusion[[#This Row],[Required Length]]-Extrusion[[#This Row],[Cut Length]]</f>
        <v>0</v>
      </c>
      <c r="AA137" s="54"/>
      <c r="AC137" s="39"/>
      <c r="AD137" s="39"/>
      <c r="AE137" s="39"/>
      <c r="AG137" s="39"/>
    </row>
    <row r="138" spans="1:33" x14ac:dyDescent="0.25">
      <c r="A138" s="143">
        <v>453.3</v>
      </c>
      <c r="B138" t="s">
        <v>634</v>
      </c>
      <c r="C138" t="s">
        <v>3596</v>
      </c>
      <c r="D138" s="157" cm="1">
        <f t="array" aca="1" ref="D138" ca="1">SUMPRODUCT(SUMIF(INDIRECT("'"&amp;Assemblies[Assy]&amp;"'!"&amp;"C:C"),B138,(INDIRECT("'"&amp;Assemblies[Assy]&amp;"'!"&amp;"O:O"))))</f>
        <v>2</v>
      </c>
      <c r="E138">
        <v>2</v>
      </c>
      <c r="F138" t="str">
        <f t="shared" ca="1" si="12"/>
        <v/>
      </c>
      <c r="G138" s="39">
        <f t="shared" si="13"/>
        <v>1</v>
      </c>
      <c r="I138" t="s">
        <v>3595</v>
      </c>
      <c r="P138" s="7">
        <v>1</v>
      </c>
      <c r="Q138" s="7">
        <v>0</v>
      </c>
      <c r="R138" s="7">
        <v>0</v>
      </c>
      <c r="S138" s="54">
        <v>0</v>
      </c>
      <c r="T138" s="2">
        <v>6</v>
      </c>
      <c r="U138" s="55">
        <v>331.57</v>
      </c>
      <c r="V138" s="59">
        <f t="shared" si="14"/>
        <v>5.5261666666666667E-2</v>
      </c>
      <c r="W138" s="2" t="str" cm="1">
        <f t="array" aca="1" ref="W138" ca="1">TRIM(SUBSTITUTE(_xlfn.ARRAYTOTEXT(IFERROR(CONCATENATE(SUMIF(INDIRECT("'"&amp;Assemblies[Assy]&amp;"'!"&amp;"C$5:C1000"), $B138, INDIRECT("'"&amp;Assemblies[Assy]&amp;"'!"&amp;"O$5:O1000")), "x",Assemblies[Assy],".",IF(SUMIF(INDIRECT("'"&amp;Assemblies[Assy]&amp;"'!"&amp;"C$5:C1000"), $B138, INDIRECT("'"&amp;Assemblies[Assy]&amp;"'!"&amp;"A$5:A1000"))=0,NA(),SUMIF(INDIRECT("'"&amp;Assemblies[Assy]&amp;"'!"&amp;"C$5:C1000"), $B138, INDIRECT("'"&amp;Assemblies[Assy]&amp;"'!"&amp;"A$5:A1000")))),"")), " ,", ""))</f>
        <v>, 2x4.4.701,</v>
      </c>
      <c r="X138" s="54">
        <f ca="1">Extrusion[[#This Row],[Length]]*Extrusion[[#This Row],[Total Qty]]</f>
        <v>906.6</v>
      </c>
      <c r="Y138" s="54">
        <f>Extrusion[[#This Row],[Length]]*Extrusion[[#This Row],[Cut QTY]]</f>
        <v>906.6</v>
      </c>
      <c r="Z138" s="54">
        <f ca="1">Extrusion[[#This Row],[Required Length]]-Extrusion[[#This Row],[Cut Length]]</f>
        <v>0</v>
      </c>
    </row>
    <row r="139" spans="1:33" x14ac:dyDescent="0.25">
      <c r="A139" s="143">
        <v>188.6</v>
      </c>
      <c r="B139" t="s">
        <v>1044</v>
      </c>
      <c r="C139" t="s">
        <v>3863</v>
      </c>
      <c r="D139" s="157" cm="1">
        <f t="array" aca="1" ref="D139" ca="1">SUMPRODUCT(SUMIF(INDIRECT("'"&amp;Assemblies[Assy]&amp;"'!"&amp;"C:C"),B139,(INDIRECT("'"&amp;Assemblies[Assy]&amp;"'!"&amp;"O:O"))))</f>
        <v>16</v>
      </c>
      <c r="E139">
        <v>16</v>
      </c>
      <c r="F139" t="str">
        <f t="shared" ca="1" si="12"/>
        <v/>
      </c>
      <c r="G139" s="39">
        <f t="shared" si="13"/>
        <v>1</v>
      </c>
      <c r="I139" t="s">
        <v>3595</v>
      </c>
      <c r="P139" s="7">
        <v>1</v>
      </c>
      <c r="Q139" s="7">
        <v>0</v>
      </c>
      <c r="R139" s="7">
        <v>0</v>
      </c>
      <c r="S139" s="54">
        <v>0</v>
      </c>
      <c r="T139" s="2">
        <v>6</v>
      </c>
      <c r="U139" s="55">
        <v>330.57</v>
      </c>
      <c r="V139" s="59">
        <f t="shared" si="14"/>
        <v>5.5094999999999998E-2</v>
      </c>
      <c r="W139" s="2" t="str" cm="1">
        <f t="array" aca="1" ref="W139" ca="1">TRIM(SUBSTITUTE(_xlfn.ARRAYTOTEXT(IFERROR(CONCATENATE(SUMIF(INDIRECT("'"&amp;Assemblies[Assy]&amp;"'!"&amp;"C$5:C1000"), $B139, INDIRECT("'"&amp;Assemblies[Assy]&amp;"'!"&amp;"O$5:O1000")), "x",Assemblies[Assy],".",IF(SUMIF(INDIRECT("'"&amp;Assemblies[Assy]&amp;"'!"&amp;"C$5:C1000"), $B139, INDIRECT("'"&amp;Assemblies[Assy]&amp;"'!"&amp;"A$5:A1000"))=0,NA(),SUMIF(INDIRECT("'"&amp;Assemblies[Assy]&amp;"'!"&amp;"C$5:C1000"), $B139, INDIRECT("'"&amp;Assemblies[Assy]&amp;"'!"&amp;"A$5:A1000")))),"")), " ,", ""))</f>
        <v>, 16x6.8.702,</v>
      </c>
      <c r="X139" s="54">
        <f ca="1">Extrusion[[#This Row],[Length]]*Extrusion[[#This Row],[Total Qty]]</f>
        <v>3017.6</v>
      </c>
      <c r="Y139" s="54">
        <f>Extrusion[[#This Row],[Length]]*Extrusion[[#This Row],[Cut QTY]]</f>
        <v>3017.6</v>
      </c>
      <c r="Z139" s="54">
        <f ca="1">Extrusion[[#This Row],[Required Length]]-Extrusion[[#This Row],[Cut Length]]</f>
        <v>0</v>
      </c>
    </row>
    <row r="140" spans="1:33" x14ac:dyDescent="0.25">
      <c r="A140" s="143">
        <v>222</v>
      </c>
      <c r="B140" t="s">
        <v>689</v>
      </c>
      <c r="C140" t="s">
        <v>3596</v>
      </c>
      <c r="D140" s="157" cm="1">
        <f t="array" aca="1" ref="D140" ca="1">SUMPRODUCT(SUMIF(INDIRECT("'"&amp;Assemblies[Assy]&amp;"'!"&amp;"C:C"),B140,(INDIRECT("'"&amp;Assemblies[Assy]&amp;"'!"&amp;"O:O"))))</f>
        <v>8</v>
      </c>
      <c r="E140">
        <v>8</v>
      </c>
      <c r="F140" t="str">
        <f t="shared" ca="1" si="12"/>
        <v/>
      </c>
      <c r="G140" s="39">
        <f t="shared" si="13"/>
        <v>1</v>
      </c>
      <c r="I140" t="s">
        <v>3595</v>
      </c>
      <c r="P140" s="7">
        <v>1</v>
      </c>
      <c r="Q140" s="7">
        <v>0</v>
      </c>
      <c r="R140" s="7">
        <v>0</v>
      </c>
      <c r="S140" s="54">
        <v>0</v>
      </c>
      <c r="T140" s="2">
        <v>6</v>
      </c>
      <c r="U140" s="55">
        <v>330.57</v>
      </c>
      <c r="V140" s="59">
        <f t="shared" si="14"/>
        <v>5.5094999999999998E-2</v>
      </c>
      <c r="W140" s="2" t="str" cm="1">
        <f t="array" aca="1" ref="W140" ca="1">TRIM(SUBSTITUTE(_xlfn.ARRAYTOTEXT(IFERROR(CONCATENATE(SUMIF(INDIRECT("'"&amp;Assemblies[Assy]&amp;"'!"&amp;"C$5:C1000"), $B140, INDIRECT("'"&amp;Assemblies[Assy]&amp;"'!"&amp;"O$5:O1000")), "x",Assemblies[Assy],".",IF(SUMIF(INDIRECT("'"&amp;Assemblies[Assy]&amp;"'!"&amp;"C$5:C1000"), $B140, INDIRECT("'"&amp;Assemblies[Assy]&amp;"'!"&amp;"A$5:A1000"))=0,NA(),SUMIF(INDIRECT("'"&amp;Assemblies[Assy]&amp;"'!"&amp;"C$5:C1000"), $B140, INDIRECT("'"&amp;Assemblies[Assy]&amp;"'!"&amp;"A$5:A1000")))),"")), " ,", ""))</f>
        <v>, 8x5.1.704,</v>
      </c>
      <c r="X140" s="54">
        <f ca="1">Extrusion[[#This Row],[Length]]*Extrusion[[#This Row],[Total Qty]]</f>
        <v>1776</v>
      </c>
      <c r="Y140" s="54">
        <f>Extrusion[[#This Row],[Length]]*Extrusion[[#This Row],[Cut QTY]]</f>
        <v>1776</v>
      </c>
      <c r="Z140" s="54">
        <f ca="1">Extrusion[[#This Row],[Required Length]]-Extrusion[[#This Row],[Cut Length]]</f>
        <v>0</v>
      </c>
    </row>
    <row r="141" spans="1:33" x14ac:dyDescent="0.25">
      <c r="A141" s="143">
        <v>337</v>
      </c>
      <c r="B141" t="s">
        <v>1335</v>
      </c>
      <c r="C141" t="s">
        <v>3596</v>
      </c>
      <c r="D141" s="157" cm="1">
        <f t="array" aca="1" ref="D141" ca="1">SUMPRODUCT(SUMIF(INDIRECT("'"&amp;Assemblies[Assy]&amp;"'!"&amp;"C:C"),B141,(INDIRECT("'"&amp;Assemblies[Assy]&amp;"'!"&amp;"O:O"))))</f>
        <v>2</v>
      </c>
      <c r="E141">
        <v>2</v>
      </c>
      <c r="F141" t="str">
        <f t="shared" ca="1" si="12"/>
        <v/>
      </c>
      <c r="G141" s="39">
        <f t="shared" si="13"/>
        <v>1</v>
      </c>
      <c r="I141" t="s">
        <v>3595</v>
      </c>
      <c r="P141" s="7">
        <v>1</v>
      </c>
      <c r="Q141" s="7">
        <v>0</v>
      </c>
      <c r="R141" s="7">
        <v>0</v>
      </c>
      <c r="S141" s="54">
        <v>0</v>
      </c>
      <c r="T141" s="2">
        <v>6</v>
      </c>
      <c r="U141" s="55">
        <v>330.57</v>
      </c>
      <c r="V141" s="59">
        <f t="shared" si="14"/>
        <v>5.5094999999999998E-2</v>
      </c>
      <c r="W141" s="2" t="str" cm="1">
        <f t="array" aca="1" ref="W141" ca="1">TRIM(SUBSTITUTE(_xlfn.ARRAYTOTEXT(IFERROR(CONCATENATE(SUMIF(INDIRECT("'"&amp;Assemblies[Assy]&amp;"'!"&amp;"C$5:C1000"), $B141, INDIRECT("'"&amp;Assemblies[Assy]&amp;"'!"&amp;"O$5:O1000")), "x",Assemblies[Assy],".",IF(SUMIF(INDIRECT("'"&amp;Assemblies[Assy]&amp;"'!"&amp;"C$5:C1000"), $B141, INDIRECT("'"&amp;Assemblies[Assy]&amp;"'!"&amp;"A$5:A1000"))=0,NA(),SUMIF(INDIRECT("'"&amp;Assemblies[Assy]&amp;"'!"&amp;"C$5:C1000"), $B141, INDIRECT("'"&amp;Assemblies[Assy]&amp;"'!"&amp;"A$5:A1000")))),"")), " ,", ""))</f>
        <v>, 2x10.1.713,</v>
      </c>
      <c r="X141" s="54">
        <f ca="1">Extrusion[[#This Row],[Length]]*Extrusion[[#This Row],[Total Qty]]</f>
        <v>674</v>
      </c>
      <c r="Y141" s="54">
        <f>Extrusion[[#This Row],[Length]]*Extrusion[[#This Row],[Cut QTY]]</f>
        <v>674</v>
      </c>
      <c r="Z141" s="54">
        <f ca="1">Extrusion[[#This Row],[Required Length]]-Extrusion[[#This Row],[Cut Length]]</f>
        <v>0</v>
      </c>
    </row>
    <row r="142" spans="1:33" x14ac:dyDescent="0.25">
      <c r="A142" s="143">
        <v>365</v>
      </c>
      <c r="B142" t="s">
        <v>1054</v>
      </c>
      <c r="C142" t="s">
        <v>3863</v>
      </c>
      <c r="D142" s="157" cm="1">
        <f t="array" aca="1" ref="D142" ca="1">SUMPRODUCT(SUMIF(INDIRECT("'"&amp;Assemblies[Assy]&amp;"'!"&amp;"C:C"),B142,(INDIRECT("'"&amp;Assemblies[Assy]&amp;"'!"&amp;"O:O"))))</f>
        <v>4</v>
      </c>
      <c r="E142">
        <v>4</v>
      </c>
      <c r="F142" t="str">
        <f t="shared" ca="1" si="12"/>
        <v/>
      </c>
      <c r="G142" s="39">
        <f t="shared" si="13"/>
        <v>1</v>
      </c>
      <c r="I142" t="s">
        <v>3595</v>
      </c>
      <c r="P142" s="7">
        <v>1</v>
      </c>
      <c r="Q142" s="7">
        <v>0</v>
      </c>
      <c r="R142" s="7">
        <v>0</v>
      </c>
      <c r="S142" s="54">
        <v>0</v>
      </c>
      <c r="T142" s="2">
        <v>6</v>
      </c>
      <c r="U142" s="55">
        <v>330.57</v>
      </c>
      <c r="V142" s="59">
        <f t="shared" si="14"/>
        <v>5.5094999999999998E-2</v>
      </c>
      <c r="W142" s="2" t="str" cm="1">
        <f t="array" aca="1" ref="W142" ca="1">TRIM(SUBSTITUTE(_xlfn.ARRAYTOTEXT(IFERROR(CONCATENATE(SUMIF(INDIRECT("'"&amp;Assemblies[Assy]&amp;"'!"&amp;"C$5:C1000"), $B142, INDIRECT("'"&amp;Assemblies[Assy]&amp;"'!"&amp;"O$5:O1000")), "x",Assemblies[Assy],".",IF(SUMIF(INDIRECT("'"&amp;Assemblies[Assy]&amp;"'!"&amp;"C$5:C1000"), $B142, INDIRECT("'"&amp;Assemblies[Assy]&amp;"'!"&amp;"A$5:A1000"))=0,NA(),SUMIF(INDIRECT("'"&amp;Assemblies[Assy]&amp;"'!"&amp;"C$5:C1000"), $B142, INDIRECT("'"&amp;Assemblies[Assy]&amp;"'!"&amp;"A$5:A1000")))),"")), " ,", ""))</f>
        <v>, 4x6.9.702,</v>
      </c>
      <c r="X142" s="54">
        <f ca="1">Extrusion[[#This Row],[Length]]*Extrusion[[#This Row],[Total Qty]]</f>
        <v>1460</v>
      </c>
      <c r="Y142" s="54">
        <f>Extrusion[[#This Row],[Length]]*Extrusion[[#This Row],[Cut QTY]]</f>
        <v>1460</v>
      </c>
      <c r="Z142" s="54">
        <f ca="1">Extrusion[[#This Row],[Required Length]]-Extrusion[[#This Row],[Cut Length]]</f>
        <v>0</v>
      </c>
    </row>
    <row r="143" spans="1:33" x14ac:dyDescent="0.25">
      <c r="A143" s="143">
        <v>775</v>
      </c>
      <c r="B143" t="s">
        <v>1334</v>
      </c>
      <c r="C143" t="s">
        <v>3599</v>
      </c>
      <c r="D143" s="157" cm="1">
        <f t="array" aca="1" ref="D143" ca="1">SUMPRODUCT(SUMIF(INDIRECT("'"&amp;Assemblies[Assy]&amp;"'!"&amp;"C:C"),B143,(INDIRECT("'"&amp;Assemblies[Assy]&amp;"'!"&amp;"O:O"))))</f>
        <v>4</v>
      </c>
      <c r="E143">
        <v>4</v>
      </c>
      <c r="F143" t="str">
        <f t="shared" ca="1" si="12"/>
        <v/>
      </c>
      <c r="G143" s="39">
        <f t="shared" si="13"/>
        <v>1</v>
      </c>
      <c r="I143" t="s">
        <v>3595</v>
      </c>
      <c r="P143" s="7">
        <v>1</v>
      </c>
      <c r="Q143" s="7">
        <v>0</v>
      </c>
      <c r="R143" s="7">
        <v>0</v>
      </c>
      <c r="S143" s="54">
        <v>0</v>
      </c>
      <c r="T143" s="2">
        <v>6</v>
      </c>
      <c r="U143" s="55">
        <v>330.57</v>
      </c>
      <c r="V143" s="59">
        <f t="shared" si="14"/>
        <v>5.5094999999999998E-2</v>
      </c>
      <c r="W143" s="2" t="str" cm="1">
        <f t="array" aca="1" ref="W143" ca="1">TRIM(SUBSTITUTE(_xlfn.ARRAYTOTEXT(IFERROR(CONCATENATE(SUMIF(INDIRECT("'"&amp;Assemblies[Assy]&amp;"'!"&amp;"C$5:C1000"), $B143, INDIRECT("'"&amp;Assemblies[Assy]&amp;"'!"&amp;"O$5:O1000")), "x",Assemblies[Assy],".",IF(SUMIF(INDIRECT("'"&amp;Assemblies[Assy]&amp;"'!"&amp;"C$5:C1000"), $B143, INDIRECT("'"&amp;Assemblies[Assy]&amp;"'!"&amp;"A$5:A1000"))=0,NA(),SUMIF(INDIRECT("'"&amp;Assemblies[Assy]&amp;"'!"&amp;"C$5:C1000"), $B143, INDIRECT("'"&amp;Assemblies[Assy]&amp;"'!"&amp;"A$5:A1000")))),"")), " ,", ""))</f>
        <v>, 4x10.1.712,</v>
      </c>
      <c r="X143" s="54">
        <f ca="1">Extrusion[[#This Row],[Length]]*Extrusion[[#This Row],[Total Qty]]</f>
        <v>3100</v>
      </c>
      <c r="Y143" s="54">
        <f>Extrusion[[#This Row],[Length]]*Extrusion[[#This Row],[Cut QTY]]</f>
        <v>3100</v>
      </c>
      <c r="Z143" s="54">
        <f ca="1">Extrusion[[#This Row],[Required Length]]-Extrusion[[#This Row],[Cut Length]]</f>
        <v>0</v>
      </c>
    </row>
    <row r="144" spans="1:33" x14ac:dyDescent="0.25">
      <c r="A144" s="143">
        <v>321</v>
      </c>
      <c r="B144" t="s">
        <v>1223</v>
      </c>
      <c r="C144" t="s">
        <v>3596</v>
      </c>
      <c r="D144" s="157" cm="1">
        <f t="array" aca="1" ref="D144" ca="1">SUMPRODUCT(SUMIF(INDIRECT("'"&amp;Assemblies[Assy]&amp;"'!"&amp;"C:C"),B144,(INDIRECT("'"&amp;Assemblies[Assy]&amp;"'!"&amp;"O:O"))))</f>
        <v>8</v>
      </c>
      <c r="E144">
        <v>8</v>
      </c>
      <c r="F144" t="str">
        <f t="shared" ca="1" si="12"/>
        <v/>
      </c>
      <c r="G144" s="39">
        <f t="shared" si="13"/>
        <v>1</v>
      </c>
      <c r="I144" t="s">
        <v>3595</v>
      </c>
      <c r="P144" s="7">
        <v>1</v>
      </c>
      <c r="Q144" s="7">
        <v>0</v>
      </c>
      <c r="R144" s="7">
        <v>0</v>
      </c>
      <c r="S144" s="54">
        <v>0</v>
      </c>
      <c r="T144" s="2">
        <v>6</v>
      </c>
      <c r="U144" s="55">
        <v>330.57</v>
      </c>
      <c r="V144" s="59">
        <f t="shared" si="14"/>
        <v>5.5094999999999998E-2</v>
      </c>
      <c r="W144" s="2" t="str" cm="1">
        <f t="array" aca="1" ref="W144" ca="1">TRIM(SUBSTITUTE(_xlfn.ARRAYTOTEXT(IFERROR(CONCATENATE(SUMIF(INDIRECT("'"&amp;Assemblies[Assy]&amp;"'!"&amp;"C$5:C1000"), $B144, INDIRECT("'"&amp;Assemblies[Assy]&amp;"'!"&amp;"O$5:O1000")), "x",Assemblies[Assy],".",IF(SUMIF(INDIRECT("'"&amp;Assemblies[Assy]&amp;"'!"&amp;"C$5:C1000"), $B144, INDIRECT("'"&amp;Assemblies[Assy]&amp;"'!"&amp;"A$5:A1000"))=0,NA(),SUMIF(INDIRECT("'"&amp;Assemblies[Assy]&amp;"'!"&amp;"C$5:C1000"), $B144, INDIRECT("'"&amp;Assemblies[Assy]&amp;"'!"&amp;"A$5:A1000")))),"")), " ,", ""))</f>
        <v>, 8x8.1.1.701,</v>
      </c>
      <c r="X144" s="54">
        <f ca="1">Extrusion[[#This Row],[Length]]*Extrusion[[#This Row],[Total Qty]]</f>
        <v>2568</v>
      </c>
      <c r="Y144" s="54">
        <f>Extrusion[[#This Row],[Length]]*Extrusion[[#This Row],[Cut QTY]]</f>
        <v>2568</v>
      </c>
      <c r="Z144" s="54">
        <f ca="1">Extrusion[[#This Row],[Required Length]]-Extrusion[[#This Row],[Cut Length]]</f>
        <v>0</v>
      </c>
    </row>
    <row r="145" spans="1:26" x14ac:dyDescent="0.25">
      <c r="A145" s="143">
        <v>842</v>
      </c>
      <c r="B145" t="s">
        <v>1224</v>
      </c>
      <c r="C145" t="s">
        <v>3596</v>
      </c>
      <c r="D145" s="157" cm="1">
        <f t="array" aca="1" ref="D145" ca="1">SUMPRODUCT(SUMIF(INDIRECT("'"&amp;Assemblies[Assy]&amp;"'!"&amp;"C:C"),B145,(INDIRECT("'"&amp;Assemblies[Assy]&amp;"'!"&amp;"O:O"))))</f>
        <v>2</v>
      </c>
      <c r="E145">
        <v>2</v>
      </c>
      <c r="F145" t="str">
        <f t="shared" ca="1" si="12"/>
        <v/>
      </c>
      <c r="G145" s="39">
        <f t="shared" si="13"/>
        <v>1</v>
      </c>
      <c r="I145" t="s">
        <v>3595</v>
      </c>
      <c r="P145" s="7">
        <v>1</v>
      </c>
      <c r="Q145" s="7">
        <v>0</v>
      </c>
      <c r="R145" s="7">
        <v>0</v>
      </c>
      <c r="S145" s="54">
        <v>0</v>
      </c>
      <c r="T145" s="2">
        <v>6</v>
      </c>
      <c r="U145" s="55">
        <v>330.57</v>
      </c>
      <c r="V145" s="59">
        <f t="shared" si="14"/>
        <v>5.5094999999999998E-2</v>
      </c>
      <c r="W145" s="2" t="str" cm="1">
        <f t="array" aca="1" ref="W145" ca="1">TRIM(SUBSTITUTE(_xlfn.ARRAYTOTEXT(IFERROR(CONCATENATE(SUMIF(INDIRECT("'"&amp;Assemblies[Assy]&amp;"'!"&amp;"C$5:C1000"), $B145, INDIRECT("'"&amp;Assemblies[Assy]&amp;"'!"&amp;"O$5:O1000")), "x",Assemblies[Assy],".",IF(SUMIF(INDIRECT("'"&amp;Assemblies[Assy]&amp;"'!"&amp;"C$5:C1000"), $B145, INDIRECT("'"&amp;Assemblies[Assy]&amp;"'!"&amp;"A$5:A1000"))=0,NA(),SUMIF(INDIRECT("'"&amp;Assemblies[Assy]&amp;"'!"&amp;"C$5:C1000"), $B145, INDIRECT("'"&amp;Assemblies[Assy]&amp;"'!"&amp;"A$5:A1000")))),"")), " ,", ""))</f>
        <v>, 2x8.1.1.702,</v>
      </c>
      <c r="X145" s="54">
        <f ca="1">Extrusion[[#This Row],[Length]]*Extrusion[[#This Row],[Total Qty]]</f>
        <v>1684</v>
      </c>
      <c r="Y145" s="54">
        <f>Extrusion[[#This Row],[Length]]*Extrusion[[#This Row],[Cut QTY]]</f>
        <v>1684</v>
      </c>
      <c r="Z145" s="54">
        <f ca="1">Extrusion[[#This Row],[Required Length]]-Extrusion[[#This Row],[Cut Length]]</f>
        <v>0</v>
      </c>
    </row>
  </sheetData>
  <phoneticPr fontId="8" type="noConversion"/>
  <conditionalFormatting sqref="F1:F1048576">
    <cfRule type="containsText" dxfId="86" priority="2" operator="containsText" text="YES">
      <formula>NOT(ISERROR(SEARCH("YES",F1)))</formula>
    </cfRule>
    <cfRule type="containsText" dxfId="85" priority="3" operator="containsText" text="notmatch">
      <formula>NOT(ISERROR(SEARCH("notmatch",F1)))</formula>
    </cfRule>
  </conditionalFormatting>
  <conditionalFormatting sqref="N146:N10020 N2:O145">
    <cfRule type="cellIs" dxfId="84" priority="7" operator="greaterThan">
      <formula>#REF!</formula>
    </cfRule>
  </conditionalFormatting>
  <conditionalFormatting sqref="B2:B145">
    <cfRule type="duplicateValues" dxfId="83" priority="1120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860A6-A25A-487E-A401-E096398DED06}">
  <sheetPr codeName="Sheet243"/>
  <dimension ref="A1:M185"/>
  <sheetViews>
    <sheetView workbookViewId="0">
      <selection activeCell="F17" sqref="F17"/>
    </sheetView>
  </sheetViews>
  <sheetFormatPr defaultColWidth="9.140625" defaultRowHeight="15" x14ac:dyDescent="0.25"/>
  <cols>
    <col min="1" max="1" width="30" bestFit="1" customWidth="1"/>
    <col min="2" max="2" width="9.28515625" style="18" customWidth="1"/>
    <col min="3" max="3" width="8.28515625" style="19" customWidth="1"/>
    <col min="4" max="4" width="5.7109375" customWidth="1"/>
    <col min="5" max="5" width="6.42578125" customWidth="1"/>
    <col min="6" max="6" width="6.140625" customWidth="1"/>
    <col min="7" max="7" width="20.28515625" customWidth="1"/>
    <col min="8" max="8" width="9.28515625" style="40" customWidth="1"/>
    <col min="9" max="9" width="9.7109375" style="40" customWidth="1"/>
    <col min="10" max="10" width="6.85546875" style="40" customWidth="1"/>
    <col min="11" max="11" width="9" style="40" customWidth="1"/>
    <col min="13" max="13" width="64.85546875" customWidth="1"/>
  </cols>
  <sheetData>
    <row r="1" spans="1:13" x14ac:dyDescent="0.25">
      <c r="A1" t="s">
        <v>3600</v>
      </c>
      <c r="B1" s="18" t="s">
        <v>44</v>
      </c>
      <c r="C1" s="19" t="s">
        <v>53</v>
      </c>
      <c r="D1" t="s">
        <v>3601</v>
      </c>
      <c r="E1" t="s">
        <v>17</v>
      </c>
      <c r="F1" t="s">
        <v>18</v>
      </c>
      <c r="G1" t="s">
        <v>19</v>
      </c>
      <c r="H1" s="40" t="s">
        <v>51</v>
      </c>
      <c r="I1" s="40" t="s">
        <v>21</v>
      </c>
      <c r="J1" s="40" t="s">
        <v>22</v>
      </c>
      <c r="K1" s="40" t="s">
        <v>52</v>
      </c>
      <c r="L1" t="s">
        <v>1976</v>
      </c>
      <c r="M1" s="40" t="s">
        <v>1467</v>
      </c>
    </row>
    <row r="2" spans="1:13" x14ac:dyDescent="0.25">
      <c r="A2" t="s">
        <v>1131</v>
      </c>
      <c r="B2" s="18">
        <v>0</v>
      </c>
      <c r="C2" s="19" cm="1">
        <f t="array" aca="1" ref="C2" ca="1">SUMPRODUCT(SUMIF(INDIRECT("'"&amp;Assemblies[Assy]&amp;"'!"&amp;"C:C"),A2,(INDIRECT("'"&amp;Assemblies[Assy]&amp;"'!"&amp;"O:O"))))</f>
        <v>20</v>
      </c>
      <c r="M2" s="40" t="str" cm="1">
        <f t="array" aca="1" ref="M2" ca="1">TRIM(SUBSTITUTE(_xlfn.ARRAYTOTEXT(IFERROR(CONCATENATE(SUMIF(INDIRECT("'"&amp;Assemblies[Assy]&amp;"'!"&amp;"C$5:C1000"), $A2, INDIRECT("'"&amp;Assemblies[Assy]&amp;"'!"&amp;"O$5:O1000")), "x",Assemblies[Assy],".",IF(SUMIF(INDIRECT("'"&amp;Assemblies[Assy]&amp;"'!"&amp;"C$5:C1000"), $A2, INDIRECT("'"&amp;Assemblies[Assy]&amp;"'!"&amp;"A$5:A1000"))=0,NA(),SUMIF(INDIRECT("'"&amp;Assemblies[Assy]&amp;"'!"&amp;"C$5:C1000"), $A2, INDIRECT("'"&amp;Assemblies[Assy]&amp;"'!"&amp;"A$5:A1000")))),"")), " ,", ""))</f>
        <v>, 12x7.1.3.502, 8x8.1.4.502,</v>
      </c>
    </row>
    <row r="3" spans="1:13" x14ac:dyDescent="0.25">
      <c r="A3" t="s">
        <v>440</v>
      </c>
      <c r="B3" s="18">
        <v>0</v>
      </c>
      <c r="C3" s="19" cm="1">
        <f t="array" aca="1" ref="C3" ca="1">SUMPRODUCT(SUMIF(INDIRECT("'"&amp;Assemblies[Assy]&amp;"'!"&amp;"C:C"),A3,(INDIRECT("'"&amp;Assemblies[Assy]&amp;"'!"&amp;"O:O"))))</f>
        <v>3</v>
      </c>
      <c r="M3" s="40" t="str" cm="1">
        <f t="array" aca="1" ref="M3" ca="1">TRIM(SUBSTITUTE(_xlfn.ARRAYTOTEXT(IFERROR(CONCATENATE(SUMIF(INDIRECT("'"&amp;Assemblies[Assy]&amp;"'!"&amp;"C$5:C1000"), $A3, INDIRECT("'"&amp;Assemblies[Assy]&amp;"'!"&amp;"O$5:O1000")), "x",Assemblies[Assy],".",IF(SUMIF(INDIRECT("'"&amp;Assemblies[Assy]&amp;"'!"&amp;"C$5:C1000"), $A3, INDIRECT("'"&amp;Assemblies[Assy]&amp;"'!"&amp;"A$5:A1000"))=0,NA(),SUMIF(INDIRECT("'"&amp;Assemblies[Assy]&amp;"'!"&amp;"C$5:C1000"), $A3, INDIRECT("'"&amp;Assemblies[Assy]&amp;"'!"&amp;"A$5:A1000")))),"")), " ,", ""))</f>
        <v>, 3x2.3.7.502,</v>
      </c>
    </row>
    <row r="4" spans="1:13" x14ac:dyDescent="0.25">
      <c r="A4" t="s">
        <v>3602</v>
      </c>
      <c r="B4" s="18">
        <v>0</v>
      </c>
      <c r="C4" s="19" cm="1">
        <f t="array" aca="1" ref="C4" ca="1">SUMPRODUCT(SUMIF(INDIRECT("'"&amp;Assemblies[Assy]&amp;"'!"&amp;"C:C"),A4,(INDIRECT("'"&amp;Assemblies[Assy]&amp;"'!"&amp;"O:O"))))</f>
        <v>0</v>
      </c>
      <c r="M4" s="40" t="str" cm="1">
        <f t="array" aca="1" ref="M4" ca="1">TRIM(SUBSTITUTE(_xlfn.ARRAYTOTEXT(IFERROR(CONCATENATE(SUMIF(INDIRECT("'"&amp;Assemblies[Assy]&amp;"'!"&amp;"C$5:C1000"), $A4, INDIRECT("'"&amp;Assemblies[Assy]&amp;"'!"&amp;"O$5:O1000")), "x",Assemblies[Assy],".",IF(SUMIF(INDIRECT("'"&amp;Assemblies[Assy]&amp;"'!"&amp;"C$5:C1000"), $A4, INDIRECT("'"&amp;Assemblies[Assy]&amp;"'!"&amp;"A$5:A1000"))=0,NA(),SUMIF(INDIRECT("'"&amp;Assemblies[Assy]&amp;"'!"&amp;"C$5:C1000"), $A4, INDIRECT("'"&amp;Assemblies[Assy]&amp;"'!"&amp;"A$5:A1000")))),"")), " ,", ""))</f>
        <v>,</v>
      </c>
    </row>
    <row r="5" spans="1:13" x14ac:dyDescent="0.25">
      <c r="A5" t="s">
        <v>959</v>
      </c>
      <c r="B5" s="18">
        <v>0</v>
      </c>
      <c r="C5" s="19" cm="1">
        <f t="array" aca="1" ref="C5" ca="1">SUMPRODUCT(SUMIF(INDIRECT("'"&amp;Assemblies[Assy]&amp;"'!"&amp;"C:C"),A5,(INDIRECT("'"&amp;Assemblies[Assy]&amp;"'!"&amp;"O:O"))))</f>
        <v>2</v>
      </c>
      <c r="M5" s="40" t="str" cm="1">
        <f t="array" aca="1" ref="M5" ca="1">TRIM(SUBSTITUTE(_xlfn.ARRAYTOTEXT(IFERROR(CONCATENATE(SUMIF(INDIRECT("'"&amp;Assemblies[Assy]&amp;"'!"&amp;"C$5:C1000"), $A5, INDIRECT("'"&amp;Assemblies[Assy]&amp;"'!"&amp;"O$5:O1000")), "x",Assemblies[Assy],".",IF(SUMIF(INDIRECT("'"&amp;Assemblies[Assy]&amp;"'!"&amp;"C$5:C1000"), $A5, INDIRECT("'"&amp;Assemblies[Assy]&amp;"'!"&amp;"A$5:A1000"))=0,NA(),SUMIF(INDIRECT("'"&amp;Assemblies[Assy]&amp;"'!"&amp;"C$5:C1000"), $A5, INDIRECT("'"&amp;Assemblies[Assy]&amp;"'!"&amp;"A$5:A1000")))),"")), " ,", ""))</f>
        <v>, 1x6.2.1.3.504, 1x6.3.1.3.504,</v>
      </c>
    </row>
    <row r="6" spans="1:13" x14ac:dyDescent="0.25">
      <c r="A6" t="s">
        <v>3603</v>
      </c>
      <c r="B6" s="18">
        <v>1</v>
      </c>
      <c r="C6" s="19" cm="1">
        <f t="array" aca="1" ref="C6" ca="1">SUMPRODUCT(SUMIF(INDIRECT("'"&amp;Assemblies[Assy]&amp;"'!"&amp;"C:C"),A6,(INDIRECT("'"&amp;Assemblies[Assy]&amp;"'!"&amp;"O:O"))))</f>
        <v>0</v>
      </c>
      <c r="M6" s="40" t="str" cm="1">
        <f t="array" aca="1" ref="M6" ca="1">TRIM(SUBSTITUTE(_xlfn.ARRAYTOTEXT(IFERROR(CONCATENATE(SUMIF(INDIRECT("'"&amp;Assemblies[Assy]&amp;"'!"&amp;"C$5:C1000"), $A6, INDIRECT("'"&amp;Assemblies[Assy]&amp;"'!"&amp;"O$5:O1000")), "x",Assemblies[Assy],".",IF(SUMIF(INDIRECT("'"&amp;Assemblies[Assy]&amp;"'!"&amp;"C$5:C1000"), $A6, INDIRECT("'"&amp;Assemblies[Assy]&amp;"'!"&amp;"A$5:A1000"))=0,NA(),SUMIF(INDIRECT("'"&amp;Assemblies[Assy]&amp;"'!"&amp;"C$5:C1000"), $A6, INDIRECT("'"&amp;Assemblies[Assy]&amp;"'!"&amp;"A$5:A1000")))),"")), " ,", ""))</f>
        <v>,</v>
      </c>
    </row>
    <row r="7" spans="1:13" x14ac:dyDescent="0.25">
      <c r="A7" t="s">
        <v>1356</v>
      </c>
      <c r="B7" s="18">
        <v>1</v>
      </c>
      <c r="C7" s="19" cm="1">
        <f t="array" aca="1" ref="C7" ca="1">SUMPRODUCT(SUMIF(INDIRECT("'"&amp;Assemblies[Assy]&amp;"'!"&amp;"C:C"),A7,(INDIRECT("'"&amp;Assemblies[Assy]&amp;"'!"&amp;"O:O"))))</f>
        <v>9</v>
      </c>
      <c r="M7" s="40" t="str" cm="1">
        <f t="array" aca="1" ref="M7" ca="1">TRIM(SUBSTITUTE(_xlfn.ARRAYTOTEXT(IFERROR(CONCATENATE(SUMIF(INDIRECT("'"&amp;Assemblies[Assy]&amp;"'!"&amp;"C$5:C1000"), $A7, INDIRECT("'"&amp;Assemblies[Assy]&amp;"'!"&amp;"O$5:O1000")), "x",Assemblies[Assy],".",IF(SUMIF(INDIRECT("'"&amp;Assemblies[Assy]&amp;"'!"&amp;"C$5:C1000"), $A7, INDIRECT("'"&amp;Assemblies[Assy]&amp;"'!"&amp;"A$5:A1000"))=0,NA(),SUMIF(INDIRECT("'"&amp;Assemblies[Assy]&amp;"'!"&amp;"C$5:C1000"), $A7, INDIRECT("'"&amp;Assemblies[Assy]&amp;"'!"&amp;"A$5:A1000")))),"")), " ,", ""))</f>
        <v>, 1x10.1.9.504, 8x10.2.512,</v>
      </c>
    </row>
    <row r="8" spans="1:13" x14ac:dyDescent="0.25">
      <c r="A8" t="s">
        <v>247</v>
      </c>
      <c r="B8" s="18">
        <v>1</v>
      </c>
      <c r="C8" s="19" cm="1">
        <f t="array" aca="1" ref="C8" ca="1">SUMPRODUCT(SUMIF(INDIRECT("'"&amp;Assemblies[Assy]&amp;"'!"&amp;"C:C"),A8,(INDIRECT("'"&amp;Assemblies[Assy]&amp;"'!"&amp;"O:O"))))</f>
        <v>9</v>
      </c>
      <c r="M8" s="40" t="str" cm="1">
        <f t="array" aca="1" ref="M8" ca="1">TRIM(SUBSTITUTE(_xlfn.ARRAYTOTEXT(IFERROR(CONCATENATE(SUMIF(INDIRECT("'"&amp;Assemblies[Assy]&amp;"'!"&amp;"C$5:C1000"), $A8, INDIRECT("'"&amp;Assemblies[Assy]&amp;"'!"&amp;"O$5:O1000")), "x",Assemblies[Assy],".",IF(SUMIF(INDIRECT("'"&amp;Assemblies[Assy]&amp;"'!"&amp;"C$5:C1000"), $A8, INDIRECT("'"&amp;Assemblies[Assy]&amp;"'!"&amp;"A$5:A1000"))=0,NA(),SUMIF(INDIRECT("'"&amp;Assemblies[Assy]&amp;"'!"&amp;"C$5:C1000"), $A8, INDIRECT("'"&amp;Assemblies[Assy]&amp;"'!"&amp;"A$5:A1000")))),"")), " ,", ""))</f>
        <v>, 6x1.1.17.502, 3x10.1.10.502,</v>
      </c>
    </row>
    <row r="9" spans="1:13" x14ac:dyDescent="0.25">
      <c r="A9" t="s">
        <v>1081</v>
      </c>
      <c r="B9" s="18">
        <v>1</v>
      </c>
      <c r="C9" s="19" cm="1">
        <f t="array" aca="1" ref="C9" ca="1">SUMPRODUCT(SUMIF(INDIRECT("'"&amp;Assemblies[Assy]&amp;"'!"&amp;"C:C"),A9,(INDIRECT("'"&amp;Assemblies[Assy]&amp;"'!"&amp;"O:O"))))</f>
        <v>8</v>
      </c>
      <c r="M9" s="40" t="str" cm="1">
        <f t="array" aca="1" ref="M9" ca="1">TRIM(SUBSTITUTE(_xlfn.ARRAYTOTEXT(IFERROR(CONCATENATE(SUMIF(INDIRECT("'"&amp;Assemblies[Assy]&amp;"'!"&amp;"C$5:C1000"), $A9, INDIRECT("'"&amp;Assemblies[Assy]&amp;"'!"&amp;"O$5:O1000")), "x",Assemblies[Assy],".",IF(SUMIF(INDIRECT("'"&amp;Assemblies[Assy]&amp;"'!"&amp;"C$5:C1000"), $A9, INDIRECT("'"&amp;Assemblies[Assy]&amp;"'!"&amp;"A$5:A1000"))=0,NA(),SUMIF(INDIRECT("'"&amp;Assemblies[Assy]&amp;"'!"&amp;"C$5:C1000"), $A9, INDIRECT("'"&amp;Assemblies[Assy]&amp;"'!"&amp;"A$5:A1000")))),"")), " ,", ""))</f>
        <v>, 8x6.10.509,</v>
      </c>
    </row>
    <row r="10" spans="1:13" x14ac:dyDescent="0.25">
      <c r="A10" t="s">
        <v>1385</v>
      </c>
      <c r="B10" s="18">
        <v>2</v>
      </c>
      <c r="C10" s="19" cm="1">
        <f t="array" aca="1" ref="C10" ca="1">SUMPRODUCT(SUMIF(INDIRECT("'"&amp;Assemblies[Assy]&amp;"'!"&amp;"C:C"),A10,(INDIRECT("'"&amp;Assemblies[Assy]&amp;"'!"&amp;"O:O"))))</f>
        <v>4</v>
      </c>
      <c r="M10" s="40" t="str" cm="1">
        <f t="array" aca="1" ref="M10" ca="1">TRIM(SUBSTITUTE(_xlfn.ARRAYTOTEXT(IFERROR(CONCATENATE(SUMIF(INDIRECT("'"&amp;Assemblies[Assy]&amp;"'!"&amp;"C$5:C1000"), $A10, INDIRECT("'"&amp;Assemblies[Assy]&amp;"'!"&amp;"O$5:O1000")), "x",Assemblies[Assy],".",IF(SUMIF(INDIRECT("'"&amp;Assemblies[Assy]&amp;"'!"&amp;"C$5:C1000"), $A10, INDIRECT("'"&amp;Assemblies[Assy]&amp;"'!"&amp;"A$5:A1000"))=0,NA(),SUMIF(INDIRECT("'"&amp;Assemblies[Assy]&amp;"'!"&amp;"C$5:C1000"), $A10, INDIRECT("'"&amp;Assemblies[Assy]&amp;"'!"&amp;"A$5:A1000")))),"")), " ,", ""))</f>
        <v>, 4x10.2.511,</v>
      </c>
    </row>
    <row r="11" spans="1:13" x14ac:dyDescent="0.25">
      <c r="A11" t="s">
        <v>1176</v>
      </c>
      <c r="B11" s="18">
        <v>0</v>
      </c>
      <c r="C11" s="19" cm="1">
        <f t="array" aca="1" ref="C11" ca="1">SUMPRODUCT(SUMIF(INDIRECT("'"&amp;Assemblies[Assy]&amp;"'!"&amp;"C:C"),A11,(INDIRECT("'"&amp;Assemblies[Assy]&amp;"'!"&amp;"O:O"))))</f>
        <v>400</v>
      </c>
      <c r="M11" s="40" t="str" cm="1">
        <f t="array" aca="1" ref="M11" ca="1">TRIM(SUBSTITUTE(_xlfn.ARRAYTOTEXT(IFERROR(CONCATENATE(SUMIF(INDIRECT("'"&amp;Assemblies[Assy]&amp;"'!"&amp;"C$5:C1000"), $A11, INDIRECT("'"&amp;Assemblies[Assy]&amp;"'!"&amp;"O$5:O1000")), "x",Assemblies[Assy],".",IF(SUMIF(INDIRECT("'"&amp;Assemblies[Assy]&amp;"'!"&amp;"C$5:C1000"), $A11, INDIRECT("'"&amp;Assemblies[Assy]&amp;"'!"&amp;"A$5:A1000"))=0,NA(),SUMIF(INDIRECT("'"&amp;Assemblies[Assy]&amp;"'!"&amp;"C$5:C1000"), $A11, INDIRECT("'"&amp;Assemblies[Assy]&amp;"'!"&amp;"A$5:A1000")))),"")), " ,", ""))</f>
        <v>, 84x7.2.3.506, 84x7.3.2.506, 42x7.6.1.506, 42x7.7.1.506, 74x8.1.3.506, 74x8.2.2.506,</v>
      </c>
    </row>
    <row r="12" spans="1:13" x14ac:dyDescent="0.25">
      <c r="A12" t="s">
        <v>808</v>
      </c>
      <c r="B12" s="18">
        <v>0</v>
      </c>
      <c r="C12" s="19" cm="1">
        <f t="array" aca="1" ref="C12" ca="1">SUMPRODUCT(SUMIF(INDIRECT("'"&amp;Assemblies[Assy]&amp;"'!"&amp;"C:C"),A12,(INDIRECT("'"&amp;Assemblies[Assy]&amp;"'!"&amp;"O:O"))))</f>
        <v>52</v>
      </c>
      <c r="M12" s="40" t="str" cm="1">
        <f t="array" aca="1" ref="M12" ca="1">TRIM(SUBSTITUTE(_xlfn.ARRAYTOTEXT(IFERROR(CONCATENATE(SUMIF(INDIRECT("'"&amp;Assemblies[Assy]&amp;"'!"&amp;"C$5:C1000"), $A12, INDIRECT("'"&amp;Assemblies[Assy]&amp;"'!"&amp;"O$5:O1000")), "x",Assemblies[Assy],".",IF(SUMIF(INDIRECT("'"&amp;Assemblies[Assy]&amp;"'!"&amp;"C$5:C1000"), $A12, INDIRECT("'"&amp;Assemblies[Assy]&amp;"'!"&amp;"A$5:A1000"))=0,NA(),SUMIF(INDIRECT("'"&amp;Assemblies[Assy]&amp;"'!"&amp;"C$5:C1000"), $A12, INDIRECT("'"&amp;Assemblies[Assy]&amp;"'!"&amp;"A$5:A1000")))),"")), " ,", ""))</f>
        <v>, 4x5.5.504, 2x5.5.1.507, 4x5.5.2.1.507, 4x5.6.504, 2x5.6.1.506, 2x6.2.1.1.503, 6x6.2.1.2.502, 4x6.2.2.503, 2x6.3.1.1.503, 6x6.3.1.2.502, 4x6.3.2.503, 2x6.4.504, 2x6.5.504, 8x6.6.2.501,</v>
      </c>
    </row>
    <row r="13" spans="1:13" x14ac:dyDescent="0.25">
      <c r="A13" t="s">
        <v>329</v>
      </c>
      <c r="B13" s="18">
        <v>0</v>
      </c>
      <c r="C13" s="19" cm="1">
        <f t="array" aca="1" ref="C13" ca="1">SUMPRODUCT(SUMIF(INDIRECT("'"&amp;Assemblies[Assy]&amp;"'!"&amp;"C:C"),A13,(INDIRECT("'"&amp;Assemblies[Assy]&amp;"'!"&amp;"O:O"))))</f>
        <v>20</v>
      </c>
      <c r="M13" s="40" t="str" cm="1">
        <f t="array" aca="1" ref="M13" ca="1">TRIM(SUBSTITUTE(_xlfn.ARRAYTOTEXT(IFERROR(CONCATENATE(SUMIF(INDIRECT("'"&amp;Assemblies[Assy]&amp;"'!"&amp;"C$5:C1000"), $A13, INDIRECT("'"&amp;Assemblies[Assy]&amp;"'!"&amp;"O$5:O1000")), "x",Assemblies[Assy],".",IF(SUMIF(INDIRECT("'"&amp;Assemblies[Assy]&amp;"'!"&amp;"C$5:C1000"), $A13, INDIRECT("'"&amp;Assemblies[Assy]&amp;"'!"&amp;"A$5:A1000"))=0,NA(),SUMIF(INDIRECT("'"&amp;Assemblies[Assy]&amp;"'!"&amp;"C$5:C1000"), $A13, INDIRECT("'"&amp;Assemblies[Assy]&amp;"'!"&amp;"A$5:A1000")))),"")), " ,", ""))</f>
        <v>, 10x1.3.5.501, 2x5.5.509, 2x5.6.509, 4x5.7.507, 1x6.2.1.4.506, 1x6.3.1.4.506,</v>
      </c>
    </row>
    <row r="14" spans="1:13" x14ac:dyDescent="0.25">
      <c r="A14" t="s">
        <v>3604</v>
      </c>
      <c r="B14" s="18">
        <v>0</v>
      </c>
      <c r="C14" s="19" cm="1">
        <f t="array" aca="1" ref="C14" ca="1">SUMPRODUCT(SUMIF(INDIRECT("'"&amp;Assemblies[Assy]&amp;"'!"&amp;"C:C"),A14,(INDIRECT("'"&amp;Assemblies[Assy]&amp;"'!"&amp;"O:O"))))</f>
        <v>0</v>
      </c>
      <c r="M14" s="40" t="str" cm="1">
        <f t="array" aca="1" ref="M14" ca="1">TRIM(SUBSTITUTE(_xlfn.ARRAYTOTEXT(IFERROR(CONCATENATE(SUMIF(INDIRECT("'"&amp;Assemblies[Assy]&amp;"'!"&amp;"C$5:C1000"), $A14, INDIRECT("'"&amp;Assemblies[Assy]&amp;"'!"&amp;"O$5:O1000")), "x",Assemblies[Assy],".",IF(SUMIF(INDIRECT("'"&amp;Assemblies[Assy]&amp;"'!"&amp;"C$5:C1000"), $A14, INDIRECT("'"&amp;Assemblies[Assy]&amp;"'!"&amp;"A$5:A1000"))=0,NA(),SUMIF(INDIRECT("'"&amp;Assemblies[Assy]&amp;"'!"&amp;"C$5:C1000"), $A14, INDIRECT("'"&amp;Assemblies[Assy]&amp;"'!"&amp;"A$5:A1000")))),"")), " ,", ""))</f>
        <v>,</v>
      </c>
    </row>
    <row r="15" spans="1:13" x14ac:dyDescent="0.25">
      <c r="A15" t="s">
        <v>176</v>
      </c>
      <c r="B15" s="18">
        <v>0</v>
      </c>
      <c r="C15" s="19" cm="1">
        <f t="array" aca="1" ref="C15" ca="1">SUMPRODUCT(SUMIF(INDIRECT("'"&amp;Assemblies[Assy]&amp;"'!"&amp;"C:C"),A15,(INDIRECT("'"&amp;Assemblies[Assy]&amp;"'!"&amp;"O:O"))))</f>
        <v>505</v>
      </c>
      <c r="E15" t="s">
        <v>334</v>
      </c>
      <c r="F15" t="s">
        <v>334</v>
      </c>
      <c r="M15" s="40" t="str" cm="1">
        <f t="array" aca="1" ref="M15" ca="1">TRIM(SUBSTITUTE(_xlfn.ARRAYTOTEXT(IFERROR(CONCATENATE(SUMIF(INDIRECT("'"&amp;Assemblies[Assy]&amp;"'!"&amp;"C$5:C1000"), $A15, INDIRECT("'"&amp;Assemblies[Assy]&amp;"'!"&amp;"O$5:O1000")), "x",Assemblies[Assy],".",IF(SUMIF(INDIRECT("'"&amp;Assemblies[Assy]&amp;"'!"&amp;"C$5:C1000"), $A15, INDIRECT("'"&amp;Assemblies[Assy]&amp;"'!"&amp;"A$5:A1000"))=0,NA(),SUMIF(INDIRECT("'"&amp;Assemblies[Assy]&amp;"'!"&amp;"C$5:C1000"), $A15, INDIRECT("'"&amp;Assemblies[Assy]&amp;"'!"&amp;"A$5:A1000")))),"")), " ,", ""))</f>
        <v>, 480x1.1.3.501, 8x1.3.502, 12x2.3.503, 1x11.502, 4x11.1.505,</v>
      </c>
    </row>
    <row r="16" spans="1:13" x14ac:dyDescent="0.25">
      <c r="A16" t="s">
        <v>3605</v>
      </c>
      <c r="B16" s="18">
        <v>0</v>
      </c>
      <c r="C16" s="19" cm="1">
        <f t="array" aca="1" ref="C16" ca="1">SUMPRODUCT(SUMIF(INDIRECT("'"&amp;Assemblies[Assy]&amp;"'!"&amp;"C:C"),A16,(INDIRECT("'"&amp;Assemblies[Assy]&amp;"'!"&amp;"O:O"))))</f>
        <v>0</v>
      </c>
      <c r="M16" s="40" t="str" cm="1">
        <f t="array" aca="1" ref="M16" ca="1">TRIM(SUBSTITUTE(_xlfn.ARRAYTOTEXT(IFERROR(CONCATENATE(SUMIF(INDIRECT("'"&amp;Assemblies[Assy]&amp;"'!"&amp;"C$5:C1000"), $A16, INDIRECT("'"&amp;Assemblies[Assy]&amp;"'!"&amp;"O$5:O1000")), "x",Assemblies[Assy],".",IF(SUMIF(INDIRECT("'"&amp;Assemblies[Assy]&amp;"'!"&amp;"C$5:C1000"), $A16, INDIRECT("'"&amp;Assemblies[Assy]&amp;"'!"&amp;"A$5:A1000"))=0,NA(),SUMIF(INDIRECT("'"&amp;Assemblies[Assy]&amp;"'!"&amp;"C$5:C1000"), $A16, INDIRECT("'"&amp;Assemblies[Assy]&amp;"'!"&amp;"A$5:A1000")))),"")), " ,", ""))</f>
        <v>,</v>
      </c>
    </row>
    <row r="17" spans="1:13" x14ac:dyDescent="0.25">
      <c r="A17" t="s">
        <v>3807</v>
      </c>
      <c r="B17" s="18">
        <v>0</v>
      </c>
      <c r="C17" s="19" cm="1">
        <f t="array" aca="1" ref="C17" ca="1">SUMPRODUCT(SUMIF(INDIRECT("'"&amp;Assemblies[Assy]&amp;"'!"&amp;"C:C"),A17,(INDIRECT("'"&amp;Assemblies[Assy]&amp;"'!"&amp;"O:O"))))</f>
        <v>0</v>
      </c>
      <c r="M17" s="40" t="str" cm="1">
        <f t="array" aca="1" ref="M17" ca="1">TRIM(SUBSTITUTE(_xlfn.ARRAYTOTEXT(IFERROR(CONCATENATE(SUMIF(INDIRECT("'"&amp;Assemblies[Assy]&amp;"'!"&amp;"C$5:C1000"), $A17, INDIRECT("'"&amp;Assemblies[Assy]&amp;"'!"&amp;"O$5:O1000")), "x",Assemblies[Assy],".",IF(SUMIF(INDIRECT("'"&amp;Assemblies[Assy]&amp;"'!"&amp;"C$5:C1000"), $A17, INDIRECT("'"&amp;Assemblies[Assy]&amp;"'!"&amp;"A$5:A1000"))=0,NA(),SUMIF(INDIRECT("'"&amp;Assemblies[Assy]&amp;"'!"&amp;"C$5:C1000"), $A17, INDIRECT("'"&amp;Assemblies[Assy]&amp;"'!"&amp;"A$5:A1000")))),"")), " ,", ""))</f>
        <v>,</v>
      </c>
    </row>
    <row r="18" spans="1:13" x14ac:dyDescent="0.25">
      <c r="A18" t="s">
        <v>3606</v>
      </c>
      <c r="B18" s="18">
        <v>0</v>
      </c>
      <c r="C18" s="19" cm="1">
        <f t="array" aca="1" ref="C18" ca="1">SUMPRODUCT(SUMIF(INDIRECT("'"&amp;Assemblies[Assy]&amp;"'!"&amp;"C:C"),A18,(INDIRECT("'"&amp;Assemblies[Assy]&amp;"'!"&amp;"O:O"))))</f>
        <v>0</v>
      </c>
      <c r="M18" s="40" t="str" cm="1">
        <f t="array" aca="1" ref="M18" ca="1">TRIM(SUBSTITUTE(_xlfn.ARRAYTOTEXT(IFERROR(CONCATENATE(SUMIF(INDIRECT("'"&amp;Assemblies[Assy]&amp;"'!"&amp;"C$5:C1000"), $A18, INDIRECT("'"&amp;Assemblies[Assy]&amp;"'!"&amp;"O$5:O1000")), "x",Assemblies[Assy],".",IF(SUMIF(INDIRECT("'"&amp;Assemblies[Assy]&amp;"'!"&amp;"C$5:C1000"), $A18, INDIRECT("'"&amp;Assemblies[Assy]&amp;"'!"&amp;"A$5:A1000"))=0,NA(),SUMIF(INDIRECT("'"&amp;Assemblies[Assy]&amp;"'!"&amp;"C$5:C1000"), $A18, INDIRECT("'"&amp;Assemblies[Assy]&amp;"'!"&amp;"A$5:A1000")))),"")), " ,", ""))</f>
        <v>,</v>
      </c>
    </row>
    <row r="19" spans="1:13" x14ac:dyDescent="0.25">
      <c r="A19" t="s">
        <v>266</v>
      </c>
      <c r="B19" s="18">
        <v>0</v>
      </c>
      <c r="C19" s="19" cm="1">
        <f t="array" aca="1" ref="C19" ca="1">SUMPRODUCT(SUMIF(INDIRECT("'"&amp;Assemblies[Assy]&amp;"'!"&amp;"C:C"),A19,(INDIRECT("'"&amp;Assemblies[Assy]&amp;"'!"&amp;"O:O"))))</f>
        <v>16</v>
      </c>
      <c r="M19" s="40" t="str" cm="1">
        <f t="array" aca="1" ref="M19" ca="1">TRIM(SUBSTITUTE(_xlfn.ARRAYTOTEXT(IFERROR(CONCATENATE(SUMIF(INDIRECT("'"&amp;Assemblies[Assy]&amp;"'!"&amp;"C$5:C1000"), $A19, INDIRECT("'"&amp;Assemblies[Assy]&amp;"'!"&amp;"O$5:O1000")), "x",Assemblies[Assy],".",IF(SUMIF(INDIRECT("'"&amp;Assemblies[Assy]&amp;"'!"&amp;"C$5:C1000"), $A19, INDIRECT("'"&amp;Assemblies[Assy]&amp;"'!"&amp;"A$5:A1000"))=0,NA(),SUMIF(INDIRECT("'"&amp;Assemblies[Assy]&amp;"'!"&amp;"C$5:C1000"), $A19, INDIRECT("'"&amp;Assemblies[Assy]&amp;"'!"&amp;"A$5:A1000")))),"")), " ,", ""))</f>
        <v>, 16x1.2.504,</v>
      </c>
    </row>
    <row r="20" spans="1:13" x14ac:dyDescent="0.25">
      <c r="A20" t="s">
        <v>3607</v>
      </c>
      <c r="B20" s="18">
        <v>0</v>
      </c>
      <c r="C20" s="19" cm="1">
        <f t="array" aca="1" ref="C20" ca="1">SUMPRODUCT(SUMIF(INDIRECT("'"&amp;Assemblies[Assy]&amp;"'!"&amp;"C:C"),A20,(INDIRECT("'"&amp;Assemblies[Assy]&amp;"'!"&amp;"O:O"))))</f>
        <v>0</v>
      </c>
      <c r="M20" s="40" t="str" cm="1">
        <f t="array" aca="1" ref="M20" ca="1">TRIM(SUBSTITUTE(_xlfn.ARRAYTOTEXT(IFERROR(CONCATENATE(SUMIF(INDIRECT("'"&amp;Assemblies[Assy]&amp;"'!"&amp;"C$5:C1000"), $A20, INDIRECT("'"&amp;Assemblies[Assy]&amp;"'!"&amp;"O$5:O1000")), "x",Assemblies[Assy],".",IF(SUMIF(INDIRECT("'"&amp;Assemblies[Assy]&amp;"'!"&amp;"C$5:C1000"), $A20, INDIRECT("'"&amp;Assemblies[Assy]&amp;"'!"&amp;"A$5:A1000"))=0,NA(),SUMIF(INDIRECT("'"&amp;Assemblies[Assy]&amp;"'!"&amp;"C$5:C1000"), $A20, INDIRECT("'"&amp;Assemblies[Assy]&amp;"'!"&amp;"A$5:A1000")))),"")), " ,", ""))</f>
        <v>,</v>
      </c>
    </row>
    <row r="21" spans="1:13" x14ac:dyDescent="0.25">
      <c r="A21" t="s">
        <v>1151</v>
      </c>
      <c r="B21" s="18">
        <v>0</v>
      </c>
      <c r="C21" s="19" cm="1">
        <f t="array" aca="1" ref="C21" ca="1">SUMPRODUCT(SUMIF(INDIRECT("'"&amp;Assemblies[Assy]&amp;"'!"&amp;"C:C"),A21,(INDIRECT("'"&amp;Assemblies[Assy]&amp;"'!"&amp;"O:O"))))</f>
        <v>64</v>
      </c>
      <c r="M21" s="40" t="str" cm="1">
        <f t="array" aca="1" ref="M21" ca="1">TRIM(SUBSTITUTE(_xlfn.ARRAYTOTEXT(IFERROR(CONCATENATE(SUMIF(INDIRECT("'"&amp;Assemblies[Assy]&amp;"'!"&amp;"C$5:C1000"), $A21, INDIRECT("'"&amp;Assemblies[Assy]&amp;"'!"&amp;"O$5:O1000")), "x",Assemblies[Assy],".",IF(SUMIF(INDIRECT("'"&amp;Assemblies[Assy]&amp;"'!"&amp;"C$5:C1000"), $A21, INDIRECT("'"&amp;Assemblies[Assy]&amp;"'!"&amp;"A$5:A1000"))=0,NA(),SUMIF(INDIRECT("'"&amp;Assemblies[Assy]&amp;"'!"&amp;"C$5:C1000"), $A21, INDIRECT("'"&amp;Assemblies[Assy]&amp;"'!"&amp;"A$5:A1000")))),"")), " ,", ""))</f>
        <v>, 48x7.2.1.503, 16x8.1.1.502,</v>
      </c>
    </row>
    <row r="22" spans="1:13" x14ac:dyDescent="0.25">
      <c r="A22" t="s">
        <v>3608</v>
      </c>
      <c r="B22" s="18">
        <v>0</v>
      </c>
      <c r="C22" s="19" cm="1">
        <f t="array" aca="1" ref="C22" ca="1">SUMPRODUCT(SUMIF(INDIRECT("'"&amp;Assemblies[Assy]&amp;"'!"&amp;"C:C"),A22,(INDIRECT("'"&amp;Assemblies[Assy]&amp;"'!"&amp;"O:O"))))</f>
        <v>0</v>
      </c>
      <c r="E22" t="s">
        <v>334</v>
      </c>
      <c r="F22" t="s">
        <v>334</v>
      </c>
      <c r="M22" s="40" t="str" cm="1">
        <f t="array" aca="1" ref="M22" ca="1">TRIM(SUBSTITUTE(_xlfn.ARRAYTOTEXT(IFERROR(CONCATENATE(SUMIF(INDIRECT("'"&amp;Assemblies[Assy]&amp;"'!"&amp;"C$5:C1000"), $A22, INDIRECT("'"&amp;Assemblies[Assy]&amp;"'!"&amp;"O$5:O1000")), "x",Assemblies[Assy],".",IF(SUMIF(INDIRECT("'"&amp;Assemblies[Assy]&amp;"'!"&amp;"C$5:C1000"), $A22, INDIRECT("'"&amp;Assemblies[Assy]&amp;"'!"&amp;"A$5:A1000"))=0,NA(),SUMIF(INDIRECT("'"&amp;Assemblies[Assy]&amp;"'!"&amp;"C$5:C1000"), $A22, INDIRECT("'"&amp;Assemblies[Assy]&amp;"'!"&amp;"A$5:A1000")))),"")), " ,", ""))</f>
        <v>,</v>
      </c>
    </row>
    <row r="23" spans="1:13" x14ac:dyDescent="0.25">
      <c r="A23" t="s">
        <v>1162</v>
      </c>
      <c r="B23" s="18">
        <v>0</v>
      </c>
      <c r="C23" s="19" cm="1">
        <f t="array" aca="1" ref="C23" ca="1">SUMPRODUCT(SUMIF(INDIRECT("'"&amp;Assemblies[Assy]&amp;"'!"&amp;"C:C"),A23,(INDIRECT("'"&amp;Assemblies[Assy]&amp;"'!"&amp;"O:O"))))</f>
        <v>40</v>
      </c>
      <c r="E23" t="s">
        <v>334</v>
      </c>
      <c r="F23" t="s">
        <v>334</v>
      </c>
      <c r="M23" s="40" t="str" cm="1">
        <f t="array" aca="1" ref="M23" ca="1">TRIM(SUBSTITUTE(_xlfn.ARRAYTOTEXT(IFERROR(CONCATENATE(SUMIF(INDIRECT("'"&amp;Assemblies[Assy]&amp;"'!"&amp;"C$5:C1000"), $A23, INDIRECT("'"&amp;Assemblies[Assy]&amp;"'!"&amp;"O$5:O1000")), "x",Assemblies[Assy],".",IF(SUMIF(INDIRECT("'"&amp;Assemblies[Assy]&amp;"'!"&amp;"C$5:C1000"), $A23, INDIRECT("'"&amp;Assemblies[Assy]&amp;"'!"&amp;"A$5:A1000"))=0,NA(),SUMIF(INDIRECT("'"&amp;Assemblies[Assy]&amp;"'!"&amp;"C$5:C1000"), $A23, INDIRECT("'"&amp;Assemblies[Assy]&amp;"'!"&amp;"A$5:A1000")))),"")), " ,", ""))</f>
        <v>, 12x7.2.2.504, 12x7.3.1.504, 4x8.1.2.504, 4x8.2.1.504, 8x10.2.508,</v>
      </c>
    </row>
    <row r="24" spans="1:13" x14ac:dyDescent="0.25">
      <c r="A24" t="s">
        <v>1392</v>
      </c>
      <c r="B24" s="18">
        <v>0</v>
      </c>
      <c r="C24" s="19" cm="1">
        <f t="array" aca="1" ref="C24" ca="1">SUMPRODUCT(SUMIF(INDIRECT("'"&amp;Assemblies[Assy]&amp;"'!"&amp;"C:C"),A24,(INDIRECT("'"&amp;Assemblies[Assy]&amp;"'!"&amp;"O:O"))))</f>
        <v>24</v>
      </c>
      <c r="M24" s="40" t="str" cm="1">
        <f t="array" aca="1" ref="M24" ca="1">TRIM(SUBSTITUTE(_xlfn.ARRAYTOTEXT(IFERROR(CONCATENATE(SUMIF(INDIRECT("'"&amp;Assemblies[Assy]&amp;"'!"&amp;"C$5:C1000"), $A24, INDIRECT("'"&amp;Assemblies[Assy]&amp;"'!"&amp;"O$5:O1000")), "x",Assemblies[Assy],".",IF(SUMIF(INDIRECT("'"&amp;Assemblies[Assy]&amp;"'!"&amp;"C$5:C1000"), $A24, INDIRECT("'"&amp;Assemblies[Assy]&amp;"'!"&amp;"A$5:A1000"))=0,NA(),SUMIF(INDIRECT("'"&amp;Assemblies[Assy]&amp;"'!"&amp;"C$5:C1000"), $A24, INDIRECT("'"&amp;Assemblies[Assy]&amp;"'!"&amp;"A$5:A1000")))),"")), " ,", ""))</f>
        <v>, 8x10.2.1.501, 8x10.2.4.501, 8x10.2.8.501,</v>
      </c>
    </row>
    <row r="25" spans="1:13" x14ac:dyDescent="0.25">
      <c r="A25" t="s">
        <v>265</v>
      </c>
      <c r="B25" s="18">
        <v>0</v>
      </c>
      <c r="C25" s="19" cm="1">
        <f t="array" aca="1" ref="C25" ca="1">SUMPRODUCT(SUMIF(INDIRECT("'"&amp;Assemblies[Assy]&amp;"'!"&amp;"C:C"),A25,(INDIRECT("'"&amp;Assemblies[Assy]&amp;"'!"&amp;"O:O"))))</f>
        <v>68</v>
      </c>
      <c r="M25" s="40" t="str" cm="1">
        <f t="array" aca="1" ref="M25" ca="1">TRIM(SUBSTITUTE(_xlfn.ARRAYTOTEXT(IFERROR(CONCATENATE(SUMIF(INDIRECT("'"&amp;Assemblies[Assy]&amp;"'!"&amp;"C$5:C1000"), $A25, INDIRECT("'"&amp;Assemblies[Assy]&amp;"'!"&amp;"O$5:O1000")), "x",Assemblies[Assy],".",IF(SUMIF(INDIRECT("'"&amp;Assemblies[Assy]&amp;"'!"&amp;"C$5:C1000"), $A25, INDIRECT("'"&amp;Assemblies[Assy]&amp;"'!"&amp;"A$5:A1000"))=0,NA(),SUMIF(INDIRECT("'"&amp;Assemblies[Assy]&amp;"'!"&amp;"C$5:C1000"), $A25, INDIRECT("'"&amp;Assemblies[Assy]&amp;"'!"&amp;"A$5:A1000")))),"")), " ,", ""))</f>
        <v>, 56x1.2.502, 8x1.6.503, 4x11.1.501,</v>
      </c>
    </row>
    <row r="26" spans="1:13" x14ac:dyDescent="0.25">
      <c r="A26" t="s">
        <v>3609</v>
      </c>
      <c r="B26" s="18">
        <v>0</v>
      </c>
      <c r="C26" s="19" cm="1">
        <f t="array" aca="1" ref="C26" ca="1">SUMPRODUCT(SUMIF(INDIRECT("'"&amp;Assemblies[Assy]&amp;"'!"&amp;"C:C"),A26,(INDIRECT("'"&amp;Assemblies[Assy]&amp;"'!"&amp;"O:O"))))</f>
        <v>0</v>
      </c>
      <c r="E26" t="s">
        <v>334</v>
      </c>
      <c r="F26" t="s">
        <v>334</v>
      </c>
      <c r="M26" s="40" t="str" cm="1">
        <f t="array" aca="1" ref="M26" ca="1">TRIM(SUBSTITUTE(_xlfn.ARRAYTOTEXT(IFERROR(CONCATENATE(SUMIF(INDIRECT("'"&amp;Assemblies[Assy]&amp;"'!"&amp;"C$5:C1000"), $A26, INDIRECT("'"&amp;Assemblies[Assy]&amp;"'!"&amp;"O$5:O1000")), "x",Assemblies[Assy],".",IF(SUMIF(INDIRECT("'"&amp;Assemblies[Assy]&amp;"'!"&amp;"C$5:C1000"), $A26, INDIRECT("'"&amp;Assemblies[Assy]&amp;"'!"&amp;"A$5:A1000"))=0,NA(),SUMIF(INDIRECT("'"&amp;Assemblies[Assy]&amp;"'!"&amp;"C$5:C1000"), $A26, INDIRECT("'"&amp;Assemblies[Assy]&amp;"'!"&amp;"A$5:A1000")))),"")), " ,", ""))</f>
        <v>,</v>
      </c>
    </row>
    <row r="27" spans="1:13" x14ac:dyDescent="0.25">
      <c r="A27" t="s">
        <v>188</v>
      </c>
      <c r="B27" s="18">
        <v>0</v>
      </c>
      <c r="C27" s="19" cm="1">
        <f t="array" aca="1" ref="C27" ca="1">SUMPRODUCT(SUMIF(INDIRECT("'"&amp;Assemblies[Assy]&amp;"'!"&amp;"C:C"),A27,(INDIRECT("'"&amp;Assemblies[Assy]&amp;"'!"&amp;"O:O"))))</f>
        <v>72</v>
      </c>
      <c r="M27" s="40" t="str" cm="1">
        <f t="array" aca="1" ref="M27" ca="1">TRIM(SUBSTITUTE(_xlfn.ARRAYTOTEXT(IFERROR(CONCATENATE(SUMIF(INDIRECT("'"&amp;Assemblies[Assy]&amp;"'!"&amp;"C$5:C1000"), $A27, INDIRECT("'"&amp;Assemblies[Assy]&amp;"'!"&amp;"O$5:O1000")), "x",Assemblies[Assy],".",IF(SUMIF(INDIRECT("'"&amp;Assemblies[Assy]&amp;"'!"&amp;"C$5:C1000"), $A27, INDIRECT("'"&amp;Assemblies[Assy]&amp;"'!"&amp;"A$5:A1000"))=0,NA(),SUMIF(INDIRECT("'"&amp;Assemblies[Assy]&amp;"'!"&amp;"C$5:C1000"), $A27, INDIRECT("'"&amp;Assemblies[Assy]&amp;"'!"&amp;"A$5:A1000")))),"")), " ,", ""))</f>
        <v>, 2x1.1.5.503, 16x1.2.503, 8x1.3.509, 12x2.3.510, 18x7.1.5.502, 6x7.2.2.505, 6x7.3.1.505, 2x8.1.2.505, 2x8.2.1.505,</v>
      </c>
    </row>
    <row r="28" spans="1:13" x14ac:dyDescent="0.25">
      <c r="A28" t="s">
        <v>312</v>
      </c>
      <c r="B28" s="18">
        <v>0</v>
      </c>
      <c r="C28" s="19" cm="1">
        <f t="array" aca="1" ref="C28" ca="1">SUMPRODUCT(SUMIF(INDIRECT("'"&amp;Assemblies[Assy]&amp;"'!"&amp;"C:C"),A28,(INDIRECT("'"&amp;Assemblies[Assy]&amp;"'!"&amp;"O:O"))))</f>
        <v>38</v>
      </c>
      <c r="E28" t="s">
        <v>334</v>
      </c>
      <c r="F28" t="s">
        <v>334</v>
      </c>
      <c r="M28" s="40" t="str" cm="1">
        <f t="array" aca="1" ref="M28" ca="1">TRIM(SUBSTITUTE(_xlfn.ARRAYTOTEXT(IFERROR(CONCATENATE(SUMIF(INDIRECT("'"&amp;Assemblies[Assy]&amp;"'!"&amp;"C$5:C1000"), $A28, INDIRECT("'"&amp;Assemblies[Assy]&amp;"'!"&amp;"O$5:O1000")), "x",Assemblies[Assy],".",IF(SUMIF(INDIRECT("'"&amp;Assemblies[Assy]&amp;"'!"&amp;"C$5:C1000"), $A28, INDIRECT("'"&amp;Assemblies[Assy]&amp;"'!"&amp;"A$5:A1000"))=0,NA(),SUMIF(INDIRECT("'"&amp;Assemblies[Assy]&amp;"'!"&amp;"C$5:C1000"), $A28, INDIRECT("'"&amp;Assemblies[Assy]&amp;"'!"&amp;"A$5:A1000")))),"")), " ,", ""))</f>
        <v>, 8x1.3.510, 12x2.3.511, 18x7.1.5.501,</v>
      </c>
    </row>
    <row r="29" spans="1:13" x14ac:dyDescent="0.25">
      <c r="A29" t="s">
        <v>917</v>
      </c>
      <c r="B29" s="18">
        <v>0</v>
      </c>
      <c r="C29" s="19" cm="1">
        <f t="array" aca="1" ref="C29" ca="1">SUMPRODUCT(SUMIF(INDIRECT("'"&amp;Assemblies[Assy]&amp;"'!"&amp;"C:C"),A29,(INDIRECT("'"&amp;Assemblies[Assy]&amp;"'!"&amp;"O:O"))))</f>
        <v>10</v>
      </c>
      <c r="M29" s="40" t="str" cm="1">
        <f t="array" aca="1" ref="M29" ca="1">TRIM(SUBSTITUTE(_xlfn.ARRAYTOTEXT(IFERROR(CONCATENATE(SUMIF(INDIRECT("'"&amp;Assemblies[Assy]&amp;"'!"&amp;"C$5:C1000"), $A29, INDIRECT("'"&amp;Assemblies[Assy]&amp;"'!"&amp;"O$5:O1000")), "x",Assemblies[Assy],".",IF(SUMIF(INDIRECT("'"&amp;Assemblies[Assy]&amp;"'!"&amp;"C$5:C1000"), $A29, INDIRECT("'"&amp;Assemblies[Assy]&amp;"'!"&amp;"A$5:A1000"))=0,NA(),SUMIF(INDIRECT("'"&amp;Assemblies[Assy]&amp;"'!"&amp;"C$5:C1000"), $A29, INDIRECT("'"&amp;Assemblies[Assy]&amp;"'!"&amp;"A$5:A1000")))),"")), " ,", ""))</f>
        <v>, 6x6.1.1.501, 4x6.1.2.501,</v>
      </c>
    </row>
    <row r="30" spans="1:13" x14ac:dyDescent="0.25">
      <c r="A30" t="s">
        <v>3610</v>
      </c>
      <c r="B30" s="18">
        <v>0</v>
      </c>
      <c r="C30" s="19" cm="1">
        <f t="array" aca="1" ref="C30" ca="1">SUMPRODUCT(SUMIF(INDIRECT("'"&amp;Assemblies[Assy]&amp;"'!"&amp;"C:C"),A30,(INDIRECT("'"&amp;Assemblies[Assy]&amp;"'!"&amp;"O:O"))))</f>
        <v>0</v>
      </c>
      <c r="M30" s="40" t="str" cm="1">
        <f t="array" aca="1" ref="M30" ca="1">TRIM(SUBSTITUTE(_xlfn.ARRAYTOTEXT(IFERROR(CONCATENATE(SUMIF(INDIRECT("'"&amp;Assemblies[Assy]&amp;"'!"&amp;"C$5:C1000"), $A30, INDIRECT("'"&amp;Assemblies[Assy]&amp;"'!"&amp;"O$5:O1000")), "x",Assemblies[Assy],".",IF(SUMIF(INDIRECT("'"&amp;Assemblies[Assy]&amp;"'!"&amp;"C$5:C1000"), $A30, INDIRECT("'"&amp;Assemblies[Assy]&amp;"'!"&amp;"A$5:A1000"))=0,NA(),SUMIF(INDIRECT("'"&amp;Assemblies[Assy]&amp;"'!"&amp;"C$5:C1000"), $A30, INDIRECT("'"&amp;Assemblies[Assy]&amp;"'!"&amp;"A$5:A1000")))),"")), " ,", ""))</f>
        <v>,</v>
      </c>
    </row>
    <row r="31" spans="1:13" x14ac:dyDescent="0.25">
      <c r="A31" t="s">
        <v>3611</v>
      </c>
      <c r="B31" s="18">
        <v>0</v>
      </c>
      <c r="C31" s="19" cm="1">
        <f t="array" aca="1" ref="C31" ca="1">SUMPRODUCT(SUMIF(INDIRECT("'"&amp;Assemblies[Assy]&amp;"'!"&amp;"C:C"),A31,(INDIRECT("'"&amp;Assemblies[Assy]&amp;"'!"&amp;"O:O"))))</f>
        <v>0</v>
      </c>
      <c r="M31" s="40" t="str" cm="1">
        <f t="array" aca="1" ref="M31" ca="1">TRIM(SUBSTITUTE(_xlfn.ARRAYTOTEXT(IFERROR(CONCATENATE(SUMIF(INDIRECT("'"&amp;Assemblies[Assy]&amp;"'!"&amp;"C$5:C1000"), $A31, INDIRECT("'"&amp;Assemblies[Assy]&amp;"'!"&amp;"O$5:O1000")), "x",Assemblies[Assy],".",IF(SUMIF(INDIRECT("'"&amp;Assemblies[Assy]&amp;"'!"&amp;"C$5:C1000"), $A31, INDIRECT("'"&amp;Assemblies[Assy]&amp;"'!"&amp;"A$5:A1000"))=0,NA(),SUMIF(INDIRECT("'"&amp;Assemblies[Assy]&amp;"'!"&amp;"C$5:C1000"), $A31, INDIRECT("'"&amp;Assemblies[Assy]&amp;"'!"&amp;"A$5:A1000")))),"")), " ,", ""))</f>
        <v>,</v>
      </c>
    </row>
    <row r="32" spans="1:13" x14ac:dyDescent="0.25">
      <c r="A32" t="s">
        <v>313</v>
      </c>
      <c r="B32" s="18">
        <v>0</v>
      </c>
      <c r="C32" s="19" cm="1">
        <f t="array" aca="1" ref="C32" ca="1">SUMPRODUCT(SUMIF(INDIRECT("'"&amp;Assemblies[Assy]&amp;"'!"&amp;"C:C"),A32,(INDIRECT("'"&amp;Assemblies[Assy]&amp;"'!"&amp;"O:O"))))</f>
        <v>40</v>
      </c>
      <c r="M32" s="40" t="str" cm="1">
        <f t="array" aca="1" ref="M32" ca="1">TRIM(SUBSTITUTE(_xlfn.ARRAYTOTEXT(IFERROR(CONCATENATE(SUMIF(INDIRECT("'"&amp;Assemblies[Assy]&amp;"'!"&amp;"C$5:C1000"), $A32, INDIRECT("'"&amp;Assemblies[Assy]&amp;"'!"&amp;"O$5:O1000")), "x",Assemblies[Assy],".",IF(SUMIF(INDIRECT("'"&amp;Assemblies[Assy]&amp;"'!"&amp;"C$5:C1000"), $A32, INDIRECT("'"&amp;Assemblies[Assy]&amp;"'!"&amp;"A$5:A1000"))=0,NA(),SUMIF(INDIRECT("'"&amp;Assemblies[Assy]&amp;"'!"&amp;"C$5:C1000"), $A32, INDIRECT("'"&amp;Assemblies[Assy]&amp;"'!"&amp;"A$5:A1000")))),"")), " ,", ""))</f>
        <v>, 16x1.3.511, 24x2.3.512,</v>
      </c>
    </row>
    <row r="33" spans="1:13" x14ac:dyDescent="0.25">
      <c r="A33" t="s">
        <v>3612</v>
      </c>
      <c r="B33" s="18">
        <v>0</v>
      </c>
      <c r="C33" s="19" cm="1">
        <f t="array" aca="1" ref="C33" ca="1">SUMPRODUCT(SUMIF(INDIRECT("'"&amp;Assemblies[Assy]&amp;"'!"&amp;"C:C"),A33,(INDIRECT("'"&amp;Assemblies[Assy]&amp;"'!"&amp;"O:O"))))</f>
        <v>0</v>
      </c>
      <c r="M33" s="40" t="str" cm="1">
        <f t="array" aca="1" ref="M33" ca="1">TRIM(SUBSTITUTE(_xlfn.ARRAYTOTEXT(IFERROR(CONCATENATE(SUMIF(INDIRECT("'"&amp;Assemblies[Assy]&amp;"'!"&amp;"C$5:C1000"), $A33, INDIRECT("'"&amp;Assemblies[Assy]&amp;"'!"&amp;"O$5:O1000")), "x",Assemblies[Assy],".",IF(SUMIF(INDIRECT("'"&amp;Assemblies[Assy]&amp;"'!"&amp;"C$5:C1000"), $A33, INDIRECT("'"&amp;Assemblies[Assy]&amp;"'!"&amp;"A$5:A1000"))=0,NA(),SUMIF(INDIRECT("'"&amp;Assemblies[Assy]&amp;"'!"&amp;"C$5:C1000"), $A33, INDIRECT("'"&amp;Assemblies[Assy]&amp;"'!"&amp;"A$5:A1000")))),"")), " ,", ""))</f>
        <v>,</v>
      </c>
    </row>
    <row r="34" spans="1:13" x14ac:dyDescent="0.25">
      <c r="A34" t="s">
        <v>3613</v>
      </c>
      <c r="B34" s="18">
        <v>0</v>
      </c>
      <c r="C34" s="19" cm="1">
        <f t="array" aca="1" ref="C34" ca="1">SUMPRODUCT(SUMIF(INDIRECT("'"&amp;Assemblies[Assy]&amp;"'!"&amp;"C:C"),A34,(INDIRECT("'"&amp;Assemblies[Assy]&amp;"'!"&amp;"O:O"))))</f>
        <v>0</v>
      </c>
      <c r="M34" s="40" t="str" cm="1">
        <f t="array" aca="1" ref="M34" ca="1">TRIM(SUBSTITUTE(_xlfn.ARRAYTOTEXT(IFERROR(CONCATENATE(SUMIF(INDIRECT("'"&amp;Assemblies[Assy]&amp;"'!"&amp;"C$5:C1000"), $A34, INDIRECT("'"&amp;Assemblies[Assy]&amp;"'!"&amp;"O$5:O1000")), "x",Assemblies[Assy],".",IF(SUMIF(INDIRECT("'"&amp;Assemblies[Assy]&amp;"'!"&amp;"C$5:C1000"), $A34, INDIRECT("'"&amp;Assemblies[Assy]&amp;"'!"&amp;"A$5:A1000"))=0,NA(),SUMIF(INDIRECT("'"&amp;Assemblies[Assy]&amp;"'!"&amp;"C$5:C1000"), $A34, INDIRECT("'"&amp;Assemblies[Assy]&amp;"'!"&amp;"A$5:A1000")))),"")), " ,", ""))</f>
        <v>,</v>
      </c>
    </row>
    <row r="35" spans="1:13" x14ac:dyDescent="0.25">
      <c r="A35" t="s">
        <v>3614</v>
      </c>
      <c r="B35" s="18">
        <v>0</v>
      </c>
      <c r="C35" s="19" cm="1">
        <f t="array" aca="1" ref="C35" ca="1">SUMPRODUCT(SUMIF(INDIRECT("'"&amp;Assemblies[Assy]&amp;"'!"&amp;"C:C"),A35,(INDIRECT("'"&amp;Assemblies[Assy]&amp;"'!"&amp;"O:O"))))</f>
        <v>0</v>
      </c>
      <c r="M35" s="40" t="str" cm="1">
        <f t="array" aca="1" ref="M35" ca="1">TRIM(SUBSTITUTE(_xlfn.ARRAYTOTEXT(IFERROR(CONCATENATE(SUMIF(INDIRECT("'"&amp;Assemblies[Assy]&amp;"'!"&amp;"C$5:C1000"), $A35, INDIRECT("'"&amp;Assemblies[Assy]&amp;"'!"&amp;"O$5:O1000")), "x",Assemblies[Assy],".",IF(SUMIF(INDIRECT("'"&amp;Assemblies[Assy]&amp;"'!"&amp;"C$5:C1000"), $A35, INDIRECT("'"&amp;Assemblies[Assy]&amp;"'!"&amp;"A$5:A1000"))=0,NA(),SUMIF(INDIRECT("'"&amp;Assemblies[Assy]&amp;"'!"&amp;"C$5:C1000"), $A35, INDIRECT("'"&amp;Assemblies[Assy]&amp;"'!"&amp;"A$5:A1000")))),"")), " ,", ""))</f>
        <v>,</v>
      </c>
    </row>
    <row r="36" spans="1:13" x14ac:dyDescent="0.25">
      <c r="A36" t="s">
        <v>692</v>
      </c>
      <c r="B36" s="18">
        <v>0</v>
      </c>
      <c r="C36" s="19" cm="1">
        <f t="array" aca="1" ref="C36" ca="1">SUMPRODUCT(SUMIF(INDIRECT("'"&amp;Assemblies[Assy]&amp;"'!"&amp;"C:C"),A36,(INDIRECT("'"&amp;Assemblies[Assy]&amp;"'!"&amp;"O:O"))))</f>
        <v>152</v>
      </c>
      <c r="M36" s="40" t="str" cm="1">
        <f t="array" aca="1" ref="M36" ca="1">TRIM(SUBSTITUTE(_xlfn.ARRAYTOTEXT(IFERROR(CONCATENATE(SUMIF(INDIRECT("'"&amp;Assemblies[Assy]&amp;"'!"&amp;"C$5:C1000"), $A36, INDIRECT("'"&amp;Assemblies[Assy]&amp;"'!"&amp;"O$5:O1000")), "x",Assemblies[Assy],".",IF(SUMIF(INDIRECT("'"&amp;Assemblies[Assy]&amp;"'!"&amp;"C$5:C1000"), $A36, INDIRECT("'"&amp;Assemblies[Assy]&amp;"'!"&amp;"A$5:A1000"))=0,NA(),SUMIF(INDIRECT("'"&amp;Assemblies[Assy]&amp;"'!"&amp;"C$5:C1000"), $A36, INDIRECT("'"&amp;Assemblies[Assy]&amp;"'!"&amp;"A$5:A1000")))),"")), " ,", ""))</f>
        <v>, 96x5.1.1.501, 4x5.2.503, 16x6.9.505, 12x7.2.2.506, 12x7.3.1.506, 4x8.1.2.506, 4x8.2.1.506, 4x10.1.12.501,</v>
      </c>
    </row>
    <row r="37" spans="1:13" x14ac:dyDescent="0.25">
      <c r="A37" t="s">
        <v>3615</v>
      </c>
      <c r="B37" s="18">
        <v>0</v>
      </c>
      <c r="C37" s="19" cm="1">
        <f t="array" aca="1" ref="C37" ca="1">SUMPRODUCT(SUMIF(INDIRECT("'"&amp;Assemblies[Assy]&amp;"'!"&amp;"C:C"),A37,(INDIRECT("'"&amp;Assemblies[Assy]&amp;"'!"&amp;"O:O"))))</f>
        <v>0</v>
      </c>
      <c r="M37" s="40" t="str" cm="1">
        <f t="array" aca="1" ref="M37" ca="1">TRIM(SUBSTITUTE(_xlfn.ARRAYTOTEXT(IFERROR(CONCATENATE(SUMIF(INDIRECT("'"&amp;Assemblies[Assy]&amp;"'!"&amp;"C$5:C1000"), $A37, INDIRECT("'"&amp;Assemblies[Assy]&amp;"'!"&amp;"O$5:O1000")), "x",Assemblies[Assy],".",IF(SUMIF(INDIRECT("'"&amp;Assemblies[Assy]&amp;"'!"&amp;"C$5:C1000"), $A37, INDIRECT("'"&amp;Assemblies[Assy]&amp;"'!"&amp;"A$5:A1000"))=0,NA(),SUMIF(INDIRECT("'"&amp;Assemblies[Assy]&amp;"'!"&amp;"C$5:C1000"), $A37, INDIRECT("'"&amp;Assemblies[Assy]&amp;"'!"&amp;"A$5:A1000")))),"")), " ,", ""))</f>
        <v>,</v>
      </c>
    </row>
    <row r="38" spans="1:13" x14ac:dyDescent="0.25">
      <c r="A38" t="s">
        <v>267</v>
      </c>
      <c r="B38" s="18">
        <v>0</v>
      </c>
      <c r="C38" s="19" cm="1">
        <f t="array" aca="1" ref="C38" ca="1">SUMPRODUCT(SUMIF(INDIRECT("'"&amp;Assemblies[Assy]&amp;"'!"&amp;"C:C"),A38,(INDIRECT("'"&amp;Assemblies[Assy]&amp;"'!"&amp;"O:O"))))</f>
        <v>12</v>
      </c>
      <c r="M38" s="40" t="str" cm="1">
        <f t="array" aca="1" ref="M38" ca="1">TRIM(SUBSTITUTE(_xlfn.ARRAYTOTEXT(IFERROR(CONCATENATE(SUMIF(INDIRECT("'"&amp;Assemblies[Assy]&amp;"'!"&amp;"C$5:C1000"), $A38, INDIRECT("'"&amp;Assemblies[Assy]&amp;"'!"&amp;"O$5:O1000")), "x",Assemblies[Assy],".",IF(SUMIF(INDIRECT("'"&amp;Assemblies[Assy]&amp;"'!"&amp;"C$5:C1000"), $A38, INDIRECT("'"&amp;Assemblies[Assy]&amp;"'!"&amp;"A$5:A1000"))=0,NA(),SUMIF(INDIRECT("'"&amp;Assemblies[Assy]&amp;"'!"&amp;"C$5:C1000"), $A38, INDIRECT("'"&amp;Assemblies[Assy]&amp;"'!"&amp;"A$5:A1000")))),"")), " ,", ""))</f>
        <v>, 12x1.2.505,</v>
      </c>
    </row>
    <row r="39" spans="1:13" x14ac:dyDescent="0.25">
      <c r="A39" t="s">
        <v>633</v>
      </c>
      <c r="B39" s="18">
        <v>0</v>
      </c>
      <c r="C39" s="19" cm="1">
        <f t="array" aca="1" ref="C39" ca="1">SUMPRODUCT(SUMIF(INDIRECT("'"&amp;Assemblies[Assy]&amp;"'!"&amp;"C:C"),A39,(INDIRECT("'"&amp;Assemblies[Assy]&amp;"'!"&amp;"O:O"))))</f>
        <v>104</v>
      </c>
      <c r="M39" s="40" t="str" cm="1">
        <f t="array" aca="1" ref="M39" ca="1">TRIM(SUBSTITUTE(_xlfn.ARRAYTOTEXT(IFERROR(CONCATENATE(SUMIF(INDIRECT("'"&amp;Assemblies[Assy]&amp;"'!"&amp;"C$5:C1000"), $A39, INDIRECT("'"&amp;Assemblies[Assy]&amp;"'!"&amp;"O$5:O1000")), "x",Assemblies[Assy],".",IF(SUMIF(INDIRECT("'"&amp;Assemblies[Assy]&amp;"'!"&amp;"C$5:C1000"), $A39, INDIRECT("'"&amp;Assemblies[Assy]&amp;"'!"&amp;"A$5:A1000"))=0,NA(),SUMIF(INDIRECT("'"&amp;Assemblies[Assy]&amp;"'!"&amp;"C$5:C1000"), $A39, INDIRECT("'"&amp;Assemblies[Assy]&amp;"'!"&amp;"A$5:A1000")))),"")), " ,", ""))</f>
        <v>, 8x4.4.504, 4x4.7.504, 48x7.2.1.504, 32x8.1.1.503, 12x9.1.505,</v>
      </c>
    </row>
    <row r="40" spans="1:13" x14ac:dyDescent="0.25">
      <c r="A40" t="s">
        <v>1222</v>
      </c>
      <c r="B40" s="18">
        <v>0</v>
      </c>
      <c r="C40" s="19" cm="1">
        <f t="array" aca="1" ref="C40" ca="1">SUMPRODUCT(SUMIF(INDIRECT("'"&amp;Assemblies[Assy]&amp;"'!"&amp;"C:C"),A40,(INDIRECT("'"&amp;Assemblies[Assy]&amp;"'!"&amp;"O:O"))))</f>
        <v>16</v>
      </c>
      <c r="M40" s="40" t="str" cm="1">
        <f t="array" aca="1" ref="M40" ca="1">TRIM(SUBSTITUTE(_xlfn.ARRAYTOTEXT(IFERROR(CONCATENATE(SUMIF(INDIRECT("'"&amp;Assemblies[Assy]&amp;"'!"&amp;"C$5:C1000"), $A40, INDIRECT("'"&amp;Assemblies[Assy]&amp;"'!"&amp;"O$5:O1000")), "x",Assemblies[Assy],".",IF(SUMIF(INDIRECT("'"&amp;Assemblies[Assy]&amp;"'!"&amp;"C$5:C1000"), $A40, INDIRECT("'"&amp;Assemblies[Assy]&amp;"'!"&amp;"A$5:A1000"))=0,NA(),SUMIF(INDIRECT("'"&amp;Assemblies[Assy]&amp;"'!"&amp;"C$5:C1000"), $A40, INDIRECT("'"&amp;Assemblies[Assy]&amp;"'!"&amp;"A$5:A1000")))),"")), " ,", ""))</f>
        <v>, 16x8.1.1.504,</v>
      </c>
    </row>
    <row r="41" spans="1:13" x14ac:dyDescent="0.25">
      <c r="A41" t="s">
        <v>3616</v>
      </c>
      <c r="B41" s="18">
        <v>0</v>
      </c>
      <c r="C41" s="19" cm="1">
        <f t="array" aca="1" ref="C41" ca="1">SUMPRODUCT(SUMIF(INDIRECT("'"&amp;Assemblies[Assy]&amp;"'!"&amp;"C:C"),A41,(INDIRECT("'"&amp;Assemblies[Assy]&amp;"'!"&amp;"O:O"))))</f>
        <v>0</v>
      </c>
      <c r="M41" s="40" t="str" cm="1">
        <f t="array" aca="1" ref="M41" ca="1">TRIM(SUBSTITUTE(_xlfn.ARRAYTOTEXT(IFERROR(CONCATENATE(SUMIF(INDIRECT("'"&amp;Assemblies[Assy]&amp;"'!"&amp;"C$5:C1000"), $A41, INDIRECT("'"&amp;Assemblies[Assy]&amp;"'!"&amp;"O$5:O1000")), "x",Assemblies[Assy],".",IF(SUMIF(INDIRECT("'"&amp;Assemblies[Assy]&amp;"'!"&amp;"C$5:C1000"), $A41, INDIRECT("'"&amp;Assemblies[Assy]&amp;"'!"&amp;"A$5:A1000"))=0,NA(),SUMIF(INDIRECT("'"&amp;Assemblies[Assy]&amp;"'!"&amp;"C$5:C1000"), $A41, INDIRECT("'"&amp;Assemblies[Assy]&amp;"'!"&amp;"A$5:A1000")))),"")), " ,", ""))</f>
        <v>,</v>
      </c>
    </row>
    <row r="42" spans="1:13" x14ac:dyDescent="0.25">
      <c r="A42" t="s">
        <v>618</v>
      </c>
      <c r="B42" s="18">
        <v>0</v>
      </c>
      <c r="C42" s="19" cm="1">
        <f t="array" aca="1" ref="C42" ca="1">SUMPRODUCT(SUMIF(INDIRECT("'"&amp;Assemblies[Assy]&amp;"'!"&amp;"C:C"),A42,(INDIRECT("'"&amp;Assemblies[Assy]&amp;"'!"&amp;"O:O"))))</f>
        <v>20</v>
      </c>
      <c r="M42" s="40" t="str" cm="1">
        <f t="array" aca="1" ref="M42" ca="1">TRIM(SUBSTITUTE(_xlfn.ARRAYTOTEXT(IFERROR(CONCATENATE(SUMIF(INDIRECT("'"&amp;Assemblies[Assy]&amp;"'!"&amp;"C$5:C1000"), $A42, INDIRECT("'"&amp;Assemblies[Assy]&amp;"'!"&amp;"O$5:O1000")), "x",Assemblies[Assy],".",IF(SUMIF(INDIRECT("'"&amp;Assemblies[Assy]&amp;"'!"&amp;"C$5:C1000"), $A42, INDIRECT("'"&amp;Assemblies[Assy]&amp;"'!"&amp;"A$5:A1000"))=0,NA(),SUMIF(INDIRECT("'"&amp;Assemblies[Assy]&amp;"'!"&amp;"C$5:C1000"), $A42, INDIRECT("'"&amp;Assemblies[Assy]&amp;"'!"&amp;"A$5:A1000")))),"")), " ,", ""))</f>
        <v>, 4x4.3.512, 16x6.10.503,</v>
      </c>
    </row>
    <row r="43" spans="1:13" x14ac:dyDescent="0.25">
      <c r="A43" t="s">
        <v>698</v>
      </c>
      <c r="B43" s="18">
        <v>0</v>
      </c>
      <c r="C43" s="19" cm="1">
        <f t="array" aca="1" ref="C43" ca="1">SUMPRODUCT(SUMIF(INDIRECT("'"&amp;Assemblies[Assy]&amp;"'!"&amp;"C:C"),A43,(INDIRECT("'"&amp;Assemblies[Assy]&amp;"'!"&amp;"O:O"))))</f>
        <v>28</v>
      </c>
      <c r="M43" s="40" t="str" cm="1">
        <f t="array" aca="1" ref="M43" ca="1">TRIM(SUBSTITUTE(_xlfn.ARRAYTOTEXT(IFERROR(CONCATENATE(SUMIF(INDIRECT("'"&amp;Assemblies[Assy]&amp;"'!"&amp;"C$5:C1000"), $A43, INDIRECT("'"&amp;Assemblies[Assy]&amp;"'!"&amp;"O$5:O1000")), "x",Assemblies[Assy],".",IF(SUMIF(INDIRECT("'"&amp;Assemblies[Assy]&amp;"'!"&amp;"C$5:C1000"), $A43, INDIRECT("'"&amp;Assemblies[Assy]&amp;"'!"&amp;"A$5:A1000"))=0,NA(),SUMIF(INDIRECT("'"&amp;Assemblies[Assy]&amp;"'!"&amp;"C$5:C1000"), $A43, INDIRECT("'"&amp;Assemblies[Assy]&amp;"'!"&amp;"A$5:A1000")))),"")), " ,", ""))</f>
        <v>, 4x5.2.504, 16x6.9.506, 8x8.3.507,</v>
      </c>
    </row>
    <row r="44" spans="1:13" x14ac:dyDescent="0.25">
      <c r="A44" t="s">
        <v>3617</v>
      </c>
      <c r="B44" s="18">
        <v>0</v>
      </c>
      <c r="C44" s="19" cm="1">
        <f t="array" aca="1" ref="C44" ca="1">SUMPRODUCT(SUMIF(INDIRECT("'"&amp;Assemblies[Assy]&amp;"'!"&amp;"C:C"),A44,(INDIRECT("'"&amp;Assemblies[Assy]&amp;"'!"&amp;"O:O"))))</f>
        <v>0</v>
      </c>
      <c r="M44" s="40" t="str" cm="1">
        <f t="array" aca="1" ref="M44" ca="1">TRIM(SUBSTITUTE(_xlfn.ARRAYTOTEXT(IFERROR(CONCATENATE(SUMIF(INDIRECT("'"&amp;Assemblies[Assy]&amp;"'!"&amp;"C$5:C1000"), $A44, INDIRECT("'"&amp;Assemblies[Assy]&amp;"'!"&amp;"O$5:O1000")), "x",Assemblies[Assy],".",IF(SUMIF(INDIRECT("'"&amp;Assemblies[Assy]&amp;"'!"&amp;"C$5:C1000"), $A44, INDIRECT("'"&amp;Assemblies[Assy]&amp;"'!"&amp;"A$5:A1000"))=0,NA(),SUMIF(INDIRECT("'"&amp;Assemblies[Assy]&amp;"'!"&amp;"C$5:C1000"), $A44, INDIRECT("'"&amp;Assemblies[Assy]&amp;"'!"&amp;"A$5:A1000")))),"")), " ,", ""))</f>
        <v>,</v>
      </c>
    </row>
    <row r="45" spans="1:13" x14ac:dyDescent="0.25">
      <c r="A45" t="s">
        <v>3618</v>
      </c>
      <c r="B45" s="18">
        <v>0</v>
      </c>
      <c r="C45" s="19" cm="1">
        <f t="array" aca="1" ref="C45" ca="1">SUMPRODUCT(SUMIF(INDIRECT("'"&amp;Assemblies[Assy]&amp;"'!"&amp;"C:C"),A45,(INDIRECT("'"&amp;Assemblies[Assy]&amp;"'!"&amp;"O:O"))))</f>
        <v>0</v>
      </c>
      <c r="M45" s="40" t="str" cm="1">
        <f t="array" aca="1" ref="M45" ca="1">TRIM(SUBSTITUTE(_xlfn.ARRAYTOTEXT(IFERROR(CONCATENATE(SUMIF(INDIRECT("'"&amp;Assemblies[Assy]&amp;"'!"&amp;"C$5:C1000"), $A45, INDIRECT("'"&amp;Assemblies[Assy]&amp;"'!"&amp;"O$5:O1000")), "x",Assemblies[Assy],".",IF(SUMIF(INDIRECT("'"&amp;Assemblies[Assy]&amp;"'!"&amp;"C$5:C1000"), $A45, INDIRECT("'"&amp;Assemblies[Assy]&amp;"'!"&amp;"A$5:A1000"))=0,NA(),SUMIF(INDIRECT("'"&amp;Assemblies[Assy]&amp;"'!"&amp;"C$5:C1000"), $A45, INDIRECT("'"&amp;Assemblies[Assy]&amp;"'!"&amp;"A$5:A1000")))),"")), " ,", ""))</f>
        <v>,</v>
      </c>
    </row>
    <row r="46" spans="1:13" x14ac:dyDescent="0.25">
      <c r="A46" t="s">
        <v>3619</v>
      </c>
      <c r="B46" s="18">
        <v>0</v>
      </c>
      <c r="C46" s="19" cm="1">
        <f t="array" aca="1" ref="C46" ca="1">SUMPRODUCT(SUMIF(INDIRECT("'"&amp;Assemblies[Assy]&amp;"'!"&amp;"C:C"),A46,(INDIRECT("'"&amp;Assemblies[Assy]&amp;"'!"&amp;"O:O"))))</f>
        <v>0</v>
      </c>
      <c r="M46" s="40" t="str" cm="1">
        <f t="array" aca="1" ref="M46" ca="1">TRIM(SUBSTITUTE(_xlfn.ARRAYTOTEXT(IFERROR(CONCATENATE(SUMIF(INDIRECT("'"&amp;Assemblies[Assy]&amp;"'!"&amp;"C$5:C1000"), $A46, INDIRECT("'"&amp;Assemblies[Assy]&amp;"'!"&amp;"O$5:O1000")), "x",Assemblies[Assy],".",IF(SUMIF(INDIRECT("'"&amp;Assemblies[Assy]&amp;"'!"&amp;"C$5:C1000"), $A46, INDIRECT("'"&amp;Assemblies[Assy]&amp;"'!"&amp;"A$5:A1000"))=0,NA(),SUMIF(INDIRECT("'"&amp;Assemblies[Assy]&amp;"'!"&amp;"C$5:C1000"), $A46, INDIRECT("'"&amp;Assemblies[Assy]&amp;"'!"&amp;"A$5:A1000")))),"")), " ,", ""))</f>
        <v>,</v>
      </c>
    </row>
    <row r="47" spans="1:13" x14ac:dyDescent="0.25">
      <c r="A47" t="s">
        <v>1383</v>
      </c>
      <c r="B47" s="18">
        <v>0</v>
      </c>
      <c r="C47" s="19" cm="1">
        <f t="array" aca="1" ref="C47" ca="1">SUMPRODUCT(SUMIF(INDIRECT("'"&amp;Assemblies[Assy]&amp;"'!"&amp;"C:C"),A47,(INDIRECT("'"&amp;Assemblies[Assy]&amp;"'!"&amp;"O:O"))))</f>
        <v>2</v>
      </c>
      <c r="M47" s="40" t="str" cm="1">
        <f t="array" aca="1" ref="M47" ca="1">TRIM(SUBSTITUTE(_xlfn.ARRAYTOTEXT(IFERROR(CONCATENATE(SUMIF(INDIRECT("'"&amp;Assemblies[Assy]&amp;"'!"&amp;"C$5:C1000"), $A47, INDIRECT("'"&amp;Assemblies[Assy]&amp;"'!"&amp;"O$5:O1000")), "x",Assemblies[Assy],".",IF(SUMIF(INDIRECT("'"&amp;Assemblies[Assy]&amp;"'!"&amp;"C$5:C1000"), $A47, INDIRECT("'"&amp;Assemblies[Assy]&amp;"'!"&amp;"A$5:A1000"))=0,NA(),SUMIF(INDIRECT("'"&amp;Assemblies[Assy]&amp;"'!"&amp;"C$5:C1000"), $A47, INDIRECT("'"&amp;Assemblies[Assy]&amp;"'!"&amp;"A$5:A1000")))),"")), " ,", ""))</f>
        <v>, 2x10.2.509,</v>
      </c>
    </row>
    <row r="48" spans="1:13" x14ac:dyDescent="0.25">
      <c r="A48" t="s">
        <v>1218</v>
      </c>
      <c r="B48" s="18">
        <v>0</v>
      </c>
      <c r="C48" s="19" cm="1">
        <f t="array" aca="1" ref="C48" ca="1">SUMPRODUCT(SUMIF(INDIRECT("'"&amp;Assemblies[Assy]&amp;"'!"&amp;"C:C"),A48,(INDIRECT("'"&amp;Assemblies[Assy]&amp;"'!"&amp;"O:O"))))</f>
        <v>32</v>
      </c>
      <c r="M48" s="40" t="str" cm="1">
        <f t="array" aca="1" ref="M48" ca="1">TRIM(SUBSTITUTE(_xlfn.ARRAYTOTEXT(IFERROR(CONCATENATE(SUMIF(INDIRECT("'"&amp;Assemblies[Assy]&amp;"'!"&amp;"C$5:C1000"), $A48, INDIRECT("'"&amp;Assemblies[Assy]&amp;"'!"&amp;"O$5:O1000")), "x",Assemblies[Assy],".",IF(SUMIF(INDIRECT("'"&amp;Assemblies[Assy]&amp;"'!"&amp;"C$5:C1000"), $A48, INDIRECT("'"&amp;Assemblies[Assy]&amp;"'!"&amp;"A$5:A1000"))=0,NA(),SUMIF(INDIRECT("'"&amp;Assemblies[Assy]&amp;"'!"&amp;"C$5:C1000"), $A48, INDIRECT("'"&amp;Assemblies[Assy]&amp;"'!"&amp;"A$5:A1000")))),"")), " ,", ""))</f>
        <v>, 16x8.1.501, 16x8.2.501,</v>
      </c>
    </row>
    <row r="49" spans="1:13" x14ac:dyDescent="0.25">
      <c r="A49" t="s">
        <v>1187</v>
      </c>
      <c r="B49" s="18">
        <v>0</v>
      </c>
      <c r="C49" s="19" cm="1">
        <f t="array" aca="1" ref="C49" ca="1">SUMPRODUCT(SUMIF(INDIRECT("'"&amp;Assemblies[Assy]&amp;"'!"&amp;"C:C"),A49,(INDIRECT("'"&amp;Assemblies[Assy]&amp;"'!"&amp;"O:O"))))</f>
        <v>16</v>
      </c>
      <c r="M49" s="40" t="str" cm="1">
        <f t="array" aca="1" ref="M49" ca="1">TRIM(SUBSTITUTE(_xlfn.ARRAYTOTEXT(IFERROR(CONCATENATE(SUMIF(INDIRECT("'"&amp;Assemblies[Assy]&amp;"'!"&amp;"C$5:C1000"), $A49, INDIRECT("'"&amp;Assemblies[Assy]&amp;"'!"&amp;"O$5:O1000")), "x",Assemblies[Assy],".",IF(SUMIF(INDIRECT("'"&amp;Assemblies[Assy]&amp;"'!"&amp;"C$5:C1000"), $A49, INDIRECT("'"&amp;Assemblies[Assy]&amp;"'!"&amp;"A$5:A1000"))=0,NA(),SUMIF(INDIRECT("'"&amp;Assemblies[Assy]&amp;"'!"&amp;"C$5:C1000"), $A49, INDIRECT("'"&amp;Assemblies[Assy]&amp;"'!"&amp;"A$5:A1000")))),"")), " ,", ""))</f>
        <v>, 16x7.2.5.502,</v>
      </c>
    </row>
    <row r="50" spans="1:13" x14ac:dyDescent="0.25">
      <c r="A50" t="s">
        <v>1384</v>
      </c>
      <c r="B50" s="18">
        <v>0</v>
      </c>
      <c r="C50" s="19" cm="1">
        <f t="array" aca="1" ref="C50" ca="1">SUMPRODUCT(SUMIF(INDIRECT("'"&amp;Assemblies[Assy]&amp;"'!"&amp;"C:C"),A50,(INDIRECT("'"&amp;Assemblies[Assy]&amp;"'!"&amp;"O:O"))))</f>
        <v>2</v>
      </c>
      <c r="M50" s="40" t="str" cm="1">
        <f t="array" aca="1" ref="M50" ca="1">TRIM(SUBSTITUTE(_xlfn.ARRAYTOTEXT(IFERROR(CONCATENATE(SUMIF(INDIRECT("'"&amp;Assemblies[Assy]&amp;"'!"&amp;"C$5:C1000"), $A50, INDIRECT("'"&amp;Assemblies[Assy]&amp;"'!"&amp;"O$5:O1000")), "x",Assemblies[Assy],".",IF(SUMIF(INDIRECT("'"&amp;Assemblies[Assy]&amp;"'!"&amp;"C$5:C1000"), $A50, INDIRECT("'"&amp;Assemblies[Assy]&amp;"'!"&amp;"A$5:A1000"))=0,NA(),SUMIF(INDIRECT("'"&amp;Assemblies[Assy]&amp;"'!"&amp;"C$5:C1000"), $A50, INDIRECT("'"&amp;Assemblies[Assy]&amp;"'!"&amp;"A$5:A1000")))),"")), " ,", ""))</f>
        <v>, 2x10.2.510,</v>
      </c>
    </row>
    <row r="51" spans="1:13" x14ac:dyDescent="0.25">
      <c r="A51" t="s">
        <v>196</v>
      </c>
      <c r="B51" s="18">
        <v>0</v>
      </c>
      <c r="C51" s="19" cm="1">
        <f t="array" aca="1" ref="C51" ca="1">SUMPRODUCT(SUMIF(INDIRECT("'"&amp;Assemblies[Assy]&amp;"'!"&amp;"C:C"),A51,(INDIRECT("'"&amp;Assemblies[Assy]&amp;"'!"&amp;"O:O"))))</f>
        <v>42</v>
      </c>
      <c r="M51" s="40" t="str" cm="1">
        <f t="array" aca="1" ref="M51" ca="1">TRIM(SUBSTITUTE(_xlfn.ARRAYTOTEXT(IFERROR(CONCATENATE(SUMIF(INDIRECT("'"&amp;Assemblies[Assy]&amp;"'!"&amp;"C$5:C1000"), $A51, INDIRECT("'"&amp;Assemblies[Assy]&amp;"'!"&amp;"O$5:O1000")), "x",Assemblies[Assy],".",IF(SUMIF(INDIRECT("'"&amp;Assemblies[Assy]&amp;"'!"&amp;"C$5:C1000"), $A51, INDIRECT("'"&amp;Assemblies[Assy]&amp;"'!"&amp;"A$5:A1000"))=0,NA(),SUMIF(INDIRECT("'"&amp;Assemblies[Assy]&amp;"'!"&amp;"C$5:C1000"), $A51, INDIRECT("'"&amp;Assemblies[Assy]&amp;"'!"&amp;"A$5:A1000")))),"")), " ,", ""))</f>
        <v>, 10x1.1.6.502, 4x5.5.1.501, 8x5.5.2.1.502, 4x5.5.3.501, 4x5.6.1.501, 4x6.2.1.5.501, 4x6.2.3.1.501, 4x6.10.512,</v>
      </c>
    </row>
    <row r="52" spans="1:13" x14ac:dyDescent="0.25">
      <c r="A52" t="s">
        <v>777</v>
      </c>
      <c r="B52" s="18">
        <v>0</v>
      </c>
      <c r="C52" s="19" cm="1">
        <f t="array" aca="1" ref="C52" ca="1">SUMPRODUCT(SUMIF(INDIRECT("'"&amp;Assemblies[Assy]&amp;"'!"&amp;"C:C"),A52,(INDIRECT("'"&amp;Assemblies[Assy]&amp;"'!"&amp;"O:O"))))</f>
        <v>27</v>
      </c>
      <c r="M52" s="40" t="str" cm="1">
        <f t="array" aca="1" ref="M52" ca="1">TRIM(SUBSTITUTE(_xlfn.ARRAYTOTEXT(IFERROR(CONCATENATE(SUMIF(INDIRECT("'"&amp;Assemblies[Assy]&amp;"'!"&amp;"C$5:C1000"), $A52, INDIRECT("'"&amp;Assemblies[Assy]&amp;"'!"&amp;"O$5:O1000")), "x",Assemblies[Assy],".",IF(SUMIF(INDIRECT("'"&amp;Assemblies[Assy]&amp;"'!"&amp;"C$5:C1000"), $A52, INDIRECT("'"&amp;Assemblies[Assy]&amp;"'!"&amp;"A$5:A1000"))=0,NA(),SUMIF(INDIRECT("'"&amp;Assemblies[Assy]&amp;"'!"&amp;"C$5:C1000"), $A52, INDIRECT("'"&amp;Assemblies[Assy]&amp;"'!"&amp;"A$5:A1000")))),"")), " ,", ""))</f>
        <v>, 9x5.4.1.503, 12x5.4.2.503, 4x6.6.2.503, 2x10.3.501,</v>
      </c>
    </row>
    <row r="53" spans="1:13" x14ac:dyDescent="0.25">
      <c r="A53" t="s">
        <v>3620</v>
      </c>
      <c r="B53" s="18">
        <v>0</v>
      </c>
      <c r="C53" s="19" cm="1">
        <f t="array" aca="1" ref="C53" ca="1">SUMPRODUCT(SUMIF(INDIRECT("'"&amp;Assemblies[Assy]&amp;"'!"&amp;"C:C"),A53,(INDIRECT("'"&amp;Assemblies[Assy]&amp;"'!"&amp;"O:O"))))</f>
        <v>0</v>
      </c>
      <c r="M53" s="40" t="str" cm="1">
        <f t="array" aca="1" ref="M53" ca="1">TRIM(SUBSTITUTE(_xlfn.ARRAYTOTEXT(IFERROR(CONCATENATE(SUMIF(INDIRECT("'"&amp;Assemblies[Assy]&amp;"'!"&amp;"C$5:C1000"), $A53, INDIRECT("'"&amp;Assemblies[Assy]&amp;"'!"&amp;"O$5:O1000")), "x",Assemblies[Assy],".",IF(SUMIF(INDIRECT("'"&amp;Assemblies[Assy]&amp;"'!"&amp;"C$5:C1000"), $A53, INDIRECT("'"&amp;Assemblies[Assy]&amp;"'!"&amp;"A$5:A1000"))=0,NA(),SUMIF(INDIRECT("'"&amp;Assemblies[Assy]&amp;"'!"&amp;"C$5:C1000"), $A53, INDIRECT("'"&amp;Assemblies[Assy]&amp;"'!"&amp;"A$5:A1000")))),"")), " ,", ""))</f>
        <v>,</v>
      </c>
    </row>
    <row r="54" spans="1:13" x14ac:dyDescent="0.25">
      <c r="A54" t="s">
        <v>1354</v>
      </c>
      <c r="B54" s="18">
        <v>0</v>
      </c>
      <c r="C54" s="19" cm="1">
        <f t="array" aca="1" ref="C54" ca="1">SUMPRODUCT(SUMIF(INDIRECT("'"&amp;Assemblies[Assy]&amp;"'!"&amp;"C:C"),A54,(INDIRECT("'"&amp;Assemblies[Assy]&amp;"'!"&amp;"O:O"))))</f>
        <v>1</v>
      </c>
      <c r="M54" s="40" t="str" cm="1">
        <f t="array" aca="1" ref="M54" ca="1">TRIM(SUBSTITUTE(_xlfn.ARRAYTOTEXT(IFERROR(CONCATENATE(SUMIF(INDIRECT("'"&amp;Assemblies[Assy]&amp;"'!"&amp;"C$5:C1000"), $A54, INDIRECT("'"&amp;Assemblies[Assy]&amp;"'!"&amp;"O$5:O1000")), "x",Assemblies[Assy],".",IF(SUMIF(INDIRECT("'"&amp;Assemblies[Assy]&amp;"'!"&amp;"C$5:C1000"), $A54, INDIRECT("'"&amp;Assemblies[Assy]&amp;"'!"&amp;"A$5:A1000"))=0,NA(),SUMIF(INDIRECT("'"&amp;Assemblies[Assy]&amp;"'!"&amp;"C$5:C1000"), $A54, INDIRECT("'"&amp;Assemblies[Assy]&amp;"'!"&amp;"A$5:A1000")))),"")), " ,", ""))</f>
        <v>, 1x10.1.9.501,</v>
      </c>
    </row>
    <row r="55" spans="1:13" x14ac:dyDescent="0.25">
      <c r="A55" t="s">
        <v>823</v>
      </c>
      <c r="B55" s="18">
        <v>0</v>
      </c>
      <c r="C55" s="19" cm="1">
        <f t="array" aca="1" ref="C55" ca="1">SUMPRODUCT(SUMIF(INDIRECT("'"&amp;Assemblies[Assy]&amp;"'!"&amp;"C:C"),A55,(INDIRECT("'"&amp;Assemblies[Assy]&amp;"'!"&amp;"O:O"))))</f>
        <v>20</v>
      </c>
      <c r="M55" s="40" t="str" cm="1">
        <f t="array" aca="1" ref="M55" ca="1">TRIM(SUBSTITUTE(_xlfn.ARRAYTOTEXT(IFERROR(CONCATENATE(SUMIF(INDIRECT("'"&amp;Assemblies[Assy]&amp;"'!"&amp;"C$5:C1000"), $A55, INDIRECT("'"&amp;Assemblies[Assy]&amp;"'!"&amp;"O$5:O1000")), "x",Assemblies[Assy],".",IF(SUMIF(INDIRECT("'"&amp;Assemblies[Assy]&amp;"'!"&amp;"C$5:C1000"), $A55, INDIRECT("'"&amp;Assemblies[Assy]&amp;"'!"&amp;"A$5:A1000"))=0,NA(),SUMIF(INDIRECT("'"&amp;Assemblies[Assy]&amp;"'!"&amp;"C$5:C1000"), $A55, INDIRECT("'"&amp;Assemblies[Assy]&amp;"'!"&amp;"A$5:A1000")))),"")), " ,", ""))</f>
        <v>, 2x5.5.1.502, 2x5.6.1.502, 4x6.2.1.501, 4x6.2.3.501, 4x6.3.1.501, 4x6.3.3.501,</v>
      </c>
    </row>
    <row r="56" spans="1:13" x14ac:dyDescent="0.25">
      <c r="A56" t="s">
        <v>1355</v>
      </c>
      <c r="B56" s="18">
        <v>0</v>
      </c>
      <c r="C56" s="19" cm="1">
        <f t="array" aca="1" ref="C56" ca="1">SUMPRODUCT(SUMIF(INDIRECT("'"&amp;Assemblies[Assy]&amp;"'!"&amp;"C:C"),A56,(INDIRECT("'"&amp;Assemblies[Assy]&amp;"'!"&amp;"O:O"))))</f>
        <v>1</v>
      </c>
      <c r="F56" t="s">
        <v>334</v>
      </c>
      <c r="M56" s="40" t="str" cm="1">
        <f t="array" aca="1" ref="M56" ca="1">TRIM(SUBSTITUTE(_xlfn.ARRAYTOTEXT(IFERROR(CONCATENATE(SUMIF(INDIRECT("'"&amp;Assemblies[Assy]&amp;"'!"&amp;"C$5:C1000"), $A56, INDIRECT("'"&amp;Assemblies[Assy]&amp;"'!"&amp;"O$5:O1000")), "x",Assemblies[Assy],".",IF(SUMIF(INDIRECT("'"&amp;Assemblies[Assy]&amp;"'!"&amp;"C$5:C1000"), $A56, INDIRECT("'"&amp;Assemblies[Assy]&amp;"'!"&amp;"A$5:A1000"))=0,NA(),SUMIF(INDIRECT("'"&amp;Assemblies[Assy]&amp;"'!"&amp;"C$5:C1000"), $A56, INDIRECT("'"&amp;Assemblies[Assy]&amp;"'!"&amp;"A$5:A1000")))),"")), " ,", ""))</f>
        <v>, 1x10.1.9.502,</v>
      </c>
    </row>
    <row r="57" spans="1:13" x14ac:dyDescent="0.25">
      <c r="A57" t="s">
        <v>806</v>
      </c>
      <c r="B57" s="18">
        <v>0</v>
      </c>
      <c r="C57" s="19" cm="1">
        <f t="array" aca="1" ref="C57" ca="1">SUMPRODUCT(SUMIF(INDIRECT("'"&amp;Assemblies[Assy]&amp;"'!"&amp;"C:C"),A57,(INDIRECT("'"&amp;Assemblies[Assy]&amp;"'!"&amp;"O:O"))))</f>
        <v>16</v>
      </c>
      <c r="F57" t="s">
        <v>334</v>
      </c>
      <c r="M57" s="40" t="str" cm="1">
        <f t="array" aca="1" ref="M57" ca="1">TRIM(SUBSTITUTE(_xlfn.ARRAYTOTEXT(IFERROR(CONCATENATE(SUMIF(INDIRECT("'"&amp;Assemblies[Assy]&amp;"'!"&amp;"C$5:C1000"), $A57, INDIRECT("'"&amp;Assemblies[Assy]&amp;"'!"&amp;"O$5:O1000")), "x",Assemblies[Assy],".",IF(SUMIF(INDIRECT("'"&amp;Assemblies[Assy]&amp;"'!"&amp;"C$5:C1000"), $A57, INDIRECT("'"&amp;Assemblies[Assy]&amp;"'!"&amp;"A$5:A1000"))=0,NA(),SUMIF(INDIRECT("'"&amp;Assemblies[Assy]&amp;"'!"&amp;"C$5:C1000"), $A57, INDIRECT("'"&amp;Assemblies[Assy]&amp;"'!"&amp;"A$5:A1000")))),"")), " ,", ""))</f>
        <v>, 2x5.5.502, 4x5.5.2.1.503, 2x5.6.502, 2x6.2.2.501, 2x6.2.3.508, 2x6.3.2.501, 2x6.3.3.508,</v>
      </c>
    </row>
    <row r="58" spans="1:13" x14ac:dyDescent="0.25">
      <c r="A58" t="s">
        <v>807</v>
      </c>
      <c r="B58" s="18">
        <v>0</v>
      </c>
      <c r="C58" s="19" cm="1">
        <f t="array" aca="1" ref="C58" ca="1">SUMPRODUCT(SUMIF(INDIRECT("'"&amp;Assemblies[Assy]&amp;"'!"&amp;"C:C"),A58,(INDIRECT("'"&amp;Assemblies[Assy]&amp;"'!"&amp;"O:O"))))</f>
        <v>20</v>
      </c>
      <c r="M58" s="40" t="str" cm="1">
        <f t="array" aca="1" ref="M58" ca="1">TRIM(SUBSTITUTE(_xlfn.ARRAYTOTEXT(IFERROR(CONCATENATE(SUMIF(INDIRECT("'"&amp;Assemblies[Assy]&amp;"'!"&amp;"C$5:C1000"), $A58, INDIRECT("'"&amp;Assemblies[Assy]&amp;"'!"&amp;"O$5:O1000")), "x",Assemblies[Assy],".",IF(SUMIF(INDIRECT("'"&amp;Assemblies[Assy]&amp;"'!"&amp;"C$5:C1000"), $A58, INDIRECT("'"&amp;Assemblies[Assy]&amp;"'!"&amp;"A$5:A1000"))=0,NA(),SUMIF(INDIRECT("'"&amp;Assemblies[Assy]&amp;"'!"&amp;"C$5:C1000"), $A58, INDIRECT("'"&amp;Assemblies[Assy]&amp;"'!"&amp;"A$5:A1000")))),"")), " ,", ""))</f>
        <v>, 2x5.5.503, 2x5.6.503, 2x6.2.1.1.502, 2x6.2.1.2.504, 2x6.2.2.502, 2x6.3.1.1.502, 2x6.3.1.2.504, 2x6.3.2.502, 2x6.4.503, 2x6.5.503,</v>
      </c>
    </row>
    <row r="59" spans="1:13" x14ac:dyDescent="0.25">
      <c r="A59" t="s">
        <v>3621</v>
      </c>
      <c r="B59" s="18">
        <v>0</v>
      </c>
      <c r="C59" s="19" cm="1">
        <f t="array" aca="1" ref="C59" ca="1">SUMPRODUCT(SUMIF(INDIRECT("'"&amp;Assemblies[Assy]&amp;"'!"&amp;"C:C"),A59,(INDIRECT("'"&amp;Assemblies[Assy]&amp;"'!"&amp;"O:O"))))</f>
        <v>0</v>
      </c>
      <c r="M59" s="40" t="str" cm="1">
        <f t="array" aca="1" ref="M59" ca="1">TRIM(SUBSTITUTE(_xlfn.ARRAYTOTEXT(IFERROR(CONCATENATE(SUMIF(INDIRECT("'"&amp;Assemblies[Assy]&amp;"'!"&amp;"C$5:C1000"), $A59, INDIRECT("'"&amp;Assemblies[Assy]&amp;"'!"&amp;"O$5:O1000")), "x",Assemblies[Assy],".",IF(SUMIF(INDIRECT("'"&amp;Assemblies[Assy]&amp;"'!"&amp;"C$5:C1000"), $A59, INDIRECT("'"&amp;Assemblies[Assy]&amp;"'!"&amp;"A$5:A1000"))=0,NA(),SUMIF(INDIRECT("'"&amp;Assemblies[Assy]&amp;"'!"&amp;"C$5:C1000"), $A59, INDIRECT("'"&amp;Assemblies[Assy]&amp;"'!"&amp;"A$5:A1000")))),"")), " ,", ""))</f>
        <v>,</v>
      </c>
    </row>
    <row r="60" spans="1:13" x14ac:dyDescent="0.25">
      <c r="A60" t="s">
        <v>1005</v>
      </c>
      <c r="B60" s="18">
        <v>0</v>
      </c>
      <c r="C60" s="19" cm="1">
        <f t="array" aca="1" ref="C60" ca="1">SUMPRODUCT(SUMIF(INDIRECT("'"&amp;Assemblies[Assy]&amp;"'!"&amp;"C:C"),A60,(INDIRECT("'"&amp;Assemblies[Assy]&amp;"'!"&amp;"O:O"))))</f>
        <v>8</v>
      </c>
      <c r="M60" s="40" t="str" cm="1">
        <f t="array" aca="1" ref="M60" ca="1">TRIM(SUBSTITUTE(_xlfn.ARRAYTOTEXT(IFERROR(CONCATENATE(SUMIF(INDIRECT("'"&amp;Assemblies[Assy]&amp;"'!"&amp;"C$5:C1000"), $A60, INDIRECT("'"&amp;Assemblies[Assy]&amp;"'!"&amp;"O$5:O1000")), "x",Assemblies[Assy],".",IF(SUMIF(INDIRECT("'"&amp;Assemblies[Assy]&amp;"'!"&amp;"C$5:C1000"), $A60, INDIRECT("'"&amp;Assemblies[Assy]&amp;"'!"&amp;"A$5:A1000"))=0,NA(),SUMIF(INDIRECT("'"&amp;Assemblies[Assy]&amp;"'!"&amp;"C$5:C1000"), $A60, INDIRECT("'"&amp;Assemblies[Assy]&amp;"'!"&amp;"A$5:A1000")))),"")), " ,", ""))</f>
        <v>, 2x6.2.3.511, 2x6.3.3.511, 4x6.10.504,</v>
      </c>
    </row>
    <row r="61" spans="1:13" x14ac:dyDescent="0.25">
      <c r="A61" t="s">
        <v>197</v>
      </c>
      <c r="B61" s="18">
        <v>0</v>
      </c>
      <c r="C61" s="19" cm="1">
        <f t="array" aca="1" ref="C61" ca="1">SUMPRODUCT(SUMIF(INDIRECT("'"&amp;Assemblies[Assy]&amp;"'!"&amp;"C:C"),A61,(INDIRECT("'"&amp;Assemblies[Assy]&amp;"'!"&amp;"O:O"))))</f>
        <v>36</v>
      </c>
      <c r="M61" s="40" t="str" cm="1">
        <f t="array" aca="1" ref="M61" ca="1">TRIM(SUBSTITUTE(_xlfn.ARRAYTOTEXT(IFERROR(CONCATENATE(SUMIF(INDIRECT("'"&amp;Assemblies[Assy]&amp;"'!"&amp;"C$5:C1000"), $A61, INDIRECT("'"&amp;Assemblies[Assy]&amp;"'!"&amp;"O$5:O1000")), "x",Assemblies[Assy],".",IF(SUMIF(INDIRECT("'"&amp;Assemblies[Assy]&amp;"'!"&amp;"C$5:C1000"), $A61, INDIRECT("'"&amp;Assemblies[Assy]&amp;"'!"&amp;"A$5:A1000"))=0,NA(),SUMIF(INDIRECT("'"&amp;Assemblies[Assy]&amp;"'!"&amp;"C$5:C1000"), $A61, INDIRECT("'"&amp;Assemblies[Assy]&amp;"'!"&amp;"A$5:A1000")))),"")), " ,", ""))</f>
        <v>, 4x1.1.6.503, 6x5.5.501, 4x5.5.2.1.501, 6x5.6.501, 4x6.2.1.2.501, 4x6.3.1.2.501, 4x6.4.502, 4x6.5.502,</v>
      </c>
    </row>
    <row r="62" spans="1:13" x14ac:dyDescent="0.25">
      <c r="A62" t="s">
        <v>3622</v>
      </c>
      <c r="B62" s="18">
        <v>0</v>
      </c>
      <c r="C62" s="19" cm="1">
        <f t="array" aca="1" ref="C62" ca="1">SUMPRODUCT(SUMIF(INDIRECT("'"&amp;Assemblies[Assy]&amp;"'!"&amp;"C:C"),A62,(INDIRECT("'"&amp;Assemblies[Assy]&amp;"'!"&amp;"O:O"))))</f>
        <v>0</v>
      </c>
      <c r="M62" s="40" t="str" cm="1">
        <f t="array" aca="1" ref="M62" ca="1">TRIM(SUBSTITUTE(_xlfn.ARRAYTOTEXT(IFERROR(CONCATENATE(SUMIF(INDIRECT("'"&amp;Assemblies[Assy]&amp;"'!"&amp;"C$5:C1000"), $A62, INDIRECT("'"&amp;Assemblies[Assy]&amp;"'!"&amp;"O$5:O1000")), "x",Assemblies[Assy],".",IF(SUMIF(INDIRECT("'"&amp;Assemblies[Assy]&amp;"'!"&amp;"C$5:C1000"), $A62, INDIRECT("'"&amp;Assemblies[Assy]&amp;"'!"&amp;"A$5:A1000"))=0,NA(),SUMIF(INDIRECT("'"&amp;Assemblies[Assy]&amp;"'!"&amp;"C$5:C1000"), $A62, INDIRECT("'"&amp;Assemblies[Assy]&amp;"'!"&amp;"A$5:A1000")))),"")), " ,", ""))</f>
        <v>,</v>
      </c>
    </row>
    <row r="63" spans="1:13" x14ac:dyDescent="0.25">
      <c r="A63" t="s">
        <v>3623</v>
      </c>
      <c r="B63" s="18">
        <v>0</v>
      </c>
      <c r="C63" s="19" cm="1">
        <f t="array" aca="1" ref="C63" ca="1">SUMPRODUCT(SUMIF(INDIRECT("'"&amp;Assemblies[Assy]&amp;"'!"&amp;"C:C"),A63,(INDIRECT("'"&amp;Assemblies[Assy]&amp;"'!"&amp;"O:O"))))</f>
        <v>0</v>
      </c>
      <c r="M63" s="40" t="str" cm="1">
        <f t="array" aca="1" ref="M63" ca="1">TRIM(SUBSTITUTE(_xlfn.ARRAYTOTEXT(IFERROR(CONCATENATE(SUMIF(INDIRECT("'"&amp;Assemblies[Assy]&amp;"'!"&amp;"C$5:C1000"), $A63, INDIRECT("'"&amp;Assemblies[Assy]&amp;"'!"&amp;"O$5:O1000")), "x",Assemblies[Assy],".",IF(SUMIF(INDIRECT("'"&amp;Assemblies[Assy]&amp;"'!"&amp;"C$5:C1000"), $A63, INDIRECT("'"&amp;Assemblies[Assy]&amp;"'!"&amp;"A$5:A1000"))=0,NA(),SUMIF(INDIRECT("'"&amp;Assemblies[Assy]&amp;"'!"&amp;"C$5:C1000"), $A63, INDIRECT("'"&amp;Assemblies[Assy]&amp;"'!"&amp;"A$5:A1000")))),"")), " ,", ""))</f>
        <v>,</v>
      </c>
    </row>
    <row r="64" spans="1:13" x14ac:dyDescent="0.25">
      <c r="A64" t="s">
        <v>1079</v>
      </c>
      <c r="B64" s="18">
        <v>0</v>
      </c>
      <c r="C64" s="19" cm="1">
        <f t="array" aca="1" ref="C64" ca="1">SUMPRODUCT(SUMIF(INDIRECT("'"&amp;Assemblies[Assy]&amp;"'!"&amp;"C:C"),A64,(INDIRECT("'"&amp;Assemblies[Assy]&amp;"'!"&amp;"O:O"))))</f>
        <v>16</v>
      </c>
      <c r="M64" s="40" t="str" cm="1">
        <f t="array" aca="1" ref="M64" ca="1">TRIM(SUBSTITUTE(_xlfn.ARRAYTOTEXT(IFERROR(CONCATENATE(SUMIF(INDIRECT("'"&amp;Assemblies[Assy]&amp;"'!"&amp;"C$5:C1000"), $A64, INDIRECT("'"&amp;Assemblies[Assy]&amp;"'!"&amp;"O$5:O1000")), "x",Assemblies[Assy],".",IF(SUMIF(INDIRECT("'"&amp;Assemblies[Assy]&amp;"'!"&amp;"C$5:C1000"), $A64, INDIRECT("'"&amp;Assemblies[Assy]&amp;"'!"&amp;"A$5:A1000"))=0,NA(),SUMIF(INDIRECT("'"&amp;Assemblies[Assy]&amp;"'!"&amp;"C$5:C1000"), $A64, INDIRECT("'"&amp;Assemblies[Assy]&amp;"'!"&amp;"A$5:A1000")))),"")), " ,", ""))</f>
        <v>, 16x6.10.505,</v>
      </c>
    </row>
    <row r="65" spans="1:13" x14ac:dyDescent="0.25">
      <c r="A65" t="s">
        <v>3624</v>
      </c>
      <c r="B65" s="18">
        <v>0</v>
      </c>
      <c r="C65" s="19" cm="1">
        <f t="array" aca="1" ref="C65" ca="1">SUMPRODUCT(SUMIF(INDIRECT("'"&amp;Assemblies[Assy]&amp;"'!"&amp;"C:C"),A65,(INDIRECT("'"&amp;Assemblies[Assy]&amp;"'!"&amp;"O:O"))))</f>
        <v>0</v>
      </c>
      <c r="M65" s="40" t="str" cm="1">
        <f t="array" aca="1" ref="M65" ca="1">TRIM(SUBSTITUTE(_xlfn.ARRAYTOTEXT(IFERROR(CONCATENATE(SUMIF(INDIRECT("'"&amp;Assemblies[Assy]&amp;"'!"&amp;"C$5:C1000"), $A65, INDIRECT("'"&amp;Assemblies[Assy]&amp;"'!"&amp;"O$5:O1000")), "x",Assemblies[Assy],".",IF(SUMIF(INDIRECT("'"&amp;Assemblies[Assy]&amp;"'!"&amp;"C$5:C1000"), $A65, INDIRECT("'"&amp;Assemblies[Assy]&amp;"'!"&amp;"A$5:A1000"))=0,NA(),SUMIF(INDIRECT("'"&amp;Assemblies[Assy]&amp;"'!"&amp;"C$5:C1000"), $A65, INDIRECT("'"&amp;Assemblies[Assy]&amp;"'!"&amp;"A$5:A1000")))),"")), " ,", ""))</f>
        <v>,</v>
      </c>
    </row>
    <row r="66" spans="1:13" x14ac:dyDescent="0.25">
      <c r="A66" t="s">
        <v>776</v>
      </c>
      <c r="B66" s="18">
        <v>0</v>
      </c>
      <c r="C66" s="19" cm="1">
        <f t="array" aca="1" ref="C66" ca="1">SUMPRODUCT(SUMIF(INDIRECT("'"&amp;Assemblies[Assy]&amp;"'!"&amp;"C:C"),A66,(INDIRECT("'"&amp;Assemblies[Assy]&amp;"'!"&amp;"O:O"))))</f>
        <v>34</v>
      </c>
      <c r="M66" s="40" t="str" cm="1">
        <f t="array" aca="1" ref="M66" ca="1">TRIM(SUBSTITUTE(_xlfn.ARRAYTOTEXT(IFERROR(CONCATENATE(SUMIF(INDIRECT("'"&amp;Assemblies[Assy]&amp;"'!"&amp;"C$5:C1000"), $A66, INDIRECT("'"&amp;Assemblies[Assy]&amp;"'!"&amp;"O$5:O1000")), "x",Assemblies[Assy],".",IF(SUMIF(INDIRECT("'"&amp;Assemblies[Assy]&amp;"'!"&amp;"C$5:C1000"), $A66, INDIRECT("'"&amp;Assemblies[Assy]&amp;"'!"&amp;"A$5:A1000"))=0,NA(),SUMIF(INDIRECT("'"&amp;Assemblies[Assy]&amp;"'!"&amp;"C$5:C1000"), $A66, INDIRECT("'"&amp;Assemblies[Assy]&amp;"'!"&amp;"A$5:A1000")))),"")), " ,", ""))</f>
        <v>, 6x5.4.1.502, 8x5.4.2.502, 8x6.2.2.504, 8x6.3.2.504, 4x6.6.2.502,</v>
      </c>
    </row>
    <row r="67" spans="1:13" x14ac:dyDescent="0.25">
      <c r="A67" t="s">
        <v>3625</v>
      </c>
      <c r="B67" s="18">
        <v>0</v>
      </c>
      <c r="C67" s="19" cm="1">
        <f t="array" aca="1" ref="C67" ca="1">SUMPRODUCT(SUMIF(INDIRECT("'"&amp;Assemblies[Assy]&amp;"'!"&amp;"C:C"),A67,(INDIRECT("'"&amp;Assemblies[Assy]&amp;"'!"&amp;"O:O"))))</f>
        <v>0</v>
      </c>
      <c r="M67" s="40" t="str" cm="1">
        <f t="array" aca="1" ref="M67" ca="1">TRIM(SUBSTITUTE(_xlfn.ARRAYTOTEXT(IFERROR(CONCATENATE(SUMIF(INDIRECT("'"&amp;Assemblies[Assy]&amp;"'!"&amp;"C$5:C1000"), $A67, INDIRECT("'"&amp;Assemblies[Assy]&amp;"'!"&amp;"O$5:O1000")), "x",Assemblies[Assy],".",IF(SUMIF(INDIRECT("'"&amp;Assemblies[Assy]&amp;"'!"&amp;"C$5:C1000"), $A67, INDIRECT("'"&amp;Assemblies[Assy]&amp;"'!"&amp;"A$5:A1000"))=0,NA(),SUMIF(INDIRECT("'"&amp;Assemblies[Assy]&amp;"'!"&amp;"C$5:C1000"), $A67, INDIRECT("'"&amp;Assemblies[Assy]&amp;"'!"&amp;"A$5:A1000")))),"")), " ,", ""))</f>
        <v>,</v>
      </c>
    </row>
    <row r="68" spans="1:13" x14ac:dyDescent="0.25">
      <c r="A68" t="s">
        <v>1282</v>
      </c>
      <c r="B68" s="18">
        <v>0</v>
      </c>
      <c r="C68" s="19" cm="1">
        <f t="array" aca="1" ref="C68" ca="1">SUMPRODUCT(SUMIF(INDIRECT("'"&amp;Assemblies[Assy]&amp;"'!"&amp;"C:C"),A68,(INDIRECT("'"&amp;Assemblies[Assy]&amp;"'!"&amp;"O:O"))))</f>
        <v>4</v>
      </c>
      <c r="M68" s="40" t="str" cm="1">
        <f t="array" aca="1" ref="M68" ca="1">TRIM(SUBSTITUTE(_xlfn.ARRAYTOTEXT(IFERROR(CONCATENATE(SUMIF(INDIRECT("'"&amp;Assemblies[Assy]&amp;"'!"&amp;"C$5:C1000"), $A68, INDIRECT("'"&amp;Assemblies[Assy]&amp;"'!"&amp;"O$5:O1000")), "x",Assemblies[Assy],".",IF(SUMIF(INDIRECT("'"&amp;Assemblies[Assy]&amp;"'!"&amp;"C$5:C1000"), $A68, INDIRECT("'"&amp;Assemblies[Assy]&amp;"'!"&amp;"A$5:A1000"))=0,NA(),SUMIF(INDIRECT("'"&amp;Assemblies[Assy]&amp;"'!"&amp;"C$5:C1000"), $A68, INDIRECT("'"&amp;Assemblies[Assy]&amp;"'!"&amp;"A$5:A1000")))),"")), " ,", ""))</f>
        <v>, 2x9.1.503, 2x9.3.502,</v>
      </c>
    </row>
    <row r="69" spans="1:13" x14ac:dyDescent="0.25">
      <c r="A69" t="s">
        <v>275</v>
      </c>
      <c r="B69" s="18">
        <v>0</v>
      </c>
      <c r="C69" s="19" cm="1">
        <f t="array" aca="1" ref="C69" ca="1">SUMPRODUCT(SUMIF(INDIRECT("'"&amp;Assemblies[Assy]&amp;"'!"&amp;"C:C"),A69,(INDIRECT("'"&amp;Assemblies[Assy]&amp;"'!"&amp;"O:O"))))</f>
        <v>76</v>
      </c>
      <c r="M69" s="40" t="str" cm="1">
        <f t="array" aca="1" ref="M69" ca="1">TRIM(SUBSTITUTE(_xlfn.ARRAYTOTEXT(IFERROR(CONCATENATE(SUMIF(INDIRECT("'"&amp;Assemblies[Assy]&amp;"'!"&amp;"C$5:C1000"), $A69, INDIRECT("'"&amp;Assemblies[Assy]&amp;"'!"&amp;"O$5:O1000")), "x",Assemblies[Assy],".",IF(SUMIF(INDIRECT("'"&amp;Assemblies[Assy]&amp;"'!"&amp;"C$5:C1000"), $A69, INDIRECT("'"&amp;Assemblies[Assy]&amp;"'!"&amp;"A$5:A1000"))=0,NA(),SUMIF(INDIRECT("'"&amp;Assemblies[Assy]&amp;"'!"&amp;"C$5:C1000"), $A69, INDIRECT("'"&amp;Assemblies[Assy]&amp;"'!"&amp;"A$5:A1000")))),"")), " ,", ""))</f>
        <v>, 4x1.2.3.502, 20x1.3.5.503, 2x4.4.2.501, 4x4.5.501, 4x5.5.506, 4x5.5.1.503, 8x5.5.2.1.505, 4x5.5.3.502, 4x5.6.506, 2x5.6.1.503, 4x6.2.3.510, 4x6.3.3.510, 8x6.10.1.501, 4x6.10.2.501,</v>
      </c>
    </row>
    <row r="70" spans="1:13" x14ac:dyDescent="0.25">
      <c r="A70" t="s">
        <v>616</v>
      </c>
      <c r="B70" s="18">
        <v>0</v>
      </c>
      <c r="C70" s="19" cm="1">
        <f t="array" aca="1" ref="C70" ca="1">SUMPRODUCT(SUMIF(INDIRECT("'"&amp;Assemblies[Assy]&amp;"'!"&amp;"C:C"),A70,(INDIRECT("'"&amp;Assemblies[Assy]&amp;"'!"&amp;"O:O"))))</f>
        <v>1</v>
      </c>
      <c r="M70" s="40" t="str" cm="1">
        <f t="array" aca="1" ref="M70" ca="1">TRIM(SUBSTITUTE(_xlfn.ARRAYTOTEXT(IFERROR(CONCATENATE(SUMIF(INDIRECT("'"&amp;Assemblies[Assy]&amp;"'!"&amp;"C$5:C1000"), $A70, INDIRECT("'"&amp;Assemblies[Assy]&amp;"'!"&amp;"O$5:O1000")), "x",Assemblies[Assy],".",IF(SUMIF(INDIRECT("'"&amp;Assemblies[Assy]&amp;"'!"&amp;"C$5:C1000"), $A70, INDIRECT("'"&amp;Assemblies[Assy]&amp;"'!"&amp;"A$5:A1000"))=0,NA(),SUMIF(INDIRECT("'"&amp;Assemblies[Assy]&amp;"'!"&amp;"C$5:C1000"), $A70, INDIRECT("'"&amp;Assemblies[Assy]&amp;"'!"&amp;"A$5:A1000")))),"")), " ,", ""))</f>
        <v>, 1x4.3.501,</v>
      </c>
    </row>
    <row r="71" spans="1:13" x14ac:dyDescent="0.25">
      <c r="A71" t="s">
        <v>198</v>
      </c>
      <c r="B71" s="18">
        <v>0</v>
      </c>
      <c r="C71" s="19" cm="1">
        <f t="array" aca="1" ref="C71" ca="1">SUMPRODUCT(SUMIF(INDIRECT("'"&amp;Assemblies[Assy]&amp;"'!"&amp;"C:C"),A71,(INDIRECT("'"&amp;Assemblies[Assy]&amp;"'!"&amp;"O:O"))))</f>
        <v>92</v>
      </c>
      <c r="M71" s="40" t="str" cm="1">
        <f t="array" aca="1" ref="M71" ca="1">TRIM(SUBSTITUTE(_xlfn.ARRAYTOTEXT(IFERROR(CONCATENATE(SUMIF(INDIRECT("'"&amp;Assemblies[Assy]&amp;"'!"&amp;"C$5:C1000"), $A71, INDIRECT("'"&amp;Assemblies[Assy]&amp;"'!"&amp;"O$5:O1000")), "x",Assemblies[Assy],".",IF(SUMIF(INDIRECT("'"&amp;Assemblies[Assy]&amp;"'!"&amp;"C$5:C1000"), $A71, INDIRECT("'"&amp;Assemblies[Assy]&amp;"'!"&amp;"A$5:A1000"))=0,NA(),SUMIF(INDIRECT("'"&amp;Assemblies[Assy]&amp;"'!"&amp;"C$5:C1000"), $A71, INDIRECT("'"&amp;Assemblies[Assy]&amp;"'!"&amp;"A$5:A1000")))),"")), " ,", ""))</f>
        <v>, 4x1.1.10.501, 4x1.1.6.504, 4x4.5.1.501, 4x5.3.501, 6x5.5.1.504, 4x5.5.2.1.506, 6x5.6.1.504, 4x6.1.501, 48x7.2.4.501, 8x10.2.502,</v>
      </c>
    </row>
    <row r="72" spans="1:13" x14ac:dyDescent="0.25">
      <c r="A72" t="s">
        <v>3626</v>
      </c>
      <c r="B72" s="18">
        <v>0</v>
      </c>
      <c r="C72" s="19" cm="1">
        <f t="array" aca="1" ref="C72" ca="1">SUMPRODUCT(SUMIF(INDIRECT("'"&amp;Assemblies[Assy]&amp;"'!"&amp;"C:C"),A72,(INDIRECT("'"&amp;Assemblies[Assy]&amp;"'!"&amp;"O:O"))))</f>
        <v>0</v>
      </c>
      <c r="M72" s="40" t="str" cm="1">
        <f t="array" aca="1" ref="M72" ca="1">TRIM(SUBSTITUTE(_xlfn.ARRAYTOTEXT(IFERROR(CONCATENATE(SUMIF(INDIRECT("'"&amp;Assemblies[Assy]&amp;"'!"&amp;"C$5:C1000"), $A72, INDIRECT("'"&amp;Assemblies[Assy]&amp;"'!"&amp;"O$5:O1000")), "x",Assemblies[Assy],".",IF(SUMIF(INDIRECT("'"&amp;Assemblies[Assy]&amp;"'!"&amp;"C$5:C1000"), $A72, INDIRECT("'"&amp;Assemblies[Assy]&amp;"'!"&amp;"A$5:A1000"))=0,NA(),SUMIF(INDIRECT("'"&amp;Assemblies[Assy]&amp;"'!"&amp;"C$5:C1000"), $A72, INDIRECT("'"&amp;Assemblies[Assy]&amp;"'!"&amp;"A$5:A1000")))),"")), " ,", ""))</f>
        <v>,</v>
      </c>
    </row>
    <row r="73" spans="1:13" x14ac:dyDescent="0.25">
      <c r="A73" t="s">
        <v>342</v>
      </c>
      <c r="B73" s="18">
        <v>0</v>
      </c>
      <c r="C73" s="19" cm="1">
        <f t="array" aca="1" ref="C73" ca="1">SUMPRODUCT(SUMIF(INDIRECT("'"&amp;Assemblies[Assy]&amp;"'!"&amp;"C:C"),A73,(INDIRECT("'"&amp;Assemblies[Assy]&amp;"'!"&amp;"O:O"))))</f>
        <v>18</v>
      </c>
      <c r="M73" s="40" t="str" cm="1">
        <f t="array" aca="1" ref="M73" ca="1">TRIM(SUBSTITUTE(_xlfn.ARRAYTOTEXT(IFERROR(CONCATENATE(SUMIF(INDIRECT("'"&amp;Assemblies[Assy]&amp;"'!"&amp;"C$5:C1000"), $A73, INDIRECT("'"&amp;Assemblies[Assy]&amp;"'!"&amp;"O$5:O1000")), "x",Assemblies[Assy],".",IF(SUMIF(INDIRECT("'"&amp;Assemblies[Assy]&amp;"'!"&amp;"C$5:C1000"), $A73, INDIRECT("'"&amp;Assemblies[Assy]&amp;"'!"&amp;"A$5:A1000"))=0,NA(),SUMIF(INDIRECT("'"&amp;Assemblies[Assy]&amp;"'!"&amp;"C$5:C1000"), $A73, INDIRECT("'"&amp;Assemblies[Assy]&amp;"'!"&amp;"A$5:A1000")))),"")), " ,", ""))</f>
        <v>, 8x1.4.501, 8x1.5.501, 2x4.3.502,</v>
      </c>
    </row>
    <row r="74" spans="1:13" x14ac:dyDescent="0.25">
      <c r="A74" t="s">
        <v>1265</v>
      </c>
      <c r="B74" s="18">
        <v>0</v>
      </c>
      <c r="C74" s="19" cm="1">
        <f t="array" aca="1" ref="C74" ca="1">SUMPRODUCT(SUMIF(INDIRECT("'"&amp;Assemblies[Assy]&amp;"'!"&amp;"C:C"),A74,(INDIRECT("'"&amp;Assemblies[Assy]&amp;"'!"&amp;"O:O"))))</f>
        <v>16</v>
      </c>
      <c r="M74" s="40" t="str" cm="1">
        <f t="array" aca="1" ref="M74" ca="1">TRIM(SUBSTITUTE(_xlfn.ARRAYTOTEXT(IFERROR(CONCATENATE(SUMIF(INDIRECT("'"&amp;Assemblies[Assy]&amp;"'!"&amp;"C$5:C1000"), $A74, INDIRECT("'"&amp;Assemblies[Assy]&amp;"'!"&amp;"O$5:O1000")), "x",Assemblies[Assy],".",IF(SUMIF(INDIRECT("'"&amp;Assemblies[Assy]&amp;"'!"&amp;"C$5:C1000"), $A74, INDIRECT("'"&amp;Assemblies[Assy]&amp;"'!"&amp;"A$5:A1000"))=0,NA(),SUMIF(INDIRECT("'"&amp;Assemblies[Assy]&amp;"'!"&amp;"C$5:C1000"), $A74, INDIRECT("'"&amp;Assemblies[Assy]&amp;"'!"&amp;"A$5:A1000")))),"")), " ,", ""))</f>
        <v>, 16x8.4.502,</v>
      </c>
    </row>
    <row r="75" spans="1:13" x14ac:dyDescent="0.25">
      <c r="A75" t="s">
        <v>349</v>
      </c>
      <c r="B75" s="18">
        <v>0</v>
      </c>
      <c r="C75" s="19" cm="1">
        <f t="array" aca="1" ref="C75" ca="1">SUMPRODUCT(SUMIF(INDIRECT("'"&amp;Assemblies[Assy]&amp;"'!"&amp;"C:C"),A75,(INDIRECT("'"&amp;Assemblies[Assy]&amp;"'!"&amp;"O:O"))))</f>
        <v>368</v>
      </c>
      <c r="M75" s="40" t="str" cm="1">
        <f t="array" aca="1" ref="M75" ca="1">TRIM(SUBSTITUTE(_xlfn.ARRAYTOTEXT(IFERROR(CONCATENATE(SUMIF(INDIRECT("'"&amp;Assemblies[Assy]&amp;"'!"&amp;"C$5:C1000"), $A75, INDIRECT("'"&amp;Assemblies[Assy]&amp;"'!"&amp;"O$5:O1000")), "x",Assemblies[Assy],".",IF(SUMIF(INDIRECT("'"&amp;Assemblies[Assy]&amp;"'!"&amp;"C$5:C1000"), $A75, INDIRECT("'"&amp;Assemblies[Assy]&amp;"'!"&amp;"A$5:A1000"))=0,NA(),SUMIF(INDIRECT("'"&amp;Assemblies[Assy]&amp;"'!"&amp;"C$5:C1000"), $A75, INDIRECT("'"&amp;Assemblies[Assy]&amp;"'!"&amp;"A$5:A1000")))),"")), " ,", ""))</f>
        <v>, 32x1.4.1.502, 2x3.2.5.504, 2x3.2.6.504, 20x4.1.1.502, 12x4.1.6.502, 4x4.1.7.504, 16x4.1.8.504, 12x4.2.1.501, 8x4.5.502, 4x4.6.502, 44x5.3.502, 2x5.5.507, 2x5.6.507, 24x6.1.502, 12x6.2.1.504, 8x6.2.2.505, 12x6.3.1.504, 8x6.3.2.505, 20x6.9.501, 20x6.10.506, 96x7.1.2.501, 8x10.2.501,</v>
      </c>
    </row>
    <row r="76" spans="1:13" x14ac:dyDescent="0.25">
      <c r="A76" t="s">
        <v>3627</v>
      </c>
      <c r="B76" s="18">
        <v>0</v>
      </c>
      <c r="C76" s="19" cm="1">
        <f t="array" aca="1" ref="C76" ca="1">SUMPRODUCT(SUMIF(INDIRECT("'"&amp;Assemblies[Assy]&amp;"'!"&amp;"C:C"),A76,(INDIRECT("'"&amp;Assemblies[Assy]&amp;"'!"&amp;"O:O"))))</f>
        <v>0</v>
      </c>
      <c r="M76" s="40" t="str" cm="1">
        <f t="array" aca="1" ref="M76" ca="1">TRIM(SUBSTITUTE(_xlfn.ARRAYTOTEXT(IFERROR(CONCATENATE(SUMIF(INDIRECT("'"&amp;Assemblies[Assy]&amp;"'!"&amp;"C$5:C1000"), $A76, INDIRECT("'"&amp;Assemblies[Assy]&amp;"'!"&amp;"O$5:O1000")), "x",Assemblies[Assy],".",IF(SUMIF(INDIRECT("'"&amp;Assemblies[Assy]&amp;"'!"&amp;"C$5:C1000"), $A76, INDIRECT("'"&amp;Assemblies[Assy]&amp;"'!"&amp;"A$5:A1000"))=0,NA(),SUMIF(INDIRECT("'"&amp;Assemblies[Assy]&amp;"'!"&amp;"C$5:C1000"), $A76, INDIRECT("'"&amp;Assemblies[Assy]&amp;"'!"&amp;"A$5:A1000")))),"")), " ,", ""))</f>
        <v>,</v>
      </c>
    </row>
    <row r="77" spans="1:13" x14ac:dyDescent="0.25">
      <c r="A77" t="s">
        <v>411</v>
      </c>
      <c r="B77" s="18">
        <v>0</v>
      </c>
      <c r="C77" s="19" cm="1">
        <f t="array" aca="1" ref="C77" ca="1">SUMPRODUCT(SUMIF(INDIRECT("'"&amp;Assemblies[Assy]&amp;"'!"&amp;"C:C"),A77,(INDIRECT("'"&amp;Assemblies[Assy]&amp;"'!"&amp;"O:O"))))</f>
        <v>148</v>
      </c>
      <c r="M77" s="40" t="str" cm="1">
        <f t="array" aca="1" ref="M77" ca="1">TRIM(SUBSTITUTE(_xlfn.ARRAYTOTEXT(IFERROR(CONCATENATE(SUMIF(INDIRECT("'"&amp;Assemblies[Assy]&amp;"'!"&amp;"C$5:C1000"), $A77, INDIRECT("'"&amp;Assemblies[Assy]&amp;"'!"&amp;"O$5:O1000")), "x",Assemblies[Assy],".",IF(SUMIF(INDIRECT("'"&amp;Assemblies[Assy]&amp;"'!"&amp;"C$5:C1000"), $A77, INDIRECT("'"&amp;Assemblies[Assy]&amp;"'!"&amp;"A$5:A1000"))=0,NA(),SUMIF(INDIRECT("'"&amp;Assemblies[Assy]&amp;"'!"&amp;"C$5:C1000"), $A77, INDIRECT("'"&amp;Assemblies[Assy]&amp;"'!"&amp;"A$5:A1000")))),"")), " ,", ""))</f>
        <v>, 144x2.2.1.2.501, 4x6.10.501,</v>
      </c>
    </row>
    <row r="78" spans="1:13" x14ac:dyDescent="0.25">
      <c r="A78" t="s">
        <v>506</v>
      </c>
      <c r="B78" s="18">
        <v>0</v>
      </c>
      <c r="C78" s="19" cm="1">
        <f t="array" aca="1" ref="C78" ca="1">SUMPRODUCT(SUMIF(INDIRECT("'"&amp;Assemblies[Assy]&amp;"'!"&amp;"C:C"),A78,(INDIRECT("'"&amp;Assemblies[Assy]&amp;"'!"&amp;"O:O"))))</f>
        <v>70</v>
      </c>
      <c r="M78" s="40" t="str" cm="1">
        <f t="array" aca="1" ref="M78" ca="1">TRIM(SUBSTITUTE(_xlfn.ARRAYTOTEXT(IFERROR(CONCATENATE(SUMIF(INDIRECT("'"&amp;Assemblies[Assy]&amp;"'!"&amp;"C$5:C1000"), $A78, INDIRECT("'"&amp;Assemblies[Assy]&amp;"'!"&amp;"O$5:O1000")), "x",Assemblies[Assy],".",IF(SUMIF(INDIRECT("'"&amp;Assemblies[Assy]&amp;"'!"&amp;"C$5:C1000"), $A78, INDIRECT("'"&amp;Assemblies[Assy]&amp;"'!"&amp;"A$5:A1000"))=0,NA(),SUMIF(INDIRECT("'"&amp;Assemblies[Assy]&amp;"'!"&amp;"C$5:C1000"), $A78, INDIRECT("'"&amp;Assemblies[Assy]&amp;"'!"&amp;"A$5:A1000")))),"")), " ,", ""))</f>
        <v>, 4x3.4.501, 2x4.3.503, 8x4.4.1.501, 12x4.5.503, 12x6.2.1.3.502, 12x6.3.1.3.502, 12x7.1.1.501, 8x9.3.503,</v>
      </c>
    </row>
    <row r="79" spans="1:13" x14ac:dyDescent="0.25">
      <c r="A79" t="s">
        <v>3628</v>
      </c>
      <c r="B79" s="18">
        <v>0</v>
      </c>
      <c r="C79" s="19" cm="1">
        <f t="array" aca="1" ref="C79" ca="1">SUMPRODUCT(SUMIF(INDIRECT("'"&amp;Assemblies[Assy]&amp;"'!"&amp;"C:C"),A79,(INDIRECT("'"&amp;Assemblies[Assy]&amp;"'!"&amp;"O:O"))))</f>
        <v>0</v>
      </c>
      <c r="M79" s="40" t="str" cm="1">
        <f t="array" aca="1" ref="M79" ca="1">TRIM(SUBSTITUTE(_xlfn.ARRAYTOTEXT(IFERROR(CONCATENATE(SUMIF(INDIRECT("'"&amp;Assemblies[Assy]&amp;"'!"&amp;"C$5:C1000"), $A79, INDIRECT("'"&amp;Assemblies[Assy]&amp;"'!"&amp;"O$5:O1000")), "x",Assemblies[Assy],".",IF(SUMIF(INDIRECT("'"&amp;Assemblies[Assy]&amp;"'!"&amp;"C$5:C1000"), $A79, INDIRECT("'"&amp;Assemblies[Assy]&amp;"'!"&amp;"A$5:A1000"))=0,NA(),SUMIF(INDIRECT("'"&amp;Assemblies[Assy]&amp;"'!"&amp;"C$5:C1000"), $A79, INDIRECT("'"&amp;Assemblies[Assy]&amp;"'!"&amp;"A$5:A1000")))),"")), " ,", ""))</f>
        <v>,</v>
      </c>
    </row>
    <row r="80" spans="1:13" x14ac:dyDescent="0.25">
      <c r="A80" t="s">
        <v>350</v>
      </c>
      <c r="B80" s="18">
        <v>0</v>
      </c>
      <c r="C80" s="19" cm="1">
        <f t="array" aca="1" ref="C80" ca="1">SUMPRODUCT(SUMIF(INDIRECT("'"&amp;Assemblies[Assy]&amp;"'!"&amp;"C:C"),A80,(INDIRECT("'"&amp;Assemblies[Assy]&amp;"'!"&amp;"O:O"))))</f>
        <v>4</v>
      </c>
      <c r="M80" s="40" t="str" cm="1">
        <f t="array" aca="1" ref="M80" ca="1">TRIM(SUBSTITUTE(_xlfn.ARRAYTOTEXT(IFERROR(CONCATENATE(SUMIF(INDIRECT("'"&amp;Assemblies[Assy]&amp;"'!"&amp;"C$5:C1000"), $A80, INDIRECT("'"&amp;Assemblies[Assy]&amp;"'!"&amp;"O$5:O1000")), "x",Assemblies[Assy],".",IF(SUMIF(INDIRECT("'"&amp;Assemblies[Assy]&amp;"'!"&amp;"C$5:C1000"), $A80, INDIRECT("'"&amp;Assemblies[Assy]&amp;"'!"&amp;"A$5:A1000"))=0,NA(),SUMIF(INDIRECT("'"&amp;Assemblies[Assy]&amp;"'!"&amp;"C$5:C1000"), $A80, INDIRECT("'"&amp;Assemblies[Assy]&amp;"'!"&amp;"A$5:A1000")))),"")), " ,", ""))</f>
        <v>, 2x3.2.5.501, 2x3.2.6.501,</v>
      </c>
    </row>
    <row r="81" spans="1:13" x14ac:dyDescent="0.25">
      <c r="A81" t="s">
        <v>973</v>
      </c>
      <c r="B81" s="18">
        <v>0</v>
      </c>
      <c r="C81" s="19" cm="1">
        <f t="array" aca="1" ref="C81" ca="1">SUMPRODUCT(SUMIF(INDIRECT("'"&amp;Assemblies[Assy]&amp;"'!"&amp;"C:C"),A81,(INDIRECT("'"&amp;Assemblies[Assy]&amp;"'!"&amp;"O:O"))))</f>
        <v>14</v>
      </c>
      <c r="M81" s="40" t="str" cm="1">
        <f t="array" aca="1" ref="M81" ca="1">TRIM(SUBSTITUTE(_xlfn.ARRAYTOTEXT(IFERROR(CONCATENATE(SUMIF(INDIRECT("'"&amp;Assemblies[Assy]&amp;"'!"&amp;"C$5:C1000"), $A81, INDIRECT("'"&amp;Assemblies[Assy]&amp;"'!"&amp;"O$5:O1000")), "x",Assemblies[Assy],".",IF(SUMIF(INDIRECT("'"&amp;Assemblies[Assy]&amp;"'!"&amp;"C$5:C1000"), $A81, INDIRECT("'"&amp;Assemblies[Assy]&amp;"'!"&amp;"A$5:A1000"))=0,NA(),SUMIF(INDIRECT("'"&amp;Assemblies[Assy]&amp;"'!"&amp;"C$5:C1000"), $A81, INDIRECT("'"&amp;Assemblies[Assy]&amp;"'!"&amp;"A$5:A1000")))),"")), " ,", ""))</f>
        <v>, 8x4.7.501, 1x6.2.1.4.504, 1x6.3.1.4.504, 4x6.9.502,</v>
      </c>
    </row>
    <row r="82" spans="1:13" x14ac:dyDescent="0.25">
      <c r="A82" t="s">
        <v>309</v>
      </c>
      <c r="B82" s="18">
        <v>0</v>
      </c>
      <c r="C82" s="19" cm="1">
        <f t="array" aca="1" ref="C82" ca="1">SUMPRODUCT(SUMIF(INDIRECT("'"&amp;Assemblies[Assy]&amp;"'!"&amp;"C:C"),A82,(INDIRECT("'"&amp;Assemblies[Assy]&amp;"'!"&amp;"O:O"))))</f>
        <v>10</v>
      </c>
      <c r="M82" s="40" t="str" cm="1">
        <f t="array" aca="1" ref="M82" ca="1">TRIM(SUBSTITUTE(_xlfn.ARRAYTOTEXT(IFERROR(CONCATENATE(SUMIF(INDIRECT("'"&amp;Assemblies[Assy]&amp;"'!"&amp;"C$5:C1000"), $A82, INDIRECT("'"&amp;Assemblies[Assy]&amp;"'!"&amp;"O$5:O1000")), "x",Assemblies[Assy],".",IF(SUMIF(INDIRECT("'"&amp;Assemblies[Assy]&amp;"'!"&amp;"C$5:C1000"), $A82, INDIRECT("'"&amp;Assemblies[Assy]&amp;"'!"&amp;"A$5:A1000"))=0,NA(),SUMIF(INDIRECT("'"&amp;Assemblies[Assy]&amp;"'!"&amp;"C$5:C1000"), $A82, INDIRECT("'"&amp;Assemblies[Assy]&amp;"'!"&amp;"A$5:A1000")))),"")), " ,", ""))</f>
        <v>, 4x1.3.503, 6x2.3.504,</v>
      </c>
    </row>
    <row r="83" spans="1:13" x14ac:dyDescent="0.25">
      <c r="A83" t="s">
        <v>3629</v>
      </c>
      <c r="B83" s="18">
        <v>0</v>
      </c>
      <c r="C83" s="19" cm="1">
        <f t="array" aca="1" ref="C83" ca="1">SUMPRODUCT(SUMIF(INDIRECT("'"&amp;Assemblies[Assy]&amp;"'!"&amp;"C:C"),A83,(INDIRECT("'"&amp;Assemblies[Assy]&amp;"'!"&amp;"O:O"))))</f>
        <v>0</v>
      </c>
      <c r="M83" s="40" t="str" cm="1">
        <f t="array" aca="1" ref="M83" ca="1">TRIM(SUBSTITUTE(_xlfn.ARRAYTOTEXT(IFERROR(CONCATENATE(SUMIF(INDIRECT("'"&amp;Assemblies[Assy]&amp;"'!"&amp;"C$5:C1000"), $A83, INDIRECT("'"&amp;Assemblies[Assy]&amp;"'!"&amp;"O$5:O1000")), "x",Assemblies[Assy],".",IF(SUMIF(INDIRECT("'"&amp;Assemblies[Assy]&amp;"'!"&amp;"C$5:C1000"), $A83, INDIRECT("'"&amp;Assemblies[Assy]&amp;"'!"&amp;"A$5:A1000"))=0,NA(),SUMIF(INDIRECT("'"&amp;Assemblies[Assy]&amp;"'!"&amp;"C$5:C1000"), $A83, INDIRECT("'"&amp;Assemblies[Assy]&amp;"'!"&amp;"A$5:A1000")))),"")), " ,", ""))</f>
        <v>,</v>
      </c>
    </row>
    <row r="84" spans="1:13" x14ac:dyDescent="0.25">
      <c r="A84" t="s">
        <v>3630</v>
      </c>
      <c r="B84" s="18">
        <v>0</v>
      </c>
      <c r="C84" s="19" cm="1">
        <f t="array" aca="1" ref="C84" ca="1">SUMPRODUCT(SUMIF(INDIRECT("'"&amp;Assemblies[Assy]&amp;"'!"&amp;"C:C"),A84,(INDIRECT("'"&amp;Assemblies[Assy]&amp;"'!"&amp;"O:O"))))</f>
        <v>0</v>
      </c>
      <c r="M84" s="40" t="str" cm="1">
        <f t="array" aca="1" ref="M84" ca="1">TRIM(SUBSTITUTE(_xlfn.ARRAYTOTEXT(IFERROR(CONCATENATE(SUMIF(INDIRECT("'"&amp;Assemblies[Assy]&amp;"'!"&amp;"C$5:C1000"), $A84, INDIRECT("'"&amp;Assemblies[Assy]&amp;"'!"&amp;"O$5:O1000")), "x",Assemblies[Assy],".",IF(SUMIF(INDIRECT("'"&amp;Assemblies[Assy]&amp;"'!"&amp;"C$5:C1000"), $A84, INDIRECT("'"&amp;Assemblies[Assy]&amp;"'!"&amp;"A$5:A1000"))=0,NA(),SUMIF(INDIRECT("'"&amp;Assemblies[Assy]&amp;"'!"&amp;"C$5:C1000"), $A84, INDIRECT("'"&amp;Assemblies[Assy]&amp;"'!"&amp;"A$5:A1000")))),"")), " ,", ""))</f>
        <v>,</v>
      </c>
    </row>
    <row r="85" spans="1:13" x14ac:dyDescent="0.25">
      <c r="A85" t="s">
        <v>829</v>
      </c>
      <c r="B85" s="18">
        <v>0</v>
      </c>
      <c r="C85" s="19" cm="1">
        <f t="array" aca="1" ref="C85" ca="1">SUMPRODUCT(SUMIF(INDIRECT("'"&amp;Assemblies[Assy]&amp;"'!"&amp;"C:C"),A85,(INDIRECT("'"&amp;Assemblies[Assy]&amp;"'!"&amp;"O:O"))))</f>
        <v>12</v>
      </c>
      <c r="M85" s="40" t="str" cm="1">
        <f t="array" aca="1" ref="M85" ca="1">TRIM(SUBSTITUTE(_xlfn.ARRAYTOTEXT(IFERROR(CONCATENATE(SUMIF(INDIRECT("'"&amp;Assemblies[Assy]&amp;"'!"&amp;"C$5:C1000"), $A85, INDIRECT("'"&amp;Assemblies[Assy]&amp;"'!"&amp;"O$5:O1000")), "x",Assemblies[Assy],".",IF(SUMIF(INDIRECT("'"&amp;Assemblies[Assy]&amp;"'!"&amp;"C$5:C1000"), $A85, INDIRECT("'"&amp;Assemblies[Assy]&amp;"'!"&amp;"A$5:A1000"))=0,NA(),SUMIF(INDIRECT("'"&amp;Assemblies[Assy]&amp;"'!"&amp;"C$5:C1000"), $A85, INDIRECT("'"&amp;Assemblies[Assy]&amp;"'!"&amp;"A$5:A1000")))),"")), " ,", ""))</f>
        <v>, 4x5.5.2.501, 4x5.6.2.501, 4x9.1.506,</v>
      </c>
    </row>
    <row r="86" spans="1:13" x14ac:dyDescent="0.25">
      <c r="A86" t="s">
        <v>276</v>
      </c>
      <c r="B86" s="18">
        <v>0</v>
      </c>
      <c r="C86" s="19" cm="1">
        <f t="array" aca="1" ref="C86" ca="1">SUMPRODUCT(SUMIF(INDIRECT("'"&amp;Assemblies[Assy]&amp;"'!"&amp;"C:C"),A86,(INDIRECT("'"&amp;Assemblies[Assy]&amp;"'!"&amp;"O:O"))))</f>
        <v>14</v>
      </c>
      <c r="M86" s="40" t="str" cm="1">
        <f t="array" aca="1" ref="M86" ca="1">TRIM(SUBSTITUTE(_xlfn.ARRAYTOTEXT(IFERROR(CONCATENATE(SUMIF(INDIRECT("'"&amp;Assemblies[Assy]&amp;"'!"&amp;"C$5:C1000"), $A86, INDIRECT("'"&amp;Assemblies[Assy]&amp;"'!"&amp;"O$5:O1000")), "x",Assemblies[Assy],".",IF(SUMIF(INDIRECT("'"&amp;Assemblies[Assy]&amp;"'!"&amp;"C$5:C1000"), $A86, INDIRECT("'"&amp;Assemblies[Assy]&amp;"'!"&amp;"A$5:A1000"))=0,NA(),SUMIF(INDIRECT("'"&amp;Assemblies[Assy]&amp;"'!"&amp;"C$5:C1000"), $A86, INDIRECT("'"&amp;Assemblies[Assy]&amp;"'!"&amp;"A$5:A1000")))),"")), " ,", ""))</f>
        <v>, 4x1.2.3.503, 10x1.3.5.504,</v>
      </c>
    </row>
    <row r="87" spans="1:13" x14ac:dyDescent="0.25">
      <c r="A87" t="s">
        <v>3631</v>
      </c>
      <c r="B87" s="18">
        <v>0</v>
      </c>
      <c r="C87" s="19" cm="1">
        <f t="array" aca="1" ref="C87" ca="1">SUMPRODUCT(SUMIF(INDIRECT("'"&amp;Assemblies[Assy]&amp;"'!"&amp;"C:C"),A87,(INDIRECT("'"&amp;Assemblies[Assy]&amp;"'!"&amp;"O:O"))))</f>
        <v>0</v>
      </c>
      <c r="M87" s="40" t="str" cm="1">
        <f t="array" aca="1" ref="M87" ca="1">TRIM(SUBSTITUTE(_xlfn.ARRAYTOTEXT(IFERROR(CONCATENATE(SUMIF(INDIRECT("'"&amp;Assemblies[Assy]&amp;"'!"&amp;"C$5:C1000"), $A87, INDIRECT("'"&amp;Assemblies[Assy]&amp;"'!"&amp;"O$5:O1000")), "x",Assemblies[Assy],".",IF(SUMIF(INDIRECT("'"&amp;Assemblies[Assy]&amp;"'!"&amp;"C$5:C1000"), $A87, INDIRECT("'"&amp;Assemblies[Assy]&amp;"'!"&amp;"A$5:A1000"))=0,NA(),SUMIF(INDIRECT("'"&amp;Assemblies[Assy]&amp;"'!"&amp;"C$5:C1000"), $A87, INDIRECT("'"&amp;Assemblies[Assy]&amp;"'!"&amp;"A$5:A1000")))),"")), " ,", ""))</f>
        <v>,</v>
      </c>
    </row>
    <row r="88" spans="1:13" x14ac:dyDescent="0.25">
      <c r="A88" t="s">
        <v>958</v>
      </c>
      <c r="B88" s="18">
        <v>0</v>
      </c>
      <c r="C88" s="19" cm="1">
        <f t="array" aca="1" ref="C88" ca="1">SUMPRODUCT(SUMIF(INDIRECT("'"&amp;Assemblies[Assy]&amp;"'!"&amp;"C:C"),A88,(INDIRECT("'"&amp;Assemblies[Assy]&amp;"'!"&amp;"O:O"))))</f>
        <v>32</v>
      </c>
      <c r="M88" s="40" t="str" cm="1">
        <f t="array" aca="1" ref="M88" ca="1">TRIM(SUBSTITUTE(_xlfn.ARRAYTOTEXT(IFERROR(CONCATENATE(SUMIF(INDIRECT("'"&amp;Assemblies[Assy]&amp;"'!"&amp;"C$5:C1000"), $A88, INDIRECT("'"&amp;Assemblies[Assy]&amp;"'!"&amp;"O$5:O1000")), "x",Assemblies[Assy],".",IF(SUMIF(INDIRECT("'"&amp;Assemblies[Assy]&amp;"'!"&amp;"C$5:C1000"), $A88, INDIRECT("'"&amp;Assemblies[Assy]&amp;"'!"&amp;"A$5:A1000"))=0,NA(),SUMIF(INDIRECT("'"&amp;Assemblies[Assy]&amp;"'!"&amp;"C$5:C1000"), $A88, INDIRECT("'"&amp;Assemblies[Assy]&amp;"'!"&amp;"A$5:A1000")))),"")), " ,", ""))</f>
        <v>, 16x6.2.1.3.503, 16x6.3.1.3.503,</v>
      </c>
    </row>
    <row r="89" spans="1:13" x14ac:dyDescent="0.25">
      <c r="A89" t="s">
        <v>871</v>
      </c>
      <c r="B89" s="18">
        <v>0</v>
      </c>
      <c r="C89" s="19" cm="1">
        <f t="array" aca="1" ref="C89" ca="1">SUMPRODUCT(SUMIF(INDIRECT("'"&amp;Assemblies[Assy]&amp;"'!"&amp;"C:C"),A89,(INDIRECT("'"&amp;Assemblies[Assy]&amp;"'!"&amp;"O:O"))))</f>
        <v>4</v>
      </c>
      <c r="M89" s="40" t="str" cm="1">
        <f t="array" aca="1" ref="M89" ca="1">TRIM(SUBSTITUTE(_xlfn.ARRAYTOTEXT(IFERROR(CONCATENATE(SUMIF(INDIRECT("'"&amp;Assemblies[Assy]&amp;"'!"&amp;"C$5:C1000"), $A89, INDIRECT("'"&amp;Assemblies[Assy]&amp;"'!"&amp;"O$5:O1000")), "x",Assemblies[Assy],".",IF(SUMIF(INDIRECT("'"&amp;Assemblies[Assy]&amp;"'!"&amp;"C$5:C1000"), $A89, INDIRECT("'"&amp;Assemblies[Assy]&amp;"'!"&amp;"A$5:A1000"))=0,NA(),SUMIF(INDIRECT("'"&amp;Assemblies[Assy]&amp;"'!"&amp;"C$5:C1000"), $A89, INDIRECT("'"&amp;Assemblies[Assy]&amp;"'!"&amp;"A$5:A1000")))),"")), " ,", ""))</f>
        <v>, 4x5.7.502,</v>
      </c>
    </row>
    <row r="90" spans="1:13" x14ac:dyDescent="0.25">
      <c r="A90" t="s">
        <v>1174</v>
      </c>
      <c r="B90" s="18">
        <v>0</v>
      </c>
      <c r="C90" s="19" cm="1">
        <f t="array" aca="1" ref="C90" ca="1">SUMPRODUCT(SUMIF(INDIRECT("'"&amp;Assemblies[Assy]&amp;"'!"&amp;"C:C"),A90,(INDIRECT("'"&amp;Assemblies[Assy]&amp;"'!"&amp;"O:O"))))</f>
        <v>16</v>
      </c>
      <c r="M90" s="40" t="str" cm="1">
        <f t="array" aca="1" ref="M90" ca="1">TRIM(SUBSTITUTE(_xlfn.ARRAYTOTEXT(IFERROR(CONCATENATE(SUMIF(INDIRECT("'"&amp;Assemblies[Assy]&amp;"'!"&amp;"C$5:C1000"), $A90, INDIRECT("'"&amp;Assemblies[Assy]&amp;"'!"&amp;"O$5:O1000")), "x",Assemblies[Assy],".",IF(SUMIF(INDIRECT("'"&amp;Assemblies[Assy]&amp;"'!"&amp;"C$5:C1000"), $A90, INDIRECT("'"&amp;Assemblies[Assy]&amp;"'!"&amp;"A$5:A1000"))=0,NA(),SUMIF(INDIRECT("'"&amp;Assemblies[Assy]&amp;"'!"&amp;"C$5:C1000"), $A90, INDIRECT("'"&amp;Assemblies[Assy]&amp;"'!"&amp;"A$5:A1000")))),"")), " ,", ""))</f>
        <v>, 4x7.2.3.501, 4x7.3.2.501, 2x7.6.1.501, 2x7.7.1.501, 2x8.1.3.501, 2x8.2.2.501,</v>
      </c>
    </row>
    <row r="91" spans="1:13" x14ac:dyDescent="0.25">
      <c r="A91" t="s">
        <v>330</v>
      </c>
      <c r="B91" s="18">
        <v>0</v>
      </c>
      <c r="C91" s="19" cm="1">
        <f t="array" aca="1" ref="C91" ca="1">SUMPRODUCT(SUMIF(INDIRECT("'"&amp;Assemblies[Assy]&amp;"'!"&amp;"C:C"),A91,(INDIRECT("'"&amp;Assemblies[Assy]&amp;"'!"&amp;"O:O"))))</f>
        <v>26</v>
      </c>
      <c r="M91" s="40" t="str" cm="1">
        <f t="array" aca="1" ref="M91" ca="1">TRIM(SUBSTITUTE(_xlfn.ARRAYTOTEXT(IFERROR(CONCATENATE(SUMIF(INDIRECT("'"&amp;Assemblies[Assy]&amp;"'!"&amp;"C$5:C1000"), $A91, INDIRECT("'"&amp;Assemblies[Assy]&amp;"'!"&amp;"O$5:O1000")), "x",Assemblies[Assy],".",IF(SUMIF(INDIRECT("'"&amp;Assemblies[Assy]&amp;"'!"&amp;"C$5:C1000"), $A91, INDIRECT("'"&amp;Assemblies[Assy]&amp;"'!"&amp;"A$5:A1000"))=0,NA(),SUMIF(INDIRECT("'"&amp;Assemblies[Assy]&amp;"'!"&amp;"C$5:C1000"), $A91, INDIRECT("'"&amp;Assemblies[Assy]&amp;"'!"&amp;"A$5:A1000")))),"")), " ,", ""))</f>
        <v>, 20x1.3.5.502, 3x6.2.3.509, 3x6.3.3.509,</v>
      </c>
    </row>
    <row r="92" spans="1:13" x14ac:dyDescent="0.25">
      <c r="A92" t="s">
        <v>3632</v>
      </c>
      <c r="B92" s="18">
        <v>0</v>
      </c>
      <c r="C92" s="19" cm="1">
        <f t="array" aca="1" ref="C92" ca="1">SUMPRODUCT(SUMIF(INDIRECT("'"&amp;Assemblies[Assy]&amp;"'!"&amp;"C:C"),A92,(INDIRECT("'"&amp;Assemblies[Assy]&amp;"'!"&amp;"O:O"))))</f>
        <v>0</v>
      </c>
      <c r="M92" s="40" t="str" cm="1">
        <f t="array" aca="1" ref="M92" ca="1">TRIM(SUBSTITUTE(_xlfn.ARRAYTOTEXT(IFERROR(CONCATENATE(SUMIF(INDIRECT("'"&amp;Assemblies[Assy]&amp;"'!"&amp;"C$5:C1000"), $A92, INDIRECT("'"&amp;Assemblies[Assy]&amp;"'!"&amp;"O$5:O1000")), "x",Assemblies[Assy],".",IF(SUMIF(INDIRECT("'"&amp;Assemblies[Assy]&amp;"'!"&amp;"C$5:C1000"), $A92, INDIRECT("'"&amp;Assemblies[Assy]&amp;"'!"&amp;"A$5:A1000"))=0,NA(),SUMIF(INDIRECT("'"&amp;Assemblies[Assy]&amp;"'!"&amp;"C$5:C1000"), $A92, INDIRECT("'"&amp;Assemblies[Assy]&amp;"'!"&amp;"A$5:A1000")))),"")), " ,", ""))</f>
        <v>,</v>
      </c>
    </row>
    <row r="93" spans="1:13" x14ac:dyDescent="0.25">
      <c r="A93" t="s">
        <v>3633</v>
      </c>
      <c r="B93" s="18">
        <v>0</v>
      </c>
      <c r="C93" s="19" cm="1">
        <f t="array" aca="1" ref="C93" ca="1">SUMPRODUCT(SUMIF(INDIRECT("'"&amp;Assemblies[Assy]&amp;"'!"&amp;"C:C"),A93,(INDIRECT("'"&amp;Assemblies[Assy]&amp;"'!"&amp;"O:O"))))</f>
        <v>0</v>
      </c>
      <c r="M93" s="40" t="str" cm="1">
        <f t="array" aca="1" ref="M93" ca="1">TRIM(SUBSTITUTE(_xlfn.ARRAYTOTEXT(IFERROR(CONCATENATE(SUMIF(INDIRECT("'"&amp;Assemblies[Assy]&amp;"'!"&amp;"C$5:C1000"), $A93, INDIRECT("'"&amp;Assemblies[Assy]&amp;"'!"&amp;"O$5:O1000")), "x",Assemblies[Assy],".",IF(SUMIF(INDIRECT("'"&amp;Assemblies[Assy]&amp;"'!"&amp;"C$5:C1000"), $A93, INDIRECT("'"&amp;Assemblies[Assy]&amp;"'!"&amp;"A$5:A1000"))=0,NA(),SUMIF(INDIRECT("'"&amp;Assemblies[Assy]&amp;"'!"&amp;"C$5:C1000"), $A93, INDIRECT("'"&amp;Assemblies[Assy]&amp;"'!"&amp;"A$5:A1000")))),"")), " ,", ""))</f>
        <v>,</v>
      </c>
    </row>
    <row r="94" spans="1:13" x14ac:dyDescent="0.25">
      <c r="A94" t="s">
        <v>810</v>
      </c>
      <c r="B94" s="18">
        <v>0</v>
      </c>
      <c r="C94" s="19" cm="1">
        <f t="array" aca="1" ref="C94" ca="1">SUMPRODUCT(SUMIF(INDIRECT("'"&amp;Assemblies[Assy]&amp;"'!"&amp;"C:C"),A94,(INDIRECT("'"&amp;Assemblies[Assy]&amp;"'!"&amp;"O:O"))))</f>
        <v>4</v>
      </c>
      <c r="M94" s="40" t="str" cm="1">
        <f t="array" aca="1" ref="M94" ca="1">TRIM(SUBSTITUTE(_xlfn.ARRAYTOTEXT(IFERROR(CONCATENATE(SUMIF(INDIRECT("'"&amp;Assemblies[Assy]&amp;"'!"&amp;"C$5:C1000"), $A94, INDIRECT("'"&amp;Assemblies[Assy]&amp;"'!"&amp;"O$5:O1000")), "x",Assemblies[Assy],".",IF(SUMIF(INDIRECT("'"&amp;Assemblies[Assy]&amp;"'!"&amp;"C$5:C1000"), $A94, INDIRECT("'"&amp;Assemblies[Assy]&amp;"'!"&amp;"A$5:A1000"))=0,NA(),SUMIF(INDIRECT("'"&amp;Assemblies[Assy]&amp;"'!"&amp;"C$5:C1000"), $A94, INDIRECT("'"&amp;Assemblies[Assy]&amp;"'!"&amp;"A$5:A1000")))),"")), " ,", ""))</f>
        <v>, 2x5.5.508, 2x5.6.508,</v>
      </c>
    </row>
    <row r="95" spans="1:13" x14ac:dyDescent="0.25">
      <c r="A95" t="s">
        <v>809</v>
      </c>
      <c r="B95" s="18">
        <v>0</v>
      </c>
      <c r="C95" s="19" cm="1">
        <f t="array" aca="1" ref="C95" ca="1">SUMPRODUCT(SUMIF(INDIRECT("'"&amp;Assemblies[Assy]&amp;"'!"&amp;"C:C"),A95,(INDIRECT("'"&amp;Assemblies[Assy]&amp;"'!"&amp;"O:O"))))</f>
        <v>30</v>
      </c>
      <c r="M95" s="40" t="str" cm="1">
        <f t="array" aca="1" ref="M95" ca="1">TRIM(SUBSTITUTE(_xlfn.ARRAYTOTEXT(IFERROR(CONCATENATE(SUMIF(INDIRECT("'"&amp;Assemblies[Assy]&amp;"'!"&amp;"C$5:C1000"), $A95, INDIRECT("'"&amp;Assemblies[Assy]&amp;"'!"&amp;"O$5:O1000")), "x",Assemblies[Assy],".",IF(SUMIF(INDIRECT("'"&amp;Assemblies[Assy]&amp;"'!"&amp;"C$5:C1000"), $A95, INDIRECT("'"&amp;Assemblies[Assy]&amp;"'!"&amp;"A$5:A1000"))=0,NA(),SUMIF(INDIRECT("'"&amp;Assemblies[Assy]&amp;"'!"&amp;"C$5:C1000"), $A95, INDIRECT("'"&amp;Assemblies[Assy]&amp;"'!"&amp;"A$5:A1000")))),"")), " ,", ""))</f>
        <v>, 2x5.5.505, 10x5.5.2.1.504, 2x5.6.505, 8x5.7.501, 4x6.2.2.506, 4x6.3.2.506,</v>
      </c>
    </row>
    <row r="96" spans="1:13" x14ac:dyDescent="0.25">
      <c r="A96" t="s">
        <v>3634</v>
      </c>
      <c r="B96" s="18">
        <v>0</v>
      </c>
      <c r="C96" s="19" cm="1">
        <f t="array" aca="1" ref="C96" ca="1">SUMPRODUCT(SUMIF(INDIRECT("'"&amp;Assemblies[Assy]&amp;"'!"&amp;"C:C"),A96,(INDIRECT("'"&amp;Assemblies[Assy]&amp;"'!"&amp;"O:O"))))</f>
        <v>0</v>
      </c>
      <c r="M96" s="40" t="str" cm="1">
        <f t="array" aca="1" ref="M96" ca="1">TRIM(SUBSTITUTE(_xlfn.ARRAYTOTEXT(IFERROR(CONCATENATE(SUMIF(INDIRECT("'"&amp;Assemblies[Assy]&amp;"'!"&amp;"C$5:C1000"), $A96, INDIRECT("'"&amp;Assemblies[Assy]&amp;"'!"&amp;"O$5:O1000")), "x",Assemblies[Assy],".",IF(SUMIF(INDIRECT("'"&amp;Assemblies[Assy]&amp;"'!"&amp;"C$5:C1000"), $A96, INDIRECT("'"&amp;Assemblies[Assy]&amp;"'!"&amp;"A$5:A1000"))=0,NA(),SUMIF(INDIRECT("'"&amp;Assemblies[Assy]&amp;"'!"&amp;"C$5:C1000"), $A96, INDIRECT("'"&amp;Assemblies[Assy]&amp;"'!"&amp;"A$5:A1000")))),"")), " ,", ""))</f>
        <v>,</v>
      </c>
    </row>
    <row r="97" spans="1:13" x14ac:dyDescent="0.25">
      <c r="A97" t="s">
        <v>3635</v>
      </c>
      <c r="B97" s="18">
        <v>0</v>
      </c>
      <c r="C97" s="19" cm="1">
        <f t="array" aca="1" ref="C97" ca="1">SUMPRODUCT(SUMIF(INDIRECT("'"&amp;Assemblies[Assy]&amp;"'!"&amp;"C:C"),A97,(INDIRECT("'"&amp;Assemblies[Assy]&amp;"'!"&amp;"O:O"))))</f>
        <v>0</v>
      </c>
      <c r="M97" s="40" t="str" cm="1">
        <f t="array" aca="1" ref="M97" ca="1">TRIM(SUBSTITUTE(_xlfn.ARRAYTOTEXT(IFERROR(CONCATENATE(SUMIF(INDIRECT("'"&amp;Assemblies[Assy]&amp;"'!"&amp;"C$5:C1000"), $A97, INDIRECT("'"&amp;Assemblies[Assy]&amp;"'!"&amp;"O$5:O1000")), "x",Assemblies[Assy],".",IF(SUMIF(INDIRECT("'"&amp;Assemblies[Assy]&amp;"'!"&amp;"C$5:C1000"), $A97, INDIRECT("'"&amp;Assemblies[Assy]&amp;"'!"&amp;"A$5:A1000"))=0,NA(),SUMIF(INDIRECT("'"&amp;Assemblies[Assy]&amp;"'!"&amp;"C$5:C1000"), $A97, INDIRECT("'"&amp;Assemblies[Assy]&amp;"'!"&amp;"A$5:A1000")))),"")), " ,", ""))</f>
        <v>,</v>
      </c>
    </row>
    <row r="98" spans="1:13" x14ac:dyDescent="0.25">
      <c r="A98" t="s">
        <v>3636</v>
      </c>
      <c r="B98" s="18">
        <v>0</v>
      </c>
      <c r="C98" s="19" cm="1">
        <f t="array" aca="1" ref="C98" ca="1">SUMPRODUCT(SUMIF(INDIRECT("'"&amp;Assemblies[Assy]&amp;"'!"&amp;"C:C"),A98,(INDIRECT("'"&amp;Assemblies[Assy]&amp;"'!"&amp;"O:O"))))</f>
        <v>0</v>
      </c>
      <c r="M98" s="40" t="str" cm="1">
        <f t="array" aca="1" ref="M98" ca="1">TRIM(SUBSTITUTE(_xlfn.ARRAYTOTEXT(IFERROR(CONCATENATE(SUMIF(INDIRECT("'"&amp;Assemblies[Assy]&amp;"'!"&amp;"C$5:C1000"), $A98, INDIRECT("'"&amp;Assemblies[Assy]&amp;"'!"&amp;"O$5:O1000")), "x",Assemblies[Assy],".",IF(SUMIF(INDIRECT("'"&amp;Assemblies[Assy]&amp;"'!"&amp;"C$5:C1000"), $A98, INDIRECT("'"&amp;Assemblies[Assy]&amp;"'!"&amp;"A$5:A1000"))=0,NA(),SUMIF(INDIRECT("'"&amp;Assemblies[Assy]&amp;"'!"&amp;"C$5:C1000"), $A98, INDIRECT("'"&amp;Assemblies[Assy]&amp;"'!"&amp;"A$5:A1000")))),"")), " ,", ""))</f>
        <v>,</v>
      </c>
    </row>
    <row r="99" spans="1:13" x14ac:dyDescent="0.25">
      <c r="A99" t="s">
        <v>333</v>
      </c>
      <c r="B99" s="18">
        <v>0</v>
      </c>
      <c r="C99" s="19" cm="1">
        <f t="array" aca="1" ref="C99" ca="1">SUMPRODUCT(SUMIF(INDIRECT("'"&amp;Assemblies[Assy]&amp;"'!"&amp;"C:C"),A99,(INDIRECT("'"&amp;Assemblies[Assy]&amp;"'!"&amp;"O:O"))))</f>
        <v>54</v>
      </c>
      <c r="M99" s="40" t="str" cm="1">
        <f t="array" aca="1" ref="M99" ca="1">TRIM(SUBSTITUTE(_xlfn.ARRAYTOTEXT(IFERROR(CONCATENATE(SUMIF(INDIRECT("'"&amp;Assemblies[Assy]&amp;"'!"&amp;"C$5:C1000"), $A99, INDIRECT("'"&amp;Assemblies[Assy]&amp;"'!"&amp;"O$5:O1000")), "x",Assemblies[Assy],".",IF(SUMIF(INDIRECT("'"&amp;Assemblies[Assy]&amp;"'!"&amp;"C$5:C1000"), $A99, INDIRECT("'"&amp;Assemblies[Assy]&amp;"'!"&amp;"A$5:A1000"))=0,NA(),SUMIF(INDIRECT("'"&amp;Assemblies[Assy]&amp;"'!"&amp;"C$5:C1000"), $A99, INDIRECT("'"&amp;Assemblies[Assy]&amp;"'!"&amp;"A$5:A1000")))),"")), " ,", ""))</f>
        <v>, 10x1.3.6.502, 8x4.5.1.502, 2x6.2.1.4.501, 16x6.2.3.505, 2x6.3.1.4.501, 16x6.3.3.505,</v>
      </c>
    </row>
    <row r="100" spans="1:13" x14ac:dyDescent="0.25">
      <c r="A100" t="s">
        <v>3637</v>
      </c>
      <c r="B100" s="18">
        <v>0</v>
      </c>
      <c r="C100" s="19" cm="1">
        <f t="array" aca="1" ref="C100" ca="1">SUMPRODUCT(SUMIF(INDIRECT("'"&amp;Assemblies[Assy]&amp;"'!"&amp;"C:C"),A100,(INDIRECT("'"&amp;Assemblies[Assy]&amp;"'!"&amp;"O:O"))))</f>
        <v>0</v>
      </c>
      <c r="M100" s="40" t="str" cm="1">
        <f t="array" aca="1" ref="M100" ca="1">TRIM(SUBSTITUTE(_xlfn.ARRAYTOTEXT(IFERROR(CONCATENATE(SUMIF(INDIRECT("'"&amp;Assemblies[Assy]&amp;"'!"&amp;"C$5:C1000"), $A100, INDIRECT("'"&amp;Assemblies[Assy]&amp;"'!"&amp;"O$5:O1000")), "x",Assemblies[Assy],".",IF(SUMIF(INDIRECT("'"&amp;Assemblies[Assy]&amp;"'!"&amp;"C$5:C1000"), $A100, INDIRECT("'"&amp;Assemblies[Assy]&amp;"'!"&amp;"A$5:A1000"))=0,NA(),SUMIF(INDIRECT("'"&amp;Assemblies[Assy]&amp;"'!"&amp;"C$5:C1000"), $A100, INDIRECT("'"&amp;Assemblies[Assy]&amp;"'!"&amp;"A$5:A1000")))),"")), " ,", ""))</f>
        <v>,</v>
      </c>
    </row>
    <row r="101" spans="1:13" x14ac:dyDescent="0.25">
      <c r="A101" t="s">
        <v>3638</v>
      </c>
      <c r="B101" s="18">
        <v>0</v>
      </c>
      <c r="C101" s="19" cm="1">
        <f t="array" aca="1" ref="C101" ca="1">SUMPRODUCT(SUMIF(INDIRECT("'"&amp;Assemblies[Assy]&amp;"'!"&amp;"C:C"),A101,(INDIRECT("'"&amp;Assemblies[Assy]&amp;"'!"&amp;"O:O"))))</f>
        <v>0</v>
      </c>
      <c r="M101" s="40" t="str" cm="1">
        <f t="array" aca="1" ref="M101" ca="1">TRIM(SUBSTITUTE(_xlfn.ARRAYTOTEXT(IFERROR(CONCATENATE(SUMIF(INDIRECT("'"&amp;Assemblies[Assy]&amp;"'!"&amp;"C$5:C1000"), $A101, INDIRECT("'"&amp;Assemblies[Assy]&amp;"'!"&amp;"O$5:O1000")), "x",Assemblies[Assy],".",IF(SUMIF(INDIRECT("'"&amp;Assemblies[Assy]&amp;"'!"&amp;"C$5:C1000"), $A101, INDIRECT("'"&amp;Assemblies[Assy]&amp;"'!"&amp;"A$5:A1000"))=0,NA(),SUMIF(INDIRECT("'"&amp;Assemblies[Assy]&amp;"'!"&amp;"C$5:C1000"), $A101, INDIRECT("'"&amp;Assemblies[Assy]&amp;"'!"&amp;"A$5:A1000")))),"")), " ,", ""))</f>
        <v>,</v>
      </c>
    </row>
    <row r="102" spans="1:13" x14ac:dyDescent="0.25">
      <c r="A102" t="s">
        <v>107</v>
      </c>
      <c r="B102" s="18">
        <v>0</v>
      </c>
      <c r="C102" s="19" cm="1">
        <f t="array" aca="1" ref="C102" ca="1">SUMPRODUCT(SUMIF(INDIRECT("'"&amp;Assemblies[Assy]&amp;"'!"&amp;"C:C"),A102,(INDIRECT("'"&amp;Assemblies[Assy]&amp;"'!"&amp;"O:O"))))</f>
        <v>378</v>
      </c>
      <c r="M102" s="40" t="str" cm="1">
        <f t="array" aca="1" ref="M102" ca="1">TRIM(SUBSTITUTE(_xlfn.ARRAYTOTEXT(IFERROR(CONCATENATE(SUMIF(INDIRECT("'"&amp;Assemblies[Assy]&amp;"'!"&amp;"C$5:C1000"), $A102, INDIRECT("'"&amp;Assemblies[Assy]&amp;"'!"&amp;"O$5:O1000")), "x",Assemblies[Assy],".",IF(SUMIF(INDIRECT("'"&amp;Assemblies[Assy]&amp;"'!"&amp;"C$5:C1000"), $A102, INDIRECT("'"&amp;Assemblies[Assy]&amp;"'!"&amp;"A$5:A1000"))=0,NA(),SUMIF(INDIRECT("'"&amp;Assemblies[Assy]&amp;"'!"&amp;"C$5:C1000"), $A102, INDIRECT("'"&amp;Assemblies[Assy]&amp;"'!"&amp;"A$5:A1000")))),"")), " ,", ""))</f>
        <v>, 24x0.3.501, 24x0.9.501, 24x0.10.501, 2x4.1.7.503, 2x4.1.8.503, 8x5.3.503, 40x5.5.510, 4x5.5.2.502, 40x5.6.510, 4x5.6.2.503, 16x5.7.503, 10x6.1.503, 8x6.2.1.502, 2x6.2.1.2.505, 14x6.2.1.4.502, 8x6.2.3.503, 8x6.3.1.502, 2x6.3.1.2.505, 14x6.3.1.4.502, 8x6.3.3.503, 8x6.4.508, 8x6.5.508, 4x6.10.510, 48x7.2.4.502, 48x7.2.9.501,</v>
      </c>
    </row>
    <row r="103" spans="1:13" x14ac:dyDescent="0.25">
      <c r="A103" t="s">
        <v>3639</v>
      </c>
      <c r="B103" s="18">
        <v>0</v>
      </c>
      <c r="C103" s="19" cm="1">
        <f t="array" aca="1" ref="C103" ca="1">SUMPRODUCT(SUMIF(INDIRECT("'"&amp;Assemblies[Assy]&amp;"'!"&amp;"C:C"),A103,(INDIRECT("'"&amp;Assemblies[Assy]&amp;"'!"&amp;"O:O"))))</f>
        <v>0</v>
      </c>
      <c r="M103" s="40" t="str" cm="1">
        <f t="array" aca="1" ref="M103" ca="1">TRIM(SUBSTITUTE(_xlfn.ARRAYTOTEXT(IFERROR(CONCATENATE(SUMIF(INDIRECT("'"&amp;Assemblies[Assy]&amp;"'!"&amp;"C$5:C1000"), $A103, INDIRECT("'"&amp;Assemblies[Assy]&amp;"'!"&amp;"O$5:O1000")), "x",Assemblies[Assy],".",IF(SUMIF(INDIRECT("'"&amp;Assemblies[Assy]&amp;"'!"&amp;"C$5:C1000"), $A103, INDIRECT("'"&amp;Assemblies[Assy]&amp;"'!"&amp;"A$5:A1000"))=0,NA(),SUMIF(INDIRECT("'"&amp;Assemblies[Assy]&amp;"'!"&amp;"C$5:C1000"), $A103, INDIRECT("'"&amp;Assemblies[Assy]&amp;"'!"&amp;"A$5:A1000")))),"")), " ,", ""))</f>
        <v>,</v>
      </c>
    </row>
    <row r="104" spans="1:13" x14ac:dyDescent="0.25">
      <c r="A104" t="s">
        <v>1455</v>
      </c>
      <c r="B104" s="18">
        <v>0</v>
      </c>
      <c r="C104" s="19" cm="1">
        <f t="array" aca="1" ref="C104" ca="1">SUMPRODUCT(SUMIF(INDIRECT("'"&amp;Assemblies[Assy]&amp;"'!"&amp;"C:C"),A104,(INDIRECT("'"&amp;Assemblies[Assy]&amp;"'!"&amp;"O:O"))))</f>
        <v>12</v>
      </c>
      <c r="M104" s="40" t="str" cm="1">
        <f t="array" aca="1" ref="M104" ca="1">TRIM(SUBSTITUTE(_xlfn.ARRAYTOTEXT(IFERROR(CONCATENATE(SUMIF(INDIRECT("'"&amp;Assemblies[Assy]&amp;"'!"&amp;"C$5:C1000"), $A104, INDIRECT("'"&amp;Assemblies[Assy]&amp;"'!"&amp;"O$5:O1000")), "x",Assemblies[Assy],".",IF(SUMIF(INDIRECT("'"&amp;Assemblies[Assy]&amp;"'!"&amp;"C$5:C1000"), $A104, INDIRECT("'"&amp;Assemblies[Assy]&amp;"'!"&amp;"A$5:A1000"))=0,NA(),SUMIF(INDIRECT("'"&amp;Assemblies[Assy]&amp;"'!"&amp;"C$5:C1000"), $A104, INDIRECT("'"&amp;Assemblies[Assy]&amp;"'!"&amp;"A$5:A1000")))),"")), " ,", ""))</f>
        <v>, 12x12.501</v>
      </c>
    </row>
    <row r="105" spans="1:13" x14ac:dyDescent="0.25">
      <c r="A105" t="s">
        <v>3640</v>
      </c>
      <c r="B105" s="18">
        <v>0</v>
      </c>
      <c r="C105" s="19" cm="1">
        <f t="array" aca="1" ref="C105" ca="1">SUMPRODUCT(SUMIF(INDIRECT("'"&amp;Assemblies[Assy]&amp;"'!"&amp;"C:C"),A105,(INDIRECT("'"&amp;Assemblies[Assy]&amp;"'!"&amp;"O:O"))))</f>
        <v>0</v>
      </c>
      <c r="M105" s="40" t="str" cm="1">
        <f t="array" aca="1" ref="M105" ca="1">TRIM(SUBSTITUTE(_xlfn.ARRAYTOTEXT(IFERROR(CONCATENATE(SUMIF(INDIRECT("'"&amp;Assemblies[Assy]&amp;"'!"&amp;"C$5:C1000"), $A105, INDIRECT("'"&amp;Assemblies[Assy]&amp;"'!"&amp;"O$5:O1000")), "x",Assemblies[Assy],".",IF(SUMIF(INDIRECT("'"&amp;Assemblies[Assy]&amp;"'!"&amp;"C$5:C1000"), $A105, INDIRECT("'"&amp;Assemblies[Assy]&amp;"'!"&amp;"A$5:A1000"))=0,NA(),SUMIF(INDIRECT("'"&amp;Assemblies[Assy]&amp;"'!"&amp;"C$5:C1000"), $A105, INDIRECT("'"&amp;Assemblies[Assy]&amp;"'!"&amp;"A$5:A1000")))),"")), " ,", ""))</f>
        <v>,</v>
      </c>
    </row>
    <row r="106" spans="1:13" x14ac:dyDescent="0.25">
      <c r="A106" t="s">
        <v>3641</v>
      </c>
      <c r="B106" s="18">
        <v>0</v>
      </c>
      <c r="C106" s="19" cm="1">
        <f t="array" aca="1" ref="C106" ca="1">SUMPRODUCT(SUMIF(INDIRECT("'"&amp;Assemblies[Assy]&amp;"'!"&amp;"C:C"),A106,(INDIRECT("'"&amp;Assemblies[Assy]&amp;"'!"&amp;"O:O"))))</f>
        <v>0</v>
      </c>
      <c r="M106" s="40" t="str" cm="1">
        <f t="array" aca="1" ref="M106" ca="1">TRIM(SUBSTITUTE(_xlfn.ARRAYTOTEXT(IFERROR(CONCATENATE(SUMIF(INDIRECT("'"&amp;Assemblies[Assy]&amp;"'!"&amp;"C$5:C1000"), $A106, INDIRECT("'"&amp;Assemblies[Assy]&amp;"'!"&amp;"O$5:O1000")), "x",Assemblies[Assy],".",IF(SUMIF(INDIRECT("'"&amp;Assemblies[Assy]&amp;"'!"&amp;"C$5:C1000"), $A106, INDIRECT("'"&amp;Assemblies[Assy]&amp;"'!"&amp;"A$5:A1000"))=0,NA(),SUMIF(INDIRECT("'"&amp;Assemblies[Assy]&amp;"'!"&amp;"C$5:C1000"), $A106, INDIRECT("'"&amp;Assemblies[Assy]&amp;"'!"&amp;"A$5:A1000")))),"")), " ,", ""))</f>
        <v>,</v>
      </c>
    </row>
    <row r="107" spans="1:13" x14ac:dyDescent="0.25">
      <c r="A107" t="s">
        <v>95</v>
      </c>
      <c r="B107" s="18">
        <v>0</v>
      </c>
      <c r="C107" s="19" cm="1">
        <f t="array" aca="1" ref="C107" ca="1">SUMPRODUCT(SUMIF(INDIRECT("'"&amp;Assemblies[Assy]&amp;"'!"&amp;"C:C"),A107,(INDIRECT("'"&amp;Assemblies[Assy]&amp;"'!"&amp;"O:O"))))</f>
        <v>271</v>
      </c>
      <c r="M107" s="40" t="str" cm="1">
        <f t="array" aca="1" ref="M107" ca="1">TRIM(SUBSTITUTE(_xlfn.ARRAYTOTEXT(IFERROR(CONCATENATE(SUMIF(INDIRECT("'"&amp;Assemblies[Assy]&amp;"'!"&amp;"C$5:C1000"), $A107, INDIRECT("'"&amp;Assemblies[Assy]&amp;"'!"&amp;"O$5:O1000")), "x",Assemblies[Assy],".",IF(SUMIF(INDIRECT("'"&amp;Assemblies[Assy]&amp;"'!"&amp;"C$5:C1000"), $A107, INDIRECT("'"&amp;Assemblies[Assy]&amp;"'!"&amp;"A$5:A1000"))=0,NA(),SUMIF(INDIRECT("'"&amp;Assemblies[Assy]&amp;"'!"&amp;"C$5:C1000"), $A107, INDIRECT("'"&amp;Assemblies[Assy]&amp;"'!"&amp;"A$5:A1000")))),"")), " ,", ""))</f>
        <v>, 4x0.2.501, 4x0.11.501, 32x1.4.1.503, 7x4.3.506, 8x4.4.2.502, 14x4.7.502, 56x5.3.504, 2x5.5.1.505, 2x5.6.1.505, 28x6.1.504, 4x6.2.1.506, 4x6.3.1.506, 2x6.4.505, 2x6.5.505, 24x6.9.503, 32x7.2.6.501, 16x7.6.2.501, 16x8.1.5.501, 8x8.3.501, 6x10.3.502,</v>
      </c>
    </row>
    <row r="108" spans="1:13" x14ac:dyDescent="0.25">
      <c r="A108" t="s">
        <v>225</v>
      </c>
      <c r="B108" s="18">
        <v>0</v>
      </c>
      <c r="C108" s="19" cm="1">
        <f t="array" aca="1" ref="C108" ca="1">SUMPRODUCT(SUMIF(INDIRECT("'"&amp;Assemblies[Assy]&amp;"'!"&amp;"C:C"),A108,(INDIRECT("'"&amp;Assemblies[Assy]&amp;"'!"&amp;"O:O"))))</f>
        <v>6</v>
      </c>
      <c r="M108" s="40" t="str" cm="1">
        <f t="array" aca="1" ref="M108" ca="1">TRIM(SUBSTITUTE(_xlfn.ARRAYTOTEXT(IFERROR(CONCATENATE(SUMIF(INDIRECT("'"&amp;Assemblies[Assy]&amp;"'!"&amp;"C$5:C1000"), $A108, INDIRECT("'"&amp;Assemblies[Assy]&amp;"'!"&amp;"O$5:O1000")), "x",Assemblies[Assy],".",IF(SUMIF(INDIRECT("'"&amp;Assemblies[Assy]&amp;"'!"&amp;"C$5:C1000"), $A108, INDIRECT("'"&amp;Assemblies[Assy]&amp;"'!"&amp;"A$5:A1000"))=0,NA(),SUMIF(INDIRECT("'"&amp;Assemblies[Assy]&amp;"'!"&amp;"C$5:C1000"), $A108, INDIRECT("'"&amp;Assemblies[Assy]&amp;"'!"&amp;"A$5:A1000")))),"")), " ,", ""))</f>
        <v>, 4x1.1.9.501, 2x4.3.504,</v>
      </c>
    </row>
    <row r="109" spans="1:13" x14ac:dyDescent="0.25">
      <c r="A109" t="s">
        <v>390</v>
      </c>
      <c r="B109" s="18">
        <v>0</v>
      </c>
      <c r="C109" s="19" cm="1">
        <f t="array" aca="1" ref="C109" ca="1">SUMPRODUCT(SUMIF(INDIRECT("'"&amp;Assemblies[Assy]&amp;"'!"&amp;"C:C"),A109,(INDIRECT("'"&amp;Assemblies[Assy]&amp;"'!"&amp;"O:O"))))</f>
        <v>79</v>
      </c>
      <c r="M109" s="40" t="str" cm="1">
        <f t="array" aca="1" ref="M109" ca="1">TRIM(SUBSTITUTE(_xlfn.ARRAYTOTEXT(IFERROR(CONCATENATE(SUMIF(INDIRECT("'"&amp;Assemblies[Assy]&amp;"'!"&amp;"C$5:C1000"), $A109, INDIRECT("'"&amp;Assemblies[Assy]&amp;"'!"&amp;"O$5:O1000")), "x",Assemblies[Assy],".",IF(SUMIF(INDIRECT("'"&amp;Assemblies[Assy]&amp;"'!"&amp;"C$5:C1000"), $A109, INDIRECT("'"&amp;Assemblies[Assy]&amp;"'!"&amp;"A$5:A1000"))=0,NA(),SUMIF(INDIRECT("'"&amp;Assemblies[Assy]&amp;"'!"&amp;"C$5:C1000"), $A109, INDIRECT("'"&amp;Assemblies[Assy]&amp;"'!"&amp;"A$5:A1000")))),"")), " ,", ""))</f>
        <v>, 6x2.1.4.502, 7x2.1.5.502, 48x2.2.1.1.501, 18x9.1.504,</v>
      </c>
    </row>
    <row r="110" spans="1:13" x14ac:dyDescent="0.25">
      <c r="A110" t="s">
        <v>389</v>
      </c>
      <c r="B110" s="18">
        <v>0</v>
      </c>
      <c r="C110" s="19" cm="1">
        <f t="array" aca="1" ref="C110" ca="1">SUMPRODUCT(SUMIF(INDIRECT("'"&amp;Assemblies[Assy]&amp;"'!"&amp;"C:C"),A110,(INDIRECT("'"&amp;Assemblies[Assy]&amp;"'!"&amp;"O:O"))))</f>
        <v>72</v>
      </c>
      <c r="M110" s="40" t="str" cm="1">
        <f t="array" aca="1" ref="M110" ca="1">TRIM(SUBSTITUTE(_xlfn.ARRAYTOTEXT(IFERROR(CONCATENATE(SUMIF(INDIRECT("'"&amp;Assemblies[Assy]&amp;"'!"&amp;"C$5:C1000"), $A110, INDIRECT("'"&amp;Assemblies[Assy]&amp;"'!"&amp;"O$5:O1000")), "x",Assemblies[Assy],".",IF(SUMIF(INDIRECT("'"&amp;Assemblies[Assy]&amp;"'!"&amp;"C$5:C1000"), $A110, INDIRECT("'"&amp;Assemblies[Assy]&amp;"'!"&amp;"A$5:A1000"))=0,NA(),SUMIF(INDIRECT("'"&amp;Assemblies[Assy]&amp;"'!"&amp;"C$5:C1000"), $A110, INDIRECT("'"&amp;Assemblies[Assy]&amp;"'!"&amp;"A$5:A1000")))),"")), " ,", ""))</f>
        <v>, 2x2.1.4.501, 2x2.1.5.501, 4x3.2.1.2.501, 16x4.4.501, 16x4.5.504, 24x5.3.505, 8x6.1.505,</v>
      </c>
    </row>
    <row r="111" spans="1:13" x14ac:dyDescent="0.25">
      <c r="A111" t="s">
        <v>234</v>
      </c>
      <c r="B111" s="18">
        <v>0</v>
      </c>
      <c r="C111" s="19" cm="1">
        <f t="array" aca="1" ref="C111" ca="1">SUMPRODUCT(SUMIF(INDIRECT("'"&amp;Assemblies[Assy]&amp;"'!"&amp;"C:C"),A111,(INDIRECT("'"&amp;Assemblies[Assy]&amp;"'!"&amp;"O:O"))))</f>
        <v>405</v>
      </c>
      <c r="M111" s="40" t="str" cm="1">
        <f t="array" aca="1" ref="M111" ca="1">TRIM(SUBSTITUTE(_xlfn.ARRAYTOTEXT(IFERROR(CONCATENATE(SUMIF(INDIRECT("'"&amp;Assemblies[Assy]&amp;"'!"&amp;"C$5:C1000"), $A111, INDIRECT("'"&amp;Assemblies[Assy]&amp;"'!"&amp;"O$5:O1000")), "x",Assemblies[Assy],".",IF(SUMIF(INDIRECT("'"&amp;Assemblies[Assy]&amp;"'!"&amp;"C$5:C1000"), $A111, INDIRECT("'"&amp;Assemblies[Assy]&amp;"'!"&amp;"A$5:A1000"))=0,NA(),SUMIF(INDIRECT("'"&amp;Assemblies[Assy]&amp;"'!"&amp;"C$5:C1000"), $A111, INDIRECT("'"&amp;Assemblies[Assy]&amp;"'!"&amp;"A$5:A1000")))),"")), " ,", ""))</f>
        <v>, 405x1.1.11.1.501,</v>
      </c>
    </row>
    <row r="112" spans="1:13" x14ac:dyDescent="0.25">
      <c r="A112" t="s">
        <v>473</v>
      </c>
      <c r="B112" s="18">
        <v>0</v>
      </c>
      <c r="C112" s="19" cm="1">
        <f t="array" aca="1" ref="C112" ca="1">SUMPRODUCT(SUMIF(INDIRECT("'"&amp;Assemblies[Assy]&amp;"'!"&amp;"C:C"),A112,(INDIRECT("'"&amp;Assemblies[Assy]&amp;"'!"&amp;"O:O"))))</f>
        <v>46</v>
      </c>
      <c r="M112" s="40" t="str" cm="1">
        <f t="array" aca="1" ref="M112" ca="1">TRIM(SUBSTITUTE(_xlfn.ARRAYTOTEXT(IFERROR(CONCATENATE(SUMIF(INDIRECT("'"&amp;Assemblies[Assy]&amp;"'!"&amp;"C$5:C1000"), $A112, INDIRECT("'"&amp;Assemblies[Assy]&amp;"'!"&amp;"O$5:O1000")), "x",Assemblies[Assy],".",IF(SUMIF(INDIRECT("'"&amp;Assemblies[Assy]&amp;"'!"&amp;"C$5:C1000"), $A112, INDIRECT("'"&amp;Assemblies[Assy]&amp;"'!"&amp;"A$5:A1000"))=0,NA(),SUMIF(INDIRECT("'"&amp;Assemblies[Assy]&amp;"'!"&amp;"C$5:C1000"), $A112, INDIRECT("'"&amp;Assemblies[Assy]&amp;"'!"&amp;"A$5:A1000")))),"")), " ,", ""))</f>
        <v>, 24x3.2.1.1.501, 4x4.1.7.501, 4x4.1.8.501, 2x4.3.505, 12x12.502</v>
      </c>
    </row>
    <row r="113" spans="1:13" x14ac:dyDescent="0.25">
      <c r="A113" t="s">
        <v>617</v>
      </c>
      <c r="B113" s="18">
        <v>0</v>
      </c>
      <c r="C113" s="19" cm="1">
        <f t="array" aca="1" ref="C113" ca="1">SUMPRODUCT(SUMIF(INDIRECT("'"&amp;Assemblies[Assy]&amp;"'!"&amp;"C:C"),A113,(INDIRECT("'"&amp;Assemblies[Assy]&amp;"'!"&amp;"O:O"))))</f>
        <v>72</v>
      </c>
      <c r="M113" s="40" t="str" cm="1">
        <f t="array" aca="1" ref="M113" ca="1">TRIM(SUBSTITUTE(_xlfn.ARRAYTOTEXT(IFERROR(CONCATENATE(SUMIF(INDIRECT("'"&amp;Assemblies[Assy]&amp;"'!"&amp;"C$5:C1000"), $A113, INDIRECT("'"&amp;Assemblies[Assy]&amp;"'!"&amp;"O$5:O1000")), "x",Assemblies[Assy],".",IF(SUMIF(INDIRECT("'"&amp;Assemblies[Assy]&amp;"'!"&amp;"C$5:C1000"), $A113, INDIRECT("'"&amp;Assemblies[Assy]&amp;"'!"&amp;"A$5:A1000"))=0,NA(),SUMIF(INDIRECT("'"&amp;Assemblies[Assy]&amp;"'!"&amp;"C$5:C1000"), $A113, INDIRECT("'"&amp;Assemblies[Assy]&amp;"'!"&amp;"A$5:A1000")))),"")), " ,", ""))</f>
        <v>, 2x4.3.507, 16x5.2.501, 0x5.3.513, 4x6.1.512, 12x6.2.1.503, 2x6.2.1.1.504, 11x6.2.3.502, 12x6.3.1.503, 2x6.3.1.1.504, 11x6.3.3.502,</v>
      </c>
    </row>
    <row r="114" spans="1:13" x14ac:dyDescent="0.25">
      <c r="A114" t="s">
        <v>365</v>
      </c>
      <c r="B114" s="18">
        <v>0</v>
      </c>
      <c r="C114" s="19" cm="1">
        <f t="array" aca="1" ref="C114" ca="1">SUMPRODUCT(SUMIF(INDIRECT("'"&amp;Assemblies[Assy]&amp;"'!"&amp;"C:C"),A114,(INDIRECT("'"&amp;Assemblies[Assy]&amp;"'!"&amp;"O:O"))))</f>
        <v>93</v>
      </c>
      <c r="M114" s="40" t="str" cm="1">
        <f t="array" aca="1" ref="M114" ca="1">TRIM(SUBSTITUTE(_xlfn.ARRAYTOTEXT(IFERROR(CONCATENATE(SUMIF(INDIRECT("'"&amp;Assemblies[Assy]&amp;"'!"&amp;"C$5:C1000"), $A114, INDIRECT("'"&amp;Assemblies[Assy]&amp;"'!"&amp;"O$5:O1000")), "x",Assemblies[Assy],".",IF(SUMIF(INDIRECT("'"&amp;Assemblies[Assy]&amp;"'!"&amp;"C$5:C1000"), $A114, INDIRECT("'"&amp;Assemblies[Assy]&amp;"'!"&amp;"A$5:A1000"))=0,NA(),SUMIF(INDIRECT("'"&amp;Assemblies[Assy]&amp;"'!"&amp;"C$5:C1000"), $A114, INDIRECT("'"&amp;Assemblies[Assy]&amp;"'!"&amp;"A$5:A1000")))),"")), " ,", ""))</f>
        <v>, 93x1.7.1.501,</v>
      </c>
    </row>
    <row r="115" spans="1:13" x14ac:dyDescent="0.25">
      <c r="A115" t="s">
        <v>811</v>
      </c>
      <c r="B115" s="18">
        <v>0</v>
      </c>
      <c r="C115" s="19" cm="1">
        <f t="array" aca="1" ref="C115" ca="1">SUMPRODUCT(SUMIF(INDIRECT("'"&amp;Assemblies[Assy]&amp;"'!"&amp;"C:C"),A115,(INDIRECT("'"&amp;Assemblies[Assy]&amp;"'!"&amp;"O:O"))))</f>
        <v>60</v>
      </c>
      <c r="M115" s="40" t="str" cm="1">
        <f t="array" aca="1" ref="M115" ca="1">TRIM(SUBSTITUTE(_xlfn.ARRAYTOTEXT(IFERROR(CONCATENATE(SUMIF(INDIRECT("'"&amp;Assemblies[Assy]&amp;"'!"&amp;"C$5:C1000"), $A115, INDIRECT("'"&amp;Assemblies[Assy]&amp;"'!"&amp;"O$5:O1000")), "x",Assemblies[Assy],".",IF(SUMIF(INDIRECT("'"&amp;Assemblies[Assy]&amp;"'!"&amp;"C$5:C1000"), $A115, INDIRECT("'"&amp;Assemblies[Assy]&amp;"'!"&amp;"A$5:A1000"))=0,NA(),SUMIF(INDIRECT("'"&amp;Assemblies[Assy]&amp;"'!"&amp;"C$5:C1000"), $A115, INDIRECT("'"&amp;Assemblies[Assy]&amp;"'!"&amp;"A$5:A1000")))),"")), " ,", ""))</f>
        <v>, 20x5.5.511, 20x5.6.511, 8x5.7.504, 4x6.4.507, 4x6.5.507, 4x10.1.5.501,</v>
      </c>
    </row>
    <row r="116" spans="1:13" x14ac:dyDescent="0.25">
      <c r="A116" t="s">
        <v>3642</v>
      </c>
      <c r="B116" s="18">
        <v>0</v>
      </c>
      <c r="C116" s="19" cm="1">
        <f t="array" aca="1" ref="C116" ca="1">SUMPRODUCT(SUMIF(INDIRECT("'"&amp;Assemblies[Assy]&amp;"'!"&amp;"C:C"),A116,(INDIRECT("'"&amp;Assemblies[Assy]&amp;"'!"&amp;"O:O"))))</f>
        <v>0</v>
      </c>
      <c r="M116" s="40" t="str" cm="1">
        <f t="array" aca="1" ref="M116" ca="1">TRIM(SUBSTITUTE(_xlfn.ARRAYTOTEXT(IFERROR(CONCATENATE(SUMIF(INDIRECT("'"&amp;Assemblies[Assy]&amp;"'!"&amp;"C$5:C1000"), $A116, INDIRECT("'"&amp;Assemblies[Assy]&amp;"'!"&amp;"O$5:O1000")), "x",Assemblies[Assy],".",IF(SUMIF(INDIRECT("'"&amp;Assemblies[Assy]&amp;"'!"&amp;"C$5:C1000"), $A116, INDIRECT("'"&amp;Assemblies[Assy]&amp;"'!"&amp;"A$5:A1000"))=0,NA(),SUMIF(INDIRECT("'"&amp;Assemblies[Assy]&amp;"'!"&amp;"C$5:C1000"), $A116, INDIRECT("'"&amp;Assemblies[Assy]&amp;"'!"&amp;"A$5:A1000")))),"")), " ,", ""))</f>
        <v>,</v>
      </c>
    </row>
    <row r="117" spans="1:13" x14ac:dyDescent="0.25">
      <c r="A117" t="s">
        <v>830</v>
      </c>
      <c r="B117" s="18">
        <v>0</v>
      </c>
      <c r="C117" s="19" cm="1">
        <f t="array" aca="1" ref="C117" ca="1">SUMPRODUCT(SUMIF(INDIRECT("'"&amp;Assemblies[Assy]&amp;"'!"&amp;"C:C"),A117,(INDIRECT("'"&amp;Assemblies[Assy]&amp;"'!"&amp;"O:O"))))</f>
        <v>56</v>
      </c>
      <c r="M117" s="40" t="str" cm="1">
        <f t="array" aca="1" ref="M117" ca="1">TRIM(SUBSTITUTE(_xlfn.ARRAYTOTEXT(IFERROR(CONCATENATE(SUMIF(INDIRECT("'"&amp;Assemblies[Assy]&amp;"'!"&amp;"C$5:C1000"), $A117, INDIRECT("'"&amp;Assemblies[Assy]&amp;"'!"&amp;"O$5:O1000")), "x",Assemblies[Assy],".",IF(SUMIF(INDIRECT("'"&amp;Assemblies[Assy]&amp;"'!"&amp;"C$5:C1000"), $A117, INDIRECT("'"&amp;Assemblies[Assy]&amp;"'!"&amp;"A$5:A1000"))=0,NA(),SUMIF(INDIRECT("'"&amp;Assemblies[Assy]&amp;"'!"&amp;"C$5:C1000"), $A117, INDIRECT("'"&amp;Assemblies[Assy]&amp;"'!"&amp;"A$5:A1000")))),"")), " ,", ""))</f>
        <v>, 4x5.5.2.503, 4x5.5.3.503, 16x5.7.505, 4x6.2.1.505, 4x6.3.1.505, 8x6.4.506, 8x6.5.506, 8x8.3.502,</v>
      </c>
    </row>
    <row r="118" spans="1:13" x14ac:dyDescent="0.25">
      <c r="A118" t="s">
        <v>243</v>
      </c>
      <c r="B118" s="18">
        <v>0</v>
      </c>
      <c r="C118" s="19" cm="1">
        <f t="array" aca="1" ref="C118" ca="1">SUMPRODUCT(SUMIF(INDIRECT("'"&amp;Assemblies[Assy]&amp;"'!"&amp;"C:C"),A118,(INDIRECT("'"&amp;Assemblies[Assy]&amp;"'!"&amp;"O:O"))))</f>
        <v>116</v>
      </c>
      <c r="M118" s="40" t="str" cm="1">
        <f t="array" aca="1" ref="M118" ca="1">TRIM(SUBSTITUTE(_xlfn.ARRAYTOTEXT(IFERROR(CONCATENATE(SUMIF(INDIRECT("'"&amp;Assemblies[Assy]&amp;"'!"&amp;"C$5:C1000"), $A118, INDIRECT("'"&amp;Assemblies[Assy]&amp;"'!"&amp;"O$5:O1000")), "x",Assemblies[Assy],".",IF(SUMIF(INDIRECT("'"&amp;Assemblies[Assy]&amp;"'!"&amp;"C$5:C1000"), $A118, INDIRECT("'"&amp;Assemblies[Assy]&amp;"'!"&amp;"A$5:A1000"))=0,NA(),SUMIF(INDIRECT("'"&amp;Assemblies[Assy]&amp;"'!"&amp;"C$5:C1000"), $A118, INDIRECT("'"&amp;Assemblies[Assy]&amp;"'!"&amp;"A$5:A1000")))),"")), " ,", ""))</f>
        <v>, 12x1.1.16.503, 24x7.2.3.503, 24x7.3.2.503, 12x7.6.1.503, 12x7.7.1.503, 16x8.1.3.502, 16x8.2.2.502,</v>
      </c>
    </row>
    <row r="119" spans="1:13" x14ac:dyDescent="0.25">
      <c r="A119" t="s">
        <v>747</v>
      </c>
      <c r="B119" s="18">
        <v>0</v>
      </c>
      <c r="C119" s="19" cm="1">
        <f t="array" aca="1" ref="C119" ca="1">SUMPRODUCT(SUMIF(INDIRECT("'"&amp;Assemblies[Assy]&amp;"'!"&amp;"C:C"),A119,(INDIRECT("'"&amp;Assemblies[Assy]&amp;"'!"&amp;"O:O"))))</f>
        <v>2</v>
      </c>
      <c r="M119" s="40" t="str" cm="1">
        <f t="array" aca="1" ref="M119" ca="1">TRIM(SUBSTITUTE(_xlfn.ARRAYTOTEXT(IFERROR(CONCATENATE(SUMIF(INDIRECT("'"&amp;Assemblies[Assy]&amp;"'!"&amp;"C$5:C1000"), $A119, INDIRECT("'"&amp;Assemblies[Assy]&amp;"'!"&amp;"O$5:O1000")), "x",Assemblies[Assy],".",IF(SUMIF(INDIRECT("'"&amp;Assemblies[Assy]&amp;"'!"&amp;"C$5:C1000"), $A119, INDIRECT("'"&amp;Assemblies[Assy]&amp;"'!"&amp;"A$5:A1000"))=0,NA(),SUMIF(INDIRECT("'"&amp;Assemblies[Assy]&amp;"'!"&amp;"C$5:C1000"), $A119, INDIRECT("'"&amp;Assemblies[Assy]&amp;"'!"&amp;"A$5:A1000")))),"")), " ,", ""))</f>
        <v>, 2x5.3.506,</v>
      </c>
    </row>
    <row r="120" spans="1:13" x14ac:dyDescent="0.25">
      <c r="A120" t="s">
        <v>3643</v>
      </c>
      <c r="B120" s="18">
        <v>0</v>
      </c>
      <c r="C120" s="19" cm="1">
        <f t="array" aca="1" ref="C120" ca="1">SUMPRODUCT(SUMIF(INDIRECT("'"&amp;Assemblies[Assy]&amp;"'!"&amp;"C:C"),A120,(INDIRECT("'"&amp;Assemblies[Assy]&amp;"'!"&amp;"O:O"))))</f>
        <v>0</v>
      </c>
      <c r="M120" s="40" t="str" cm="1">
        <f t="array" aca="1" ref="M120" ca="1">TRIM(SUBSTITUTE(_xlfn.ARRAYTOTEXT(IFERROR(CONCATENATE(SUMIF(INDIRECT("'"&amp;Assemblies[Assy]&amp;"'!"&amp;"C$5:C1000"), $A120, INDIRECT("'"&amp;Assemblies[Assy]&amp;"'!"&amp;"O$5:O1000")), "x",Assemblies[Assy],".",IF(SUMIF(INDIRECT("'"&amp;Assemblies[Assy]&amp;"'!"&amp;"C$5:C1000"), $A120, INDIRECT("'"&amp;Assemblies[Assy]&amp;"'!"&amp;"A$5:A1000"))=0,NA(),SUMIF(INDIRECT("'"&amp;Assemblies[Assy]&amp;"'!"&amp;"C$5:C1000"), $A120, INDIRECT("'"&amp;Assemblies[Assy]&amp;"'!"&amp;"A$5:A1000")))),"")), " ,", ""))</f>
        <v>,</v>
      </c>
    </row>
    <row r="121" spans="1:13" x14ac:dyDescent="0.25">
      <c r="A121" t="s">
        <v>3644</v>
      </c>
      <c r="B121" s="18">
        <v>0</v>
      </c>
      <c r="C121" s="19" cm="1">
        <f t="array" aca="1" ref="C121" ca="1">SUMPRODUCT(SUMIF(INDIRECT("'"&amp;Assemblies[Assy]&amp;"'!"&amp;"C:C"),A121,(INDIRECT("'"&amp;Assemblies[Assy]&amp;"'!"&amp;"O:O"))))</f>
        <v>0</v>
      </c>
      <c r="M121" s="40" t="str" cm="1">
        <f t="array" aca="1" ref="M121" ca="1">TRIM(SUBSTITUTE(_xlfn.ARRAYTOTEXT(IFERROR(CONCATENATE(SUMIF(INDIRECT("'"&amp;Assemblies[Assy]&amp;"'!"&amp;"C$5:C1000"), $A121, INDIRECT("'"&amp;Assemblies[Assy]&amp;"'!"&amp;"O$5:O1000")), "x",Assemblies[Assy],".",IF(SUMIF(INDIRECT("'"&amp;Assemblies[Assy]&amp;"'!"&amp;"C$5:C1000"), $A121, INDIRECT("'"&amp;Assemblies[Assy]&amp;"'!"&amp;"A$5:A1000"))=0,NA(),SUMIF(INDIRECT("'"&amp;Assemblies[Assy]&amp;"'!"&amp;"C$5:C1000"), $A121, INDIRECT("'"&amp;Assemblies[Assy]&amp;"'!"&amp;"A$5:A1000")))),"")), " ,", ""))</f>
        <v>,</v>
      </c>
    </row>
    <row r="122" spans="1:13" x14ac:dyDescent="0.25">
      <c r="A122" t="s">
        <v>3645</v>
      </c>
      <c r="B122" s="18">
        <v>0</v>
      </c>
      <c r="C122" s="19" cm="1">
        <f t="array" aca="1" ref="C122" ca="1">SUMPRODUCT(SUMIF(INDIRECT("'"&amp;Assemblies[Assy]&amp;"'!"&amp;"C:C"),A122,(INDIRECT("'"&amp;Assemblies[Assy]&amp;"'!"&amp;"O:O"))))</f>
        <v>0</v>
      </c>
      <c r="M122" s="40" t="str" cm="1">
        <f t="array" aca="1" ref="M122" ca="1">TRIM(SUBSTITUTE(_xlfn.ARRAYTOTEXT(IFERROR(CONCATENATE(SUMIF(INDIRECT("'"&amp;Assemblies[Assy]&amp;"'!"&amp;"C$5:C1000"), $A122, INDIRECT("'"&amp;Assemblies[Assy]&amp;"'!"&amp;"O$5:O1000")), "x",Assemblies[Assy],".",IF(SUMIF(INDIRECT("'"&amp;Assemblies[Assy]&amp;"'!"&amp;"C$5:C1000"), $A122, INDIRECT("'"&amp;Assemblies[Assy]&amp;"'!"&amp;"A$5:A1000"))=0,NA(),SUMIF(INDIRECT("'"&amp;Assemblies[Assy]&amp;"'!"&amp;"C$5:C1000"), $A122, INDIRECT("'"&amp;Assemblies[Assy]&amp;"'!"&amp;"A$5:A1000")))),"")), " ,", ""))</f>
        <v>,</v>
      </c>
    </row>
    <row r="123" spans="1:13" x14ac:dyDescent="0.25">
      <c r="A123" t="s">
        <v>1080</v>
      </c>
      <c r="B123" s="18">
        <v>0</v>
      </c>
      <c r="C123" s="19" cm="1">
        <f t="array" aca="1" ref="C123" ca="1">SUMPRODUCT(SUMIF(INDIRECT("'"&amp;Assemblies[Assy]&amp;"'!"&amp;"C:C"),A123,(INDIRECT("'"&amp;Assemblies[Assy]&amp;"'!"&amp;"O:O"))))</f>
        <v>8</v>
      </c>
      <c r="M123" s="40" t="str" cm="1">
        <f t="array" aca="1" ref="M123" ca="1">TRIM(SUBSTITUTE(_xlfn.ARRAYTOTEXT(IFERROR(CONCATENATE(SUMIF(INDIRECT("'"&amp;Assemblies[Assy]&amp;"'!"&amp;"C$5:C1000"), $A123, INDIRECT("'"&amp;Assemblies[Assy]&amp;"'!"&amp;"O$5:O1000")), "x",Assemblies[Assy],".",IF(SUMIF(INDIRECT("'"&amp;Assemblies[Assy]&amp;"'!"&amp;"C$5:C1000"), $A123, INDIRECT("'"&amp;Assemblies[Assy]&amp;"'!"&amp;"A$5:A1000"))=0,NA(),SUMIF(INDIRECT("'"&amp;Assemblies[Assy]&amp;"'!"&amp;"C$5:C1000"), $A123, INDIRECT("'"&amp;Assemblies[Assy]&amp;"'!"&amp;"A$5:A1000")))),"")), " ,", ""))</f>
        <v>, 8x6.10.507,</v>
      </c>
    </row>
    <row r="124" spans="1:13" x14ac:dyDescent="0.25">
      <c r="A124" t="s">
        <v>1175</v>
      </c>
      <c r="B124" s="18">
        <v>0</v>
      </c>
      <c r="C124" s="19" cm="1">
        <f t="array" aca="1" ref="C124" ca="1">SUMPRODUCT(SUMIF(INDIRECT("'"&amp;Assemblies[Assy]&amp;"'!"&amp;"C:C"),A124,(INDIRECT("'"&amp;Assemblies[Assy]&amp;"'!"&amp;"O:O"))))</f>
        <v>52</v>
      </c>
      <c r="M124" s="40" t="str" cm="1">
        <f t="array" aca="1" ref="M124" ca="1">TRIM(SUBSTITUTE(_xlfn.ARRAYTOTEXT(IFERROR(CONCATENATE(SUMIF(INDIRECT("'"&amp;Assemblies[Assy]&amp;"'!"&amp;"C$5:C1000"), $A124, INDIRECT("'"&amp;Assemblies[Assy]&amp;"'!"&amp;"O$5:O1000")), "x",Assemblies[Assy],".",IF(SUMIF(INDIRECT("'"&amp;Assemblies[Assy]&amp;"'!"&amp;"C$5:C1000"), $A124, INDIRECT("'"&amp;Assemblies[Assy]&amp;"'!"&amp;"A$5:A1000"))=0,NA(),SUMIF(INDIRECT("'"&amp;Assemblies[Assy]&amp;"'!"&amp;"C$5:C1000"), $A124, INDIRECT("'"&amp;Assemblies[Assy]&amp;"'!"&amp;"A$5:A1000")))),"")), " ,", ""))</f>
        <v>, 12x7.2.3.502, 12x7.3.2.502, 6x7.6.1.502, 6x7.7.1.502, 8x8.1.3.504, 8x8.2.2.504,</v>
      </c>
    </row>
    <row r="125" spans="1:13" x14ac:dyDescent="0.25">
      <c r="A125" t="s">
        <v>3646</v>
      </c>
      <c r="B125" s="18">
        <v>0</v>
      </c>
      <c r="C125" s="19" cm="1">
        <f t="array" aca="1" ref="C125" ca="1">SUMPRODUCT(SUMIF(INDIRECT("'"&amp;Assemblies[Assy]&amp;"'!"&amp;"C:C"),A125,(INDIRECT("'"&amp;Assemblies[Assy]&amp;"'!"&amp;"O:O"))))</f>
        <v>0</v>
      </c>
      <c r="M125" s="40" t="str" cm="1">
        <f t="array" aca="1" ref="M125" ca="1">TRIM(SUBSTITUTE(_xlfn.ARRAYTOTEXT(IFERROR(CONCATENATE(SUMIF(INDIRECT("'"&amp;Assemblies[Assy]&amp;"'!"&amp;"C$5:C1000"), $A125, INDIRECT("'"&amp;Assemblies[Assy]&amp;"'!"&amp;"O$5:O1000")), "x",Assemblies[Assy],".",IF(SUMIF(INDIRECT("'"&amp;Assemblies[Assy]&amp;"'!"&amp;"C$5:C1000"), $A125, INDIRECT("'"&amp;Assemblies[Assy]&amp;"'!"&amp;"A$5:A1000"))=0,NA(),SUMIF(INDIRECT("'"&amp;Assemblies[Assy]&amp;"'!"&amp;"C$5:C1000"), $A125, INDIRECT("'"&amp;Assemblies[Assy]&amp;"'!"&amp;"A$5:A1000")))),"")), " ,", ""))</f>
        <v>,</v>
      </c>
    </row>
    <row r="126" spans="1:13" x14ac:dyDescent="0.25">
      <c r="A126" t="s">
        <v>246</v>
      </c>
      <c r="B126" s="18">
        <v>0</v>
      </c>
      <c r="C126" s="19" cm="1">
        <f t="array" aca="1" ref="C126" ca="1">SUMPRODUCT(SUMIF(INDIRECT("'"&amp;Assemblies[Assy]&amp;"'!"&amp;"C:C"),A126,(INDIRECT("'"&amp;Assemblies[Assy]&amp;"'!"&amp;"O:O"))))</f>
        <v>298</v>
      </c>
      <c r="M126" s="40" t="str" cm="1">
        <f t="array" aca="1" ref="M126" ca="1">TRIM(SUBSTITUTE(_xlfn.ARRAYTOTEXT(IFERROR(CONCATENATE(SUMIF(INDIRECT("'"&amp;Assemblies[Assy]&amp;"'!"&amp;"C$5:C1000"), $A126, INDIRECT("'"&amp;Assemblies[Assy]&amp;"'!"&amp;"O$5:O1000")), "x",Assemblies[Assy],".",IF(SUMIF(INDIRECT("'"&amp;Assemblies[Assy]&amp;"'!"&amp;"C$5:C1000"), $A126, INDIRECT("'"&amp;Assemblies[Assy]&amp;"'!"&amp;"A$5:A1000"))=0,NA(),SUMIF(INDIRECT("'"&amp;Assemblies[Assy]&amp;"'!"&amp;"C$5:C1000"), $A126, INDIRECT("'"&amp;Assemblies[Assy]&amp;"'!"&amp;"A$5:A1000")))),"")), " ,", ""))</f>
        <v>, 6x1.1.17.501, 9x2.3.4.501, 24x4.1.1.501, 4x4.4.505, 4x5.4.501, 192x7.1.2.502, 48x7.2.4.503, 6x8.3.503, 2x10.1.9.503, 3x10.1.10.501,</v>
      </c>
    </row>
    <row r="127" spans="1:13" x14ac:dyDescent="0.25">
      <c r="A127" t="s">
        <v>179</v>
      </c>
      <c r="B127" s="18">
        <v>0</v>
      </c>
      <c r="C127" s="19" cm="1">
        <f t="array" aca="1" ref="C127" ca="1">SUMPRODUCT(SUMIF(INDIRECT("'"&amp;Assemblies[Assy]&amp;"'!"&amp;"C:C"),A127,(INDIRECT("'"&amp;Assemblies[Assy]&amp;"'!"&amp;"O:O"))))</f>
        <v>54</v>
      </c>
      <c r="M127" s="40" t="str" cm="1">
        <f t="array" aca="1" ref="M127" ca="1">TRIM(SUBSTITUTE(_xlfn.ARRAYTOTEXT(IFERROR(CONCATENATE(SUMIF(INDIRECT("'"&amp;Assemblies[Assy]&amp;"'!"&amp;"C$5:C1000"), $A127, INDIRECT("'"&amp;Assemblies[Assy]&amp;"'!"&amp;"O$5:O1000")), "x",Assemblies[Assy],".",IF(SUMIF(INDIRECT("'"&amp;Assemblies[Assy]&amp;"'!"&amp;"C$5:C1000"), $A127, INDIRECT("'"&amp;Assemblies[Assy]&amp;"'!"&amp;"A$5:A1000"))=0,NA(),SUMIF(INDIRECT("'"&amp;Assemblies[Assy]&amp;"'!"&amp;"C$5:C1000"), $A127, INDIRECT("'"&amp;Assemblies[Assy]&amp;"'!"&amp;"A$5:A1000")))),"")), " ,", ""))</f>
        <v>, 36x1.1.4.501, 8x7.1.3.501, 7x9.1.501, 3x9.3.501,</v>
      </c>
    </row>
    <row r="128" spans="1:13" x14ac:dyDescent="0.25">
      <c r="A128" t="s">
        <v>851</v>
      </c>
      <c r="B128" s="18">
        <v>0</v>
      </c>
      <c r="C128" s="19" cm="1">
        <f t="array" aca="1" ref="C128" ca="1">SUMPRODUCT(SUMIF(INDIRECT("'"&amp;Assemblies[Assy]&amp;"'!"&amp;"C:C"),A128,(INDIRECT("'"&amp;Assemblies[Assy]&amp;"'!"&amp;"O:O"))))</f>
        <v>2</v>
      </c>
      <c r="M128" s="40" t="str" cm="1">
        <f t="array" aca="1" ref="M128" ca="1">TRIM(SUBSTITUTE(_xlfn.ARRAYTOTEXT(IFERROR(CONCATENATE(SUMIF(INDIRECT("'"&amp;Assemblies[Assy]&amp;"'!"&amp;"C$5:C1000"), $A128, INDIRECT("'"&amp;Assemblies[Assy]&amp;"'!"&amp;"O$5:O1000")), "x",Assemblies[Assy],".",IF(SUMIF(INDIRECT("'"&amp;Assemblies[Assy]&amp;"'!"&amp;"C$5:C1000"), $A128, INDIRECT("'"&amp;Assemblies[Assy]&amp;"'!"&amp;"A$5:A1000"))=0,NA(),SUMIF(INDIRECT("'"&amp;Assemblies[Assy]&amp;"'!"&amp;"C$5:C1000"), $A128, INDIRECT("'"&amp;Assemblies[Assy]&amp;"'!"&amp;"A$5:A1000")))),"")), " ,", ""))</f>
        <v>, 2x5.5.4.502,</v>
      </c>
    </row>
    <row r="129" spans="1:13" x14ac:dyDescent="0.25">
      <c r="A129" t="s">
        <v>174</v>
      </c>
      <c r="B129" s="18">
        <v>0</v>
      </c>
      <c r="C129" s="19" cm="1">
        <f t="array" aca="1" ref="C129" ca="1">SUMPRODUCT(SUMIF(INDIRECT("'"&amp;Assemblies[Assy]&amp;"'!"&amp;"C:C"),A129,(INDIRECT("'"&amp;Assemblies[Assy]&amp;"'!"&amp;"O:O"))))</f>
        <v>493</v>
      </c>
      <c r="M129" s="40" t="str" cm="1">
        <f t="array" aca="1" ref="M129" ca="1">TRIM(SUBSTITUTE(_xlfn.ARRAYTOTEXT(IFERROR(CONCATENATE(SUMIF(INDIRECT("'"&amp;Assemblies[Assy]&amp;"'!"&amp;"C$5:C1000"), $A129, INDIRECT("'"&amp;Assemblies[Assy]&amp;"'!"&amp;"O$5:O1000")), "x",Assemblies[Assy],".",IF(SUMIF(INDIRECT("'"&amp;Assemblies[Assy]&amp;"'!"&amp;"C$5:C1000"), $A129, INDIRECT("'"&amp;Assemblies[Assy]&amp;"'!"&amp;"A$5:A1000"))=0,NA(),SUMIF(INDIRECT("'"&amp;Assemblies[Assy]&amp;"'!"&amp;"C$5:C1000"), $A129, INDIRECT("'"&amp;Assemblies[Assy]&amp;"'!"&amp;"A$5:A1000")))),"")), " ,", ""))</f>
        <v>, 56x1.1.2.501, 32x1.1.8.502, 8x1.2.1.502, 8x1.2.2.502, 18x1.3.7.502, 16x4.1.6.501, 6x4.3.508, 32x5.1.501, 4x5.3.507, 3x5.4.1.501, 4x5.4.2.501, 8x6.1.506, 4x6.2.1.1.505, 4x6.2.1.3.501, 8x6.2.3.504, 4x6.3.1.1.505, 4x6.3.1.3.501, 8x6.3.3.504, 64x6.8.501, 24x6.9.504, 16x7.1.502, 8x7.1.4.501, 24x7.2.1.501, 48x7.2.9.502, 16x8.1.1.501, 12x9.1.507, 16x9.2.501, 2x9.3.504, 8x9.4.501, 12x10.2.503, 8x10.3.503, 8x10.3.1.501,</v>
      </c>
    </row>
    <row r="130" spans="1:13" x14ac:dyDescent="0.25">
      <c r="A130" t="s">
        <v>3647</v>
      </c>
      <c r="B130" s="18">
        <v>0</v>
      </c>
      <c r="C130" s="19" cm="1">
        <f t="array" aca="1" ref="C130" ca="1">SUMPRODUCT(SUMIF(INDIRECT("'"&amp;Assemblies[Assy]&amp;"'!"&amp;"C:C"),A130,(INDIRECT("'"&amp;Assemblies[Assy]&amp;"'!"&amp;"O:O"))))</f>
        <v>0</v>
      </c>
      <c r="M130" s="40" t="str" cm="1">
        <f t="array" aca="1" ref="M130" ca="1">TRIM(SUBSTITUTE(_xlfn.ARRAYTOTEXT(IFERROR(CONCATENATE(SUMIF(INDIRECT("'"&amp;Assemblies[Assy]&amp;"'!"&amp;"C$5:C1000"), $A130, INDIRECT("'"&amp;Assemblies[Assy]&amp;"'!"&amp;"O$5:O1000")), "x",Assemblies[Assy],".",IF(SUMIF(INDIRECT("'"&amp;Assemblies[Assy]&amp;"'!"&amp;"C$5:C1000"), $A130, INDIRECT("'"&amp;Assemblies[Assy]&amp;"'!"&amp;"A$5:A1000"))=0,NA(),SUMIF(INDIRECT("'"&amp;Assemblies[Assy]&amp;"'!"&amp;"C$5:C1000"), $A130, INDIRECT("'"&amp;Assemblies[Assy]&amp;"'!"&amp;"A$5:A1000")))),"")), " ,", ""))</f>
        <v>,</v>
      </c>
    </row>
    <row r="131" spans="1:13" x14ac:dyDescent="0.25">
      <c r="A131" t="s">
        <v>1236</v>
      </c>
      <c r="B131" s="18">
        <v>0</v>
      </c>
      <c r="C131" s="19" cm="1">
        <f t="array" aca="1" ref="C131" ca="1">SUMPRODUCT(SUMIF(INDIRECT("'"&amp;Assemblies[Assy]&amp;"'!"&amp;"C:C"),A131,(INDIRECT("'"&amp;Assemblies[Assy]&amp;"'!"&amp;"O:O"))))</f>
        <v>16</v>
      </c>
      <c r="M131" s="40" t="str" cm="1">
        <f t="array" aca="1" ref="M131" ca="1">TRIM(SUBSTITUTE(_xlfn.ARRAYTOTEXT(IFERROR(CONCATENATE(SUMIF(INDIRECT("'"&amp;Assemblies[Assy]&amp;"'!"&amp;"C$5:C1000"), $A131, INDIRECT("'"&amp;Assemblies[Assy]&amp;"'!"&amp;"O$5:O1000")), "x",Assemblies[Assy],".",IF(SUMIF(INDIRECT("'"&amp;Assemblies[Assy]&amp;"'!"&amp;"C$5:C1000"), $A131, INDIRECT("'"&amp;Assemblies[Assy]&amp;"'!"&amp;"A$5:A1000"))=0,NA(),SUMIF(INDIRECT("'"&amp;Assemblies[Assy]&amp;"'!"&amp;"C$5:C1000"), $A131, INDIRECT("'"&amp;Assemblies[Assy]&amp;"'!"&amp;"A$5:A1000")))),"")), " ,", ""))</f>
        <v>, 16x8.1.4.501,</v>
      </c>
    </row>
    <row r="132" spans="1:13" x14ac:dyDescent="0.25">
      <c r="A132" t="s">
        <v>277</v>
      </c>
      <c r="B132" s="18">
        <v>0</v>
      </c>
      <c r="C132" s="19" cm="1">
        <f t="array" aca="1" ref="C132" ca="1">SUMPRODUCT(SUMIF(INDIRECT("'"&amp;Assemblies[Assy]&amp;"'!"&amp;"C:C"),A132,(INDIRECT("'"&amp;Assemblies[Assy]&amp;"'!"&amp;"O:O"))))</f>
        <v>480</v>
      </c>
      <c r="M132" s="40" t="str" cm="1">
        <f t="array" aca="1" ref="M132" ca="1">TRIM(SUBSTITUTE(_xlfn.ARRAYTOTEXT(IFERROR(CONCATENATE(SUMIF(INDIRECT("'"&amp;Assemblies[Assy]&amp;"'!"&amp;"C$5:C1000"), $A132, INDIRECT("'"&amp;Assemblies[Assy]&amp;"'!"&amp;"O$5:O1000")), "x",Assemblies[Assy],".",IF(SUMIF(INDIRECT("'"&amp;Assemblies[Assy]&amp;"'!"&amp;"C$5:C1000"), $A132, INDIRECT("'"&amp;Assemblies[Assy]&amp;"'!"&amp;"A$5:A1000"))=0,NA(),SUMIF(INDIRECT("'"&amp;Assemblies[Assy]&amp;"'!"&amp;"C$5:C1000"), $A132, INDIRECT("'"&amp;Assemblies[Assy]&amp;"'!"&amp;"A$5:A1000")))),"")), " ,", ""))</f>
        <v>, 8x1.2.3.504, 12x1.4.502, 12x1.5.502, 24x2.2.1.501, 24x2.2.2.501, 24x2.2.3.501, 24x2.2.4.501, 50x3.2.5.502, 50x3.2.6.502, 24x3.2.7.501, 24x3.2.8.501, 24x4.2.4.501, 24x4.2.5.501, 24x4.2.6.501, 24x4.2.7.501, 24x4.2.8.501, 24x4.2.9.501, 4x4.6.501, 8x5.3.512, 48x10.1.1.501,</v>
      </c>
    </row>
    <row r="133" spans="1:13" x14ac:dyDescent="0.25">
      <c r="A133" t="s">
        <v>180</v>
      </c>
      <c r="B133" s="18">
        <v>0</v>
      </c>
      <c r="C133" s="19" cm="1">
        <f t="array" aca="1" ref="C133" ca="1">SUMPRODUCT(SUMIF(INDIRECT("'"&amp;Assemblies[Assy]&amp;"'!"&amp;"C:C"),A133,(INDIRECT("'"&amp;Assemblies[Assy]&amp;"'!"&amp;"O:O"))))</f>
        <v>242</v>
      </c>
      <c r="M133" s="40" t="str" cm="1">
        <f t="array" aca="1" ref="M133" ca="1">TRIM(SUBSTITUTE(_xlfn.ARRAYTOTEXT(IFERROR(CONCATENATE(SUMIF(INDIRECT("'"&amp;Assemblies[Assy]&amp;"'!"&amp;"C$5:C1000"), $A133, INDIRECT("'"&amp;Assemblies[Assy]&amp;"'!"&amp;"O$5:O1000")), "x",Assemblies[Assy],".",IF(SUMIF(INDIRECT("'"&amp;Assemblies[Assy]&amp;"'!"&amp;"C$5:C1000"), $A133, INDIRECT("'"&amp;Assemblies[Assy]&amp;"'!"&amp;"A$5:A1000"))=0,NA(),SUMIF(INDIRECT("'"&amp;Assemblies[Assy]&amp;"'!"&amp;"C$5:C1000"), $A133, INDIRECT("'"&amp;Assemblies[Assy]&amp;"'!"&amp;"A$5:A1000")))),"")), " ,", ""))</f>
        <v>, 48x1.1.4.502, 4x1.1.6.501, 20x1.1.7.503, 16x1.3.504, 24x2.3.505, 8x4.3.509, 8x4.4.502, 4x4.4.2.503, 2x4.5.1.503, 16x5.3.508, 16x6.1.507, 24x7.2.1.502, 16x7.2.3.504, 16x7.3.2.504, 8x7.6.1.504, 8x7.7.1.504, 4x10.2.2.501,</v>
      </c>
    </row>
    <row r="134" spans="1:13" x14ac:dyDescent="0.25">
      <c r="A134" t="s">
        <v>242</v>
      </c>
      <c r="B134" s="18">
        <v>0</v>
      </c>
      <c r="C134" s="19" cm="1">
        <f t="array" aca="1" ref="C134" ca="1">SUMPRODUCT(SUMIF(INDIRECT("'"&amp;Assemblies[Assy]&amp;"'!"&amp;"C:C"),A134,(INDIRECT("'"&amp;Assemblies[Assy]&amp;"'!"&amp;"O:O"))))</f>
        <v>12</v>
      </c>
      <c r="M134" s="40" t="str" cm="1">
        <f t="array" aca="1" ref="M134" ca="1">TRIM(SUBSTITUTE(_xlfn.ARRAYTOTEXT(IFERROR(CONCATENATE(SUMIF(INDIRECT("'"&amp;Assemblies[Assy]&amp;"'!"&amp;"C$5:C1000"), $A134, INDIRECT("'"&amp;Assemblies[Assy]&amp;"'!"&amp;"O$5:O1000")), "x",Assemblies[Assy],".",IF(SUMIF(INDIRECT("'"&amp;Assemblies[Assy]&amp;"'!"&amp;"C$5:C1000"), $A134, INDIRECT("'"&amp;Assemblies[Assy]&amp;"'!"&amp;"A$5:A1000"))=0,NA(),SUMIF(INDIRECT("'"&amp;Assemblies[Assy]&amp;"'!"&amp;"C$5:C1000"), $A134, INDIRECT("'"&amp;Assemblies[Assy]&amp;"'!"&amp;"A$5:A1000")))),"")), " ,", ""))</f>
        <v>, 12x1.1.16.502,</v>
      </c>
    </row>
    <row r="135" spans="1:13" x14ac:dyDescent="0.25">
      <c r="A135" t="s">
        <v>905</v>
      </c>
      <c r="B135" s="18">
        <v>0</v>
      </c>
      <c r="C135" s="19" cm="1">
        <f t="array" aca="1" ref="C135" ca="1">SUMPRODUCT(SUMIF(INDIRECT("'"&amp;Assemblies[Assy]&amp;"'!"&amp;"C:C"),A135,(INDIRECT("'"&amp;Assemblies[Assy]&amp;"'!"&amp;"O:O"))))</f>
        <v>16</v>
      </c>
      <c r="M135" s="40" t="str" cm="1">
        <f t="array" aca="1" ref="M135" ca="1">TRIM(SUBSTITUTE(_xlfn.ARRAYTOTEXT(IFERROR(CONCATENATE(SUMIF(INDIRECT("'"&amp;Assemblies[Assy]&amp;"'!"&amp;"C$5:C1000"), $A135, INDIRECT("'"&amp;Assemblies[Assy]&amp;"'!"&amp;"O$5:O1000")), "x",Assemblies[Assy],".",IF(SUMIF(INDIRECT("'"&amp;Assemblies[Assy]&amp;"'!"&amp;"C$5:C1000"), $A135, INDIRECT("'"&amp;Assemblies[Assy]&amp;"'!"&amp;"A$5:A1000"))=0,NA(),SUMIF(INDIRECT("'"&amp;Assemblies[Assy]&amp;"'!"&amp;"C$5:C1000"), $A135, INDIRECT("'"&amp;Assemblies[Assy]&amp;"'!"&amp;"A$5:A1000")))),"")), " ,", ""))</f>
        <v>, 8x6.1.511, 4x6.10.502, 4x9.4.503,</v>
      </c>
    </row>
    <row r="136" spans="1:13" x14ac:dyDescent="0.25">
      <c r="A136" t="s">
        <v>382</v>
      </c>
      <c r="B136" s="18">
        <v>0</v>
      </c>
      <c r="C136" s="19" cm="1">
        <f t="array" aca="1" ref="C136" ca="1">SUMPRODUCT(SUMIF(INDIRECT("'"&amp;Assemblies[Assy]&amp;"'!"&amp;"C:C"),A136,(INDIRECT("'"&amp;Assemblies[Assy]&amp;"'!"&amp;"O:O"))))</f>
        <v>451</v>
      </c>
      <c r="M136" s="40" t="str" cm="1">
        <f t="array" aca="1" ref="M136" ca="1">TRIM(SUBSTITUTE(_xlfn.ARRAYTOTEXT(IFERROR(CONCATENATE(SUMIF(INDIRECT("'"&amp;Assemblies[Assy]&amp;"'!"&amp;"C$5:C1000"), $A136, INDIRECT("'"&amp;Assemblies[Assy]&amp;"'!"&amp;"O$5:O1000")), "x",Assemblies[Assy],".",IF(SUMIF(INDIRECT("'"&amp;Assemblies[Assy]&amp;"'!"&amp;"C$5:C1000"), $A136, INDIRECT("'"&amp;Assemblies[Assy]&amp;"'!"&amp;"A$5:A1000"))=0,NA(),SUMIF(INDIRECT("'"&amp;Assemblies[Assy]&amp;"'!"&amp;"C$5:C1000"), $A136, INDIRECT("'"&amp;Assemblies[Assy]&amp;"'!"&amp;"A$5:A1000")))),"")), " ,", ""))</f>
        <v>, 12x2.1.2.501, 12x3.1.2.501, 4x3.4.502, 10x4.1.2.501, 6x4.1.4.501, 6x4.1.5.501, 8x4.4.1.502, 30x5.1.502, 12x5.3.509, 4x5.5.4.501, 20x6.1.508, 52x6.8.502, 3x7.1.1.502, 64x7.2.6.502, 36x7.2.7.501, 72x7.2.8.501, 32x7.6.2.502, 8x8.1.3.503, 32x8.1.5.502, 8x8.2.2.503, 4x8.3.504, 16x10.3.1.502,</v>
      </c>
    </row>
    <row r="137" spans="1:13" x14ac:dyDescent="0.25">
      <c r="A137" t="s">
        <v>1281</v>
      </c>
      <c r="B137" s="18">
        <v>0</v>
      </c>
      <c r="C137" s="19" cm="1">
        <f t="array" aca="1" ref="C137" ca="1">SUMPRODUCT(SUMIF(INDIRECT("'"&amp;Assemblies[Assy]&amp;"'!"&amp;"C:C"),A137,(INDIRECT("'"&amp;Assemblies[Assy]&amp;"'!"&amp;"O:O"))))</f>
        <v>18</v>
      </c>
      <c r="M137" s="40" t="str" cm="1">
        <f t="array" aca="1" ref="M137" ca="1">TRIM(SUBSTITUTE(_xlfn.ARRAYTOTEXT(IFERROR(CONCATENATE(SUMIF(INDIRECT("'"&amp;Assemblies[Assy]&amp;"'!"&amp;"C$5:C1000"), $A137, INDIRECT("'"&amp;Assemblies[Assy]&amp;"'!"&amp;"O$5:O1000")), "x",Assemblies[Assy],".",IF(SUMIF(INDIRECT("'"&amp;Assemblies[Assy]&amp;"'!"&amp;"C$5:C1000"), $A137, INDIRECT("'"&amp;Assemblies[Assy]&amp;"'!"&amp;"A$5:A1000"))=0,NA(),SUMIF(INDIRECT("'"&amp;Assemblies[Assy]&amp;"'!"&amp;"C$5:C1000"), $A137, INDIRECT("'"&amp;Assemblies[Assy]&amp;"'!"&amp;"A$5:A1000")))),"")), " ,", ""))</f>
        <v>, 18x9.1.502,</v>
      </c>
    </row>
    <row r="138" spans="1:13" x14ac:dyDescent="0.25">
      <c r="A138" t="s">
        <v>3648</v>
      </c>
      <c r="B138" s="18">
        <v>0</v>
      </c>
      <c r="C138" s="19" cm="1">
        <f t="array" aca="1" ref="C138" ca="1">SUMPRODUCT(SUMIF(INDIRECT("'"&amp;Assemblies[Assy]&amp;"'!"&amp;"C:C"),A138,(INDIRECT("'"&amp;Assemblies[Assy]&amp;"'!"&amp;"O:O"))))</f>
        <v>0</v>
      </c>
      <c r="M138" s="40" t="str" cm="1">
        <f t="array" aca="1" ref="M138" ca="1">TRIM(SUBSTITUTE(_xlfn.ARRAYTOTEXT(IFERROR(CONCATENATE(SUMIF(INDIRECT("'"&amp;Assemblies[Assy]&amp;"'!"&amp;"C$5:C1000"), $A138, INDIRECT("'"&amp;Assemblies[Assy]&amp;"'!"&amp;"O$5:O1000")), "x",Assemblies[Assy],".",IF(SUMIF(INDIRECT("'"&amp;Assemblies[Assy]&amp;"'!"&amp;"C$5:C1000"), $A138, INDIRECT("'"&amp;Assemblies[Assy]&amp;"'!"&amp;"A$5:A1000"))=0,NA(),SUMIF(INDIRECT("'"&amp;Assemblies[Assy]&amp;"'!"&amp;"C$5:C1000"), $A138, INDIRECT("'"&amp;Assemblies[Assy]&amp;"'!"&amp;"A$5:A1000")))),"")), " ,", ""))</f>
        <v>,</v>
      </c>
    </row>
    <row r="139" spans="1:13" x14ac:dyDescent="0.25">
      <c r="A139" t="s">
        <v>660</v>
      </c>
      <c r="B139" s="18">
        <v>0</v>
      </c>
      <c r="C139" s="19" cm="1">
        <f t="array" aca="1" ref="C139" ca="1">SUMPRODUCT(SUMIF(INDIRECT("'"&amp;Assemblies[Assy]&amp;"'!"&amp;"C:C"),A139,(INDIRECT("'"&amp;Assemblies[Assy]&amp;"'!"&amp;"O:O"))))</f>
        <v>112</v>
      </c>
      <c r="M139" s="40" t="str" cm="1">
        <f t="array" aca="1" ref="M139" ca="1">TRIM(SUBSTITUTE(_xlfn.ARRAYTOTEXT(IFERROR(CONCATENATE(SUMIF(INDIRECT("'"&amp;Assemblies[Assy]&amp;"'!"&amp;"C$5:C1000"), $A139, INDIRECT("'"&amp;Assemblies[Assy]&amp;"'!"&amp;"O$5:O1000")), "x",Assemblies[Assy],".",IF(SUMIF(INDIRECT("'"&amp;Assemblies[Assy]&amp;"'!"&amp;"C$5:C1000"), $A139, INDIRECT("'"&amp;Assemblies[Assy]&amp;"'!"&amp;"A$5:A1000"))=0,NA(),SUMIF(INDIRECT("'"&amp;Assemblies[Assy]&amp;"'!"&amp;"C$5:C1000"), $A139, INDIRECT("'"&amp;Assemblies[Assy]&amp;"'!"&amp;"A$5:A1000")))),"")), " ,", ""))</f>
        <v>, 16x4.5.505, 2x5.5.1.506, 2x5.6.2.502, 12x6.2.1.507, 2x6.2.1.4.503, 4x6.2.2.507, 4x6.2.3.507, 12x6.3.1.507, 2x6.3.1.4.503, 4x6.3.2.507, 4x6.3.3.507, 10x8.3.505, 34x10.2.504, 4x10.2.3.501,</v>
      </c>
    </row>
    <row r="140" spans="1:13" x14ac:dyDescent="0.25">
      <c r="A140" t="s">
        <v>3649</v>
      </c>
      <c r="B140" s="18">
        <v>0</v>
      </c>
      <c r="C140" s="19" cm="1">
        <f t="array" aca="1" ref="C140" ca="1">SUMPRODUCT(SUMIF(INDIRECT("'"&amp;Assemblies[Assy]&amp;"'!"&amp;"C:C"),A140,(INDIRECT("'"&amp;Assemblies[Assy]&amp;"'!"&amp;"O:O"))))</f>
        <v>0</v>
      </c>
      <c r="M140" s="40" t="str" cm="1">
        <f t="array" aca="1" ref="M140" ca="1">TRIM(SUBSTITUTE(_xlfn.ARRAYTOTEXT(IFERROR(CONCATENATE(SUMIF(INDIRECT("'"&amp;Assemblies[Assy]&amp;"'!"&amp;"C$5:C1000"), $A140, INDIRECT("'"&amp;Assemblies[Assy]&amp;"'!"&amp;"O$5:O1000")), "x",Assemblies[Assy],".",IF(SUMIF(INDIRECT("'"&amp;Assemblies[Assy]&amp;"'!"&amp;"C$5:C1000"), $A140, INDIRECT("'"&amp;Assemblies[Assy]&amp;"'!"&amp;"A$5:A1000"))=0,NA(),SUMIF(INDIRECT("'"&amp;Assemblies[Assy]&amp;"'!"&amp;"C$5:C1000"), $A140, INDIRECT("'"&amp;Assemblies[Assy]&amp;"'!"&amp;"A$5:A1000")))),"")), " ,", ""))</f>
        <v>,</v>
      </c>
    </row>
    <row r="141" spans="1:13" x14ac:dyDescent="0.25">
      <c r="A141" t="s">
        <v>1289</v>
      </c>
      <c r="B141" s="18">
        <v>0</v>
      </c>
      <c r="C141" s="19" cm="1">
        <f t="array" aca="1" ref="C141" ca="1">SUMPRODUCT(SUMIF(INDIRECT("'"&amp;Assemblies[Assy]&amp;"'!"&amp;"C:C"),A141,(INDIRECT("'"&amp;Assemblies[Assy]&amp;"'!"&amp;"O:O"))))</f>
        <v>8</v>
      </c>
      <c r="M141" s="40" t="str" cm="1">
        <f t="array" aca="1" ref="M141" ca="1">TRIM(SUBSTITUTE(_xlfn.ARRAYTOTEXT(IFERROR(CONCATENATE(SUMIF(INDIRECT("'"&amp;Assemblies[Assy]&amp;"'!"&amp;"C$5:C1000"), $A141, INDIRECT("'"&amp;Assemblies[Assy]&amp;"'!"&amp;"O$5:O1000")), "x",Assemblies[Assy],".",IF(SUMIF(INDIRECT("'"&amp;Assemblies[Assy]&amp;"'!"&amp;"C$5:C1000"), $A141, INDIRECT("'"&amp;Assemblies[Assy]&amp;"'!"&amp;"A$5:A1000"))=0,NA(),SUMIF(INDIRECT("'"&amp;Assemblies[Assy]&amp;"'!"&amp;"C$5:C1000"), $A141, INDIRECT("'"&amp;Assemblies[Assy]&amp;"'!"&amp;"A$5:A1000")))),"")), " ,", ""))</f>
        <v>, 8x9.1.510,</v>
      </c>
    </row>
    <row r="142" spans="1:13" x14ac:dyDescent="0.25">
      <c r="A142" t="s">
        <v>310</v>
      </c>
      <c r="B142" s="18">
        <v>0</v>
      </c>
      <c r="C142" s="19" cm="1">
        <f t="array" aca="1" ref="C142" ca="1">SUMPRODUCT(SUMIF(INDIRECT("'"&amp;Assemblies[Assy]&amp;"'!"&amp;"C:C"),A142,(INDIRECT("'"&amp;Assemblies[Assy]&amp;"'!"&amp;"O:O"))))</f>
        <v>144</v>
      </c>
      <c r="M142" s="40" t="str" cm="1">
        <f t="array" aca="1" ref="M142" ca="1">TRIM(SUBSTITUTE(_xlfn.ARRAYTOTEXT(IFERROR(CONCATENATE(SUMIF(INDIRECT("'"&amp;Assemblies[Assy]&amp;"'!"&amp;"C$5:C1000"), $A142, INDIRECT("'"&amp;Assemblies[Assy]&amp;"'!"&amp;"O$5:O1000")), "x",Assemblies[Assy],".",IF(SUMIF(INDIRECT("'"&amp;Assemblies[Assy]&amp;"'!"&amp;"C$5:C1000"), $A142, INDIRECT("'"&amp;Assemblies[Assy]&amp;"'!"&amp;"A$5:A1000"))=0,NA(),SUMIF(INDIRECT("'"&amp;Assemblies[Assy]&amp;"'!"&amp;"C$5:C1000"), $A142, INDIRECT("'"&amp;Assemblies[Assy]&amp;"'!"&amp;"A$5:A1000")))),"")), " ,", ""))</f>
        <v>, 40x1.3.505, 60x2.3.506, 2x4.5.1.504, 12x5.5.512, 14x5.6.512, 6x6.2.3.506, 6x6.3.3.506, 4x6.10.508,</v>
      </c>
    </row>
    <row r="143" spans="1:13" x14ac:dyDescent="0.25">
      <c r="A143" t="s">
        <v>3650</v>
      </c>
      <c r="B143" s="18">
        <v>0</v>
      </c>
      <c r="C143" s="19" cm="1">
        <f t="array" aca="1" ref="C143" ca="1">SUMPRODUCT(SUMIF(INDIRECT("'"&amp;Assemblies[Assy]&amp;"'!"&amp;"C:C"),A143,(INDIRECT("'"&amp;Assemblies[Assy]&amp;"'!"&amp;"O:O"))))</f>
        <v>0</v>
      </c>
      <c r="M143" s="40" t="str" cm="1">
        <f t="array" aca="1" ref="M143" ca="1">TRIM(SUBSTITUTE(_xlfn.ARRAYTOTEXT(IFERROR(CONCATENATE(SUMIF(INDIRECT("'"&amp;Assemblies[Assy]&amp;"'!"&amp;"C$5:C1000"), $A143, INDIRECT("'"&amp;Assemblies[Assy]&amp;"'!"&amp;"O$5:O1000")), "x",Assemblies[Assy],".",IF(SUMIF(INDIRECT("'"&amp;Assemblies[Assy]&amp;"'!"&amp;"C$5:C1000"), $A143, INDIRECT("'"&amp;Assemblies[Assy]&amp;"'!"&amp;"A$5:A1000"))=0,NA(),SUMIF(INDIRECT("'"&amp;Assemblies[Assy]&amp;"'!"&amp;"C$5:C1000"), $A143, INDIRECT("'"&amp;Assemblies[Assy]&amp;"'!"&amp;"A$5:A1000")))),"")), " ,", ""))</f>
        <v>,</v>
      </c>
    </row>
    <row r="144" spans="1:13" x14ac:dyDescent="0.25">
      <c r="A144" t="s">
        <v>311</v>
      </c>
      <c r="B144" s="18">
        <v>0</v>
      </c>
      <c r="C144" s="19" cm="1">
        <f t="array" aca="1" ref="C144" ca="1">SUMPRODUCT(SUMIF(INDIRECT("'"&amp;Assemblies[Assy]&amp;"'!"&amp;"C:C"),A144,(INDIRECT("'"&amp;Assemblies[Assy]&amp;"'!"&amp;"O:O"))))</f>
        <v>98</v>
      </c>
      <c r="M144" s="40" t="str" cm="1">
        <f t="array" aca="1" ref="M144" ca="1">TRIM(SUBSTITUTE(_xlfn.ARRAYTOTEXT(IFERROR(CONCATENATE(SUMIF(INDIRECT("'"&amp;Assemblies[Assy]&amp;"'!"&amp;"C$5:C1000"), $A144, INDIRECT("'"&amp;Assemblies[Assy]&amp;"'!"&amp;"O$5:O1000")), "x",Assemblies[Assy],".",IF(SUMIF(INDIRECT("'"&amp;Assemblies[Assy]&amp;"'!"&amp;"C$5:C1000"), $A144, INDIRECT("'"&amp;Assemblies[Assy]&amp;"'!"&amp;"A$5:A1000"))=0,NA(),SUMIF(INDIRECT("'"&amp;Assemblies[Assy]&amp;"'!"&amp;"C$5:C1000"), $A144, INDIRECT("'"&amp;Assemblies[Assy]&amp;"'!"&amp;"A$5:A1000")))),"")), " ,", ""))</f>
        <v>, 32x1.3.506, 48x2.3.507, 2x8.3.506, 16x10.2.505,</v>
      </c>
    </row>
    <row r="145" spans="1:13" x14ac:dyDescent="0.25">
      <c r="A145" t="s">
        <v>544</v>
      </c>
      <c r="B145" s="18">
        <v>0</v>
      </c>
      <c r="C145" s="19" cm="1">
        <f t="array" aca="1" ref="C145" ca="1">SUMPRODUCT(SUMIF(INDIRECT("'"&amp;Assemblies[Assy]&amp;"'!"&amp;"C:C"),A145,(INDIRECT("'"&amp;Assemblies[Assy]&amp;"'!"&amp;"O:O"))))</f>
        <v>28</v>
      </c>
      <c r="M145" s="40" t="str" cm="1">
        <f t="array" aca="1" ref="M145" ca="1">TRIM(SUBSTITUTE(_xlfn.ARRAYTOTEXT(IFERROR(CONCATENATE(SUMIF(INDIRECT("'"&amp;Assemblies[Assy]&amp;"'!"&amp;"C$5:C1000"), $A145, INDIRECT("'"&amp;Assemblies[Assy]&amp;"'!"&amp;"O$5:O1000")), "x",Assemblies[Assy],".",IF(SUMIF(INDIRECT("'"&amp;Assemblies[Assy]&amp;"'!"&amp;"C$5:C1000"), $A145, INDIRECT("'"&amp;Assemblies[Assy]&amp;"'!"&amp;"A$5:A1000"))=0,NA(),SUMIF(INDIRECT("'"&amp;Assemblies[Assy]&amp;"'!"&amp;"C$5:C1000"), $A145, INDIRECT("'"&amp;Assemblies[Assy]&amp;"'!"&amp;"A$5:A1000")))),"")), " ,", ""))</f>
        <v>, 24x4.1.3.501, 4x6.6.2.504,</v>
      </c>
    </row>
    <row r="146" spans="1:13" x14ac:dyDescent="0.25">
      <c r="A146" t="s">
        <v>3651</v>
      </c>
      <c r="B146" s="18">
        <v>0</v>
      </c>
      <c r="C146" s="19" cm="1">
        <f t="array" aca="1" ref="C146" ca="1">SUMPRODUCT(SUMIF(INDIRECT("'"&amp;Assemblies[Assy]&amp;"'!"&amp;"C:C"),A146,(INDIRECT("'"&amp;Assemblies[Assy]&amp;"'!"&amp;"O:O"))))</f>
        <v>0</v>
      </c>
      <c r="M146" s="40" t="str" cm="1">
        <f t="array" aca="1" ref="M146" ca="1">TRIM(SUBSTITUTE(_xlfn.ARRAYTOTEXT(IFERROR(CONCATENATE(SUMIF(INDIRECT("'"&amp;Assemblies[Assy]&amp;"'!"&amp;"C$5:C1000"), $A146, INDIRECT("'"&amp;Assemblies[Assy]&amp;"'!"&amp;"O$5:O1000")), "x",Assemblies[Assy],".",IF(SUMIF(INDIRECT("'"&amp;Assemblies[Assy]&amp;"'!"&amp;"C$5:C1000"), $A146, INDIRECT("'"&amp;Assemblies[Assy]&amp;"'!"&amp;"A$5:A1000"))=0,NA(),SUMIF(INDIRECT("'"&amp;Assemblies[Assy]&amp;"'!"&amp;"C$5:C1000"), $A146, INDIRECT("'"&amp;Assemblies[Assy]&amp;"'!"&amp;"A$5:A1000")))),"")), " ,", ""))</f>
        <v>,</v>
      </c>
    </row>
    <row r="147" spans="1:13" x14ac:dyDescent="0.25">
      <c r="A147" t="s">
        <v>3652</v>
      </c>
      <c r="B147" s="18">
        <v>0</v>
      </c>
      <c r="C147" s="19" cm="1">
        <f t="array" aca="1" ref="C147" ca="1">SUMPRODUCT(SUMIF(INDIRECT("'"&amp;Assemblies[Assy]&amp;"'!"&amp;"C:C"),A147,(INDIRECT("'"&amp;Assemblies[Assy]&amp;"'!"&amp;"O:O"))))</f>
        <v>0</v>
      </c>
      <c r="M147" s="40" t="str" cm="1">
        <f t="array" aca="1" ref="M147" ca="1">TRIM(SUBSTITUTE(_xlfn.ARRAYTOTEXT(IFERROR(CONCATENATE(SUMIF(INDIRECT("'"&amp;Assemblies[Assy]&amp;"'!"&amp;"C$5:C1000"), $A147, INDIRECT("'"&amp;Assemblies[Assy]&amp;"'!"&amp;"O$5:O1000")), "x",Assemblies[Assy],".",IF(SUMIF(INDIRECT("'"&amp;Assemblies[Assy]&amp;"'!"&amp;"C$5:C1000"), $A147, INDIRECT("'"&amp;Assemblies[Assy]&amp;"'!"&amp;"A$5:A1000"))=0,NA(),SUMIF(INDIRECT("'"&amp;Assemblies[Assy]&amp;"'!"&amp;"C$5:C1000"), $A147, INDIRECT("'"&amp;Assemblies[Assy]&amp;"'!"&amp;"A$5:A1000")))),"")), " ,", ""))</f>
        <v>,</v>
      </c>
    </row>
    <row r="148" spans="1:13" x14ac:dyDescent="0.25">
      <c r="A148" t="s">
        <v>3653</v>
      </c>
      <c r="B148" s="18">
        <v>0</v>
      </c>
      <c r="C148" s="19" cm="1">
        <f t="array" aca="1" ref="C148" ca="1">SUMPRODUCT(SUMIF(INDIRECT("'"&amp;Assemblies[Assy]&amp;"'!"&amp;"C:C"),A148,(INDIRECT("'"&amp;Assemblies[Assy]&amp;"'!"&amp;"O:O"))))</f>
        <v>0</v>
      </c>
      <c r="M148" s="40" t="str" cm="1">
        <f t="array" aca="1" ref="M148" ca="1">TRIM(SUBSTITUTE(_xlfn.ARRAYTOTEXT(IFERROR(CONCATENATE(SUMIF(INDIRECT("'"&amp;Assemblies[Assy]&amp;"'!"&amp;"C$5:C1000"), $A148, INDIRECT("'"&amp;Assemblies[Assy]&amp;"'!"&amp;"O$5:O1000")), "x",Assemblies[Assy],".",IF(SUMIF(INDIRECT("'"&amp;Assemblies[Assy]&amp;"'!"&amp;"C$5:C1000"), $A148, INDIRECT("'"&amp;Assemblies[Assy]&amp;"'!"&amp;"A$5:A1000"))=0,NA(),SUMIF(INDIRECT("'"&amp;Assemblies[Assy]&amp;"'!"&amp;"C$5:C1000"), $A148, INDIRECT("'"&amp;Assemblies[Assy]&amp;"'!"&amp;"A$5:A1000")))),"")), " ,", ""))</f>
        <v>,</v>
      </c>
    </row>
    <row r="149" spans="1:13" x14ac:dyDescent="0.25">
      <c r="A149" t="s">
        <v>1402</v>
      </c>
      <c r="B149" s="18">
        <v>0</v>
      </c>
      <c r="C149" s="19" cm="1">
        <f t="array" aca="1" ref="C149" ca="1">SUMPRODUCT(SUMIF(INDIRECT("'"&amp;Assemblies[Assy]&amp;"'!"&amp;"C:C"),A149,(INDIRECT("'"&amp;Assemblies[Assy]&amp;"'!"&amp;"O:O"))))</f>
        <v>4</v>
      </c>
      <c r="M149" s="40" t="str" cm="1">
        <f t="array" aca="1" ref="M149" ca="1">TRIM(SUBSTITUTE(_xlfn.ARRAYTOTEXT(IFERROR(CONCATENATE(SUMIF(INDIRECT("'"&amp;Assemblies[Assy]&amp;"'!"&amp;"C$5:C1000"), $A149, INDIRECT("'"&amp;Assemblies[Assy]&amp;"'!"&amp;"O$5:O1000")), "x",Assemblies[Assy],".",IF(SUMIF(INDIRECT("'"&amp;Assemblies[Assy]&amp;"'!"&amp;"C$5:C1000"), $A149, INDIRECT("'"&amp;Assemblies[Assy]&amp;"'!"&amp;"A$5:A1000"))=0,NA(),SUMIF(INDIRECT("'"&amp;Assemblies[Assy]&amp;"'!"&amp;"C$5:C1000"), $A149, INDIRECT("'"&amp;Assemblies[Assy]&amp;"'!"&amp;"A$5:A1000")))),"")), " ,", ""))</f>
        <v>, 4x10.2.3.502,</v>
      </c>
    </row>
    <row r="150" spans="1:13" x14ac:dyDescent="0.25">
      <c r="A150" t="s">
        <v>1456</v>
      </c>
      <c r="B150" s="18">
        <v>0</v>
      </c>
      <c r="C150" s="19" cm="1">
        <f t="array" aca="1" ref="C150" ca="1">SUMPRODUCT(SUMIF(INDIRECT("'"&amp;Assemblies[Assy]&amp;"'!"&amp;"C:C"),A150,(INDIRECT("'"&amp;Assemblies[Assy]&amp;"'!"&amp;"O:O"))))</f>
        <v>46</v>
      </c>
      <c r="M150" s="40" t="str" cm="1">
        <f t="array" aca="1" ref="M150" ca="1">TRIM(SUBSTITUTE(_xlfn.ARRAYTOTEXT(IFERROR(CONCATENATE(SUMIF(INDIRECT("'"&amp;Assemblies[Assy]&amp;"'!"&amp;"C$5:C1000"), $A150, INDIRECT("'"&amp;Assemblies[Assy]&amp;"'!"&amp;"O$5:O1000")), "x",Assemblies[Assy],".",IF(SUMIF(INDIRECT("'"&amp;Assemblies[Assy]&amp;"'!"&amp;"C$5:C1000"), $A150, INDIRECT("'"&amp;Assemblies[Assy]&amp;"'!"&amp;"A$5:A1000"))=0,NA(),SUMIF(INDIRECT("'"&amp;Assemblies[Assy]&amp;"'!"&amp;"C$5:C1000"), $A150, INDIRECT("'"&amp;Assemblies[Assy]&amp;"'!"&amp;"A$5:A1000")))),"")), " ,", ""))</f>
        <v>, 46x12.503</v>
      </c>
    </row>
    <row r="151" spans="1:13" x14ac:dyDescent="0.25">
      <c r="A151" t="s">
        <v>109</v>
      </c>
      <c r="B151" s="18">
        <v>0</v>
      </c>
      <c r="C151" s="19" cm="1">
        <f t="array" aca="1" ref="C151" ca="1">SUMPRODUCT(SUMIF(INDIRECT("'"&amp;Assemblies[Assy]&amp;"'!"&amp;"C:C"),A151,(INDIRECT("'"&amp;Assemblies[Assy]&amp;"'!"&amp;"O:O"))))</f>
        <v>188</v>
      </c>
      <c r="M151" s="40" t="str" cm="1">
        <f t="array" aca="1" ref="M151" ca="1">TRIM(SUBSTITUTE(_xlfn.ARRAYTOTEXT(IFERROR(CONCATENATE(SUMIF(INDIRECT("'"&amp;Assemblies[Assy]&amp;"'!"&amp;"C$5:C1000"), $A151, INDIRECT("'"&amp;Assemblies[Assy]&amp;"'!"&amp;"O$5:O1000")), "x",Assemblies[Assy],".",IF(SUMIF(INDIRECT("'"&amp;Assemblies[Assy]&amp;"'!"&amp;"C$5:C1000"), $A151, INDIRECT("'"&amp;Assemblies[Assy]&amp;"'!"&amp;"A$5:A1000"))=0,NA(),SUMIF(INDIRECT("'"&amp;Assemblies[Assy]&amp;"'!"&amp;"C$5:C1000"), $A151, INDIRECT("'"&amp;Assemblies[Assy]&amp;"'!"&amp;"A$5:A1000")))),"")), " ,", ""))</f>
        <v>, 8x0.3.503, 8x0.9.503, 8x0.10.503, 152x1.1.1.501, 4x3.4.503, 2x4.3.510, 6x9.1.508,</v>
      </c>
    </row>
    <row r="152" spans="1:13" x14ac:dyDescent="0.25">
      <c r="A152" t="s">
        <v>3654</v>
      </c>
      <c r="B152" s="18">
        <v>0</v>
      </c>
      <c r="C152" s="19" cm="1">
        <f t="array" aca="1" ref="C152" ca="1">SUMPRODUCT(SUMIF(INDIRECT("'"&amp;Assemblies[Assy]&amp;"'!"&amp;"C:C"),A152,(INDIRECT("'"&amp;Assemblies[Assy]&amp;"'!"&amp;"O:O"))))</f>
        <v>0</v>
      </c>
      <c r="M152" s="40" t="str" cm="1">
        <f t="array" aca="1" ref="M152" ca="1">TRIM(SUBSTITUTE(_xlfn.ARRAYTOTEXT(IFERROR(CONCATENATE(SUMIF(INDIRECT("'"&amp;Assemblies[Assy]&amp;"'!"&amp;"C$5:C1000"), $A152, INDIRECT("'"&amp;Assemblies[Assy]&amp;"'!"&amp;"O$5:O1000")), "x",Assemblies[Assy],".",IF(SUMIF(INDIRECT("'"&amp;Assemblies[Assy]&amp;"'!"&amp;"C$5:C1000"), $A152, INDIRECT("'"&amp;Assemblies[Assy]&amp;"'!"&amp;"A$5:A1000"))=0,NA(),SUMIF(INDIRECT("'"&amp;Assemblies[Assy]&amp;"'!"&amp;"C$5:C1000"), $A152, INDIRECT("'"&amp;Assemblies[Assy]&amp;"'!"&amp;"A$5:A1000")))),"")), " ,", ""))</f>
        <v>,</v>
      </c>
    </row>
    <row r="153" spans="1:13" x14ac:dyDescent="0.25">
      <c r="A153" t="s">
        <v>186</v>
      </c>
      <c r="B153" s="18">
        <v>0</v>
      </c>
      <c r="C153" s="19" cm="1">
        <f t="array" aca="1" ref="C153" ca="1">SUMPRODUCT(SUMIF(INDIRECT("'"&amp;Assemblies[Assy]&amp;"'!"&amp;"C:C"),A153,(INDIRECT("'"&amp;Assemblies[Assy]&amp;"'!"&amp;"O:O"))))</f>
        <v>220</v>
      </c>
      <c r="M153" s="40" t="str" cm="1">
        <f t="array" aca="1" ref="M153" ca="1">TRIM(SUBSTITUTE(_xlfn.ARRAYTOTEXT(IFERROR(CONCATENATE(SUMIF(INDIRECT("'"&amp;Assemblies[Assy]&amp;"'!"&amp;"C$5:C1000"), $A153, INDIRECT("'"&amp;Assemblies[Assy]&amp;"'!"&amp;"O$5:O1000")), "x",Assemblies[Assy],".",IF(SUMIF(INDIRECT("'"&amp;Assemblies[Assy]&amp;"'!"&amp;"C$5:C1000"), $A153, INDIRECT("'"&amp;Assemblies[Assy]&amp;"'!"&amp;"A$5:A1000"))=0,NA(),SUMIF(INDIRECT("'"&amp;Assemblies[Assy]&amp;"'!"&amp;"C$5:C1000"), $A153, INDIRECT("'"&amp;Assemblies[Assy]&amp;"'!"&amp;"A$5:A1000")))),"")), " ,", ""))</f>
        <v>, 8x1.1.5.501, 8x1.1.8.503, 112x2.1.1.501, 8x3.4.504, 6x4.1.7.502, 6x4.1.8.502, 12x4.3.511, 8x5.4.502, 12x6.1.509, 16x7.1.501, 24x10.2.506,</v>
      </c>
    </row>
    <row r="154" spans="1:13" x14ac:dyDescent="0.25">
      <c r="A154" t="s">
        <v>1457</v>
      </c>
      <c r="B154" s="18">
        <v>0</v>
      </c>
      <c r="C154" s="19" cm="1">
        <f t="array" aca="1" ref="C154" ca="1">SUMPRODUCT(SUMIF(INDIRECT("'"&amp;Assemblies[Assy]&amp;"'!"&amp;"C:C"),A154,(INDIRECT("'"&amp;Assemblies[Assy]&amp;"'!"&amp;"O:O"))))</f>
        <v>14</v>
      </c>
      <c r="M154" s="40" t="str" cm="1">
        <f t="array" aca="1" ref="M154" ca="1">TRIM(SUBSTITUTE(_xlfn.ARRAYTOTEXT(IFERROR(CONCATENATE(SUMIF(INDIRECT("'"&amp;Assemblies[Assy]&amp;"'!"&amp;"C$5:C1000"), $A154, INDIRECT("'"&amp;Assemblies[Assy]&amp;"'!"&amp;"O$5:O1000")), "x",Assemblies[Assy],".",IF(SUMIF(INDIRECT("'"&amp;Assemblies[Assy]&amp;"'!"&amp;"C$5:C1000"), $A154, INDIRECT("'"&amp;Assemblies[Assy]&amp;"'!"&amp;"A$5:A1000"))=0,NA(),SUMIF(INDIRECT("'"&amp;Assemblies[Assy]&amp;"'!"&amp;"C$5:C1000"), $A154, INDIRECT("'"&amp;Assemblies[Assy]&amp;"'!"&amp;"A$5:A1000")))),"")), " ,", ""))</f>
        <v>, 14x12.504</v>
      </c>
    </row>
    <row r="155" spans="1:13" x14ac:dyDescent="0.25">
      <c r="A155" t="s">
        <v>351</v>
      </c>
      <c r="B155" s="18">
        <v>0</v>
      </c>
      <c r="C155" s="19" cm="1">
        <f t="array" aca="1" ref="C155" ca="1">SUMPRODUCT(SUMIF(INDIRECT("'"&amp;Assemblies[Assy]&amp;"'!"&amp;"C:C"),A155,(INDIRECT("'"&amp;Assemblies[Assy]&amp;"'!"&amp;"O:O"))))</f>
        <v>36</v>
      </c>
      <c r="M155" s="40" t="str" cm="1">
        <f t="array" aca="1" ref="M155" ca="1">TRIM(SUBSTITUTE(_xlfn.ARRAYTOTEXT(IFERROR(CONCATENATE(SUMIF(INDIRECT("'"&amp;Assemblies[Assy]&amp;"'!"&amp;"C$5:C1000"), $A155, INDIRECT("'"&amp;Assemblies[Assy]&amp;"'!"&amp;"O$5:O1000")), "x",Assemblies[Assy],".",IF(SUMIF(INDIRECT("'"&amp;Assemblies[Assy]&amp;"'!"&amp;"C$5:C1000"), $A155, INDIRECT("'"&amp;Assemblies[Assy]&amp;"'!"&amp;"A$5:A1000"))=0,NA(),SUMIF(INDIRECT("'"&amp;Assemblies[Assy]&amp;"'!"&amp;"C$5:C1000"), $A155, INDIRECT("'"&amp;Assemblies[Assy]&amp;"'!"&amp;"A$5:A1000")))),"")), " ,", ""))</f>
        <v>, 32x1.4.1.504, 2x3.2.5.503, 2x3.2.6.503,</v>
      </c>
    </row>
    <row r="156" spans="1:13" x14ac:dyDescent="0.25">
      <c r="A156" t="s">
        <v>3655</v>
      </c>
      <c r="B156" s="18">
        <v>0</v>
      </c>
      <c r="C156" s="19" cm="1">
        <f t="array" aca="1" ref="C156" ca="1">SUMPRODUCT(SUMIF(INDIRECT("'"&amp;Assemblies[Assy]&amp;"'!"&amp;"C:C"),A156,(INDIRECT("'"&amp;Assemblies[Assy]&amp;"'!"&amp;"O:O"))))</f>
        <v>0</v>
      </c>
      <c r="M156" s="40" t="str" cm="1">
        <f t="array" aca="1" ref="M156" ca="1">TRIM(SUBSTITUTE(_xlfn.ARRAYTOTEXT(IFERROR(CONCATENATE(SUMIF(INDIRECT("'"&amp;Assemblies[Assy]&amp;"'!"&amp;"C$5:C1000"), $A156, INDIRECT("'"&amp;Assemblies[Assy]&amp;"'!"&amp;"O$5:O1000")), "x",Assemblies[Assy],".",IF(SUMIF(INDIRECT("'"&amp;Assemblies[Assy]&amp;"'!"&amp;"C$5:C1000"), $A156, INDIRECT("'"&amp;Assemblies[Assy]&amp;"'!"&amp;"A$5:A1000"))=0,NA(),SUMIF(INDIRECT("'"&amp;Assemblies[Assy]&amp;"'!"&amp;"C$5:C1000"), $A156, INDIRECT("'"&amp;Assemblies[Assy]&amp;"'!"&amp;"A$5:A1000")))),"")), " ,", ""))</f>
        <v>,</v>
      </c>
    </row>
    <row r="157" spans="1:13" x14ac:dyDescent="0.25">
      <c r="A157" t="s">
        <v>203</v>
      </c>
      <c r="B157" s="18">
        <v>0</v>
      </c>
      <c r="C157" s="19" cm="1">
        <f t="array" aca="1" ref="C157" ca="1">SUMPRODUCT(SUMIF(INDIRECT("'"&amp;Assemblies[Assy]&amp;"'!"&amp;"C:C"),A157,(INDIRECT("'"&amp;Assemblies[Assy]&amp;"'!"&amp;"O:O"))))</f>
        <v>235</v>
      </c>
      <c r="M157" s="40" t="str" cm="1">
        <f t="array" aca="1" ref="M157" ca="1">TRIM(SUBSTITUTE(_xlfn.ARRAYTOTEXT(IFERROR(CONCATENATE(SUMIF(INDIRECT("'"&amp;Assemblies[Assy]&amp;"'!"&amp;"C$5:C1000"), $A157, INDIRECT("'"&amp;Assemblies[Assy]&amp;"'!"&amp;"O$5:O1000")), "x",Assemblies[Assy],".",IF(SUMIF(INDIRECT("'"&amp;Assemblies[Assy]&amp;"'!"&amp;"C$5:C1000"), $A157, INDIRECT("'"&amp;Assemblies[Assy]&amp;"'!"&amp;"A$5:A1000"))=0,NA(),SUMIF(INDIRECT("'"&amp;Assemblies[Assy]&amp;"'!"&amp;"C$5:C1000"), $A157, INDIRECT("'"&amp;Assemblies[Assy]&amp;"'!"&amp;"A$5:A1000")))),"")), " ,", ""))</f>
        <v>, 16x1.1.7.502, 8x4.4.1.503, 10x4.4.2.504, 16x4.5.506, 16x4.7.503, 33x5.3.510, 44x6.1.510, 8x6.10.511, 20x7.2.10.501, 24x7.2.2.501, 24x7.3.1.501, 8x8.1.2.501, 8x8.2.1.501,</v>
      </c>
    </row>
    <row r="158" spans="1:13" x14ac:dyDescent="0.25">
      <c r="A158" t="s">
        <v>3656</v>
      </c>
      <c r="B158" s="18">
        <v>0</v>
      </c>
      <c r="C158" s="19" cm="1">
        <f t="array" aca="1" ref="C158" ca="1">SUMPRODUCT(SUMIF(INDIRECT("'"&amp;Assemblies[Assy]&amp;"'!"&amp;"C:C"),A158,(INDIRECT("'"&amp;Assemblies[Assy]&amp;"'!"&amp;"O:O"))))</f>
        <v>0</v>
      </c>
      <c r="M158" s="40" t="str" cm="1">
        <f t="array" aca="1" ref="M158" ca="1">TRIM(SUBSTITUTE(_xlfn.ARRAYTOTEXT(IFERROR(CONCATENATE(SUMIF(INDIRECT("'"&amp;Assemblies[Assy]&amp;"'!"&amp;"C$5:C1000"), $A158, INDIRECT("'"&amp;Assemblies[Assy]&amp;"'!"&amp;"O$5:O1000")), "x",Assemblies[Assy],".",IF(SUMIF(INDIRECT("'"&amp;Assemblies[Assy]&amp;"'!"&amp;"C$5:C1000"), $A158, INDIRECT("'"&amp;Assemblies[Assy]&amp;"'!"&amp;"A$5:A1000"))=0,NA(),SUMIF(INDIRECT("'"&amp;Assemblies[Assy]&amp;"'!"&amp;"C$5:C1000"), $A158, INDIRECT("'"&amp;Assemblies[Assy]&amp;"'!"&amp;"A$5:A1000")))),"")), " ,", ""))</f>
        <v>,</v>
      </c>
    </row>
    <row r="159" spans="1:13" x14ac:dyDescent="0.25">
      <c r="A159" t="s">
        <v>362</v>
      </c>
      <c r="B159" s="18">
        <v>0</v>
      </c>
      <c r="C159" s="19" cm="1">
        <f t="array" aca="1" ref="C159" ca="1">SUMPRODUCT(SUMIF(INDIRECT("'"&amp;Assemblies[Assy]&amp;"'!"&amp;"C:C"),A159,(INDIRECT("'"&amp;Assemblies[Assy]&amp;"'!"&amp;"O:O"))))</f>
        <v>22</v>
      </c>
      <c r="M159" s="40" t="str" cm="1">
        <f t="array" aca="1" ref="M159" ca="1">TRIM(SUBSTITUTE(_xlfn.ARRAYTOTEXT(IFERROR(CONCATENATE(SUMIF(INDIRECT("'"&amp;Assemblies[Assy]&amp;"'!"&amp;"C$5:C1000"), $A159, INDIRECT("'"&amp;Assemblies[Assy]&amp;"'!"&amp;"O$5:O1000")), "x",Assemblies[Assy],".",IF(SUMIF(INDIRECT("'"&amp;Assemblies[Assy]&amp;"'!"&amp;"C$5:C1000"), $A159, INDIRECT("'"&amp;Assemblies[Assy]&amp;"'!"&amp;"A$5:A1000"))=0,NA(),SUMIF(INDIRECT("'"&amp;Assemblies[Assy]&amp;"'!"&amp;"C$5:C1000"), $A159, INDIRECT("'"&amp;Assemblies[Assy]&amp;"'!"&amp;"A$5:A1000")))),"")), " ,", ""))</f>
        <v>, 6x1.6.502, 16x8.4.501,</v>
      </c>
    </row>
    <row r="160" spans="1:13" x14ac:dyDescent="0.25">
      <c r="A160" t="s">
        <v>264</v>
      </c>
      <c r="B160" s="18">
        <v>0</v>
      </c>
      <c r="C160" s="19" cm="1">
        <f t="array" aca="1" ref="C160" ca="1">SUMPRODUCT(SUMIF(INDIRECT("'"&amp;Assemblies[Assy]&amp;"'!"&amp;"C:C"),A160,(INDIRECT("'"&amp;Assemblies[Assy]&amp;"'!"&amp;"O:O"))))</f>
        <v>285</v>
      </c>
      <c r="M160" s="40" t="str" cm="1">
        <f t="array" aca="1" ref="M160" ca="1">TRIM(SUBSTITUTE(_xlfn.ARRAYTOTEXT(IFERROR(CONCATENATE(SUMIF(INDIRECT("'"&amp;Assemblies[Assy]&amp;"'!"&amp;"C$5:C1000"), $A160, INDIRECT("'"&amp;Assemblies[Assy]&amp;"'!"&amp;"O$5:O1000")), "x",Assemblies[Assy],".",IF(SUMIF(INDIRECT("'"&amp;Assemblies[Assy]&amp;"'!"&amp;"C$5:C1000"), $A160, INDIRECT("'"&amp;Assemblies[Assy]&amp;"'!"&amp;"A$5:A1000"))=0,NA(),SUMIF(INDIRECT("'"&amp;Assemblies[Assy]&amp;"'!"&amp;"C$5:C1000"), $A160, INDIRECT("'"&amp;Assemblies[Assy]&amp;"'!"&amp;"A$5:A1000")))),"")), " ,", ""))</f>
        <v>, 48x1.2.501, 16x1.3.507, 40x1.3.2.502, 72x1.4.2.501, 24x2.3.508, 4x2.3.7.503, 16x5.2.502, 2x5.3.511, 32x7.2.5.501, 16x10.2.507, 1x11.501, 4x11.1.503, 10x11.2.501,</v>
      </c>
    </row>
    <row r="161" spans="1:13" x14ac:dyDescent="0.25">
      <c r="A161" t="s">
        <v>3657</v>
      </c>
      <c r="B161" s="18">
        <v>0</v>
      </c>
      <c r="C161" s="19" cm="1">
        <f t="array" aca="1" ref="C161" ca="1">SUMPRODUCT(SUMIF(INDIRECT("'"&amp;Assemblies[Assy]&amp;"'!"&amp;"C:C"),A161,(INDIRECT("'"&amp;Assemblies[Assy]&amp;"'!"&amp;"O:O"))))</f>
        <v>0</v>
      </c>
      <c r="M161" s="40" t="str" cm="1">
        <f t="array" aca="1" ref="M161" ca="1">TRIM(SUBSTITUTE(_xlfn.ARRAYTOTEXT(IFERROR(CONCATENATE(SUMIF(INDIRECT("'"&amp;Assemblies[Assy]&amp;"'!"&amp;"C$5:C1000"), $A161, INDIRECT("'"&amp;Assemblies[Assy]&amp;"'!"&amp;"O$5:O1000")), "x",Assemblies[Assy],".",IF(SUMIF(INDIRECT("'"&amp;Assemblies[Assy]&amp;"'!"&amp;"C$5:C1000"), $A161, INDIRECT("'"&amp;Assemblies[Assy]&amp;"'!"&amp;"A$5:A1000"))=0,NA(),SUMIF(INDIRECT("'"&amp;Assemblies[Assy]&amp;"'!"&amp;"C$5:C1000"), $A161, INDIRECT("'"&amp;Assemblies[Assy]&amp;"'!"&amp;"A$5:A1000")))),"")), " ,", ""))</f>
        <v>,</v>
      </c>
    </row>
    <row r="162" spans="1:13" x14ac:dyDescent="0.25">
      <c r="A162" t="s">
        <v>269</v>
      </c>
      <c r="B162" s="18">
        <v>0</v>
      </c>
      <c r="C162" s="19" cm="1">
        <f t="array" aca="1" ref="C162" ca="1">SUMPRODUCT(SUMIF(INDIRECT("'"&amp;Assemblies[Assy]&amp;"'!"&amp;"C:C"),A162,(INDIRECT("'"&amp;Assemblies[Assy]&amp;"'!"&amp;"O:O"))))</f>
        <v>88</v>
      </c>
      <c r="M162" s="40" t="str" cm="1">
        <f t="array" aca="1" ref="M162" ca="1">TRIM(SUBSTITUTE(_xlfn.ARRAYTOTEXT(IFERROR(CONCATENATE(SUMIF(INDIRECT("'"&amp;Assemblies[Assy]&amp;"'!"&amp;"C$5:C1000"), $A162, INDIRECT("'"&amp;Assemblies[Assy]&amp;"'!"&amp;"O$5:O1000")), "x",Assemblies[Assy],".",IF(SUMIF(INDIRECT("'"&amp;Assemblies[Assy]&amp;"'!"&amp;"C$5:C1000"), $A162, INDIRECT("'"&amp;Assemblies[Assy]&amp;"'!"&amp;"A$5:A1000"))=0,NA(),SUMIF(INDIRECT("'"&amp;Assemblies[Assy]&amp;"'!"&amp;"C$5:C1000"), $A162, INDIRECT("'"&amp;Assemblies[Assy]&amp;"'!"&amp;"A$5:A1000")))),"")), " ,", ""))</f>
        <v>, 8x1.2.1.503, 8x1.2.2.503, 16x1.3.508, 24x2.3.509, 12x7.2.2.502, 12x7.3.1.502, 4x8.1.2.502, 4x8.2.1.502,</v>
      </c>
    </row>
    <row r="163" spans="1:13" x14ac:dyDescent="0.25">
      <c r="A163" t="s">
        <v>872</v>
      </c>
      <c r="B163" s="18">
        <v>0</v>
      </c>
      <c r="C163" s="19" cm="1">
        <f t="array" aca="1" ref="C163" ca="1">SUMPRODUCT(SUMIF(INDIRECT("'"&amp;Assemblies[Assy]&amp;"'!"&amp;"C:C"),A163,(INDIRECT("'"&amp;Assemblies[Assy]&amp;"'!"&amp;"O:O"))))</f>
        <v>20</v>
      </c>
      <c r="M163" s="40" t="str" cm="1">
        <f t="array" aca="1" ref="M163" ca="1">TRIM(SUBSTITUTE(_xlfn.ARRAYTOTEXT(IFERROR(CONCATENATE(SUMIF(INDIRECT("'"&amp;Assemblies[Assy]&amp;"'!"&amp;"C$5:C1000"), $A163, INDIRECT("'"&amp;Assemblies[Assy]&amp;"'!"&amp;"O$5:O1000")), "x",Assemblies[Assy],".",IF(SUMIF(INDIRECT("'"&amp;Assemblies[Assy]&amp;"'!"&amp;"C$5:C1000"), $A163, INDIRECT("'"&amp;Assemblies[Assy]&amp;"'!"&amp;"A$5:A1000"))=0,NA(),SUMIF(INDIRECT("'"&amp;Assemblies[Assy]&amp;"'!"&amp;"C$5:C1000"), $A163, INDIRECT("'"&amp;Assemblies[Assy]&amp;"'!"&amp;"A$5:A1000")))),"")), " ,", ""))</f>
        <v>, 8x5.7.506, 2x6.2.2.508, 2x6.3.2.508, 8x10.2.2.502,</v>
      </c>
    </row>
    <row r="164" spans="1:13" x14ac:dyDescent="0.25">
      <c r="A164" t="s">
        <v>3658</v>
      </c>
      <c r="B164" s="18">
        <v>0</v>
      </c>
      <c r="C164" s="19" cm="1">
        <f t="array" aca="1" ref="C164" ca="1">SUMPRODUCT(SUMIF(INDIRECT("'"&amp;Assemblies[Assy]&amp;"'!"&amp;"C:C"),A164,(INDIRECT("'"&amp;Assemblies[Assy]&amp;"'!"&amp;"O:O"))))</f>
        <v>0</v>
      </c>
      <c r="M164" s="40" t="str" cm="1">
        <f t="array" aca="1" ref="M164" ca="1">TRIM(SUBSTITUTE(_xlfn.ARRAYTOTEXT(IFERROR(CONCATENATE(SUMIF(INDIRECT("'"&amp;Assemblies[Assy]&amp;"'!"&amp;"C$5:C1000"), $A164, INDIRECT("'"&amp;Assemblies[Assy]&amp;"'!"&amp;"O$5:O1000")), "x",Assemblies[Assy],".",IF(SUMIF(INDIRECT("'"&amp;Assemblies[Assy]&amp;"'!"&amp;"C$5:C1000"), $A164, INDIRECT("'"&amp;Assemblies[Assy]&amp;"'!"&amp;"A$5:A1000"))=0,NA(),SUMIF(INDIRECT("'"&amp;Assemblies[Assy]&amp;"'!"&amp;"C$5:C1000"), $A164, INDIRECT("'"&amp;Assemblies[Assy]&amp;"'!"&amp;"A$5:A1000")))),"")), " ,", ""))</f>
        <v>,</v>
      </c>
    </row>
    <row r="165" spans="1:13" x14ac:dyDescent="0.25">
      <c r="A165" t="s">
        <v>3659</v>
      </c>
      <c r="B165" s="18">
        <v>0</v>
      </c>
      <c r="C165" s="19" cm="1">
        <f t="array" aca="1" ref="C165" ca="1">SUMPRODUCT(SUMIF(INDIRECT("'"&amp;Assemblies[Assy]&amp;"'!"&amp;"C:C"),A165,(INDIRECT("'"&amp;Assemblies[Assy]&amp;"'!"&amp;"O:O"))))</f>
        <v>0</v>
      </c>
      <c r="M165" s="40" t="str" cm="1">
        <f t="array" aca="1" ref="M165" ca="1">TRIM(SUBSTITUTE(_xlfn.ARRAYTOTEXT(IFERROR(CONCATENATE(SUMIF(INDIRECT("'"&amp;Assemblies[Assy]&amp;"'!"&amp;"C$5:C1000"), $A165, INDIRECT("'"&amp;Assemblies[Assy]&amp;"'!"&amp;"O$5:O1000")), "x",Assemblies[Assy],".",IF(SUMIF(INDIRECT("'"&amp;Assemblies[Assy]&amp;"'!"&amp;"C$5:C1000"), $A165, INDIRECT("'"&amp;Assemblies[Assy]&amp;"'!"&amp;"A$5:A1000"))=0,NA(),SUMIF(INDIRECT("'"&amp;Assemblies[Assy]&amp;"'!"&amp;"C$5:C1000"), $A165, INDIRECT("'"&amp;Assemblies[Assy]&amp;"'!"&amp;"A$5:A1000")))),"")), " ,", ""))</f>
        <v>,</v>
      </c>
    </row>
    <row r="166" spans="1:13" x14ac:dyDescent="0.25">
      <c r="A166" t="s">
        <v>324</v>
      </c>
      <c r="B166" s="18">
        <v>0</v>
      </c>
      <c r="C166" s="19" cm="1">
        <f t="array" aca="1" ref="C166" ca="1">SUMPRODUCT(SUMIF(INDIRECT("'"&amp;Assemblies[Assy]&amp;"'!"&amp;"C:C"),A166,(INDIRECT("'"&amp;Assemblies[Assy]&amp;"'!"&amp;"O:O"))))</f>
        <v>60</v>
      </c>
      <c r="M166" s="40" t="str" cm="1">
        <f t="array" aca="1" ref="M166" ca="1">TRIM(SUBSTITUTE(_xlfn.ARRAYTOTEXT(IFERROR(CONCATENATE(SUMIF(INDIRECT("'"&amp;Assemblies[Assy]&amp;"'!"&amp;"C$5:C1000"), $A166, INDIRECT("'"&amp;Assemblies[Assy]&amp;"'!"&amp;"O$5:O1000")), "x",Assemblies[Assy],".",IF(SUMIF(INDIRECT("'"&amp;Assemblies[Assy]&amp;"'!"&amp;"C$5:C1000"), $A166, INDIRECT("'"&amp;Assemblies[Assy]&amp;"'!"&amp;"A$5:A1000"))=0,NA(),SUMIF(INDIRECT("'"&amp;Assemblies[Assy]&amp;"'!"&amp;"C$5:C1000"), $A166, INDIRECT("'"&amp;Assemblies[Assy]&amp;"'!"&amp;"A$5:A1000")))),"")), " ,", ""))</f>
        <v>, 20x1.3.2.503, 16x2.1.3.501, 4x2.3.7.505, 20x3.1.1.501,</v>
      </c>
    </row>
    <row r="167" spans="1:13" x14ac:dyDescent="0.25">
      <c r="A167" t="s">
        <v>507</v>
      </c>
      <c r="B167" s="18">
        <v>0</v>
      </c>
      <c r="C167" s="19" cm="1">
        <f t="array" aca="1" ref="C167" ca="1">SUMPRODUCT(SUMIF(INDIRECT("'"&amp;Assemblies[Assy]&amp;"'!"&amp;"C:C"),A167,(INDIRECT("'"&amp;Assemblies[Assy]&amp;"'!"&amp;"O:O"))))</f>
        <v>4</v>
      </c>
      <c r="M167" s="40" t="str" cm="1">
        <f t="array" aca="1" ref="M167" ca="1">TRIM(SUBSTITUTE(_xlfn.ARRAYTOTEXT(IFERROR(CONCATENATE(SUMIF(INDIRECT("'"&amp;Assemblies[Assy]&amp;"'!"&amp;"C$5:C1000"), $A167, INDIRECT("'"&amp;Assemblies[Assy]&amp;"'!"&amp;"O$5:O1000")), "x",Assemblies[Assy],".",IF(SUMIF(INDIRECT("'"&amp;Assemblies[Assy]&amp;"'!"&amp;"C$5:C1000"), $A167, INDIRECT("'"&amp;Assemblies[Assy]&amp;"'!"&amp;"A$5:A1000"))=0,NA(),SUMIF(INDIRECT("'"&amp;Assemblies[Assy]&amp;"'!"&amp;"C$5:C1000"), $A167, INDIRECT("'"&amp;Assemblies[Assy]&amp;"'!"&amp;"A$5:A1000")))),"")), " ,", ""))</f>
        <v>, 4x3.4.505,</v>
      </c>
    </row>
    <row r="168" spans="1:13" x14ac:dyDescent="0.25">
      <c r="A168" t="s">
        <v>632</v>
      </c>
      <c r="B168" s="18">
        <v>0</v>
      </c>
      <c r="C168" s="19" cm="1">
        <f t="array" aca="1" ref="C168" ca="1">SUMPRODUCT(SUMIF(INDIRECT("'"&amp;Assemblies[Assy]&amp;"'!"&amp;"C:C"),A168,(INDIRECT("'"&amp;Assemblies[Assy]&amp;"'!"&amp;"O:O"))))</f>
        <v>8</v>
      </c>
      <c r="M168" s="40" t="str" cm="1">
        <f t="array" aca="1" ref="M168" ca="1">TRIM(SUBSTITUTE(_xlfn.ARRAYTOTEXT(IFERROR(CONCATENATE(SUMIF(INDIRECT("'"&amp;Assemblies[Assy]&amp;"'!"&amp;"C$5:C1000"), $A168, INDIRECT("'"&amp;Assemblies[Assy]&amp;"'!"&amp;"O$5:O1000")), "x",Assemblies[Assy],".",IF(SUMIF(INDIRECT("'"&amp;Assemblies[Assy]&amp;"'!"&amp;"C$5:C1000"), $A168, INDIRECT("'"&amp;Assemblies[Assy]&amp;"'!"&amp;"A$5:A1000"))=0,NA(),SUMIF(INDIRECT("'"&amp;Assemblies[Assy]&amp;"'!"&amp;"C$5:C1000"), $A168, INDIRECT("'"&amp;Assemblies[Assy]&amp;"'!"&amp;"A$5:A1000")))),"")), " ,", ""))</f>
        <v>, 8x4.4.503,</v>
      </c>
    </row>
    <row r="169" spans="1:13" x14ac:dyDescent="0.25">
      <c r="A169" t="s">
        <v>1161</v>
      </c>
      <c r="B169" s="18">
        <v>0</v>
      </c>
      <c r="C169" s="19" cm="1">
        <f t="array" aca="1" ref="C169" ca="1">SUMPRODUCT(SUMIF(INDIRECT("'"&amp;Assemblies[Assy]&amp;"'!"&amp;"C:C"),A169,(INDIRECT("'"&amp;Assemblies[Assy]&amp;"'!"&amp;"O:O"))))</f>
        <v>32</v>
      </c>
      <c r="M169" s="40" t="str" cm="1">
        <f t="array" aca="1" ref="M169" ca="1">TRIM(SUBSTITUTE(_xlfn.ARRAYTOTEXT(IFERROR(CONCATENATE(SUMIF(INDIRECT("'"&amp;Assemblies[Assy]&amp;"'!"&amp;"C$5:C1000"), $A169, INDIRECT("'"&amp;Assemblies[Assy]&amp;"'!"&amp;"O$5:O1000")), "x",Assemblies[Assy],".",IF(SUMIF(INDIRECT("'"&amp;Assemblies[Assy]&amp;"'!"&amp;"C$5:C1000"), $A169, INDIRECT("'"&amp;Assemblies[Assy]&amp;"'!"&amp;"A$5:A1000"))=0,NA(),SUMIF(INDIRECT("'"&amp;Assemblies[Assy]&amp;"'!"&amp;"C$5:C1000"), $A169, INDIRECT("'"&amp;Assemblies[Assy]&amp;"'!"&amp;"A$5:A1000")))),"")), " ,", ""))</f>
        <v>, 12x7.2.2.503, 12x7.3.1.503, 4x8.1.2.503, 4x8.2.1.503,</v>
      </c>
    </row>
    <row r="170" spans="1:13" x14ac:dyDescent="0.25">
      <c r="A170" t="s">
        <v>3660</v>
      </c>
      <c r="B170" s="18">
        <v>0</v>
      </c>
      <c r="C170" s="19" cm="1">
        <f t="array" aca="1" ref="C170" ca="1">SUMPRODUCT(SUMIF(INDIRECT("'"&amp;Assemblies[Assy]&amp;"'!"&amp;"C:C"),A170,(INDIRECT("'"&amp;Assemblies[Assy]&amp;"'!"&amp;"O:O"))))</f>
        <v>0</v>
      </c>
      <c r="M170" s="40" t="str" cm="1">
        <f t="array" aca="1" ref="M170" ca="1">TRIM(SUBSTITUTE(_xlfn.ARRAYTOTEXT(IFERROR(CONCATENATE(SUMIF(INDIRECT("'"&amp;Assemblies[Assy]&amp;"'!"&amp;"C$5:C1000"), $A170, INDIRECT("'"&amp;Assemblies[Assy]&amp;"'!"&amp;"O$5:O1000")), "x",Assemblies[Assy],".",IF(SUMIF(INDIRECT("'"&amp;Assemblies[Assy]&amp;"'!"&amp;"C$5:C1000"), $A170, INDIRECT("'"&amp;Assemblies[Assy]&amp;"'!"&amp;"A$5:A1000"))=0,NA(),SUMIF(INDIRECT("'"&amp;Assemblies[Assy]&amp;"'!"&amp;"C$5:C1000"), $A170, INDIRECT("'"&amp;Assemblies[Assy]&amp;"'!"&amp;"A$5:A1000")))),"")), " ,", ""))</f>
        <v>,</v>
      </c>
    </row>
    <row r="171" spans="1:13" x14ac:dyDescent="0.25">
      <c r="A171" t="s">
        <v>3661</v>
      </c>
      <c r="B171" s="18">
        <v>0</v>
      </c>
      <c r="C171" s="19" cm="1">
        <f t="array" aca="1" ref="C171" ca="1">SUMPRODUCT(SUMIF(INDIRECT("'"&amp;Assemblies[Assy]&amp;"'!"&amp;"C:C"),A171,(INDIRECT("'"&amp;Assemblies[Assy]&amp;"'!"&amp;"O:O"))))</f>
        <v>0</v>
      </c>
      <c r="M171" s="40" t="str" cm="1">
        <f t="array" aca="1" ref="M171" ca="1">TRIM(SUBSTITUTE(_xlfn.ARRAYTOTEXT(IFERROR(CONCATENATE(SUMIF(INDIRECT("'"&amp;Assemblies[Assy]&amp;"'!"&amp;"C$5:C1000"), $A171, INDIRECT("'"&amp;Assemblies[Assy]&amp;"'!"&amp;"O$5:O1000")), "x",Assemblies[Assy],".",IF(SUMIF(INDIRECT("'"&amp;Assemblies[Assy]&amp;"'!"&amp;"C$5:C1000"), $A171, INDIRECT("'"&amp;Assemblies[Assy]&amp;"'!"&amp;"A$5:A1000"))=0,NA(),SUMIF(INDIRECT("'"&amp;Assemblies[Assy]&amp;"'!"&amp;"C$5:C1000"), $A171, INDIRECT("'"&amp;Assemblies[Assy]&amp;"'!"&amp;"A$5:A1000")))),"")), " ,", ""))</f>
        <v>,</v>
      </c>
    </row>
    <row r="172" spans="1:13" x14ac:dyDescent="0.25">
      <c r="A172" t="s">
        <v>1237</v>
      </c>
      <c r="B172" s="18">
        <v>0</v>
      </c>
      <c r="C172" s="19" cm="1">
        <f t="array" aca="1" ref="C172" ca="1">SUMPRODUCT(SUMIF(INDIRECT("'"&amp;Assemblies[Assy]&amp;"'!"&amp;"C:C"),A172,(INDIRECT("'"&amp;Assemblies[Assy]&amp;"'!"&amp;"O:O"))))</f>
        <v>8</v>
      </c>
      <c r="M172" s="40" t="str" cm="1">
        <f t="array" aca="1" ref="M172" ca="1">TRIM(SUBSTITUTE(_xlfn.ARRAYTOTEXT(IFERROR(CONCATENATE(SUMIF(INDIRECT("'"&amp;Assemblies[Assy]&amp;"'!"&amp;"C$5:C1000"), $A172, INDIRECT("'"&amp;Assemblies[Assy]&amp;"'!"&amp;"O$5:O1000")), "x",Assemblies[Assy],".",IF(SUMIF(INDIRECT("'"&amp;Assemblies[Assy]&amp;"'!"&amp;"C$5:C1000"), $A172, INDIRECT("'"&amp;Assemblies[Assy]&amp;"'!"&amp;"A$5:A1000"))=0,NA(),SUMIF(INDIRECT("'"&amp;Assemblies[Assy]&amp;"'!"&amp;"C$5:C1000"), $A172, INDIRECT("'"&amp;Assemblies[Assy]&amp;"'!"&amp;"A$5:A1000")))),"")), " ,", ""))</f>
        <v>, 8x8.1.4.503,</v>
      </c>
    </row>
    <row r="173" spans="1:13" x14ac:dyDescent="0.25">
      <c r="A173" t="s">
        <v>1132</v>
      </c>
      <c r="B173" s="18">
        <v>0</v>
      </c>
      <c r="C173" s="19" cm="1">
        <f t="array" aca="1" ref="C173" ca="1">SUMPRODUCT(SUMIF(INDIRECT("'"&amp;Assemblies[Assy]&amp;"'!"&amp;"C:C"),A173,(INDIRECT("'"&amp;Assemblies[Assy]&amp;"'!"&amp;"O:O"))))</f>
        <v>12</v>
      </c>
      <c r="M173" s="40" t="str" cm="1">
        <f t="array" aca="1" ref="M173" ca="1">TRIM(SUBSTITUTE(_xlfn.ARRAYTOTEXT(IFERROR(CONCATENATE(SUMIF(INDIRECT("'"&amp;Assemblies[Assy]&amp;"'!"&amp;"C$5:C1000"), $A173, INDIRECT("'"&amp;Assemblies[Assy]&amp;"'!"&amp;"O$5:O1000")), "x",Assemblies[Assy],".",IF(SUMIF(INDIRECT("'"&amp;Assemblies[Assy]&amp;"'!"&amp;"C$5:C1000"), $A173, INDIRECT("'"&amp;Assemblies[Assy]&amp;"'!"&amp;"A$5:A1000"))=0,NA(),SUMIF(INDIRECT("'"&amp;Assemblies[Assy]&amp;"'!"&amp;"C$5:C1000"), $A173, INDIRECT("'"&amp;Assemblies[Assy]&amp;"'!"&amp;"A$5:A1000")))),"")), " ,", ""))</f>
        <v>, 12x7.1.3.504,</v>
      </c>
    </row>
    <row r="174" spans="1:13" x14ac:dyDescent="0.25">
      <c r="A174" t="s">
        <v>361</v>
      </c>
      <c r="B174" s="18">
        <v>0</v>
      </c>
      <c r="C174" s="19" cm="1">
        <f t="array" aca="1" ref="C174" ca="1">SUMPRODUCT(SUMIF(INDIRECT("'"&amp;Assemblies[Assy]&amp;"'!"&amp;"C:C"),A174,(INDIRECT("'"&amp;Assemblies[Assy]&amp;"'!"&amp;"O:O"))))</f>
        <v>20</v>
      </c>
      <c r="M174" s="40" t="str" cm="1">
        <f t="array" aca="1" ref="M174" ca="1">TRIM(SUBSTITUTE(_xlfn.ARRAYTOTEXT(IFERROR(CONCATENATE(SUMIF(INDIRECT("'"&amp;Assemblies[Assy]&amp;"'!"&amp;"C$5:C1000"), $A174, INDIRECT("'"&amp;Assemblies[Assy]&amp;"'!"&amp;"O$5:O1000")), "x",Assemblies[Assy],".",IF(SUMIF(INDIRECT("'"&amp;Assemblies[Assy]&amp;"'!"&amp;"C$5:C1000"), $A174, INDIRECT("'"&amp;Assemblies[Assy]&amp;"'!"&amp;"A$5:A1000"))=0,NA(),SUMIF(INDIRECT("'"&amp;Assemblies[Assy]&amp;"'!"&amp;"C$5:C1000"), $A174, INDIRECT("'"&amp;Assemblies[Assy]&amp;"'!"&amp;"A$5:A1000")))),"")), " ,", ""))</f>
        <v>, 16x1.6.501, 4x11.1.502,</v>
      </c>
    </row>
    <row r="175" spans="1:13" x14ac:dyDescent="0.25">
      <c r="A175" t="s">
        <v>187</v>
      </c>
      <c r="B175" s="18">
        <v>0</v>
      </c>
      <c r="C175" s="19" cm="1">
        <f t="array" aca="1" ref="C175" ca="1">SUMPRODUCT(SUMIF(INDIRECT("'"&amp;Assemblies[Assy]&amp;"'!"&amp;"C:C"),A175,(INDIRECT("'"&amp;Assemblies[Assy]&amp;"'!"&amp;"O:O"))))</f>
        <v>2</v>
      </c>
      <c r="M175" s="40" t="str" cm="1">
        <f t="array" aca="1" ref="M175" ca="1">TRIM(SUBSTITUTE(_xlfn.ARRAYTOTEXT(IFERROR(CONCATENATE(SUMIF(INDIRECT("'"&amp;Assemblies[Assy]&amp;"'!"&amp;"C$5:C1000"), $A175, INDIRECT("'"&amp;Assemblies[Assy]&amp;"'!"&amp;"O$5:O1000")), "x",Assemblies[Assy],".",IF(SUMIF(INDIRECT("'"&amp;Assemblies[Assy]&amp;"'!"&amp;"C$5:C1000"), $A175, INDIRECT("'"&amp;Assemblies[Assy]&amp;"'!"&amp;"A$5:A1000"))=0,NA(),SUMIF(INDIRECT("'"&amp;Assemblies[Assy]&amp;"'!"&amp;"C$5:C1000"), $A175, INDIRECT("'"&amp;Assemblies[Assy]&amp;"'!"&amp;"A$5:A1000")))),"")), " ,", ""))</f>
        <v>, 2x1.1.5.502,</v>
      </c>
    </row>
    <row r="176" spans="1:13" x14ac:dyDescent="0.25">
      <c r="A176" t="s">
        <v>1163</v>
      </c>
      <c r="B176" s="18">
        <v>0</v>
      </c>
      <c r="C176" s="19" cm="1">
        <f t="array" aca="1" ref="C176" ca="1">SUMPRODUCT(SUMIF(INDIRECT("'"&amp;Assemblies[Assy]&amp;"'!"&amp;"C:C"),A176,(INDIRECT("'"&amp;Assemblies[Assy]&amp;"'!"&amp;"O:O"))))</f>
        <v>48</v>
      </c>
      <c r="M176" s="40" t="str" cm="1">
        <f t="array" aca="1" ref="M176" ca="1">TRIM(SUBSTITUTE(_xlfn.ARRAYTOTEXT(IFERROR(CONCATENATE(SUMIF(INDIRECT("'"&amp;Assemblies[Assy]&amp;"'!"&amp;"C$5:C1000"), $A176, INDIRECT("'"&amp;Assemblies[Assy]&amp;"'!"&amp;"O$5:O1000")), "x",Assemblies[Assy],".",IF(SUMIF(INDIRECT("'"&amp;Assemblies[Assy]&amp;"'!"&amp;"C$5:C1000"), $A176, INDIRECT("'"&amp;Assemblies[Assy]&amp;"'!"&amp;"A$5:A1000"))=0,NA(),SUMIF(INDIRECT("'"&amp;Assemblies[Assy]&amp;"'!"&amp;"C$5:C1000"), $A176, INDIRECT("'"&amp;Assemblies[Assy]&amp;"'!"&amp;"A$5:A1000")))),"")), " ,", ""))</f>
        <v>, 12x7.2.2.507, 16x7.2.5.503, 12x7.3.1.507, 4x8.1.2.507, 4x8.2.1.507,</v>
      </c>
    </row>
    <row r="177" spans="1:13" x14ac:dyDescent="0.25">
      <c r="A177" t="s">
        <v>943</v>
      </c>
      <c r="B177" s="18">
        <v>0</v>
      </c>
      <c r="C177" s="19" cm="1">
        <f t="array" aca="1" ref="C177" ca="1">SUMPRODUCT(SUMIF(INDIRECT("'"&amp;Assemblies[Assy]&amp;"'!"&amp;"C:C"),A177,(INDIRECT("'"&amp;Assemblies[Assy]&amp;"'!"&amp;"O:O"))))</f>
        <v>24</v>
      </c>
      <c r="M177" s="40" t="str" cm="1">
        <f t="array" aca="1" ref="M177" ca="1">TRIM(SUBSTITUTE(_xlfn.ARRAYTOTEXT(IFERROR(CONCATENATE(SUMIF(INDIRECT("'"&amp;Assemblies[Assy]&amp;"'!"&amp;"C$5:C1000"), $A177, INDIRECT("'"&amp;Assemblies[Assy]&amp;"'!"&amp;"O$5:O1000")), "x",Assemblies[Assy],".",IF(SUMIF(INDIRECT("'"&amp;Assemblies[Assy]&amp;"'!"&amp;"C$5:C1000"), $A177, INDIRECT("'"&amp;Assemblies[Assy]&amp;"'!"&amp;"A$5:A1000"))=0,NA(),SUMIF(INDIRECT("'"&amp;Assemblies[Assy]&amp;"'!"&amp;"C$5:C1000"), $A177, INDIRECT("'"&amp;Assemblies[Assy]&amp;"'!"&amp;"A$5:A1000")))),"")), " ,", ""))</f>
        <v>, 4x6.2.1.1.501, 4x6.2.1.2.503, 4x6.3.1.1.501, 4x6.3.1.2.503, 4x6.4.501, 4x6.5.501,</v>
      </c>
    </row>
    <row r="178" spans="1:13" x14ac:dyDescent="0.25">
      <c r="A178" t="s">
        <v>274</v>
      </c>
      <c r="B178" s="18">
        <v>0</v>
      </c>
      <c r="C178" s="19" cm="1">
        <f t="array" aca="1" ref="C178" ca="1">SUMPRODUCT(SUMIF(INDIRECT("'"&amp;Assemblies[Assy]&amp;"'!"&amp;"C:C"),A178,(INDIRECT("'"&amp;Assemblies[Assy]&amp;"'!"&amp;"O:O"))))</f>
        <v>26</v>
      </c>
      <c r="M178" s="40" t="str" cm="1">
        <f t="array" aca="1" ref="M178" ca="1">TRIM(SUBSTITUTE(_xlfn.ARRAYTOTEXT(IFERROR(CONCATENATE(SUMIF(INDIRECT("'"&amp;Assemblies[Assy]&amp;"'!"&amp;"C$5:C1000"), $A178, INDIRECT("'"&amp;Assemblies[Assy]&amp;"'!"&amp;"O$5:O1000")), "x",Assemblies[Assy],".",IF(SUMIF(INDIRECT("'"&amp;Assemblies[Assy]&amp;"'!"&amp;"C$5:C1000"), $A178, INDIRECT("'"&amp;Assemblies[Assy]&amp;"'!"&amp;"A$5:A1000"))=0,NA(),SUMIF(INDIRECT("'"&amp;Assemblies[Assy]&amp;"'!"&amp;"C$5:C1000"), $A178, INDIRECT("'"&amp;Assemblies[Assy]&amp;"'!"&amp;"A$5:A1000")))),"")), " ,", ""))</f>
        <v>, 4x1.2.3.501, 20x5.7.508, 1x6.2.1.4.505, 1x6.3.1.4.505,</v>
      </c>
    </row>
    <row r="179" spans="1:13" x14ac:dyDescent="0.25">
      <c r="A179" t="s">
        <v>348</v>
      </c>
      <c r="B179" s="18">
        <v>0</v>
      </c>
      <c r="C179" s="19" cm="1">
        <f t="array" aca="1" ref="C179" ca="1">SUMPRODUCT(SUMIF(INDIRECT("'"&amp;Assemblies[Assy]&amp;"'!"&amp;"C:C"),A179,(INDIRECT("'"&amp;Assemblies[Assy]&amp;"'!"&amp;"O:O"))))</f>
        <v>36</v>
      </c>
      <c r="M179" s="40" t="str" cm="1">
        <f t="array" aca="1" ref="M179" ca="1">TRIM(SUBSTITUTE(_xlfn.ARRAYTOTEXT(IFERROR(CONCATENATE(SUMIF(INDIRECT("'"&amp;Assemblies[Assy]&amp;"'!"&amp;"C$5:C1000"), $A179, INDIRECT("'"&amp;Assemblies[Assy]&amp;"'!"&amp;"O$5:O1000")), "x",Assemblies[Assy],".",IF(SUMIF(INDIRECT("'"&amp;Assemblies[Assy]&amp;"'!"&amp;"C$5:C1000"), $A179, INDIRECT("'"&amp;Assemblies[Assy]&amp;"'!"&amp;"A$5:A1000"))=0,NA(),SUMIF(INDIRECT("'"&amp;Assemblies[Assy]&amp;"'!"&amp;"C$5:C1000"), $A179, INDIRECT("'"&amp;Assemblies[Assy]&amp;"'!"&amp;"A$5:A1000")))),"")), " ,", ""))</f>
        <v>, 32x1.4.1.501, 2x3.2.5.505, 2x3.2.6.505,</v>
      </c>
    </row>
    <row r="180" spans="1:13" x14ac:dyDescent="0.25">
      <c r="A180" t="s">
        <v>332</v>
      </c>
      <c r="B180" s="18">
        <v>0</v>
      </c>
      <c r="C180" s="19" cm="1">
        <f t="array" aca="1" ref="C180" ca="1">SUMPRODUCT(SUMIF(INDIRECT("'"&amp;Assemblies[Assy]&amp;"'!"&amp;"C:C"),A180,(INDIRECT("'"&amp;Assemblies[Assy]&amp;"'!"&amp;"O:O"))))</f>
        <v>10</v>
      </c>
      <c r="M180" s="40" t="str" cm="1">
        <f t="array" aca="1" ref="M180" ca="1">TRIM(SUBSTITUTE(_xlfn.ARRAYTOTEXT(IFERROR(CONCATENATE(SUMIF(INDIRECT("'"&amp;Assemblies[Assy]&amp;"'!"&amp;"C$5:C1000"), $A180, INDIRECT("'"&amp;Assemblies[Assy]&amp;"'!"&amp;"O$5:O1000")), "x",Assemblies[Assy],".",IF(SUMIF(INDIRECT("'"&amp;Assemblies[Assy]&amp;"'!"&amp;"C$5:C1000"), $A180, INDIRECT("'"&amp;Assemblies[Assy]&amp;"'!"&amp;"A$5:A1000"))=0,NA(),SUMIF(INDIRECT("'"&amp;Assemblies[Assy]&amp;"'!"&amp;"C$5:C1000"), $A180, INDIRECT("'"&amp;Assemblies[Assy]&amp;"'!"&amp;"A$5:A1000")))),"")), " ,", ""))</f>
        <v>, 10x1.3.6.501,</v>
      </c>
    </row>
    <row r="181" spans="1:13" x14ac:dyDescent="0.25">
      <c r="A181" t="s">
        <v>1418</v>
      </c>
      <c r="B181" s="18">
        <v>0</v>
      </c>
      <c r="C181" s="19" cm="1">
        <f t="array" aca="1" ref="C181" ca="1">SUMPRODUCT(SUMIF(INDIRECT("'"&amp;Assemblies[Assy]&amp;"'!"&amp;"C:C"),A181,(INDIRECT("'"&amp;Assemblies[Assy]&amp;"'!"&amp;"O:O"))))</f>
        <v>2</v>
      </c>
      <c r="M181" s="40" t="str" cm="1">
        <f t="array" aca="1" ref="M181" ca="1">TRIM(SUBSTITUTE(_xlfn.ARRAYTOTEXT(IFERROR(CONCATENATE(SUMIF(INDIRECT("'"&amp;Assemblies[Assy]&amp;"'!"&amp;"C$5:C1000"), $A181, INDIRECT("'"&amp;Assemblies[Assy]&amp;"'!"&amp;"O$5:O1000")), "x",Assemblies[Assy],".",IF(SUMIF(INDIRECT("'"&amp;Assemblies[Assy]&amp;"'!"&amp;"C$5:C1000"), $A181, INDIRECT("'"&amp;Assemblies[Assy]&amp;"'!"&amp;"A$5:A1000"))=0,NA(),SUMIF(INDIRECT("'"&amp;Assemblies[Assy]&amp;"'!"&amp;"C$5:C1000"), $A181, INDIRECT("'"&amp;Assemblies[Assy]&amp;"'!"&amp;"A$5:A1000")))),"")), " ,", ""))</f>
        <v>, 2x10.3.504,</v>
      </c>
    </row>
    <row r="182" spans="1:13" x14ac:dyDescent="0.25">
      <c r="A182" t="s">
        <v>199</v>
      </c>
      <c r="B182" s="18">
        <v>0</v>
      </c>
      <c r="C182" s="19" cm="1">
        <f t="array" aca="1" ref="C182" ca="1">SUMPRODUCT(SUMIF(INDIRECT("'"&amp;Assemblies[Assy]&amp;"'!"&amp;"C:C"),A182,(INDIRECT("'"&amp;Assemblies[Assy]&amp;"'!"&amp;"O:O"))))</f>
        <v>314</v>
      </c>
      <c r="M182" s="40" t="str" cm="1">
        <f t="array" aca="1" ref="M182" ca="1">TRIM(SUBSTITUTE(_xlfn.ARRAYTOTEXT(IFERROR(CONCATENATE(SUMIF(INDIRECT("'"&amp;Assemblies[Assy]&amp;"'!"&amp;"C$5:C1000"), $A182, INDIRECT("'"&amp;Assemblies[Assy]&amp;"'!"&amp;"O$5:O1000")), "x",Assemblies[Assy],".",IF(SUMIF(INDIRECT("'"&amp;Assemblies[Assy]&amp;"'!"&amp;"C$5:C1000"), $A182, INDIRECT("'"&amp;Assemblies[Assy]&amp;"'!"&amp;"A$5:A1000"))=0,NA(),SUMIF(INDIRECT("'"&amp;Assemblies[Assy]&amp;"'!"&amp;"C$5:C1000"), $A182, INDIRECT("'"&amp;Assemblies[Assy]&amp;"'!"&amp;"A$5:A1000")))),"")), " ,", ""))</f>
        <v>, 6x1.1.6.505, 36x1.3.7.501, 9x2.3.502, 8x7.1.3.503, 16x7.2.3.505, 36x7.2.7.502, 72x7.2.8.502, 16x7.3.2.505, 8x7.6.1.505, 8x7.7.1.505, 16x8.1.3.505, 32x8.1.5.503, 16x8.2.2.505, 3x9.3.505, 8x9.4.502, 24x10.3.1.503,</v>
      </c>
    </row>
    <row r="183" spans="1:13" x14ac:dyDescent="0.25">
      <c r="A183" t="s">
        <v>241</v>
      </c>
      <c r="B183" s="18">
        <v>0</v>
      </c>
      <c r="C183" s="19" cm="1">
        <f t="array" aca="1" ref="C183" ca="1">SUMPRODUCT(SUMIF(INDIRECT("'"&amp;Assemblies[Assy]&amp;"'!"&amp;"C:C"),A183,(INDIRECT("'"&amp;Assemblies[Assy]&amp;"'!"&amp;"O:O"))))</f>
        <v>38</v>
      </c>
      <c r="M183" s="40" t="str" cm="1">
        <f t="array" aca="1" ref="M183" ca="1">TRIM(SUBSTITUTE(_xlfn.ARRAYTOTEXT(IFERROR(CONCATENATE(SUMIF(INDIRECT("'"&amp;Assemblies[Assy]&amp;"'!"&amp;"C$5:C1000"), $A183, INDIRECT("'"&amp;Assemblies[Assy]&amp;"'!"&amp;"O$5:O1000")), "x",Assemblies[Assy],".",IF(SUMIF(INDIRECT("'"&amp;Assemblies[Assy]&amp;"'!"&amp;"C$5:C1000"), $A183, INDIRECT("'"&amp;Assemblies[Assy]&amp;"'!"&amp;"A$5:A1000"))=0,NA(),SUMIF(INDIRECT("'"&amp;Assemblies[Assy]&amp;"'!"&amp;"C$5:C1000"), $A183, INDIRECT("'"&amp;Assemblies[Assy]&amp;"'!"&amp;"A$5:A1000")))),"")), " ,", ""))</f>
        <v>, 12x1.1.16.501, 6x2.3.8.501, 12x9.1.509, 8x10.3.505,</v>
      </c>
    </row>
    <row r="184" spans="1:13" x14ac:dyDescent="0.25">
      <c r="A184" t="s">
        <v>108</v>
      </c>
      <c r="B184" s="18">
        <v>0</v>
      </c>
      <c r="C184" s="19" cm="1">
        <f t="array" aca="1" ref="C184" ca="1">SUMPRODUCT(SUMIF(INDIRECT("'"&amp;Assemblies[Assy]&amp;"'!"&amp;"C:C"),A184,(INDIRECT("'"&amp;Assemblies[Assy]&amp;"'!"&amp;"O:O"))))</f>
        <v>122</v>
      </c>
      <c r="M184" s="40" t="str" cm="1">
        <f t="array" aca="1" ref="M184" ca="1">TRIM(SUBSTITUTE(_xlfn.ARRAYTOTEXT(IFERROR(CONCATENATE(SUMIF(INDIRECT("'"&amp;Assemblies[Assy]&amp;"'!"&amp;"C$5:C1000"), $A184, INDIRECT("'"&amp;Assemblies[Assy]&amp;"'!"&amp;"O$5:O1000")), "x",Assemblies[Assy],".",IF(SUMIF(INDIRECT("'"&amp;Assemblies[Assy]&amp;"'!"&amp;"C$5:C1000"), $A184, INDIRECT("'"&amp;Assemblies[Assy]&amp;"'!"&amp;"A$5:A1000"))=0,NA(),SUMIF(INDIRECT("'"&amp;Assemblies[Assy]&amp;"'!"&amp;"C$5:C1000"), $A184, INDIRECT("'"&amp;Assemblies[Assy]&amp;"'!"&amp;"A$5:A1000")))),"")), " ,", ""))</f>
        <v>, 8x0.3.502, 8x0.9.502, 8x0.10.502, 16x1.1.7.501, 8x1.1.8.501, 8x1.2.1.501, 8x1.2.2.501, 8x1.3.501, 20x1.3.2.501, 12x2.3.501, 4x2.3.7.501, 14x12.505</v>
      </c>
    </row>
    <row r="185" spans="1:13" x14ac:dyDescent="0.25">
      <c r="A185" t="s">
        <v>441</v>
      </c>
      <c r="B185" s="18">
        <v>0</v>
      </c>
      <c r="C185" s="19" cm="1">
        <f t="array" aca="1" ref="C185" ca="1">SUMPRODUCT(SUMIF(INDIRECT("'"&amp;Assemblies[Assy]&amp;"'!"&amp;"C:C"),A185,(INDIRECT("'"&amp;Assemblies[Assy]&amp;"'!"&amp;"O:O"))))</f>
        <v>25</v>
      </c>
      <c r="M185" s="40" t="str" cm="1">
        <f t="array" aca="1" ref="M185" ca="1">TRIM(SUBSTITUTE(_xlfn.ARRAYTOTEXT(IFERROR(CONCATENATE(SUMIF(INDIRECT("'"&amp;Assemblies[Assy]&amp;"'!"&amp;"C$5:C1000"), $A185, INDIRECT("'"&amp;Assemblies[Assy]&amp;"'!"&amp;"O$5:O1000")), "x",Assemblies[Assy],".",IF(SUMIF(INDIRECT("'"&amp;Assemblies[Assy]&amp;"'!"&amp;"C$5:C1000"), $A185, INDIRECT("'"&amp;Assemblies[Assy]&amp;"'!"&amp;"A$5:A1000"))=0,NA(),SUMIF(INDIRECT("'"&amp;Assemblies[Assy]&amp;"'!"&amp;"C$5:C1000"), $A185, INDIRECT("'"&amp;Assemblies[Assy]&amp;"'!"&amp;"A$5:A1000")))),"")), " ,", ""))</f>
        <v>, 4x2.3.7.504, 16x8.4.503, 1x11.503, 4x11.1.504,</v>
      </c>
    </row>
  </sheetData>
  <phoneticPr fontId="8" type="noConversion"/>
  <conditionalFormatting sqref="A2:A181">
    <cfRule type="duplicateValues" dxfId="58" priority="235"/>
  </conditionalFormatting>
  <conditionalFormatting sqref="D178:D360">
    <cfRule type="cellIs" dxfId="57" priority="23" operator="lessThan">
      <formula>C178</formula>
    </cfRule>
  </conditionalFormatting>
  <conditionalFormatting sqref="K6:K10130">
    <cfRule type="cellIs" dxfId="56" priority="3" operator="greaterThan">
      <formula>J6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56B5E-1E81-4C25-BBBE-C87002BAEDAE}">
  <sheetPr codeName="Sheet244">
    <tabColor theme="9" tint="0.59999389629810485"/>
  </sheetPr>
  <dimension ref="A1:Q25"/>
  <sheetViews>
    <sheetView zoomScale="115" zoomScaleNormal="115" workbookViewId="0">
      <selection activeCell="G27" sqref="G27"/>
    </sheetView>
  </sheetViews>
  <sheetFormatPr defaultColWidth="9.140625" defaultRowHeight="15" x14ac:dyDescent="0.25"/>
  <cols>
    <col min="1" max="2" width="5.7109375" customWidth="1"/>
    <col min="3" max="3" width="30.7109375" customWidth="1"/>
    <col min="4" max="5" width="20.7109375" style="22" customWidth="1"/>
    <col min="6" max="8" width="9.7109375" customWidth="1"/>
    <col min="9" max="9" width="20.7109375" customWidth="1"/>
    <col min="10" max="13" width="11.7109375" style="19" customWidth="1"/>
    <col min="14" max="14" width="7.7109375" style="133" customWidth="1"/>
    <col min="15" max="15" width="7.7109375" style="19" customWidth="1"/>
    <col min="16" max="16" width="10.7109375" style="100" customWidth="1"/>
    <col min="17" max="17" width="10.7109375" style="106" customWidth="1"/>
  </cols>
  <sheetData>
    <row r="1" spans="1:17" s="62" customFormat="1" ht="12" customHeight="1" x14ac:dyDescent="0.25">
      <c r="A1" s="78" t="s">
        <v>0</v>
      </c>
      <c r="B1" s="79"/>
      <c r="C1" s="79"/>
      <c r="D1" s="330" t="s">
        <v>1</v>
      </c>
      <c r="E1" s="331"/>
      <c r="F1" s="80"/>
      <c r="G1" s="79"/>
      <c r="H1" s="80"/>
      <c r="I1" s="81"/>
      <c r="J1" s="82"/>
      <c r="K1" s="82"/>
      <c r="L1" s="82"/>
      <c r="M1" s="82"/>
      <c r="N1" s="126"/>
      <c r="O1" s="82"/>
      <c r="P1" s="96"/>
      <c r="Q1" s="101"/>
    </row>
    <row r="2" spans="1:17" s="62" customFormat="1" ht="12" customHeight="1" x14ac:dyDescent="0.25">
      <c r="A2" s="84" t="s">
        <v>48</v>
      </c>
      <c r="B2" s="65"/>
      <c r="C2" s="64"/>
      <c r="D2" s="85" t="s">
        <v>3</v>
      </c>
      <c r="E2" s="86" t="str">
        <f ca="1">'PG10'!E2</f>
        <v>PG10</v>
      </c>
      <c r="F2" s="87" t="s">
        <v>4</v>
      </c>
      <c r="G2" s="65" t="str">
        <f>'PG10'!G2</f>
        <v>INITIALS</v>
      </c>
      <c r="H2" s="87" t="s">
        <v>6</v>
      </c>
      <c r="I2" s="66" t="str">
        <f>'PG10'!I2</f>
        <v>Date</v>
      </c>
      <c r="J2" s="41"/>
      <c r="K2" s="42" t="s">
        <v>49</v>
      </c>
      <c r="L2" s="43" t="e">
        <f ca="1">VLOOKUP(C2,Assemblies!E:G,3,0)</f>
        <v>#N/A</v>
      </c>
      <c r="M2" s="88"/>
      <c r="N2" s="127"/>
      <c r="O2" s="88"/>
      <c r="P2" s="97"/>
      <c r="Q2" s="102"/>
    </row>
    <row r="3" spans="1:17" s="62" customFormat="1" ht="12" customHeight="1" thickBot="1" x14ac:dyDescent="0.3">
      <c r="A3" s="84" t="s">
        <v>8</v>
      </c>
      <c r="B3" s="65"/>
      <c r="C3" s="64"/>
      <c r="D3" s="85" t="s">
        <v>50</v>
      </c>
      <c r="E3" s="86" t="str">
        <f ca="1">MID(CELL("filename",A1),FIND("]",CELL("filename",A1))+1,256)</f>
        <v>BLANK</v>
      </c>
      <c r="F3" s="87" t="s">
        <v>12</v>
      </c>
      <c r="G3" s="65" t="str">
        <f>'PG10'!G3</f>
        <v>INITIALS</v>
      </c>
      <c r="H3" s="87" t="s">
        <v>6</v>
      </c>
      <c r="I3" s="66" t="str">
        <f>'PG10'!I3</f>
        <v>Date</v>
      </c>
      <c r="J3" s="88"/>
      <c r="K3" s="88"/>
      <c r="L3" s="88"/>
      <c r="M3" s="88"/>
      <c r="N3" s="127"/>
      <c r="O3" s="88"/>
      <c r="P3" s="97"/>
      <c r="Q3" s="102"/>
    </row>
    <row r="4" spans="1:17" s="63" customFormat="1" ht="12" customHeight="1" thickBot="1" x14ac:dyDescent="0.3">
      <c r="A4" s="90" t="s">
        <v>13</v>
      </c>
      <c r="B4" s="91" t="s">
        <v>14</v>
      </c>
      <c r="C4" s="91" t="s">
        <v>15</v>
      </c>
      <c r="D4" s="338" t="s">
        <v>16</v>
      </c>
      <c r="E4" s="339"/>
      <c r="F4" s="119" t="s">
        <v>17</v>
      </c>
      <c r="G4" s="91" t="s">
        <v>18</v>
      </c>
      <c r="H4" s="340" t="s">
        <v>19</v>
      </c>
      <c r="I4" s="341"/>
      <c r="J4" s="91" t="s">
        <v>51</v>
      </c>
      <c r="K4" s="91" t="s">
        <v>21</v>
      </c>
      <c r="L4" s="91" t="s">
        <v>22</v>
      </c>
      <c r="M4" s="91" t="s">
        <v>52</v>
      </c>
      <c r="N4" s="128" t="s">
        <v>23</v>
      </c>
      <c r="O4" s="91" t="s">
        <v>53</v>
      </c>
      <c r="P4" s="120" t="s">
        <v>27</v>
      </c>
      <c r="Q4" s="92" t="s">
        <v>28</v>
      </c>
    </row>
    <row r="5" spans="1:17" s="1" customFormat="1" ht="12.75" customHeight="1" x14ac:dyDescent="0.2">
      <c r="A5" s="110" t="s">
        <v>54</v>
      </c>
      <c r="B5" s="111"/>
      <c r="C5" s="112"/>
      <c r="D5" s="336" t="e">
        <f ca="1">VLOOKUP(C5,Assemblies!E:P,2,0)</f>
        <v>#N/A</v>
      </c>
      <c r="E5" s="337"/>
      <c r="F5" s="113"/>
      <c r="G5" s="113"/>
      <c r="H5" s="324"/>
      <c r="I5" s="324"/>
      <c r="J5" s="114"/>
      <c r="K5" s="114"/>
      <c r="L5" s="114"/>
      <c r="M5" s="114"/>
      <c r="N5" s="115"/>
      <c r="O5" s="116" t="e">
        <f t="shared" ref="O5:O10" ca="1" si="0">B5*$L$2</f>
        <v>#N/A</v>
      </c>
      <c r="P5" s="117"/>
      <c r="Q5" s="118">
        <f t="shared" ref="Q5:Q10" si="1">B5*P5</f>
        <v>0</v>
      </c>
    </row>
    <row r="6" spans="1:17" s="2" customFormat="1" ht="12.75" customHeight="1" x14ac:dyDescent="0.2">
      <c r="A6" s="150" t="s">
        <v>56</v>
      </c>
      <c r="B6" s="1"/>
      <c r="C6" s="145"/>
      <c r="D6" s="314" t="e">
        <f ca="1">VLOOKUP(C6,Assemblies!E:P,2,0)</f>
        <v>#N/A</v>
      </c>
      <c r="E6" s="315"/>
      <c r="F6" s="32"/>
      <c r="G6" s="32"/>
      <c r="H6" s="303"/>
      <c r="I6" s="303"/>
      <c r="J6" s="28"/>
      <c r="K6" s="28"/>
      <c r="L6" s="28"/>
      <c r="M6" s="28"/>
      <c r="N6" s="33"/>
      <c r="O6" s="146" t="e">
        <f t="shared" ca="1" si="0"/>
        <v>#N/A</v>
      </c>
      <c r="P6" s="147"/>
      <c r="Q6" s="103">
        <f t="shared" si="1"/>
        <v>0</v>
      </c>
    </row>
    <row r="7" spans="1:17" s="2" customFormat="1" ht="12.75" customHeight="1" x14ac:dyDescent="0.2">
      <c r="A7" s="150" t="s">
        <v>58</v>
      </c>
      <c r="B7" s="1"/>
      <c r="C7" s="145"/>
      <c r="D7" s="314" t="e">
        <f ca="1">VLOOKUP(C7,Assemblies!E:P,2,0)</f>
        <v>#N/A</v>
      </c>
      <c r="E7" s="315"/>
      <c r="F7" s="32"/>
      <c r="G7" s="32"/>
      <c r="H7" s="303"/>
      <c r="I7" s="303"/>
      <c r="J7" s="28"/>
      <c r="K7" s="28"/>
      <c r="L7" s="28"/>
      <c r="M7" s="28"/>
      <c r="N7" s="33"/>
      <c r="O7" s="146" t="e">
        <f t="shared" ca="1" si="0"/>
        <v>#N/A</v>
      </c>
      <c r="P7" s="147"/>
      <c r="Q7" s="103">
        <f t="shared" si="1"/>
        <v>0</v>
      </c>
    </row>
    <row r="8" spans="1:17" s="2" customFormat="1" ht="12.75" customHeight="1" x14ac:dyDescent="0.2">
      <c r="A8" s="150" t="s">
        <v>60</v>
      </c>
      <c r="B8" s="1"/>
      <c r="C8" s="145"/>
      <c r="D8" s="314" t="e">
        <f ca="1">VLOOKUP(C8,Assemblies!E:P,2,0)</f>
        <v>#N/A</v>
      </c>
      <c r="E8" s="315"/>
      <c r="F8" s="32"/>
      <c r="G8" s="32"/>
      <c r="H8" s="303"/>
      <c r="I8" s="303"/>
      <c r="J8" s="28"/>
      <c r="K8" s="28"/>
      <c r="L8" s="28"/>
      <c r="M8" s="28"/>
      <c r="N8" s="33"/>
      <c r="O8" s="146" t="e">
        <f t="shared" ca="1" si="0"/>
        <v>#N/A</v>
      </c>
      <c r="P8" s="147"/>
      <c r="Q8" s="103">
        <f t="shared" si="1"/>
        <v>0</v>
      </c>
    </row>
    <row r="9" spans="1:17" s="2" customFormat="1" ht="12.75" customHeight="1" x14ac:dyDescent="0.2">
      <c r="A9" s="150" t="s">
        <v>62</v>
      </c>
      <c r="B9" s="1"/>
      <c r="C9" s="145"/>
      <c r="D9" s="314" t="e">
        <f ca="1">VLOOKUP(C9,Assemblies!E:P,2,0)</f>
        <v>#N/A</v>
      </c>
      <c r="E9" s="315"/>
      <c r="F9" s="32"/>
      <c r="G9" s="32"/>
      <c r="H9" s="303"/>
      <c r="I9" s="303"/>
      <c r="J9" s="28"/>
      <c r="K9" s="28"/>
      <c r="L9" s="28"/>
      <c r="M9" s="28"/>
      <c r="N9" s="33"/>
      <c r="O9" s="146" t="e">
        <f t="shared" ca="1" si="0"/>
        <v>#N/A</v>
      </c>
      <c r="P9" s="147"/>
      <c r="Q9" s="103">
        <f t="shared" si="1"/>
        <v>0</v>
      </c>
    </row>
    <row r="10" spans="1:17" s="2" customFormat="1" ht="12.75" customHeight="1" x14ac:dyDescent="0.2">
      <c r="A10" s="150" t="s">
        <v>64</v>
      </c>
      <c r="B10" s="1"/>
      <c r="C10" s="145"/>
      <c r="D10" s="314" t="e">
        <f ca="1">VLOOKUP(C10,Assemblies!E:P,2,0)</f>
        <v>#N/A</v>
      </c>
      <c r="E10" s="315"/>
      <c r="F10" s="32"/>
      <c r="G10" s="32"/>
      <c r="H10" s="32"/>
      <c r="I10" s="32"/>
      <c r="J10" s="28"/>
      <c r="K10" s="28"/>
      <c r="L10" s="28"/>
      <c r="M10" s="28"/>
      <c r="N10" s="33"/>
      <c r="O10" s="146" t="e">
        <f t="shared" ca="1" si="0"/>
        <v>#N/A</v>
      </c>
      <c r="P10" s="147"/>
      <c r="Q10" s="103">
        <f t="shared" si="1"/>
        <v>0</v>
      </c>
    </row>
    <row r="11" spans="1:17" s="2" customFormat="1" ht="12.75" customHeight="1" x14ac:dyDescent="0.25">
      <c r="A11" s="25"/>
      <c r="B11" s="26"/>
      <c r="C11" s="26"/>
      <c r="D11" s="332"/>
      <c r="E11" s="333"/>
      <c r="F11" s="26"/>
      <c r="G11" s="26"/>
      <c r="H11" s="322"/>
      <c r="I11" s="323"/>
      <c r="J11" s="27"/>
      <c r="K11" s="27"/>
      <c r="L11" s="27"/>
      <c r="M11" s="28"/>
      <c r="N11" s="29"/>
      <c r="O11" s="29"/>
      <c r="P11" s="148"/>
      <c r="Q11" s="149"/>
    </row>
    <row r="12" spans="1:17" s="2" customFormat="1" ht="12.75" customHeight="1" x14ac:dyDescent="0.25">
      <c r="A12" s="77">
        <v>1</v>
      </c>
      <c r="B12" s="20"/>
      <c r="C12" s="121"/>
      <c r="D12" s="314" t="e">
        <f>VLOOKUP(C12,Machined!C:X,2,0)</f>
        <v>#N/A</v>
      </c>
      <c r="E12" s="329"/>
      <c r="F12" s="107" t="e">
        <f>VLOOKUP($C12,Machined!C:Z,13,0)</f>
        <v>#N/A</v>
      </c>
      <c r="G12" s="44" t="e">
        <f>IF(VLOOKUP($C12,Machined!C:Z,16,0) = 0, " ", VLOOKUP($C12,Machined!C:Z,16,0))</f>
        <v>#N/A</v>
      </c>
      <c r="H12" s="320" t="e">
        <f>IF(VLOOKUP($C12,Machined!C:Z,17,0) = 0, " ", VLOOKUP($C12,Machined!C:Z,17,0))</f>
        <v>#N/A</v>
      </c>
      <c r="I12" s="321" t="e">
        <f>IF(VLOOKUP($C12,Machined!$C:$Y,13,0) = 0, " ", VLOOKUP($C12,Machined!$C:$Y,13,0))</f>
        <v>#N/A</v>
      </c>
      <c r="J12" s="44" t="e">
        <f>IF(VLOOKUP($C12,Machined!C:Z,18,0) = 0, " ", VLOOKUP($C12,Machined!C:Z,18,0))</f>
        <v>#N/A</v>
      </c>
      <c r="K12" s="44" t="e">
        <f>IF(VLOOKUP($C12,Machined!C:Z,19,0) = 0, " ", VLOOKUP($C12,Machined!C:Z,19,0))</f>
        <v>#N/A</v>
      </c>
      <c r="L12" s="44" t="e">
        <f>IF(VLOOKUP($C12,Machined!C:Z,20,0) = 0, " ", VLOOKUP($C12,Machined!C:Z,20,0))</f>
        <v>#N/A</v>
      </c>
      <c r="M12" s="44" t="e">
        <f>IF(VLOOKUP($C12,Machined!C:Z,21,0) = 0, " ", VLOOKUP($C12,Machined!C:Z,21,0))</f>
        <v>#N/A</v>
      </c>
      <c r="N12" s="129" t="e">
        <f>IF(VLOOKUP($C12,Machined!C:Z,22,0) = 0, " ", VLOOKUP($C12,Machined!C:Z,22,0))</f>
        <v>#N/A</v>
      </c>
      <c r="O12" s="45" t="e">
        <f ca="1">B12*$L$2</f>
        <v>#N/A</v>
      </c>
      <c r="P12" s="49" t="e">
        <f>VLOOKUP(C12,Machined!C:F,3,0)</f>
        <v>#N/A</v>
      </c>
      <c r="Q12" s="50" t="e">
        <f>B12*P12</f>
        <v>#N/A</v>
      </c>
    </row>
    <row r="13" spans="1:17" s="2" customFormat="1" ht="12.75" customHeight="1" x14ac:dyDescent="0.25">
      <c r="A13" s="77">
        <v>2</v>
      </c>
      <c r="B13" s="20"/>
      <c r="C13" s="121"/>
      <c r="D13" s="314" t="e">
        <f>VLOOKUP(C13,Machined!C:X,2,0)</f>
        <v>#N/A</v>
      </c>
      <c r="E13" s="329"/>
      <c r="F13" s="107" t="e">
        <f>VLOOKUP($C13,Machined!C:Z,13,0)</f>
        <v>#N/A</v>
      </c>
      <c r="G13" s="44" t="e">
        <f>IF(VLOOKUP($C13,Machined!C:Z,16,0) = 0, " ", VLOOKUP($C13,Machined!C:Z,16,0))</f>
        <v>#N/A</v>
      </c>
      <c r="H13" s="320" t="e">
        <f>IF(VLOOKUP($C13,Machined!C:Z,17,0) = 0, " ", VLOOKUP($C13,Machined!C:Z,17,0))</f>
        <v>#N/A</v>
      </c>
      <c r="I13" s="321" t="e">
        <f>IF(VLOOKUP($C13,Machined!$C:$Y,13,0) = 0, " ", VLOOKUP($C13,Machined!$C:$Y,13,0))</f>
        <v>#N/A</v>
      </c>
      <c r="J13" s="44" t="e">
        <f>IF(VLOOKUP($C13,Machined!C:Z,18,0) = 0, " ", VLOOKUP($C13,Machined!C:Z,18,0))</f>
        <v>#N/A</v>
      </c>
      <c r="K13" s="44" t="e">
        <f>IF(VLOOKUP($C13,Machined!C:Z,19,0) = 0, " ", VLOOKUP($C13,Machined!C:Z,19,0))</f>
        <v>#N/A</v>
      </c>
      <c r="L13" s="44" t="e">
        <f>IF(VLOOKUP($C13,Machined!C:Z,20,0) = 0, " ", VLOOKUP($C13,Machined!C:Z,20,0))</f>
        <v>#N/A</v>
      </c>
      <c r="M13" s="44" t="e">
        <f>IF(VLOOKUP($C13,Machined!C:Z,21,0) = 0, " ", VLOOKUP($C13,Machined!C:Z,21,0))</f>
        <v>#N/A</v>
      </c>
      <c r="N13" s="129" t="e">
        <f>IF(VLOOKUP($C13,Machined!C:Z,22,0) = 0, " ", VLOOKUP($C13,Machined!C:Z,22,0))</f>
        <v>#N/A</v>
      </c>
      <c r="O13" s="45" t="e">
        <f t="shared" ref="O13:O14" ca="1" si="2">B13*$L$2</f>
        <v>#N/A</v>
      </c>
      <c r="P13" s="49" t="e">
        <f>VLOOKUP(C13,Machined!C:F,3,0)</f>
        <v>#N/A</v>
      </c>
      <c r="Q13" s="50" t="e">
        <f t="shared" ref="Q13:Q14" si="3">B13*P13</f>
        <v>#N/A</v>
      </c>
    </row>
    <row r="14" spans="1:17" s="2" customFormat="1" ht="12.75" customHeight="1" x14ac:dyDescent="0.25">
      <c r="A14" s="77">
        <v>3</v>
      </c>
      <c r="B14" s="20"/>
      <c r="C14" s="121"/>
      <c r="D14" s="314" t="e">
        <f>VLOOKUP(C14,Machined!C:X,2,0)</f>
        <v>#N/A</v>
      </c>
      <c r="E14" s="329"/>
      <c r="F14" s="107" t="e">
        <f>VLOOKUP($C14,Machined!C:Z,13,0)</f>
        <v>#N/A</v>
      </c>
      <c r="G14" s="44" t="e">
        <f>IF(VLOOKUP($C14,Machined!C:Z,16,0) = 0, " ", VLOOKUP($C14,Machined!C:Z,16,0))</f>
        <v>#N/A</v>
      </c>
      <c r="H14" s="320" t="e">
        <f>IF(VLOOKUP($C14,Machined!C:Z,17,0) = 0, " ", VLOOKUP($C14,Machined!C:Z,17,0))</f>
        <v>#N/A</v>
      </c>
      <c r="I14" s="321" t="e">
        <f>IF(VLOOKUP($C14,Machined!$C:$Y,13,0) = 0, " ", VLOOKUP($C14,Machined!$C:$Y,13,0))</f>
        <v>#N/A</v>
      </c>
      <c r="J14" s="44" t="e">
        <f>IF(VLOOKUP($C14,Machined!C:Z,18,0) = 0, " ", VLOOKUP($C14,Machined!C:Z,18,0))</f>
        <v>#N/A</v>
      </c>
      <c r="K14" s="44" t="e">
        <f>IF(VLOOKUP($C14,Machined!C:Z,19,0) = 0, " ", VLOOKUP($C14,Machined!C:Z,19,0))</f>
        <v>#N/A</v>
      </c>
      <c r="L14" s="44" t="e">
        <f>IF(VLOOKUP($C14,Machined!C:Z,20,0) = 0, " ", VLOOKUP($C14,Machined!C:Z,20,0))</f>
        <v>#N/A</v>
      </c>
      <c r="M14" s="44" t="e">
        <f>IF(VLOOKUP($C14,Machined!C:Z,21,0) = 0, " ", VLOOKUP($C14,Machined!C:Z,21,0))</f>
        <v>#N/A</v>
      </c>
      <c r="N14" s="129" t="e">
        <f>IF(VLOOKUP($C14,Machined!C:Z,22,0) = 0, " ", VLOOKUP($C14,Machined!C:Z,22,0))</f>
        <v>#N/A</v>
      </c>
      <c r="O14" s="45" t="e">
        <f t="shared" ca="1" si="2"/>
        <v>#N/A</v>
      </c>
      <c r="P14" s="49" t="e">
        <f>VLOOKUP(C14,Machined!C:F,3,0)</f>
        <v>#N/A</v>
      </c>
      <c r="Q14" s="50" t="e">
        <f t="shared" si="3"/>
        <v>#N/A</v>
      </c>
    </row>
    <row r="15" spans="1:17" s="2" customFormat="1" ht="12" customHeight="1" x14ac:dyDescent="0.25">
      <c r="A15" s="25"/>
      <c r="B15" s="26"/>
      <c r="C15" s="26"/>
      <c r="D15" s="332"/>
      <c r="E15" s="333"/>
      <c r="F15" s="26"/>
      <c r="G15" s="26"/>
      <c r="H15" s="322"/>
      <c r="I15" s="323"/>
      <c r="J15" s="27"/>
      <c r="K15" s="27"/>
      <c r="L15" s="27"/>
      <c r="M15" s="28"/>
      <c r="N15" s="29"/>
      <c r="O15" s="29"/>
      <c r="P15" s="148"/>
      <c r="Q15" s="149"/>
    </row>
    <row r="16" spans="1:17" s="2" customFormat="1" ht="12" customHeight="1" x14ac:dyDescent="0.25">
      <c r="A16" s="4">
        <v>301</v>
      </c>
      <c r="C16" s="135"/>
      <c r="D16" s="325" t="e">
        <f>VLOOKUP(C16,Purchased!A:B,2,0)</f>
        <v>#N/A</v>
      </c>
      <c r="E16" s="326"/>
      <c r="F16" s="108" t="e">
        <f>IF(VLOOKUP($C16,Purchased!A:Z,11,0) = 0, " ", VLOOKUP($C16,Purchased!A:Z,11,0))</f>
        <v>#N/A</v>
      </c>
      <c r="G16" s="108" t="e">
        <f>IF(VLOOKUP($C16,Purchased!A:Z,12,0)=0, " ", VLOOKUP($C16,Purchased!A:Z,12,0))</f>
        <v>#N/A</v>
      </c>
      <c r="H16" s="327" t="e">
        <f>IF(VLOOKUP($C16,Purchased!A:Z,13,0)=0, " ", VLOOKUP($C16,Purchased!A:Z,13,0))</f>
        <v>#N/A</v>
      </c>
      <c r="I16" s="328"/>
      <c r="J16" s="46" t="e">
        <f>IF(VLOOKUP($C16,Purchased!A:Z,14,0)=0, " ", VLOOKUP($C16,Purchased!A:Z,14,0))</f>
        <v>#N/A</v>
      </c>
      <c r="K16" s="46" t="e">
        <f>IF(VLOOKUP(C16,Purchased!A:R,14,0)=0, " ", VLOOKUP(C16,Purchased!A:R,14,0))</f>
        <v>#N/A</v>
      </c>
      <c r="L16" s="46" t="e">
        <f>IF(VLOOKUP(C16,Purchased!A:R,15,0)=0, " ", VLOOKUP(C16,Purchased!A:R,15,0))</f>
        <v>#N/A</v>
      </c>
      <c r="M16" s="46" t="e">
        <f>IF(VLOOKUP(C16,Purchased!A:R,16,0)=0, " ",VLOOKUP(C16,Purchased!A:R,16,0))</f>
        <v>#N/A</v>
      </c>
      <c r="N16" s="130" t="e">
        <f>IF(VLOOKUP(C16,Purchased!A:R,17,0)=0, " ", VLOOKUP(C16,Purchased!A:R,17,0))</f>
        <v>#N/A</v>
      </c>
      <c r="O16" s="47" t="e">
        <f t="shared" ref="O16:O18" ca="1" si="4">B16*$L$2</f>
        <v>#N/A</v>
      </c>
      <c r="P16" s="51" t="e">
        <f>VLOOKUP(C16,Purchased!A:D,3,FALSE)</f>
        <v>#N/A</v>
      </c>
      <c r="Q16" s="52" t="e">
        <f t="shared" ref="Q16:Q18" si="5">B16*P16</f>
        <v>#N/A</v>
      </c>
    </row>
    <row r="17" spans="1:17" s="2" customFormat="1" ht="12" customHeight="1" x14ac:dyDescent="0.25">
      <c r="A17" s="4">
        <v>302</v>
      </c>
      <c r="C17" s="135"/>
      <c r="D17" s="325" t="e">
        <f>VLOOKUP(C17,Purchased!A:B,2,0)</f>
        <v>#N/A</v>
      </c>
      <c r="E17" s="326"/>
      <c r="F17" s="108" t="e">
        <f>IF(VLOOKUP($C17,Purchased!A:Z,11,0) = 0, " ", VLOOKUP($C17,Purchased!A:Z,11,0))</f>
        <v>#N/A</v>
      </c>
      <c r="G17" s="108" t="e">
        <f>IF(VLOOKUP($C17,Purchased!A:Z,12,0)=0, " ", VLOOKUP($C17,Purchased!A:Z,12,0))</f>
        <v>#N/A</v>
      </c>
      <c r="H17" s="327" t="e">
        <f>IF(VLOOKUP($C17,Purchased!A:Z,13,0)=0, " ", VLOOKUP($C17,Purchased!A:Z,13,0))</f>
        <v>#N/A</v>
      </c>
      <c r="I17" s="328"/>
      <c r="J17" s="46" t="e">
        <f>IF(VLOOKUP($C17,Purchased!A:Z,14,0)=0, " ", VLOOKUP($C17,Purchased!A:Z,14,0))</f>
        <v>#N/A</v>
      </c>
      <c r="K17" s="46" t="e">
        <f>IF(VLOOKUP(C17,Purchased!A:R,14,0)=0, " ", VLOOKUP(C17,Purchased!A:R,14,0))</f>
        <v>#N/A</v>
      </c>
      <c r="L17" s="46" t="e">
        <f>IF(VLOOKUP(C17,Purchased!A:R,15,0)=0, " ", VLOOKUP(C17,Purchased!A:R,15,0))</f>
        <v>#N/A</v>
      </c>
      <c r="M17" s="46" t="e">
        <f>IF(VLOOKUP(C17,Purchased!A:R,16,0)=0, " ",VLOOKUP(C17,Purchased!A:R,16,0))</f>
        <v>#N/A</v>
      </c>
      <c r="N17" s="130" t="e">
        <f>IF(VLOOKUP(C17,Purchased!A:R,17,0)=0, " ", VLOOKUP(C17,Purchased!A:R,17,0))</f>
        <v>#N/A</v>
      </c>
      <c r="O17" s="47" t="e">
        <f t="shared" ca="1" si="4"/>
        <v>#N/A</v>
      </c>
      <c r="P17" s="51" t="e">
        <f>VLOOKUP(C17,Purchased!A:D,3,FALSE)</f>
        <v>#N/A</v>
      </c>
      <c r="Q17" s="52" t="e">
        <f t="shared" si="5"/>
        <v>#N/A</v>
      </c>
    </row>
    <row r="18" spans="1:17" s="2" customFormat="1" ht="12" customHeight="1" x14ac:dyDescent="0.25">
      <c r="A18" s="4">
        <v>303</v>
      </c>
      <c r="C18" s="135"/>
      <c r="D18" s="325" t="e">
        <f>VLOOKUP(C18,Purchased!A:B,2,0)</f>
        <v>#N/A</v>
      </c>
      <c r="E18" s="326"/>
      <c r="F18" s="108" t="e">
        <f>IF(VLOOKUP($C18,Purchased!A:Z,11,0) = 0, " ", VLOOKUP($C18,Purchased!A:Z,11,0))</f>
        <v>#N/A</v>
      </c>
      <c r="G18" s="108" t="e">
        <f>IF(VLOOKUP($C18,Purchased!A:Z,12,0)=0, " ", VLOOKUP($C18,Purchased!A:Z,12,0))</f>
        <v>#N/A</v>
      </c>
      <c r="H18" s="327" t="e">
        <f>IF(VLOOKUP($C18,Purchased!A:Z,13,0)=0, " ", VLOOKUP($C18,Purchased!A:Z,13,0))</f>
        <v>#N/A</v>
      </c>
      <c r="I18" s="328"/>
      <c r="J18" s="46" t="e">
        <f>IF(VLOOKUP($C18,Purchased!A:Z,14,0)=0, " ", VLOOKUP($C18,Purchased!A:Z,14,0))</f>
        <v>#N/A</v>
      </c>
      <c r="K18" s="46" t="e">
        <f>IF(VLOOKUP(C18,Purchased!A:R,14,0)=0, " ", VLOOKUP(C18,Purchased!A:R,14,0))</f>
        <v>#N/A</v>
      </c>
      <c r="L18" s="46" t="e">
        <f>IF(VLOOKUP(C18,Purchased!A:R,15,0)=0, " ", VLOOKUP(C18,Purchased!A:R,15,0))</f>
        <v>#N/A</v>
      </c>
      <c r="M18" s="46" t="e">
        <f>IF(VLOOKUP(C18,Purchased!A:R,16,0)=0, " ",VLOOKUP(C18,Purchased!A:R,16,0))</f>
        <v>#N/A</v>
      </c>
      <c r="N18" s="130" t="e">
        <f>IF(VLOOKUP(C18,Purchased!A:R,17,0)=0, " ", VLOOKUP(C18,Purchased!A:R,17,0))</f>
        <v>#N/A</v>
      </c>
      <c r="O18" s="47" t="e">
        <f t="shared" ca="1" si="4"/>
        <v>#N/A</v>
      </c>
      <c r="P18" s="51" t="e">
        <f>VLOOKUP(C18,Purchased!A:D,3,FALSE)</f>
        <v>#N/A</v>
      </c>
      <c r="Q18" s="52" t="e">
        <f t="shared" si="5"/>
        <v>#N/A</v>
      </c>
    </row>
    <row r="19" spans="1:17" s="2" customFormat="1" ht="12" customHeight="1" x14ac:dyDescent="0.25">
      <c r="A19" s="25"/>
      <c r="B19" s="26"/>
      <c r="C19" s="26"/>
      <c r="D19" s="332"/>
      <c r="E19" s="333"/>
      <c r="F19" s="26"/>
      <c r="G19" s="26"/>
      <c r="H19" s="322"/>
      <c r="I19" s="323"/>
      <c r="J19" s="27"/>
      <c r="K19" s="27"/>
      <c r="L19" s="27"/>
      <c r="M19" s="28"/>
      <c r="N19" s="29"/>
      <c r="O19" s="29"/>
      <c r="P19" s="148"/>
      <c r="Q19" s="149"/>
    </row>
    <row r="20" spans="1:17" s="2" customFormat="1" ht="12" customHeight="1" x14ac:dyDescent="0.25">
      <c r="A20" s="4">
        <v>501</v>
      </c>
      <c r="C20" s="122"/>
      <c r="D20" s="325"/>
      <c r="E20" s="326"/>
      <c r="F20" s="108" t="e">
        <f>VLOOKUP(C20,Bolts!A:L,5,0)</f>
        <v>#N/A</v>
      </c>
      <c r="G20" s="108" t="e">
        <f>VLOOKUP(C20,Bolts!A:L,6,0)</f>
        <v>#N/A</v>
      </c>
      <c r="H20" s="108" t="e">
        <f>VLOOKUP(C20,Bolts!A:L,7,0)</f>
        <v>#N/A</v>
      </c>
      <c r="I20" s="109"/>
      <c r="J20" s="46" t="e">
        <f>VLOOKUP(C20,Bolts!A:L,8,0)</f>
        <v>#N/A</v>
      </c>
      <c r="K20" s="46" t="e">
        <f>VLOOKUP(C20,Bolts!A:L,9,0)</f>
        <v>#N/A</v>
      </c>
      <c r="L20" s="46" t="e">
        <f>VLOOKUP(C20,Bolts!A:L,10,0)</f>
        <v>#N/A</v>
      </c>
      <c r="M20" s="46" t="e">
        <f>VLOOKUP(C20,Bolts!A:L,11,0)</f>
        <v>#N/A</v>
      </c>
      <c r="N20" s="130" t="e">
        <f>VLOOKUP(C20,Bolts!A:L,12,0)</f>
        <v>#N/A</v>
      </c>
      <c r="O20" s="47" t="e">
        <f t="shared" ref="O20:O21" ca="1" si="6">B20*$L$2</f>
        <v>#N/A</v>
      </c>
      <c r="P20" s="51" t="e">
        <f>VLOOKUP(C20,Bolts!A:B,2,FALSE)</f>
        <v>#N/A</v>
      </c>
      <c r="Q20" s="52" t="e">
        <f t="shared" ref="Q20:Q21" si="7">B20*P20</f>
        <v>#N/A</v>
      </c>
    </row>
    <row r="21" spans="1:17" s="2" customFormat="1" ht="12" customHeight="1" x14ac:dyDescent="0.25">
      <c r="A21" s="4">
        <v>502</v>
      </c>
      <c r="C21" s="122"/>
      <c r="D21" s="325"/>
      <c r="E21" s="326"/>
      <c r="F21" s="108" t="e">
        <f>VLOOKUP(C21,Bolts!A:L,5,0)</f>
        <v>#N/A</v>
      </c>
      <c r="G21" s="108" t="e">
        <f>VLOOKUP(C21,Bolts!A:L,6,0)</f>
        <v>#N/A</v>
      </c>
      <c r="H21" s="108" t="e">
        <f>VLOOKUP(C21,Bolts!A:L,7,0)</f>
        <v>#N/A</v>
      </c>
      <c r="I21" s="109"/>
      <c r="J21" s="46" t="e">
        <f>VLOOKUP(C21,Bolts!A:L,8,0)</f>
        <v>#N/A</v>
      </c>
      <c r="K21" s="46" t="e">
        <f>VLOOKUP(C21,Bolts!A:L,9,0)</f>
        <v>#N/A</v>
      </c>
      <c r="L21" s="46" t="e">
        <f>VLOOKUP(C21,Bolts!A:L,10,0)</f>
        <v>#N/A</v>
      </c>
      <c r="M21" s="46" t="e">
        <f>VLOOKUP(C21,Bolts!A:L,11,0)</f>
        <v>#N/A</v>
      </c>
      <c r="N21" s="130" t="e">
        <f>VLOOKUP(C21,Bolts!A:L,12,0)</f>
        <v>#N/A</v>
      </c>
      <c r="O21" s="47" t="e">
        <f t="shared" ca="1" si="6"/>
        <v>#N/A</v>
      </c>
      <c r="P21" s="51" t="e">
        <f>VLOOKUP(C21,Bolts!A:B,2,FALSE)</f>
        <v>#N/A</v>
      </c>
      <c r="Q21" s="52" t="e">
        <f t="shared" si="7"/>
        <v>#N/A</v>
      </c>
    </row>
    <row r="22" spans="1:17" s="2" customFormat="1" ht="12" customHeight="1" x14ac:dyDescent="0.25">
      <c r="A22" s="25"/>
      <c r="B22" s="26"/>
      <c r="C22" s="26"/>
      <c r="D22" s="332"/>
      <c r="E22" s="333"/>
      <c r="F22" s="26"/>
      <c r="G22" s="26"/>
      <c r="H22" s="322"/>
      <c r="I22" s="323"/>
      <c r="J22" s="27"/>
      <c r="K22" s="27"/>
      <c r="L22" s="27"/>
      <c r="M22" s="28"/>
      <c r="N22" s="29"/>
      <c r="O22" s="29"/>
      <c r="P22" s="148"/>
      <c r="Q22" s="149"/>
    </row>
    <row r="23" spans="1:17" s="2" customFormat="1" ht="12" customHeight="1" x14ac:dyDescent="0.25">
      <c r="A23" s="4">
        <v>701</v>
      </c>
      <c r="C23" s="123"/>
      <c r="D23" s="325" t="e">
        <f>VLOOKUP(C23,Extrusion!B:C,2,0)</f>
        <v>#N/A</v>
      </c>
      <c r="E23" s="326"/>
      <c r="F23" s="108" t="e">
        <f>VLOOKUP(C23,Extrusion!B:N,5,0)</f>
        <v>#N/A</v>
      </c>
      <c r="G23" s="108" t="e">
        <f>VLOOKUP(C23,Extrusion!B:N,6,0)</f>
        <v>#N/A</v>
      </c>
      <c r="H23" s="108" t="e">
        <f>VLOOKUP(C23,Extrusion!B:N,7,0)</f>
        <v>#N/A</v>
      </c>
      <c r="I23" s="109"/>
      <c r="J23" s="46" t="e">
        <f>VLOOKUP(C23,Extrusion!B:N,8,0)</f>
        <v>#N/A</v>
      </c>
      <c r="K23" s="46" t="e">
        <f>VLOOKUP(C23,Extrusion!B:N,9,0)</f>
        <v>#N/A</v>
      </c>
      <c r="L23" s="46" t="e">
        <f>VLOOKUP(C23,Extrusion!B:N,10,0)</f>
        <v>#N/A</v>
      </c>
      <c r="M23" s="46" t="e">
        <f>VLOOKUP(C23,Extrusion!B:N,11,0)</f>
        <v>#N/A</v>
      </c>
      <c r="N23" s="47" t="e">
        <f>VLOOKUP(C23,Extrusion!B:O,12,0)</f>
        <v>#N/A</v>
      </c>
      <c r="O23" s="47" t="e">
        <f t="shared" ref="O23:O24" ca="1" si="8">B23*$L$2</f>
        <v>#N/A</v>
      </c>
      <c r="P23" s="51" t="e">
        <f>VLOOKUP(C23,Extrusion!B:G,4,0)</f>
        <v>#N/A</v>
      </c>
      <c r="Q23" s="52" t="e">
        <f t="shared" ref="Q23:Q24" si="9">B23*P23</f>
        <v>#N/A</v>
      </c>
    </row>
    <row r="24" spans="1:17" s="2" customFormat="1" ht="12" customHeight="1" thickBot="1" x14ac:dyDescent="0.3">
      <c r="A24" s="4">
        <v>702</v>
      </c>
      <c r="C24" s="123"/>
      <c r="D24" s="325" t="e">
        <f>VLOOKUP(C24,Extrusion!B:C,2,0)</f>
        <v>#N/A</v>
      </c>
      <c r="E24" s="326"/>
      <c r="F24" s="108" t="e">
        <f>VLOOKUP(C24,Extrusion!B:N,5,0)</f>
        <v>#N/A</v>
      </c>
      <c r="G24" s="108" t="e">
        <f>VLOOKUP(C24,Extrusion!B:N,6,0)</f>
        <v>#N/A</v>
      </c>
      <c r="H24" s="108" t="e">
        <f>VLOOKUP(C24,Extrusion!B:N,7,0)</f>
        <v>#N/A</v>
      </c>
      <c r="I24" s="109"/>
      <c r="J24" s="46" t="e">
        <f>VLOOKUP(C24,Extrusion!B:N,8,0)</f>
        <v>#N/A</v>
      </c>
      <c r="K24" s="46" t="e">
        <f>VLOOKUP(C24,Extrusion!B:N,9,0)</f>
        <v>#N/A</v>
      </c>
      <c r="L24" s="46" t="e">
        <f>VLOOKUP(C24,Extrusion!B:N,10,0)</f>
        <v>#N/A</v>
      </c>
      <c r="M24" s="46" t="e">
        <f>VLOOKUP(C24,Extrusion!B:N,11,0)</f>
        <v>#N/A</v>
      </c>
      <c r="N24" s="47" t="e">
        <f>VLOOKUP(C24,Extrusion!B:O,12,0)</f>
        <v>#N/A</v>
      </c>
      <c r="O24" s="47" t="e">
        <f t="shared" ca="1" si="8"/>
        <v>#N/A</v>
      </c>
      <c r="P24" s="51" t="e">
        <f>VLOOKUP(C24,Extrusion!B:G,4,0)</f>
        <v>#N/A</v>
      </c>
      <c r="Q24" s="52" t="e">
        <f t="shared" si="9"/>
        <v>#N/A</v>
      </c>
    </row>
    <row r="25" spans="1:17" s="2" customFormat="1" ht="12" customHeight="1" thickBot="1" x14ac:dyDescent="0.3">
      <c r="A25" s="34"/>
      <c r="B25" s="35"/>
      <c r="C25" s="35"/>
      <c r="D25" s="316"/>
      <c r="E25" s="317"/>
      <c r="F25" s="35"/>
      <c r="G25" s="35"/>
      <c r="H25" s="309"/>
      <c r="I25" s="310"/>
      <c r="J25" s="36"/>
      <c r="K25" s="36"/>
      <c r="L25" s="36"/>
      <c r="M25" s="37"/>
      <c r="N25" s="132"/>
      <c r="O25" s="38"/>
      <c r="P25" s="99" t="s">
        <v>43</v>
      </c>
      <c r="Q25" s="104" t="e">
        <f>SUM(Q5:Q24)</f>
        <v>#N/A</v>
      </c>
    </row>
  </sheetData>
  <sheetProtection selectLockedCells="1"/>
  <mergeCells count="40">
    <mergeCell ref="D6:E6"/>
    <mergeCell ref="H6:I6"/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9:E9"/>
    <mergeCell ref="H9:I9"/>
    <mergeCell ref="D10:E10"/>
    <mergeCell ref="D11:E11"/>
    <mergeCell ref="H11:I11"/>
    <mergeCell ref="D12:E12"/>
    <mergeCell ref="H12:I12"/>
    <mergeCell ref="D13:E13"/>
    <mergeCell ref="H13:I13"/>
    <mergeCell ref="D14:E14"/>
    <mergeCell ref="H14:I14"/>
    <mergeCell ref="H16:I16"/>
    <mergeCell ref="H17:I17"/>
    <mergeCell ref="H18:I18"/>
    <mergeCell ref="D15:E15"/>
    <mergeCell ref="H15:I15"/>
    <mergeCell ref="D16:E16"/>
    <mergeCell ref="D17:E17"/>
    <mergeCell ref="D18:E18"/>
    <mergeCell ref="D23:E23"/>
    <mergeCell ref="D24:E24"/>
    <mergeCell ref="D25:E25"/>
    <mergeCell ref="H25:I25"/>
    <mergeCell ref="D19:E19"/>
    <mergeCell ref="H19:I19"/>
    <mergeCell ref="D20:E20"/>
    <mergeCell ref="D21:E21"/>
    <mergeCell ref="D22:E22"/>
    <mergeCell ref="H22:I22"/>
  </mergeCells>
  <conditionalFormatting sqref="M11 M15 M19:M24">
    <cfRule type="cellIs" dxfId="40" priority="7" stopIfTrue="1" operator="lessThanOrEqual">
      <formula>$L11</formula>
    </cfRule>
    <cfRule type="cellIs" dxfId="39" priority="8" operator="greaterThan">
      <formula>L11</formula>
    </cfRule>
  </conditionalFormatting>
  <conditionalFormatting sqref="M16:M17">
    <cfRule type="cellIs" dxfId="38" priority="3" stopIfTrue="1" operator="lessThanOrEqual">
      <formula>$L16</formula>
    </cfRule>
    <cfRule type="cellIs" dxfId="37" priority="4" operator="greaterThan">
      <formula>L16</formula>
    </cfRule>
  </conditionalFormatting>
  <conditionalFormatting sqref="M18">
    <cfRule type="cellIs" dxfId="36" priority="1" stopIfTrue="1" operator="lessThanOrEqual">
      <formula>$L18</formula>
    </cfRule>
    <cfRule type="cellIs" dxfId="35" priority="2" operator="greaterThan">
      <formula>L18</formula>
    </cfRule>
  </conditionalFormatting>
  <pageMargins left="0.7" right="0.7" top="0.75" bottom="0.75" header="0.3" footer="0.3"/>
  <pageSetup paperSize="17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145DFD7-630A-4309-BA45-EB88472B03EA}">
          <x14:formula1>
            <xm:f>Extrusion!$B:$B</xm:f>
          </x14:formula1>
          <xm:sqref>C23:C24</xm:sqref>
        </x14:dataValidation>
        <x14:dataValidation type="list" allowBlank="1" showInputMessage="1" showErrorMessage="1" xr:uid="{38E0BA92-D09B-4F09-B854-6848CD763E33}">
          <x14:formula1>
            <xm:f>Bolts!$A:$A</xm:f>
          </x14:formula1>
          <xm:sqref>C19:C21</xm:sqref>
        </x14:dataValidation>
        <x14:dataValidation type="list" allowBlank="1" showInputMessage="1" showErrorMessage="1" xr:uid="{68D6E89D-B9DA-46A9-B1D0-E01B5B0E52E7}">
          <x14:formula1>
            <xm:f>Assemblies!$E:$E</xm:f>
          </x14:formula1>
          <xm:sqref>C5:C10</xm:sqref>
        </x14:dataValidation>
        <x14:dataValidation type="list" allowBlank="1" showInputMessage="1" showErrorMessage="1" xr:uid="{0FF2C1C9-F00A-4473-AC49-FE26B8DAA3F8}">
          <x14:formula1>
            <xm:f>Machined!$C:$C</xm:f>
          </x14:formula1>
          <xm:sqref>C11:C14</xm:sqref>
        </x14:dataValidation>
        <x14:dataValidation type="list" allowBlank="1" showInputMessage="1" showErrorMessage="1" xr:uid="{E918D33E-2758-4705-B976-62655EF282D2}">
          <x14:formula1>
            <xm:f>Purchased!$A:$A</xm:f>
          </x14:formula1>
          <xm:sqref>C15:C18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280</vt:i4>
      </vt:variant>
      <vt:variant>
        <vt:lpstr>Named Ranges</vt:lpstr>
      </vt:variant>
      <vt:variant>
        <vt:i4>276</vt:i4>
      </vt:variant>
    </vt:vector>
  </HeadingPairs>
  <TitlesOfParts>
    <vt:vector size="556" baseType="lpstr">
      <vt:lpstr>PG10</vt:lpstr>
      <vt:lpstr>0</vt:lpstr>
      <vt:lpstr>0.1</vt:lpstr>
      <vt:lpstr>0.2</vt:lpstr>
      <vt:lpstr>0.3</vt:lpstr>
      <vt:lpstr>0.3.1</vt:lpstr>
      <vt:lpstr>0.4</vt:lpstr>
      <vt:lpstr>0.4.1</vt:lpstr>
      <vt:lpstr>0.5</vt:lpstr>
      <vt:lpstr>0.6</vt:lpstr>
      <vt:lpstr>0.6.1</vt:lpstr>
      <vt:lpstr>0.7</vt:lpstr>
      <vt:lpstr>0.8</vt:lpstr>
      <vt:lpstr>0.9</vt:lpstr>
      <vt:lpstr>0.10</vt:lpstr>
      <vt:lpstr>0.11</vt:lpstr>
      <vt:lpstr>0.12</vt:lpstr>
      <vt:lpstr>1</vt:lpstr>
      <vt:lpstr>1.1</vt:lpstr>
      <vt:lpstr>1.1.1</vt:lpstr>
      <vt:lpstr>1.1.2</vt:lpstr>
      <vt:lpstr>1.1.3</vt:lpstr>
      <vt:lpstr>1.1.4</vt:lpstr>
      <vt:lpstr>1.1.5</vt:lpstr>
      <vt:lpstr>1.1.6</vt:lpstr>
      <vt:lpstr>1.1.7</vt:lpstr>
      <vt:lpstr>1.1.8</vt:lpstr>
      <vt:lpstr>1.1.9</vt:lpstr>
      <vt:lpstr>1.1.10</vt:lpstr>
      <vt:lpstr>1.1.11</vt:lpstr>
      <vt:lpstr>1.1.11.1</vt:lpstr>
      <vt:lpstr>1.1.13</vt:lpstr>
      <vt:lpstr>1.1.14</vt:lpstr>
      <vt:lpstr>1.1.15</vt:lpstr>
      <vt:lpstr>1.1.16</vt:lpstr>
      <vt:lpstr>1.1.17</vt:lpstr>
      <vt:lpstr>1.2</vt:lpstr>
      <vt:lpstr>1.2.1</vt:lpstr>
      <vt:lpstr>1.2.2</vt:lpstr>
      <vt:lpstr>1.2.3</vt:lpstr>
      <vt:lpstr>1.3</vt:lpstr>
      <vt:lpstr>1.3.1</vt:lpstr>
      <vt:lpstr>1.3.2</vt:lpstr>
      <vt:lpstr>1.3.4</vt:lpstr>
      <vt:lpstr>1.3.5</vt:lpstr>
      <vt:lpstr>1.3.6</vt:lpstr>
      <vt:lpstr>1.3.7</vt:lpstr>
      <vt:lpstr>1.4</vt:lpstr>
      <vt:lpstr>1.4.1</vt:lpstr>
      <vt:lpstr>1.4.2</vt:lpstr>
      <vt:lpstr>1.5</vt:lpstr>
      <vt:lpstr>1.6</vt:lpstr>
      <vt:lpstr>1.7</vt:lpstr>
      <vt:lpstr>1.7.1</vt:lpstr>
      <vt:lpstr>2</vt:lpstr>
      <vt:lpstr>2.1</vt:lpstr>
      <vt:lpstr>2.1.1</vt:lpstr>
      <vt:lpstr>2.1.2</vt:lpstr>
      <vt:lpstr>2.1.3</vt:lpstr>
      <vt:lpstr>2.1.4</vt:lpstr>
      <vt:lpstr>2.1.5</vt:lpstr>
      <vt:lpstr>2.1.6</vt:lpstr>
      <vt:lpstr>2.1.7</vt:lpstr>
      <vt:lpstr>2.1.8</vt:lpstr>
      <vt:lpstr>2.2</vt:lpstr>
      <vt:lpstr>2.2.1</vt:lpstr>
      <vt:lpstr>2.2.1.1</vt:lpstr>
      <vt:lpstr>2.2.1.2</vt:lpstr>
      <vt:lpstr>2.2.2</vt:lpstr>
      <vt:lpstr>2.2.3</vt:lpstr>
      <vt:lpstr>2.2.4</vt:lpstr>
      <vt:lpstr>2.2.5</vt:lpstr>
      <vt:lpstr>2.2.6</vt:lpstr>
      <vt:lpstr>2.3</vt:lpstr>
      <vt:lpstr>2.3.1</vt:lpstr>
      <vt:lpstr>2.3.4</vt:lpstr>
      <vt:lpstr>2.3.7</vt:lpstr>
      <vt:lpstr>2.3.8</vt:lpstr>
      <vt:lpstr>3</vt:lpstr>
      <vt:lpstr>3.1</vt:lpstr>
      <vt:lpstr>3.1.1</vt:lpstr>
      <vt:lpstr>3.1.2</vt:lpstr>
      <vt:lpstr>3.1.3</vt:lpstr>
      <vt:lpstr>3.1.4</vt:lpstr>
      <vt:lpstr>3.1.5</vt:lpstr>
      <vt:lpstr>3.1.6</vt:lpstr>
      <vt:lpstr>3.1.7</vt:lpstr>
      <vt:lpstr>3.2</vt:lpstr>
      <vt:lpstr>3.2.1</vt:lpstr>
      <vt:lpstr>3.2.1.1</vt:lpstr>
      <vt:lpstr>3.2.1.2</vt:lpstr>
      <vt:lpstr>3.2.2</vt:lpstr>
      <vt:lpstr>3.2.3</vt:lpstr>
      <vt:lpstr>3.2.4</vt:lpstr>
      <vt:lpstr>3.2.5</vt:lpstr>
      <vt:lpstr>3.2.6</vt:lpstr>
      <vt:lpstr>3.2.7</vt:lpstr>
      <vt:lpstr>3.2.8</vt:lpstr>
      <vt:lpstr>3.2.9</vt:lpstr>
      <vt:lpstr>3.2.10</vt:lpstr>
      <vt:lpstr>3.4</vt:lpstr>
      <vt:lpstr>4</vt:lpstr>
      <vt:lpstr>4.1</vt:lpstr>
      <vt:lpstr>4.1.1</vt:lpstr>
      <vt:lpstr>4.1.2</vt:lpstr>
      <vt:lpstr>4.1.3</vt:lpstr>
      <vt:lpstr>4.1.4</vt:lpstr>
      <vt:lpstr>4.1.5</vt:lpstr>
      <vt:lpstr>4.1.6</vt:lpstr>
      <vt:lpstr>4.1.7</vt:lpstr>
      <vt:lpstr>4.1.8</vt:lpstr>
      <vt:lpstr>4.1.9</vt:lpstr>
      <vt:lpstr>4.1.10</vt:lpstr>
      <vt:lpstr>4.1.11</vt:lpstr>
      <vt:lpstr>4.1.12</vt:lpstr>
      <vt:lpstr>4.1.13</vt:lpstr>
      <vt:lpstr>4.1.14</vt:lpstr>
      <vt:lpstr>4.1.15</vt:lpstr>
      <vt:lpstr>4.1.16</vt:lpstr>
      <vt:lpstr>4.1.17</vt:lpstr>
      <vt:lpstr>4.1.18</vt:lpstr>
      <vt:lpstr>4.1.19</vt:lpstr>
      <vt:lpstr>4.2</vt:lpstr>
      <vt:lpstr>4.2.1</vt:lpstr>
      <vt:lpstr>4.2.2</vt:lpstr>
      <vt:lpstr>4.2.3</vt:lpstr>
      <vt:lpstr>4.2.4</vt:lpstr>
      <vt:lpstr>4.2.5</vt:lpstr>
      <vt:lpstr>4.2.6</vt:lpstr>
      <vt:lpstr>4.2.7</vt:lpstr>
      <vt:lpstr>4.2.8</vt:lpstr>
      <vt:lpstr>4.2.9</vt:lpstr>
      <vt:lpstr>4.2.10</vt:lpstr>
      <vt:lpstr>4.2.11</vt:lpstr>
      <vt:lpstr>4.2.12</vt:lpstr>
      <vt:lpstr>4.3</vt:lpstr>
      <vt:lpstr>4.4</vt:lpstr>
      <vt:lpstr>4.4.1</vt:lpstr>
      <vt:lpstr>4.4.2</vt:lpstr>
      <vt:lpstr>4.5</vt:lpstr>
      <vt:lpstr>4.5.1</vt:lpstr>
      <vt:lpstr>4.6</vt:lpstr>
      <vt:lpstr>4.7</vt:lpstr>
      <vt:lpstr>4.7.1</vt:lpstr>
      <vt:lpstr>5</vt:lpstr>
      <vt:lpstr>5.1</vt:lpstr>
      <vt:lpstr>5.1.1</vt:lpstr>
      <vt:lpstr>5.2</vt:lpstr>
      <vt:lpstr>5.3</vt:lpstr>
      <vt:lpstr>5.4</vt:lpstr>
      <vt:lpstr>5.4.1</vt:lpstr>
      <vt:lpstr>5.4.2</vt:lpstr>
      <vt:lpstr>5.5</vt:lpstr>
      <vt:lpstr>5.5.1</vt:lpstr>
      <vt:lpstr>5.5.2</vt:lpstr>
      <vt:lpstr>5.5.2.1</vt:lpstr>
      <vt:lpstr>5.5.3</vt:lpstr>
      <vt:lpstr>5.5.4</vt:lpstr>
      <vt:lpstr>5.6</vt:lpstr>
      <vt:lpstr>5.6.1</vt:lpstr>
      <vt:lpstr>5.6.2</vt:lpstr>
      <vt:lpstr>5.7</vt:lpstr>
      <vt:lpstr>6</vt:lpstr>
      <vt:lpstr>6.1</vt:lpstr>
      <vt:lpstr>6.1.1</vt:lpstr>
      <vt:lpstr>6.1.2</vt:lpstr>
      <vt:lpstr>6.2</vt:lpstr>
      <vt:lpstr>6.2.1</vt:lpstr>
      <vt:lpstr>6.2.1.1</vt:lpstr>
      <vt:lpstr>6.2.1.2</vt:lpstr>
      <vt:lpstr>6.2.1.3</vt:lpstr>
      <vt:lpstr>6.2.1.4</vt:lpstr>
      <vt:lpstr>6.2.1.5</vt:lpstr>
      <vt:lpstr>6.2.2</vt:lpstr>
      <vt:lpstr>6.2.3</vt:lpstr>
      <vt:lpstr>6.2.3.1</vt:lpstr>
      <vt:lpstr>6.2.3.2</vt:lpstr>
      <vt:lpstr>6.2.3.3</vt:lpstr>
      <vt:lpstr>6.3</vt:lpstr>
      <vt:lpstr>6.3.1</vt:lpstr>
      <vt:lpstr>6.3.1.1</vt:lpstr>
      <vt:lpstr>6.3.1.2</vt:lpstr>
      <vt:lpstr>6.3.1.3</vt:lpstr>
      <vt:lpstr>6.3.1.4</vt:lpstr>
      <vt:lpstr>6.3.2</vt:lpstr>
      <vt:lpstr>6.3.3</vt:lpstr>
      <vt:lpstr>6.4</vt:lpstr>
      <vt:lpstr>6.5</vt:lpstr>
      <vt:lpstr>6.6</vt:lpstr>
      <vt:lpstr>6.6.1</vt:lpstr>
      <vt:lpstr>6.6.2</vt:lpstr>
      <vt:lpstr>6.7</vt:lpstr>
      <vt:lpstr>6.8</vt:lpstr>
      <vt:lpstr>6.9</vt:lpstr>
      <vt:lpstr>6.10</vt:lpstr>
      <vt:lpstr>6.10.1</vt:lpstr>
      <vt:lpstr>6.10.2</vt:lpstr>
      <vt:lpstr>7</vt:lpstr>
      <vt:lpstr>7.1</vt:lpstr>
      <vt:lpstr>7.1.1</vt:lpstr>
      <vt:lpstr>7.1.2</vt:lpstr>
      <vt:lpstr>7.1.3</vt:lpstr>
      <vt:lpstr>7.1.4</vt:lpstr>
      <vt:lpstr>7.1.5</vt:lpstr>
      <vt:lpstr>7.2</vt:lpstr>
      <vt:lpstr>7.2.1</vt:lpstr>
      <vt:lpstr>7.2.2</vt:lpstr>
      <vt:lpstr>7.2.3</vt:lpstr>
      <vt:lpstr>7.2.4</vt:lpstr>
      <vt:lpstr>7.2.5</vt:lpstr>
      <vt:lpstr>7.2.6</vt:lpstr>
      <vt:lpstr>7.2.7</vt:lpstr>
      <vt:lpstr>7.2.8</vt:lpstr>
      <vt:lpstr>7.2.9</vt:lpstr>
      <vt:lpstr>7.2.10</vt:lpstr>
      <vt:lpstr>7.3</vt:lpstr>
      <vt:lpstr>7.3.1</vt:lpstr>
      <vt:lpstr>7.3.2</vt:lpstr>
      <vt:lpstr>7.4</vt:lpstr>
      <vt:lpstr>7.5</vt:lpstr>
      <vt:lpstr>7.6</vt:lpstr>
      <vt:lpstr>7.6.1</vt:lpstr>
      <vt:lpstr>7.6.2</vt:lpstr>
      <vt:lpstr>7.7</vt:lpstr>
      <vt:lpstr>7.7.1</vt:lpstr>
      <vt:lpstr>8</vt:lpstr>
      <vt:lpstr>8.1</vt:lpstr>
      <vt:lpstr>8.1.1</vt:lpstr>
      <vt:lpstr>8.1.2</vt:lpstr>
      <vt:lpstr>8.1.3</vt:lpstr>
      <vt:lpstr>8.1.4</vt:lpstr>
      <vt:lpstr>8.1.5</vt:lpstr>
      <vt:lpstr>8.2</vt:lpstr>
      <vt:lpstr>8.2.1</vt:lpstr>
      <vt:lpstr>8.2.2</vt:lpstr>
      <vt:lpstr>8.3</vt:lpstr>
      <vt:lpstr>8.4</vt:lpstr>
      <vt:lpstr>9</vt:lpstr>
      <vt:lpstr>9.1</vt:lpstr>
      <vt:lpstr>9.2</vt:lpstr>
      <vt:lpstr>9.3</vt:lpstr>
      <vt:lpstr>9.4</vt:lpstr>
      <vt:lpstr>9.5</vt:lpstr>
      <vt:lpstr>10</vt:lpstr>
      <vt:lpstr>10.1</vt:lpstr>
      <vt:lpstr>10.1.1</vt:lpstr>
      <vt:lpstr>10.1.2</vt:lpstr>
      <vt:lpstr>10.1.3</vt:lpstr>
      <vt:lpstr>10.1.4</vt:lpstr>
      <vt:lpstr>10.1.5</vt:lpstr>
      <vt:lpstr>10.1.6</vt:lpstr>
      <vt:lpstr>10.1.7</vt:lpstr>
      <vt:lpstr>10.1.8</vt:lpstr>
      <vt:lpstr>10.1.9</vt:lpstr>
      <vt:lpstr>10.1.10</vt:lpstr>
      <vt:lpstr>10.1.11</vt:lpstr>
      <vt:lpstr>10.1.12</vt:lpstr>
      <vt:lpstr>10.1.13</vt:lpstr>
      <vt:lpstr>10.2</vt:lpstr>
      <vt:lpstr>10.2.1</vt:lpstr>
      <vt:lpstr>10.2.2</vt:lpstr>
      <vt:lpstr>10.2.3</vt:lpstr>
      <vt:lpstr>10.2.4</vt:lpstr>
      <vt:lpstr>10.2.5</vt:lpstr>
      <vt:lpstr>10.2.6</vt:lpstr>
      <vt:lpstr>10.2.7</vt:lpstr>
      <vt:lpstr>10.2.8</vt:lpstr>
      <vt:lpstr>10.3</vt:lpstr>
      <vt:lpstr>10.3.1</vt:lpstr>
      <vt:lpstr>11</vt:lpstr>
      <vt:lpstr>11.1</vt:lpstr>
      <vt:lpstr>11.2</vt:lpstr>
      <vt:lpstr>11.3</vt:lpstr>
      <vt:lpstr>12</vt:lpstr>
      <vt:lpstr>Assemblies</vt:lpstr>
      <vt:lpstr>Machined</vt:lpstr>
      <vt:lpstr>Purchased</vt:lpstr>
      <vt:lpstr>Extrusion</vt:lpstr>
      <vt:lpstr>Bolts</vt:lpstr>
      <vt:lpstr>BLANK</vt:lpstr>
      <vt:lpstr>'0'!Print_Area</vt:lpstr>
      <vt:lpstr>'0.1'!Print_Area</vt:lpstr>
      <vt:lpstr>'0.10'!Print_Area</vt:lpstr>
      <vt:lpstr>'0.11'!Print_Area</vt:lpstr>
      <vt:lpstr>'0.12'!Print_Area</vt:lpstr>
      <vt:lpstr>'0.2'!Print_Area</vt:lpstr>
      <vt:lpstr>'0.3'!Print_Area</vt:lpstr>
      <vt:lpstr>'0.3.1'!Print_Area</vt:lpstr>
      <vt:lpstr>'0.4'!Print_Area</vt:lpstr>
      <vt:lpstr>'0.4.1'!Print_Area</vt:lpstr>
      <vt:lpstr>'0.5'!Print_Area</vt:lpstr>
      <vt:lpstr>'0.6'!Print_Area</vt:lpstr>
      <vt:lpstr>'0.6.1'!Print_Area</vt:lpstr>
      <vt:lpstr>'0.7'!Print_Area</vt:lpstr>
      <vt:lpstr>'0.8'!Print_Area</vt:lpstr>
      <vt:lpstr>'0.9'!Print_Area</vt:lpstr>
      <vt:lpstr>'1'!Print_Area</vt:lpstr>
      <vt:lpstr>'1.1'!Print_Area</vt:lpstr>
      <vt:lpstr>'1.1.1'!Print_Area</vt:lpstr>
      <vt:lpstr>'1.1.10'!Print_Area</vt:lpstr>
      <vt:lpstr>'1.1.11'!Print_Area</vt:lpstr>
      <vt:lpstr>'1.1.11.1'!Print_Area</vt:lpstr>
      <vt:lpstr>'1.1.13'!Print_Area</vt:lpstr>
      <vt:lpstr>'1.1.14'!Print_Area</vt:lpstr>
      <vt:lpstr>'1.1.15'!Print_Area</vt:lpstr>
      <vt:lpstr>'1.1.16'!Print_Area</vt:lpstr>
      <vt:lpstr>'1.1.17'!Print_Area</vt:lpstr>
      <vt:lpstr>'1.1.2'!Print_Area</vt:lpstr>
      <vt:lpstr>'1.1.3'!Print_Area</vt:lpstr>
      <vt:lpstr>'1.1.4'!Print_Area</vt:lpstr>
      <vt:lpstr>'1.1.5'!Print_Area</vt:lpstr>
      <vt:lpstr>'1.1.6'!Print_Area</vt:lpstr>
      <vt:lpstr>'1.1.7'!Print_Area</vt:lpstr>
      <vt:lpstr>'1.1.8'!Print_Area</vt:lpstr>
      <vt:lpstr>'1.1.9'!Print_Area</vt:lpstr>
      <vt:lpstr>'1.2'!Print_Area</vt:lpstr>
      <vt:lpstr>'1.2.1'!Print_Area</vt:lpstr>
      <vt:lpstr>'1.2.2'!Print_Area</vt:lpstr>
      <vt:lpstr>'1.2.3'!Print_Area</vt:lpstr>
      <vt:lpstr>'1.3'!Print_Area</vt:lpstr>
      <vt:lpstr>'1.3.1'!Print_Area</vt:lpstr>
      <vt:lpstr>'1.3.2'!Print_Area</vt:lpstr>
      <vt:lpstr>'1.3.4'!Print_Area</vt:lpstr>
      <vt:lpstr>'1.3.5'!Print_Area</vt:lpstr>
      <vt:lpstr>'1.3.6'!Print_Area</vt:lpstr>
      <vt:lpstr>'1.3.7'!Print_Area</vt:lpstr>
      <vt:lpstr>'1.4'!Print_Area</vt:lpstr>
      <vt:lpstr>'1.4.1'!Print_Area</vt:lpstr>
      <vt:lpstr>'1.4.2'!Print_Area</vt:lpstr>
      <vt:lpstr>'1.5'!Print_Area</vt:lpstr>
      <vt:lpstr>'1.6'!Print_Area</vt:lpstr>
      <vt:lpstr>'1.7'!Print_Area</vt:lpstr>
      <vt:lpstr>'1.7.1'!Print_Area</vt:lpstr>
      <vt:lpstr>'10'!Print_Area</vt:lpstr>
      <vt:lpstr>'10.1'!Print_Area</vt:lpstr>
      <vt:lpstr>'10.1.1'!Print_Area</vt:lpstr>
      <vt:lpstr>'10.1.10'!Print_Area</vt:lpstr>
      <vt:lpstr>'10.1.11'!Print_Area</vt:lpstr>
      <vt:lpstr>'10.1.12'!Print_Area</vt:lpstr>
      <vt:lpstr>'10.1.13'!Print_Area</vt:lpstr>
      <vt:lpstr>'10.1.2'!Print_Area</vt:lpstr>
      <vt:lpstr>'10.1.3'!Print_Area</vt:lpstr>
      <vt:lpstr>'10.1.4'!Print_Area</vt:lpstr>
      <vt:lpstr>'10.1.5'!Print_Area</vt:lpstr>
      <vt:lpstr>'10.1.6'!Print_Area</vt:lpstr>
      <vt:lpstr>'10.1.7'!Print_Area</vt:lpstr>
      <vt:lpstr>'10.1.8'!Print_Area</vt:lpstr>
      <vt:lpstr>'10.1.9'!Print_Area</vt:lpstr>
      <vt:lpstr>'10.2'!Print_Area</vt:lpstr>
      <vt:lpstr>'10.2.1'!Print_Area</vt:lpstr>
      <vt:lpstr>'10.2.2'!Print_Area</vt:lpstr>
      <vt:lpstr>'10.2.3'!Print_Area</vt:lpstr>
      <vt:lpstr>'10.2.4'!Print_Area</vt:lpstr>
      <vt:lpstr>'10.2.5'!Print_Area</vt:lpstr>
      <vt:lpstr>'10.2.6'!Print_Area</vt:lpstr>
      <vt:lpstr>'10.2.7'!Print_Area</vt:lpstr>
      <vt:lpstr>'10.2.8'!Print_Area</vt:lpstr>
      <vt:lpstr>'10.3'!Print_Area</vt:lpstr>
      <vt:lpstr>'10.3.1'!Print_Area</vt:lpstr>
      <vt:lpstr>'11'!Print_Area</vt:lpstr>
      <vt:lpstr>'11.1'!Print_Area</vt:lpstr>
      <vt:lpstr>'11.2'!Print_Area</vt:lpstr>
      <vt:lpstr>'11.3'!Print_Area</vt:lpstr>
      <vt:lpstr>'12'!Print_Area</vt:lpstr>
      <vt:lpstr>'2'!Print_Area</vt:lpstr>
      <vt:lpstr>'2.1'!Print_Area</vt:lpstr>
      <vt:lpstr>'2.1.1'!Print_Area</vt:lpstr>
      <vt:lpstr>'2.1.2'!Print_Area</vt:lpstr>
      <vt:lpstr>'2.1.3'!Print_Area</vt:lpstr>
      <vt:lpstr>'2.1.4'!Print_Area</vt:lpstr>
      <vt:lpstr>'2.1.5'!Print_Area</vt:lpstr>
      <vt:lpstr>'2.1.6'!Print_Area</vt:lpstr>
      <vt:lpstr>'2.1.7'!Print_Area</vt:lpstr>
      <vt:lpstr>'2.1.8'!Print_Area</vt:lpstr>
      <vt:lpstr>'2.2'!Print_Area</vt:lpstr>
      <vt:lpstr>'2.2.1'!Print_Area</vt:lpstr>
      <vt:lpstr>'2.2.1.1'!Print_Area</vt:lpstr>
      <vt:lpstr>'2.2.1.2'!Print_Area</vt:lpstr>
      <vt:lpstr>'2.2.2'!Print_Area</vt:lpstr>
      <vt:lpstr>'2.2.3'!Print_Area</vt:lpstr>
      <vt:lpstr>'2.2.4'!Print_Area</vt:lpstr>
      <vt:lpstr>'2.2.5'!Print_Area</vt:lpstr>
      <vt:lpstr>'2.2.6'!Print_Area</vt:lpstr>
      <vt:lpstr>'2.3'!Print_Area</vt:lpstr>
      <vt:lpstr>'2.3.1'!Print_Area</vt:lpstr>
      <vt:lpstr>'2.3.4'!Print_Area</vt:lpstr>
      <vt:lpstr>'2.3.7'!Print_Area</vt:lpstr>
      <vt:lpstr>'2.3.8'!Print_Area</vt:lpstr>
      <vt:lpstr>'3'!Print_Area</vt:lpstr>
      <vt:lpstr>'3.1'!Print_Area</vt:lpstr>
      <vt:lpstr>'3.1.1'!Print_Area</vt:lpstr>
      <vt:lpstr>'3.1.2'!Print_Area</vt:lpstr>
      <vt:lpstr>'3.1.3'!Print_Area</vt:lpstr>
      <vt:lpstr>'3.1.4'!Print_Area</vt:lpstr>
      <vt:lpstr>'3.1.5'!Print_Area</vt:lpstr>
      <vt:lpstr>'3.1.6'!Print_Area</vt:lpstr>
      <vt:lpstr>'3.1.7'!Print_Area</vt:lpstr>
      <vt:lpstr>'3.2'!Print_Area</vt:lpstr>
      <vt:lpstr>'3.2.1'!Print_Area</vt:lpstr>
      <vt:lpstr>'3.2.1.1'!Print_Area</vt:lpstr>
      <vt:lpstr>'3.2.1.2'!Print_Area</vt:lpstr>
      <vt:lpstr>'3.2.10'!Print_Area</vt:lpstr>
      <vt:lpstr>'3.2.2'!Print_Area</vt:lpstr>
      <vt:lpstr>'3.2.3'!Print_Area</vt:lpstr>
      <vt:lpstr>'3.2.4'!Print_Area</vt:lpstr>
      <vt:lpstr>'3.2.5'!Print_Area</vt:lpstr>
      <vt:lpstr>'3.2.6'!Print_Area</vt:lpstr>
      <vt:lpstr>'3.2.7'!Print_Area</vt:lpstr>
      <vt:lpstr>'3.2.8'!Print_Area</vt:lpstr>
      <vt:lpstr>'3.2.9'!Print_Area</vt:lpstr>
      <vt:lpstr>'3.4'!Print_Area</vt:lpstr>
      <vt:lpstr>'4'!Print_Area</vt:lpstr>
      <vt:lpstr>'4.1'!Print_Area</vt:lpstr>
      <vt:lpstr>'4.1.1'!Print_Area</vt:lpstr>
      <vt:lpstr>'4.1.10'!Print_Area</vt:lpstr>
      <vt:lpstr>'4.1.11'!Print_Area</vt:lpstr>
      <vt:lpstr>'4.1.12'!Print_Area</vt:lpstr>
      <vt:lpstr>'4.1.13'!Print_Area</vt:lpstr>
      <vt:lpstr>'4.1.14'!Print_Area</vt:lpstr>
      <vt:lpstr>'4.1.15'!Print_Area</vt:lpstr>
      <vt:lpstr>'4.1.16'!Print_Area</vt:lpstr>
      <vt:lpstr>'4.1.17'!Print_Area</vt:lpstr>
      <vt:lpstr>'4.1.18'!Print_Area</vt:lpstr>
      <vt:lpstr>'4.1.19'!Print_Area</vt:lpstr>
      <vt:lpstr>'4.1.2'!Print_Area</vt:lpstr>
      <vt:lpstr>'4.1.3'!Print_Area</vt:lpstr>
      <vt:lpstr>'4.1.4'!Print_Area</vt:lpstr>
      <vt:lpstr>'4.1.5'!Print_Area</vt:lpstr>
      <vt:lpstr>'4.1.6'!Print_Area</vt:lpstr>
      <vt:lpstr>'4.1.7'!Print_Area</vt:lpstr>
      <vt:lpstr>'4.1.8'!Print_Area</vt:lpstr>
      <vt:lpstr>'4.1.9'!Print_Area</vt:lpstr>
      <vt:lpstr>'4.2'!Print_Area</vt:lpstr>
      <vt:lpstr>'4.2.1'!Print_Area</vt:lpstr>
      <vt:lpstr>'4.2.10'!Print_Area</vt:lpstr>
      <vt:lpstr>'4.2.11'!Print_Area</vt:lpstr>
      <vt:lpstr>'4.2.12'!Print_Area</vt:lpstr>
      <vt:lpstr>'4.2.2'!Print_Area</vt:lpstr>
      <vt:lpstr>'4.2.3'!Print_Area</vt:lpstr>
      <vt:lpstr>'4.2.4'!Print_Area</vt:lpstr>
      <vt:lpstr>'4.2.5'!Print_Area</vt:lpstr>
      <vt:lpstr>'4.2.6'!Print_Area</vt:lpstr>
      <vt:lpstr>'4.2.7'!Print_Area</vt:lpstr>
      <vt:lpstr>'4.2.8'!Print_Area</vt:lpstr>
      <vt:lpstr>'4.2.9'!Print_Area</vt:lpstr>
      <vt:lpstr>'4.3'!Print_Area</vt:lpstr>
      <vt:lpstr>'4.4'!Print_Area</vt:lpstr>
      <vt:lpstr>'4.4.1'!Print_Area</vt:lpstr>
      <vt:lpstr>'4.4.2'!Print_Area</vt:lpstr>
      <vt:lpstr>'4.5'!Print_Area</vt:lpstr>
      <vt:lpstr>'4.5.1'!Print_Area</vt:lpstr>
      <vt:lpstr>'4.6'!Print_Area</vt:lpstr>
      <vt:lpstr>'4.7'!Print_Area</vt:lpstr>
      <vt:lpstr>'4.7.1'!Print_Area</vt:lpstr>
      <vt:lpstr>'5'!Print_Area</vt:lpstr>
      <vt:lpstr>'5.1'!Print_Area</vt:lpstr>
      <vt:lpstr>'5.1.1'!Print_Area</vt:lpstr>
      <vt:lpstr>'5.2'!Print_Area</vt:lpstr>
      <vt:lpstr>'5.3'!Print_Area</vt:lpstr>
      <vt:lpstr>'5.4'!Print_Area</vt:lpstr>
      <vt:lpstr>'5.4.1'!Print_Area</vt:lpstr>
      <vt:lpstr>'5.4.2'!Print_Area</vt:lpstr>
      <vt:lpstr>'5.5'!Print_Area</vt:lpstr>
      <vt:lpstr>'5.5.1'!Print_Area</vt:lpstr>
      <vt:lpstr>'5.5.2'!Print_Area</vt:lpstr>
      <vt:lpstr>'5.5.2.1'!Print_Area</vt:lpstr>
      <vt:lpstr>'5.5.3'!Print_Area</vt:lpstr>
      <vt:lpstr>'5.5.4'!Print_Area</vt:lpstr>
      <vt:lpstr>'5.6'!Print_Area</vt:lpstr>
      <vt:lpstr>'5.6.1'!Print_Area</vt:lpstr>
      <vt:lpstr>'5.6.2'!Print_Area</vt:lpstr>
      <vt:lpstr>'5.7'!Print_Area</vt:lpstr>
      <vt:lpstr>'6'!Print_Area</vt:lpstr>
      <vt:lpstr>'6.1'!Print_Area</vt:lpstr>
      <vt:lpstr>'6.1.1'!Print_Area</vt:lpstr>
      <vt:lpstr>'6.1.2'!Print_Area</vt:lpstr>
      <vt:lpstr>'6.10'!Print_Area</vt:lpstr>
      <vt:lpstr>'6.10.1'!Print_Area</vt:lpstr>
      <vt:lpstr>'6.10.2'!Print_Area</vt:lpstr>
      <vt:lpstr>'6.2'!Print_Area</vt:lpstr>
      <vt:lpstr>'6.2.1'!Print_Area</vt:lpstr>
      <vt:lpstr>'6.2.1.1'!Print_Area</vt:lpstr>
      <vt:lpstr>'6.2.1.2'!Print_Area</vt:lpstr>
      <vt:lpstr>'6.2.1.3'!Print_Area</vt:lpstr>
      <vt:lpstr>'6.2.1.4'!Print_Area</vt:lpstr>
      <vt:lpstr>'6.2.1.5'!Print_Area</vt:lpstr>
      <vt:lpstr>'6.2.2'!Print_Area</vt:lpstr>
      <vt:lpstr>'6.2.3'!Print_Area</vt:lpstr>
      <vt:lpstr>'6.2.3.1'!Print_Area</vt:lpstr>
      <vt:lpstr>'6.2.3.2'!Print_Area</vt:lpstr>
      <vt:lpstr>'6.2.3.3'!Print_Area</vt:lpstr>
      <vt:lpstr>'6.3'!Print_Area</vt:lpstr>
      <vt:lpstr>'6.3.1'!Print_Area</vt:lpstr>
      <vt:lpstr>'6.3.1.1'!Print_Area</vt:lpstr>
      <vt:lpstr>'6.3.1.2'!Print_Area</vt:lpstr>
      <vt:lpstr>'6.3.1.3'!Print_Area</vt:lpstr>
      <vt:lpstr>'6.3.1.4'!Print_Area</vt:lpstr>
      <vt:lpstr>'6.3.2'!Print_Area</vt:lpstr>
      <vt:lpstr>'6.3.3'!Print_Area</vt:lpstr>
      <vt:lpstr>'6.4'!Print_Area</vt:lpstr>
      <vt:lpstr>'6.5'!Print_Area</vt:lpstr>
      <vt:lpstr>'6.6'!Print_Area</vt:lpstr>
      <vt:lpstr>'6.6.1'!Print_Area</vt:lpstr>
      <vt:lpstr>'6.6.2'!Print_Area</vt:lpstr>
      <vt:lpstr>'6.7'!Print_Area</vt:lpstr>
      <vt:lpstr>'6.8'!Print_Area</vt:lpstr>
      <vt:lpstr>'6.9'!Print_Area</vt:lpstr>
      <vt:lpstr>'7'!Print_Area</vt:lpstr>
      <vt:lpstr>'7.1'!Print_Area</vt:lpstr>
      <vt:lpstr>'7.1.1'!Print_Area</vt:lpstr>
      <vt:lpstr>'7.1.2'!Print_Area</vt:lpstr>
      <vt:lpstr>'7.1.3'!Print_Area</vt:lpstr>
      <vt:lpstr>'7.1.4'!Print_Area</vt:lpstr>
      <vt:lpstr>'7.1.5'!Print_Area</vt:lpstr>
      <vt:lpstr>'7.2'!Print_Area</vt:lpstr>
      <vt:lpstr>'7.2.1'!Print_Area</vt:lpstr>
      <vt:lpstr>'7.2.10'!Print_Area</vt:lpstr>
      <vt:lpstr>'7.2.2'!Print_Area</vt:lpstr>
      <vt:lpstr>'7.2.3'!Print_Area</vt:lpstr>
      <vt:lpstr>'7.2.4'!Print_Area</vt:lpstr>
      <vt:lpstr>'7.2.5'!Print_Area</vt:lpstr>
      <vt:lpstr>'7.2.6'!Print_Area</vt:lpstr>
      <vt:lpstr>'7.2.7'!Print_Area</vt:lpstr>
      <vt:lpstr>'7.2.8'!Print_Area</vt:lpstr>
      <vt:lpstr>'7.2.9'!Print_Area</vt:lpstr>
      <vt:lpstr>'7.3'!Print_Area</vt:lpstr>
      <vt:lpstr>'7.3.1'!Print_Area</vt:lpstr>
      <vt:lpstr>'7.3.2'!Print_Area</vt:lpstr>
      <vt:lpstr>'7.4'!Print_Area</vt:lpstr>
      <vt:lpstr>'7.5'!Print_Area</vt:lpstr>
      <vt:lpstr>'7.6'!Print_Area</vt:lpstr>
      <vt:lpstr>'7.6.1'!Print_Area</vt:lpstr>
      <vt:lpstr>'7.6.2'!Print_Area</vt:lpstr>
      <vt:lpstr>'7.7'!Print_Area</vt:lpstr>
      <vt:lpstr>'7.7.1'!Print_Area</vt:lpstr>
      <vt:lpstr>'8'!Print_Area</vt:lpstr>
      <vt:lpstr>'8.1'!Print_Area</vt:lpstr>
      <vt:lpstr>'8.1.1'!Print_Area</vt:lpstr>
      <vt:lpstr>'8.1.2'!Print_Area</vt:lpstr>
      <vt:lpstr>'8.1.3'!Print_Area</vt:lpstr>
      <vt:lpstr>'8.1.4'!Print_Area</vt:lpstr>
      <vt:lpstr>'8.1.5'!Print_Area</vt:lpstr>
      <vt:lpstr>'8.2'!Print_Area</vt:lpstr>
      <vt:lpstr>'8.2.1'!Print_Area</vt:lpstr>
      <vt:lpstr>'8.2.2'!Print_Area</vt:lpstr>
      <vt:lpstr>'8.3'!Print_Area</vt:lpstr>
      <vt:lpstr>'8.4'!Print_Area</vt:lpstr>
      <vt:lpstr>'9'!Print_Area</vt:lpstr>
      <vt:lpstr>'9.1'!Print_Area</vt:lpstr>
      <vt:lpstr>'9.2'!Print_Area</vt:lpstr>
      <vt:lpstr>'9.3'!Print_Area</vt:lpstr>
      <vt:lpstr>'9.4'!Print_Area</vt:lpstr>
      <vt:lpstr>'9.5'!Print_Area</vt:lpstr>
      <vt:lpstr>BLANK!Print_Area</vt:lpstr>
      <vt:lpstr>'PG10'!Print_Area</vt:lpstr>
      <vt:lpstr>'0'!Print_Titles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 Herivel</dc:creator>
  <cp:keywords/>
  <dc:description/>
  <cp:lastModifiedBy>Evan Lackey</cp:lastModifiedBy>
  <cp:revision/>
  <cp:lastPrinted>2024-09-24T16:22:26Z</cp:lastPrinted>
  <dcterms:created xsi:type="dcterms:W3CDTF">2008-02-28T14:14:01Z</dcterms:created>
  <dcterms:modified xsi:type="dcterms:W3CDTF">2024-09-26T20:43:36Z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