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ASRT/"/>
    </mc:Choice>
  </mc:AlternateContent>
  <xr:revisionPtr revIDLastSave="0" documentId="13_ncr:1_{4E1C3B23-A060-6B46-9F46-D33DCDBF6987}" xr6:coauthVersionLast="47" xr6:coauthVersionMax="47" xr10:uidLastSave="{00000000-0000-0000-0000-000000000000}"/>
  <bookViews>
    <workbookView xWindow="2200" yWindow="760" windowWidth="28040" windowHeight="17440" xr2:uid="{A0DF5598-9F1E-6445-A0B8-833A8CBF5F59}"/>
  </bookViews>
  <sheets>
    <sheet name="Model" sheetId="1" r:id="rId1"/>
    <sheet name="Schedule" sheetId="2" r:id="rId2"/>
    <sheet name="Supplemen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35" i="1"/>
  <c r="B33" i="1"/>
  <c r="B30" i="1"/>
  <c r="B29" i="1"/>
  <c r="B27" i="1"/>
  <c r="C28" i="1"/>
  <c r="C35" i="1" s="1"/>
  <c r="F35" i="1"/>
  <c r="F33" i="1"/>
  <c r="F30" i="1"/>
  <c r="F29" i="1"/>
  <c r="F28" i="1"/>
  <c r="F27" i="1"/>
  <c r="G28" i="1"/>
  <c r="G35" i="1" s="1"/>
  <c r="M22" i="1"/>
  <c r="M23" i="1"/>
  <c r="M24" i="1"/>
  <c r="M25" i="1" s="1"/>
  <c r="F24" i="1"/>
  <c r="F25" i="1" s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C25" i="1" s="1"/>
  <c r="D24" i="1"/>
  <c r="D25" i="1" s="1"/>
  <c r="E24" i="1"/>
  <c r="G24" i="1"/>
  <c r="G25" i="1" s="1"/>
  <c r="H24" i="1"/>
  <c r="H25" i="1" s="1"/>
  <c r="I24" i="1"/>
  <c r="I25" i="1" s="1"/>
  <c r="E25" i="1"/>
  <c r="B24" i="1"/>
  <c r="B25" i="1" s="1"/>
  <c r="B23" i="1"/>
  <c r="B22" i="1"/>
  <c r="E17" i="1"/>
  <c r="M17" i="1"/>
  <c r="M16" i="1"/>
  <c r="M18" i="1"/>
  <c r="H18" i="1"/>
  <c r="I18" i="1"/>
  <c r="I16" i="1"/>
  <c r="E16" i="1"/>
  <c r="E14" i="1"/>
  <c r="I10" i="1"/>
  <c r="I11" i="1"/>
  <c r="I7" i="1"/>
  <c r="I14" i="1"/>
  <c r="I12" i="1"/>
  <c r="I13" i="1"/>
  <c r="E12" i="1"/>
  <c r="E13" i="1"/>
  <c r="E11" i="1"/>
  <c r="D14" i="1"/>
  <c r="H14" i="1"/>
  <c r="F13" i="1"/>
  <c r="AC3" i="1"/>
  <c r="AD3" i="1"/>
  <c r="AE3" i="1"/>
  <c r="AF3" i="1" s="1"/>
  <c r="AG3" i="1" s="1"/>
  <c r="AH3" i="1" s="1"/>
  <c r="AI3" i="1" s="1"/>
  <c r="AJ3" i="1" s="1"/>
  <c r="AK3" i="1" s="1"/>
  <c r="AB3" i="1"/>
  <c r="M14" i="1"/>
  <c r="M13" i="1"/>
  <c r="M12" i="1"/>
  <c r="M11" i="1"/>
  <c r="M10" i="1"/>
  <c r="M7" i="1"/>
  <c r="R58" i="2" l="1"/>
  <c r="Q58" i="2"/>
  <c r="Q48" i="2"/>
  <c r="Q47" i="2"/>
  <c r="Q44" i="2"/>
  <c r="Q39" i="2"/>
  <c r="Q34" i="2"/>
  <c r="R48" i="2"/>
  <c r="R44" i="2"/>
  <c r="R39" i="2"/>
  <c r="R34" i="2"/>
  <c r="R47" i="2"/>
  <c r="Q28" i="2"/>
  <c r="R28" i="2"/>
  <c r="Q15" i="2"/>
  <c r="Q17" i="2" s="1"/>
  <c r="Q8" i="2"/>
  <c r="R15" i="2"/>
  <c r="R17" i="2" s="1"/>
  <c r="R8" i="2"/>
  <c r="I2" i="2"/>
  <c r="M2" i="2" s="1"/>
  <c r="Q2" i="2" s="1"/>
  <c r="U2" i="2" s="1"/>
  <c r="H2" i="2"/>
  <c r="L2" i="2" s="1"/>
  <c r="P2" i="2" s="1"/>
  <c r="T2" i="2" s="1"/>
  <c r="G2" i="2"/>
  <c r="K2" i="2" s="1"/>
  <c r="O2" i="2" s="1"/>
  <c r="S2" i="2" s="1"/>
  <c r="F2" i="2"/>
  <c r="J2" i="2" s="1"/>
  <c r="N2" i="2" s="1"/>
  <c r="R2" i="2" s="1"/>
  <c r="R139" i="1"/>
  <c r="R137" i="1"/>
  <c r="R133" i="1"/>
  <c r="R125" i="1"/>
  <c r="R119" i="1"/>
  <c r="R14" i="1"/>
  <c r="R22" i="1" s="1"/>
  <c r="R90" i="1"/>
  <c r="R78" i="1"/>
  <c r="R83" i="1" s="1"/>
  <c r="R63" i="1"/>
  <c r="R69" i="1" s="1"/>
  <c r="R42" i="1"/>
  <c r="R43" i="1" s="1"/>
  <c r="Q44" i="1"/>
  <c r="J43" i="1"/>
  <c r="R23" i="1"/>
  <c r="Q16" i="1"/>
  <c r="Q23" i="1" s="1"/>
  <c r="Q9" i="1"/>
  <c r="Q8" i="1"/>
  <c r="Q10" i="1"/>
  <c r="Q11" i="1"/>
  <c r="Q12" i="1"/>
  <c r="Q13" i="1"/>
  <c r="Q7" i="1"/>
  <c r="Q14" i="1" s="1"/>
  <c r="R24" i="1"/>
  <c r="O43" i="1"/>
  <c r="P43" i="1"/>
  <c r="K43" i="1"/>
  <c r="L43" i="1"/>
  <c r="J3" i="1"/>
  <c r="N3" i="1" s="1"/>
  <c r="R3" i="1" s="1"/>
  <c r="G3" i="1"/>
  <c r="K3" i="1" s="1"/>
  <c r="O3" i="1" s="1"/>
  <c r="S3" i="1" s="1"/>
  <c r="H3" i="1"/>
  <c r="L3" i="1" s="1"/>
  <c r="P3" i="1" s="1"/>
  <c r="T3" i="1" s="1"/>
  <c r="I3" i="1"/>
  <c r="M3" i="1" s="1"/>
  <c r="Q3" i="1" s="1"/>
  <c r="U3" i="1" s="1"/>
  <c r="F3" i="1"/>
  <c r="O24" i="1"/>
  <c r="P24" i="1"/>
  <c r="L14" i="1"/>
  <c r="L22" i="1" s="1"/>
  <c r="P14" i="1"/>
  <c r="P22" i="1" s="1"/>
  <c r="P23" i="1"/>
  <c r="L23" i="1"/>
  <c r="L24" i="1"/>
  <c r="K23" i="1"/>
  <c r="K24" i="1"/>
  <c r="K14" i="1"/>
  <c r="K18" i="1" s="1"/>
  <c r="O23" i="1"/>
  <c r="O14" i="1"/>
  <c r="O22" i="1" s="1"/>
  <c r="J63" i="1"/>
  <c r="J69" i="1" s="1"/>
  <c r="N90" i="1"/>
  <c r="N78" i="1"/>
  <c r="N83" i="1" s="1"/>
  <c r="N63" i="1"/>
  <c r="N69" i="1" s="1"/>
  <c r="N43" i="1"/>
  <c r="J24" i="1"/>
  <c r="J23" i="1"/>
  <c r="N23" i="1"/>
  <c r="J14" i="1"/>
  <c r="J22" i="1" s="1"/>
  <c r="N14" i="1"/>
  <c r="N18" i="1" s="1"/>
  <c r="B17" i="1"/>
  <c r="D18" i="1"/>
  <c r="E18" i="1"/>
  <c r="F16" i="1"/>
  <c r="B16" i="1"/>
  <c r="B12" i="1"/>
  <c r="B11" i="1"/>
  <c r="C13" i="1"/>
  <c r="B13" i="1" s="1"/>
  <c r="F12" i="1"/>
  <c r="F11" i="1"/>
  <c r="G13" i="1"/>
  <c r="G14" i="1" s="1"/>
  <c r="G18" i="1" s="1"/>
  <c r="Z43" i="1"/>
  <c r="AA43" i="1"/>
  <c r="AA23" i="1"/>
  <c r="AA24" i="1"/>
  <c r="Z24" i="1"/>
  <c r="Z23" i="1"/>
  <c r="Z14" i="1"/>
  <c r="Z18" i="1" s="1"/>
  <c r="AA14" i="1"/>
  <c r="AA22" i="1" s="1"/>
  <c r="AB137" i="1"/>
  <c r="AC137" i="1"/>
  <c r="AC125" i="1"/>
  <c r="AB125" i="1"/>
  <c r="AB90" i="1"/>
  <c r="AB78" i="1"/>
  <c r="AB83" i="1" s="1"/>
  <c r="AB63" i="1"/>
  <c r="AB69" i="1" s="1"/>
  <c r="AC90" i="1"/>
  <c r="AC78" i="1"/>
  <c r="AC83" i="1" s="1"/>
  <c r="AC63" i="1"/>
  <c r="AC69" i="1" s="1"/>
  <c r="AC43" i="1"/>
  <c r="AB43" i="1"/>
  <c r="AC23" i="1"/>
  <c r="AC24" i="1"/>
  <c r="AB24" i="1"/>
  <c r="AB23" i="1"/>
  <c r="AB14" i="1"/>
  <c r="AB22" i="1" s="1"/>
  <c r="AC14" i="1"/>
  <c r="AC22" i="1" s="1"/>
  <c r="Q49" i="2" l="1"/>
  <c r="R49" i="2"/>
  <c r="R46" i="2" s="1"/>
  <c r="Q18" i="1"/>
  <c r="Q22" i="1"/>
  <c r="R92" i="1"/>
  <c r="Q25" i="1"/>
  <c r="K44" i="1"/>
  <c r="R18" i="1"/>
  <c r="R25" i="1"/>
  <c r="R28" i="1" s="1"/>
  <c r="R35" i="1" s="1"/>
  <c r="R44" i="1" s="1"/>
  <c r="R47" i="1" s="1"/>
  <c r="R101" i="1" s="1"/>
  <c r="R93" i="1"/>
  <c r="K22" i="1"/>
  <c r="J18" i="1"/>
  <c r="K25" i="1"/>
  <c r="K28" i="1" s="1"/>
  <c r="K35" i="1" s="1"/>
  <c r="N22" i="1"/>
  <c r="N25" i="1" s="1"/>
  <c r="N28" i="1" s="1"/>
  <c r="N35" i="1" s="1"/>
  <c r="N44" i="1" s="1"/>
  <c r="N47" i="1" s="1"/>
  <c r="N92" i="1"/>
  <c r="N93" i="1" s="1"/>
  <c r="P18" i="1"/>
  <c r="L18" i="1"/>
  <c r="O18" i="1"/>
  <c r="O25" i="1"/>
  <c r="O28" i="1" s="1"/>
  <c r="O35" i="1" s="1"/>
  <c r="O44" i="1" s="1"/>
  <c r="L25" i="1"/>
  <c r="L28" i="1" s="1"/>
  <c r="L35" i="1" s="1"/>
  <c r="L44" i="1" s="1"/>
  <c r="P25" i="1"/>
  <c r="P28" i="1" s="1"/>
  <c r="P35" i="1" s="1"/>
  <c r="P44" i="1" s="1"/>
  <c r="J25" i="1"/>
  <c r="J28" i="1" s="1"/>
  <c r="J35" i="1" s="1"/>
  <c r="J44" i="1"/>
  <c r="J47" i="1" s="1"/>
  <c r="B14" i="1"/>
  <c r="B18" i="1" s="1"/>
  <c r="F14" i="1"/>
  <c r="F18" i="1" s="1"/>
  <c r="C14" i="1"/>
  <c r="C18" i="1" s="1"/>
  <c r="Z22" i="1"/>
  <c r="Z25" i="1" s="1"/>
  <c r="Z28" i="1" s="1"/>
  <c r="Z35" i="1" s="1"/>
  <c r="Z44" i="1" s="1"/>
  <c r="Z47" i="1" s="1"/>
  <c r="AA25" i="1"/>
  <c r="AA28" i="1" s="1"/>
  <c r="AA35" i="1" s="1"/>
  <c r="AA44" i="1" s="1"/>
  <c r="AA47" i="1" s="1"/>
  <c r="AA18" i="1"/>
  <c r="AC92" i="1"/>
  <c r="AC93" i="1" s="1"/>
  <c r="AB92" i="1"/>
  <c r="AB93" i="1" s="1"/>
  <c r="AB25" i="1"/>
  <c r="AB28" i="1" s="1"/>
  <c r="AC25" i="1"/>
  <c r="AC28" i="1" s="1"/>
  <c r="AB18" i="1"/>
  <c r="AC18" i="1"/>
  <c r="R50" i="1" l="1"/>
  <c r="R49" i="1"/>
  <c r="N50" i="1"/>
  <c r="N49" i="1"/>
  <c r="J49" i="1"/>
  <c r="J50" i="1"/>
  <c r="AA49" i="1"/>
  <c r="AA50" i="1"/>
  <c r="Z50" i="1"/>
  <c r="Z49" i="1"/>
  <c r="AC35" i="1"/>
  <c r="AC44" i="1" s="1"/>
  <c r="AC47" i="1" s="1"/>
  <c r="AB35" i="1"/>
  <c r="AB44" i="1" s="1"/>
  <c r="AB47" i="1" s="1"/>
  <c r="AB101" i="1" l="1"/>
  <c r="AB119" i="1" s="1"/>
  <c r="AB139" i="1" s="1"/>
  <c r="AB49" i="1"/>
  <c r="AB50" i="1"/>
  <c r="AC101" i="1"/>
  <c r="AC119" i="1" s="1"/>
  <c r="AC139" i="1" s="1"/>
  <c r="AC50" i="1"/>
  <c r="AC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tc={B6E82BB0-4EF2-1640-995C-755543F3BF93}</author>
    <author>tc={C4B87032-58D1-8F4B-B7D9-A751EBB99B62}</author>
    <author>tc={EA91E9BC-F50A-C844-B437-6171E2E9971E}</author>
    <author>tc={CFFA79AB-8D9D-3F47-B0E0-21A7D1B5E80C}</author>
    <author>tc={794ED2A5-E939-6940-84FD-8ABDD356620F}</author>
  </authors>
  <commentList>
    <comment ref="G10" authorId="0" shapeId="0" xr:uid="{B6E82BB0-4EF2-1640-995C-755543F3BF93}">
      <text>
        <t>[Threaded comment]
Your version of Excel allows you to read this threaded comment; however, any edits to it will get removed if the file is opened in a newer version of Excel. Learn more: https://go.microsoft.com/fwlink/?linkid=870924
Comment:
    SPRIX Nasal spray from Zyla merger 20 May 20</t>
      </text>
    </comment>
    <comment ref="F13" authorId="1" shapeId="0" xr:uid="{C4B87032-58D1-8F4B-B7D9-A751EBB99B6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 20 Sale of Gralise to Alvogen</t>
      </text>
    </comment>
    <comment ref="G13" authorId="2" shapeId="0" xr:uid="{EA91E9BC-F50A-C844-B437-6171E2E997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Solumatrix 
OXYADO
Gralize (Sold 10 Jan 20 to Alvogen, -$165k sales reserve estimate adjustment </t>
      </text>
    </comment>
    <comment ref="AA17" authorId="3" shapeId="0" xr:uid="{CFFA79AB-8D9D-3F47-B0E0-21A7D1B5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Commercialization Agreement Revenue</t>
      </text>
    </comment>
    <comment ref="R133" authorId="4" shapeId="0" xr:uid="{794ED2A5-E939-6940-84FD-8ABDD356620F}">
      <text>
        <t>[Threaded comment]
Your version of Excel allows you to read this threaded comment; however, any edits to it will get removed if the file is opened in a newer version of Excel. Learn more: https://go.microsoft.com/fwlink/?linkid=870924
Comment:
    $10.5m Settlement of CD Inducement
$1.1m Direct Costs for CD Inducement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tc={252708B7-EA5E-0D4A-8711-E9A0CA65436F}</author>
  </authors>
  <commentList>
    <comment ref="AD52" authorId="0" shapeId="0" xr:uid="{252708B7-EA5E-0D4A-8711-E9A0CA65436F}">
      <text>
        <t>[Threaded comment]
Your version of Excel allows you to read this threaded comment; however, any edits to it will get removed if the file is opened in a newer version of Excel. Learn more: https://go.microsoft.com/fwlink/?linkid=870924
Comment:
    Remainder 2Q-4Q</t>
      </text>
    </comment>
  </commentList>
</comments>
</file>

<file path=xl/sharedStrings.xml><?xml version="1.0" encoding="utf-8"?>
<sst xmlns="http://schemas.openxmlformats.org/spreadsheetml/2006/main" count="230" uniqueCount="175">
  <si>
    <t>Assertio Holdings</t>
  </si>
  <si>
    <t>INDOCIN Products</t>
  </si>
  <si>
    <t>Otrexup</t>
  </si>
  <si>
    <t>Sympazan</t>
  </si>
  <si>
    <t>SPRIX</t>
  </si>
  <si>
    <t>CAMBIA</t>
  </si>
  <si>
    <t>Zipsor</t>
  </si>
  <si>
    <t>Other Products</t>
  </si>
  <si>
    <t>Total Product Sales</t>
  </si>
  <si>
    <t>Royalties &amp; Milestone Revenue</t>
  </si>
  <si>
    <t>Other Revenue</t>
  </si>
  <si>
    <t>Total Revenues</t>
  </si>
  <si>
    <t>Revenues</t>
  </si>
  <si>
    <t>Net Product Sales</t>
  </si>
  <si>
    <t>Royalties &amp; Milestone Payments</t>
  </si>
  <si>
    <t>Selling, General, &amp; Administrative</t>
  </si>
  <si>
    <t>Fair Value of Contingent Consideration</t>
  </si>
  <si>
    <t>Amortization of Intangible Assets</t>
  </si>
  <si>
    <t>Restructuring Charges</t>
  </si>
  <si>
    <t>Other Income</t>
  </si>
  <si>
    <t>Interest Expense</t>
  </si>
  <si>
    <t>Other Gain</t>
  </si>
  <si>
    <t>Total Other Income</t>
  </si>
  <si>
    <t>EBT</t>
  </si>
  <si>
    <t xml:space="preserve">Income Tax Benefit (Loss) </t>
  </si>
  <si>
    <t>Net Income</t>
  </si>
  <si>
    <t>Basic Shares Outstanding</t>
  </si>
  <si>
    <t>Diluted Shares Outstanding</t>
  </si>
  <si>
    <t>Consolidated Statements of Comprehensive Income</t>
  </si>
  <si>
    <t>Gross Income</t>
  </si>
  <si>
    <t>EBIT</t>
  </si>
  <si>
    <t>Basic EPS</t>
  </si>
  <si>
    <t>Diluted EPS</t>
  </si>
  <si>
    <t>Current Assets</t>
  </si>
  <si>
    <t>Cash &amp; Cash Equivalents</t>
  </si>
  <si>
    <t>Net Accounts Recievable</t>
  </si>
  <si>
    <t>Net Inventories</t>
  </si>
  <si>
    <t>Prepaid &amp; Other Current Assets</t>
  </si>
  <si>
    <t>Total Current Assets</t>
  </si>
  <si>
    <t>Net Property &amp; Equipment</t>
  </si>
  <si>
    <t>Net Intangible Assets</t>
  </si>
  <si>
    <t>Deferred Tax Assets</t>
  </si>
  <si>
    <t>Other Long-term Assets</t>
  </si>
  <si>
    <t>Total Assets</t>
  </si>
  <si>
    <t>Current Liabilities</t>
  </si>
  <si>
    <t>Accounts Payable</t>
  </si>
  <si>
    <t>Accrued Rebates, Returns &amp; Discounts</t>
  </si>
  <si>
    <t>Accrued Liabilities</t>
  </si>
  <si>
    <t>Current Portion of Debt</t>
  </si>
  <si>
    <t>Current Portion of Contingent Consideration</t>
  </si>
  <si>
    <t>Other Current Liabilities</t>
  </si>
  <si>
    <t>Total Current Liabilities</t>
  </si>
  <si>
    <t>Long-term Debt</t>
  </si>
  <si>
    <t>Contingent Consideration</t>
  </si>
  <si>
    <t>Other Long-term Liabilities</t>
  </si>
  <si>
    <t>Total Liabilities</t>
  </si>
  <si>
    <t>Shareholders' Equity</t>
  </si>
  <si>
    <t>Additional Paid-in-capital</t>
  </si>
  <si>
    <t>Accumulated Deficit</t>
  </si>
  <si>
    <t>Total Shareholders' Equity</t>
  </si>
  <si>
    <t>Total Liabilitites &amp; Shareholders' Equity</t>
  </si>
  <si>
    <t>Check</t>
  </si>
  <si>
    <t>Consolidated Balance Sheets</t>
  </si>
  <si>
    <t>Consolidated Statement of Cash Flows</t>
  </si>
  <si>
    <t>Adjustments</t>
  </si>
  <si>
    <t>Depreciation &amp; Amortization</t>
  </si>
  <si>
    <t>Amortization of Debt Issuance Costs &amp; Royalty Rights</t>
  </si>
  <si>
    <t>Gain on Extinguishment of Debt</t>
  </si>
  <si>
    <t>Recurring Fair Value Measurments of Assets &amp; Liabilities</t>
  </si>
  <si>
    <t>Stock-based Compensation</t>
  </si>
  <si>
    <t>Provisions for Inventory &amp; Other Assets</t>
  </si>
  <si>
    <t>Deferred Income Taxes</t>
  </si>
  <si>
    <t>Changes in Assets &amp; Liabilities, Net of Acquisition</t>
  </si>
  <si>
    <t>Accounts Recievable</t>
  </si>
  <si>
    <t>Inventories</t>
  </si>
  <si>
    <t>Prepaid &amp; Other Assets</t>
  </si>
  <si>
    <t>Accounts Payable &amp; Other Accrued Liabilities</t>
  </si>
  <si>
    <t>Net Cash Provided by Operating Activities</t>
  </si>
  <si>
    <t>Investing Activities</t>
  </si>
  <si>
    <t>Operating Activities</t>
  </si>
  <si>
    <t>Proceeds from Issuance of 2027 Convertible Notes</t>
  </si>
  <si>
    <t>Purchases of Property &amp; Equipment</t>
  </si>
  <si>
    <t>Purchase of Otrexup</t>
  </si>
  <si>
    <t>Purchase of Sympazan</t>
  </si>
  <si>
    <t>Net Cash used in Investing Activities</t>
  </si>
  <si>
    <t>Financing Activities</t>
  </si>
  <si>
    <t>Payment of Debt Issuance Costs</t>
  </si>
  <si>
    <t>Payment of Contingent Consideration</t>
  </si>
  <si>
    <t>Payment of Royalty Rights</t>
  </si>
  <si>
    <t>Payment in connection with Convertible Notes</t>
  </si>
  <si>
    <t>Payment in connection with 2024 Senior Notes</t>
  </si>
  <si>
    <t>Proceeds from exercise of stock options</t>
  </si>
  <si>
    <t>Shares withheld for payment of employee's withholding tax liabilities</t>
  </si>
  <si>
    <t>Net Cash provided by Financing Activities</t>
  </si>
  <si>
    <t>Net Increase in Cash &amp; Cash Equivalents</t>
  </si>
  <si>
    <t>Cash &amp; Cash Equivalents at Beginning of Period</t>
  </si>
  <si>
    <t>Cash &amp; Cash Equivalents at End of Period</t>
  </si>
  <si>
    <t>Research &amp; Development</t>
  </si>
  <si>
    <t>Cost of Sales (Excluding Amortization of Intangibles)</t>
  </si>
  <si>
    <t>Loss on Impairment of Goodwill &amp; Intangible Assets</t>
  </si>
  <si>
    <t>Gain on Sale of of Gralise</t>
  </si>
  <si>
    <t>Gain on Debt Extinguishment</t>
  </si>
  <si>
    <t>Loss on Sale of NUCYNTA</t>
  </si>
  <si>
    <t>Q119A</t>
  </si>
  <si>
    <t>Q219A</t>
  </si>
  <si>
    <t>Q319A</t>
  </si>
  <si>
    <t>Q419A</t>
  </si>
  <si>
    <t>Q120A</t>
  </si>
  <si>
    <t>Q220A</t>
  </si>
  <si>
    <t>Q320A</t>
  </si>
  <si>
    <t>Q420A</t>
  </si>
  <si>
    <t>Q121A</t>
  </si>
  <si>
    <t>Q221A</t>
  </si>
  <si>
    <t>Q321A</t>
  </si>
  <si>
    <t>Q421A</t>
  </si>
  <si>
    <t>Q122A</t>
  </si>
  <si>
    <t>Q222A</t>
  </si>
  <si>
    <t>Q322A</t>
  </si>
  <si>
    <t>Q422A</t>
  </si>
  <si>
    <t>Q123E</t>
  </si>
  <si>
    <t>Q223E</t>
  </si>
  <si>
    <t>Q323E</t>
  </si>
  <si>
    <t>Q423E</t>
  </si>
  <si>
    <t>Common Stock Par</t>
  </si>
  <si>
    <t xml:space="preserve">Common Shares </t>
  </si>
  <si>
    <t>NASDAQ: ASRT</t>
  </si>
  <si>
    <t>Debt-related Expenses</t>
  </si>
  <si>
    <t>Interest Payable</t>
  </si>
  <si>
    <t>Proceeds from Issuance of Common Stock</t>
  </si>
  <si>
    <t>Raw Materials</t>
  </si>
  <si>
    <t>Work-in-process</t>
  </si>
  <si>
    <t>Finished Goods</t>
  </si>
  <si>
    <t>Total Inventories</t>
  </si>
  <si>
    <t>Property &amp; Equipment</t>
  </si>
  <si>
    <t>Furniture &amp; office equipment</t>
  </si>
  <si>
    <t>Laboratory equipment</t>
  </si>
  <si>
    <t>Leasehold imporvements</t>
  </si>
  <si>
    <t>Less: Accumulated Depreciation</t>
  </si>
  <si>
    <t>Q123A</t>
  </si>
  <si>
    <t>Gross Property &amp; Equipment</t>
  </si>
  <si>
    <t>Intangible Assets</t>
  </si>
  <si>
    <t>Product Rights</t>
  </si>
  <si>
    <t>INDOCIN</t>
  </si>
  <si>
    <t>Remaining Useful Life</t>
  </si>
  <si>
    <t>Gross Carrying Amount</t>
  </si>
  <si>
    <t>Accumulated Amortization</t>
  </si>
  <si>
    <t>Net Book Value</t>
  </si>
  <si>
    <t>Total Intangible Assets</t>
  </si>
  <si>
    <t xml:space="preserve">SPRIX </t>
  </si>
  <si>
    <t>Weighted Average Remaining Useful Life</t>
  </si>
  <si>
    <t>Amortization Schedule</t>
  </si>
  <si>
    <t>Estimated Amortiuzation Expense</t>
  </si>
  <si>
    <t>Thereafter</t>
  </si>
  <si>
    <t>Other Long-term assets</t>
  </si>
  <si>
    <t>Operating lease right-of-use assets</t>
  </si>
  <si>
    <t xml:space="preserve">Prepaid asset &amp; deposits </t>
  </si>
  <si>
    <t xml:space="preserve">Other </t>
  </si>
  <si>
    <t>Total other Long-term assets</t>
  </si>
  <si>
    <t>Accrued compensation</t>
  </si>
  <si>
    <t>Other accrued liabilities</t>
  </si>
  <si>
    <t>Interest payable</t>
  </si>
  <si>
    <t>Accrued royalties</t>
  </si>
  <si>
    <t>Total accrued liabilities</t>
  </si>
  <si>
    <t>FY2019A</t>
  </si>
  <si>
    <t>FY2020A</t>
  </si>
  <si>
    <t>FY2021A</t>
  </si>
  <si>
    <t>FY2022A</t>
  </si>
  <si>
    <t>FY2023E</t>
  </si>
  <si>
    <t>FY2024E</t>
  </si>
  <si>
    <t>FY2025E</t>
  </si>
  <si>
    <t>FY2026E</t>
  </si>
  <si>
    <t>FY2027E</t>
  </si>
  <si>
    <t>FY2028E</t>
  </si>
  <si>
    <t>FY2029E</t>
  </si>
  <si>
    <t>FY2030E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</si>
</sst>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14" fontId="0" fillId="0" borderId="0" xfId="0" applyNumberForma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981CC310-84B4-BC42-87C3-F956A3CBA7E2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3-05-23T18:27:20.27" personId="{981CC310-84B4-BC42-87C3-F956A3CBA7E2}" id="{B6E82BB0-4EF2-1640-995C-755543F3BF93}">
    <text>SPRIX Nasal spray from Zyla merger 20 May 20</text>
  </threadedComment>
  <threadedComment ref="F13" dT="2023-05-23T18:09:06.41" personId="{981CC310-84B4-BC42-87C3-F956A3CBA7E2}" id="{C4B87032-58D1-8F4B-B7D9-A751EBB99B62}">
    <text>Jan 20 Sale of Gralise to Alvogen</text>
  </threadedComment>
  <threadedComment ref="G13" dT="2023-04-30T14:54:47.51" personId="{981CC310-84B4-BC42-87C3-F956A3CBA7E2}" id="{EA91E9BC-F50A-C844-B437-6171E2E9971E}">
    <text xml:space="preserve">Solumatrix 
OXYADO
Gralize (Sold 10 Jan 20 to Alvogen, -$165k sales reserve estimate adjustment </text>
  </threadedComment>
  <threadedComment ref="AA17" dT="2023-04-29T18:21:13.72" personId="{981CC310-84B4-BC42-87C3-F956A3CBA7E2}" id="{CFFA79AB-8D9D-3F47-B0E0-21A7D1B5E80C}">
    <text>Net Commercialization Agreement Revenue</text>
  </threadedComment>
  <threadedComment ref="R133" dT="2023-05-15T13:58:47.36" personId="{981CC310-84B4-BC42-87C3-F956A3CBA7E2}" id="{794ED2A5-E939-6940-84FD-8ABDD356620F}">
    <text>$10.5m Settlement of CD Inducement
$1.1m Direct Costs for CD Inducement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D52" dT="2023-05-15T15:12:01.27" personId="{981CC310-84B4-BC42-87C3-F956A3CBA7E2}" id="{252708B7-EA5E-0D4A-8711-E9A0CA65436F}">
    <text>Remainder 2Q-4Q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728-CC88-2348-9F72-CF7ED1FD26A7}">
  <dimension ref="A2:AK141"/>
  <sheetViews>
    <sheetView tabSelected="1" workbookViewId="0">
      <pane xSplit="1" ySplit="3" topLeftCell="B23" activePane="bottomRight" state="frozen"/>
      <selection pane="topRight" activeCell="B1" sqref="B1"/>
      <selection pane="bottomLeft" activeCell="A2" sqref="A2"/>
      <selection pane="bottomRight" activeCell="E43" sqref="E43"/>
    </sheetView>
  </sheetViews>
  <sheetFormatPr baseColWidth="10" defaultRowHeight="16" x14ac:dyDescent="0.2"/>
  <cols>
    <col min="1" max="1" width="31.83203125" customWidth="1"/>
  </cols>
  <sheetData>
    <row r="2" spans="1:37" ht="32" customHeight="1" x14ac:dyDescent="0.3">
      <c r="A2" s="3" t="s">
        <v>0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t="s">
        <v>109</v>
      </c>
      <c r="I2" t="s">
        <v>110</v>
      </c>
      <c r="J2" t="s">
        <v>111</v>
      </c>
      <c r="K2" t="s">
        <v>112</v>
      </c>
      <c r="L2" t="s">
        <v>113</v>
      </c>
      <c r="M2" t="s">
        <v>114</v>
      </c>
      <c r="N2" t="s">
        <v>115</v>
      </c>
      <c r="O2" t="s">
        <v>116</v>
      </c>
      <c r="P2" t="s">
        <v>117</v>
      </c>
      <c r="Q2" t="s">
        <v>118</v>
      </c>
      <c r="R2" t="s">
        <v>119</v>
      </c>
      <c r="S2" t="s">
        <v>120</v>
      </c>
      <c r="T2" t="s">
        <v>121</v>
      </c>
      <c r="U2" t="s">
        <v>122</v>
      </c>
      <c r="Z2" t="s">
        <v>163</v>
      </c>
      <c r="AA2" t="s">
        <v>164</v>
      </c>
      <c r="AB2" t="s">
        <v>165</v>
      </c>
      <c r="AC2" t="s">
        <v>166</v>
      </c>
      <c r="AD2" t="s">
        <v>167</v>
      </c>
      <c r="AE2" t="s">
        <v>168</v>
      </c>
      <c r="AF2" t="s">
        <v>169</v>
      </c>
      <c r="AG2" t="s">
        <v>170</v>
      </c>
      <c r="AH2" t="s">
        <v>171</v>
      </c>
      <c r="AI2" t="s">
        <v>172</v>
      </c>
      <c r="AJ2" t="s">
        <v>173</v>
      </c>
      <c r="AK2" t="s">
        <v>174</v>
      </c>
    </row>
    <row r="3" spans="1:37" ht="28" customHeight="1" x14ac:dyDescent="0.2">
      <c r="A3" t="s">
        <v>125</v>
      </c>
      <c r="B3" s="4">
        <v>43555</v>
      </c>
      <c r="C3" s="4">
        <v>43646</v>
      </c>
      <c r="D3" s="4">
        <v>43738</v>
      </c>
      <c r="E3" s="4">
        <v>43830</v>
      </c>
      <c r="F3" s="4">
        <f>B3+366</f>
        <v>43921</v>
      </c>
      <c r="G3" s="4">
        <f t="shared" ref="G3:I3" si="0">C3+366</f>
        <v>44012</v>
      </c>
      <c r="H3" s="4">
        <f t="shared" si="0"/>
        <v>44104</v>
      </c>
      <c r="I3" s="4">
        <f t="shared" si="0"/>
        <v>44196</v>
      </c>
      <c r="J3" s="4">
        <f>F3+365</f>
        <v>44286</v>
      </c>
      <c r="K3" s="4">
        <f t="shared" ref="K3:U3" si="1">G3+365</f>
        <v>44377</v>
      </c>
      <c r="L3" s="4">
        <f t="shared" si="1"/>
        <v>44469</v>
      </c>
      <c r="M3" s="4">
        <f t="shared" si="1"/>
        <v>44561</v>
      </c>
      <c r="N3" s="4">
        <f t="shared" si="1"/>
        <v>44651</v>
      </c>
      <c r="O3" s="4">
        <f t="shared" si="1"/>
        <v>44742</v>
      </c>
      <c r="P3" s="4">
        <f t="shared" si="1"/>
        <v>44834</v>
      </c>
      <c r="Q3" s="4">
        <f t="shared" si="1"/>
        <v>44926</v>
      </c>
      <c r="R3" s="4">
        <f t="shared" si="1"/>
        <v>45016</v>
      </c>
      <c r="S3" s="4">
        <f t="shared" si="1"/>
        <v>45107</v>
      </c>
      <c r="T3" s="4">
        <f t="shared" si="1"/>
        <v>45199</v>
      </c>
      <c r="U3" s="4">
        <f t="shared" si="1"/>
        <v>45291</v>
      </c>
      <c r="Z3">
        <v>2019</v>
      </c>
      <c r="AA3">
        <v>2020</v>
      </c>
      <c r="AB3">
        <f>AA3+1</f>
        <v>2021</v>
      </c>
      <c r="AC3">
        <f t="shared" ref="AC3:AK3" si="2">AB3+1</f>
        <v>2022</v>
      </c>
      <c r="AD3">
        <f t="shared" si="2"/>
        <v>2023</v>
      </c>
      <c r="AE3">
        <f t="shared" si="2"/>
        <v>2024</v>
      </c>
      <c r="AF3">
        <f t="shared" si="2"/>
        <v>2025</v>
      </c>
      <c r="AG3">
        <f t="shared" si="2"/>
        <v>2026</v>
      </c>
      <c r="AH3">
        <f t="shared" si="2"/>
        <v>2027</v>
      </c>
      <c r="AI3">
        <f t="shared" si="2"/>
        <v>2028</v>
      </c>
      <c r="AJ3">
        <f t="shared" si="2"/>
        <v>2029</v>
      </c>
      <c r="AK3">
        <f t="shared" si="2"/>
        <v>2030</v>
      </c>
    </row>
    <row r="6" spans="1:37" x14ac:dyDescent="0.2">
      <c r="A6" s="1" t="s">
        <v>13</v>
      </c>
    </row>
    <row r="7" spans="1:37" x14ac:dyDescent="0.2">
      <c r="A7" t="s">
        <v>1</v>
      </c>
      <c r="G7" s="5">
        <v>5434</v>
      </c>
      <c r="H7" s="5">
        <v>13773</v>
      </c>
      <c r="I7" s="5">
        <f>AA7-H7-G7-F7</f>
        <v>12477</v>
      </c>
      <c r="J7" s="5">
        <v>14597</v>
      </c>
      <c r="K7" s="5">
        <v>13075</v>
      </c>
      <c r="L7" s="5">
        <v>14541</v>
      </c>
      <c r="M7" s="5">
        <f>AB7-L7-K7-J7</f>
        <v>18344</v>
      </c>
      <c r="N7" s="5">
        <v>21357</v>
      </c>
      <c r="O7" s="5">
        <v>22841</v>
      </c>
      <c r="P7" s="5">
        <v>21869</v>
      </c>
      <c r="Q7" s="5">
        <f>AC7-P7-O7-N7</f>
        <v>34271</v>
      </c>
      <c r="R7" s="5">
        <v>30346</v>
      </c>
      <c r="AA7">
        <v>31684</v>
      </c>
      <c r="AB7">
        <v>60557</v>
      </c>
      <c r="AC7">
        <v>100338</v>
      </c>
    </row>
    <row r="8" spans="1:37" x14ac:dyDescent="0.2">
      <c r="A8" t="s">
        <v>2</v>
      </c>
      <c r="N8" s="5">
        <v>3078</v>
      </c>
      <c r="O8" s="5">
        <v>2616</v>
      </c>
      <c r="P8" s="5">
        <v>3004</v>
      </c>
      <c r="Q8" s="5">
        <f t="shared" ref="Q8:Q13" si="3">AC8-P8-O8-N8</f>
        <v>2450</v>
      </c>
      <c r="R8" s="5">
        <v>2822</v>
      </c>
      <c r="AC8">
        <v>11148</v>
      </c>
    </row>
    <row r="9" spans="1:37" x14ac:dyDescent="0.2">
      <c r="A9" t="s">
        <v>3</v>
      </c>
      <c r="Q9" s="5">
        <f>AC9-P9-O9-N9</f>
        <v>1768</v>
      </c>
      <c r="R9" s="5">
        <v>2502</v>
      </c>
      <c r="AC9">
        <v>1768</v>
      </c>
    </row>
    <row r="10" spans="1:37" x14ac:dyDescent="0.2">
      <c r="A10" t="s">
        <v>4</v>
      </c>
      <c r="G10" s="5">
        <v>1602</v>
      </c>
      <c r="H10" s="5">
        <v>5642</v>
      </c>
      <c r="I10" s="5">
        <f>AA10-H10-G10-F10</f>
        <v>3833</v>
      </c>
      <c r="J10" s="5">
        <v>1697</v>
      </c>
      <c r="K10" s="5">
        <v>2942</v>
      </c>
      <c r="L10" s="5">
        <v>2272</v>
      </c>
      <c r="M10" s="5">
        <f>AB10-L10-K10-J10</f>
        <v>1765</v>
      </c>
      <c r="N10" s="5">
        <v>1766</v>
      </c>
      <c r="O10" s="5">
        <v>2216</v>
      </c>
      <c r="P10" s="5">
        <v>2455</v>
      </c>
      <c r="Q10" s="5">
        <f t="shared" si="3"/>
        <v>2673</v>
      </c>
      <c r="R10" s="5">
        <v>1889</v>
      </c>
      <c r="AA10">
        <v>11077</v>
      </c>
      <c r="AB10">
        <v>8676</v>
      </c>
      <c r="AC10">
        <v>9110</v>
      </c>
    </row>
    <row r="11" spans="1:37" x14ac:dyDescent="0.2">
      <c r="A11" t="s">
        <v>5</v>
      </c>
      <c r="B11" s="5">
        <f>15566-C11</f>
        <v>8808</v>
      </c>
      <c r="C11" s="5">
        <v>6758</v>
      </c>
      <c r="D11" s="5">
        <v>8135</v>
      </c>
      <c r="E11" s="5">
        <f>Z11-D11-C11-B11</f>
        <v>8752</v>
      </c>
      <c r="F11" s="5">
        <f>14054-G11</f>
        <v>6274</v>
      </c>
      <c r="G11" s="5">
        <v>7780</v>
      </c>
      <c r="H11" s="5">
        <v>7449</v>
      </c>
      <c r="I11" s="5">
        <f>AA11-H11-G11-F11</f>
        <v>6847</v>
      </c>
      <c r="J11" s="5">
        <v>6462</v>
      </c>
      <c r="K11" s="5">
        <v>6128</v>
      </c>
      <c r="L11" s="5">
        <v>5038</v>
      </c>
      <c r="M11" s="5">
        <f>AB11-L11-K11-J11</f>
        <v>7344</v>
      </c>
      <c r="N11" s="5">
        <v>5473</v>
      </c>
      <c r="O11" s="5">
        <v>6183</v>
      </c>
      <c r="P11" s="5">
        <v>5808</v>
      </c>
      <c r="Q11" s="5">
        <f t="shared" si="3"/>
        <v>7256</v>
      </c>
      <c r="R11" s="5">
        <v>2264</v>
      </c>
      <c r="Z11">
        <v>32453</v>
      </c>
      <c r="AA11">
        <v>28350</v>
      </c>
      <c r="AB11">
        <v>24972</v>
      </c>
      <c r="AC11">
        <v>24720</v>
      </c>
    </row>
    <row r="12" spans="1:37" x14ac:dyDescent="0.2">
      <c r="A12" t="s">
        <v>6</v>
      </c>
      <c r="B12" s="5">
        <f>5755-C12</f>
        <v>4231</v>
      </c>
      <c r="C12" s="5">
        <v>1524</v>
      </c>
      <c r="D12" s="5">
        <v>3273</v>
      </c>
      <c r="E12" s="5">
        <f t="shared" ref="E12:E13" si="4">Z12-D12-C12-B12</f>
        <v>3470</v>
      </c>
      <c r="F12" s="5">
        <f>5866-G12</f>
        <v>2331</v>
      </c>
      <c r="G12" s="5">
        <v>3535</v>
      </c>
      <c r="H12" s="5">
        <v>3395</v>
      </c>
      <c r="I12" s="5">
        <f t="shared" ref="I12:I13" si="5">AA12-H12-G12-F12</f>
        <v>4025</v>
      </c>
      <c r="J12" s="5">
        <v>2222</v>
      </c>
      <c r="K12" s="5">
        <v>2581</v>
      </c>
      <c r="L12" s="5">
        <v>1999</v>
      </c>
      <c r="M12" s="5">
        <f>AB12-L12-K12-J12</f>
        <v>3383</v>
      </c>
      <c r="N12" s="5">
        <v>2228</v>
      </c>
      <c r="O12" s="5">
        <v>216</v>
      </c>
      <c r="P12" s="5">
        <v>259</v>
      </c>
      <c r="Q12" s="5">
        <f t="shared" si="3"/>
        <v>661</v>
      </c>
      <c r="R12" s="5">
        <v>1150</v>
      </c>
      <c r="Z12">
        <v>12498</v>
      </c>
      <c r="AA12">
        <v>13286</v>
      </c>
      <c r="AB12">
        <v>10185</v>
      </c>
      <c r="AC12">
        <v>3364</v>
      </c>
    </row>
    <row r="13" spans="1:37" x14ac:dyDescent="0.2">
      <c r="A13" t="s">
        <v>7</v>
      </c>
      <c r="B13" s="5">
        <f>31078-C13+-12</f>
        <v>13411</v>
      </c>
      <c r="C13" s="5">
        <f>17800-145</f>
        <v>17655</v>
      </c>
      <c r="D13" s="5">
        <v>16094</v>
      </c>
      <c r="E13" s="5">
        <f t="shared" si="4"/>
        <v>16695</v>
      </c>
      <c r="F13" s="5">
        <f>836+517+431+677-G13</f>
        <v>647</v>
      </c>
      <c r="G13" s="5">
        <f>836+517+-116+577</f>
        <v>1814</v>
      </c>
      <c r="H13" s="5">
        <v>4007</v>
      </c>
      <c r="I13" s="5">
        <f t="shared" si="5"/>
        <v>2633</v>
      </c>
      <c r="J13" s="5">
        <v>1049</v>
      </c>
      <c r="K13" s="5">
        <v>518</v>
      </c>
      <c r="L13" s="5">
        <v>2147</v>
      </c>
      <c r="M13" s="5">
        <f>AB13-L13-K13-J13</f>
        <v>1316</v>
      </c>
      <c r="N13" s="5">
        <v>1644</v>
      </c>
      <c r="O13" s="5">
        <v>1358</v>
      </c>
      <c r="P13" s="5">
        <v>884</v>
      </c>
      <c r="Q13" s="5">
        <f t="shared" si="3"/>
        <v>787</v>
      </c>
      <c r="R13" s="5">
        <v>796</v>
      </c>
      <c r="Z13">
        <v>63855</v>
      </c>
      <c r="AA13">
        <v>9101</v>
      </c>
      <c r="AB13">
        <v>5030</v>
      </c>
      <c r="AC13">
        <v>4673</v>
      </c>
    </row>
    <row r="14" spans="1:37" x14ac:dyDescent="0.2">
      <c r="A14" t="s">
        <v>8</v>
      </c>
      <c r="B14">
        <f t="shared" ref="B14:R14" si="6">B7+B8+B9+B10+B11+B12+B13</f>
        <v>26450</v>
      </c>
      <c r="C14">
        <f t="shared" si="6"/>
        <v>25937</v>
      </c>
      <c r="D14">
        <f t="shared" si="6"/>
        <v>27502</v>
      </c>
      <c r="E14">
        <f t="shared" si="6"/>
        <v>28917</v>
      </c>
      <c r="F14">
        <f t="shared" si="6"/>
        <v>9252</v>
      </c>
      <c r="G14">
        <f t="shared" si="6"/>
        <v>20165</v>
      </c>
      <c r="H14">
        <f t="shared" si="6"/>
        <v>34266</v>
      </c>
      <c r="I14">
        <f t="shared" si="6"/>
        <v>29815</v>
      </c>
      <c r="J14">
        <f t="shared" si="6"/>
        <v>26027</v>
      </c>
      <c r="K14">
        <f t="shared" si="6"/>
        <v>25244</v>
      </c>
      <c r="L14">
        <f t="shared" si="6"/>
        <v>25997</v>
      </c>
      <c r="M14">
        <f t="shared" si="6"/>
        <v>32152</v>
      </c>
      <c r="N14">
        <f t="shared" si="6"/>
        <v>35546</v>
      </c>
      <c r="O14">
        <f t="shared" si="6"/>
        <v>35430</v>
      </c>
      <c r="P14">
        <f t="shared" si="6"/>
        <v>34279</v>
      </c>
      <c r="Q14">
        <f t="shared" si="6"/>
        <v>49866</v>
      </c>
      <c r="R14">
        <f t="shared" si="6"/>
        <v>41769</v>
      </c>
      <c r="Z14">
        <f>Z7+Z8+Z9+Z10+Z11+Z12+Z13</f>
        <v>108806</v>
      </c>
      <c r="AA14">
        <f>AA7+AA8+AA9+AA10+AA11+AA12+AA13</f>
        <v>93498</v>
      </c>
      <c r="AB14">
        <f>AB7+AB8+AB9+AB10+AB11+AB12+AB13</f>
        <v>109420</v>
      </c>
      <c r="AC14">
        <f>AC7+AC8+AC9+AC10+AC11+AC12+AC13</f>
        <v>155121</v>
      </c>
    </row>
    <row r="16" spans="1:37" x14ac:dyDescent="0.2">
      <c r="A16" t="s">
        <v>9</v>
      </c>
      <c r="B16" s="5">
        <f>886-C16</f>
        <v>623</v>
      </c>
      <c r="C16" s="5">
        <v>263</v>
      </c>
      <c r="D16" s="5">
        <v>341</v>
      </c>
      <c r="E16" s="5">
        <f t="shared" ref="E16:E17" si="7">Z16-D16-C16-B16</f>
        <v>857</v>
      </c>
      <c r="F16" s="5">
        <f>859-G16</f>
        <v>407</v>
      </c>
      <c r="G16" s="5">
        <v>452</v>
      </c>
      <c r="H16" s="5">
        <v>299</v>
      </c>
      <c r="I16" s="5">
        <f t="shared" ref="I16" si="8">AA16-H16-G16-F16</f>
        <v>361</v>
      </c>
      <c r="J16">
        <v>434</v>
      </c>
      <c r="K16">
        <v>542</v>
      </c>
      <c r="L16">
        <v>416</v>
      </c>
      <c r="M16" s="5">
        <f>AB16-L16-K16-J16</f>
        <v>1187</v>
      </c>
      <c r="N16" s="5">
        <v>992</v>
      </c>
      <c r="O16" s="5">
        <v>451</v>
      </c>
      <c r="P16" s="5">
        <v>473</v>
      </c>
      <c r="Q16" s="5">
        <f t="shared" ref="Q16" si="9">AC16-P16-O16-N16</f>
        <v>487</v>
      </c>
      <c r="R16" s="5">
        <v>697</v>
      </c>
      <c r="Z16">
        <v>2084</v>
      </c>
      <c r="AA16">
        <v>1519</v>
      </c>
      <c r="AB16">
        <v>2579</v>
      </c>
      <c r="AC16">
        <v>2403</v>
      </c>
    </row>
    <row r="17" spans="1:29" x14ac:dyDescent="0.2">
      <c r="A17" t="s">
        <v>10</v>
      </c>
      <c r="B17" s="5">
        <f>61859-C17</f>
        <v>30856</v>
      </c>
      <c r="C17" s="5">
        <v>31003</v>
      </c>
      <c r="D17" s="5">
        <v>27304</v>
      </c>
      <c r="E17" s="5">
        <f t="shared" si="7"/>
        <v>29451</v>
      </c>
      <c r="F17" s="5">
        <v>11258</v>
      </c>
      <c r="I17" s="5"/>
      <c r="J17" s="5">
        <v>378</v>
      </c>
      <c r="K17" s="5">
        <v>-413</v>
      </c>
      <c r="L17" s="5">
        <v>-941</v>
      </c>
      <c r="M17" s="5">
        <f>AB17-L17-K17-J17</f>
        <v>-9</v>
      </c>
      <c r="N17" s="5"/>
      <c r="O17" s="5">
        <v>-750</v>
      </c>
      <c r="P17" s="5">
        <v>-540</v>
      </c>
      <c r="Q17" s="5"/>
      <c r="R17" s="5"/>
      <c r="Z17">
        <v>118614</v>
      </c>
      <c r="AA17">
        <v>11258</v>
      </c>
      <c r="AB17">
        <v>-985</v>
      </c>
      <c r="AC17">
        <v>-1290</v>
      </c>
    </row>
    <row r="18" spans="1:29" x14ac:dyDescent="0.2">
      <c r="A18" t="s">
        <v>11</v>
      </c>
      <c r="B18">
        <f>B17+B16+B14</f>
        <v>57929</v>
      </c>
      <c r="C18">
        <f t="shared" ref="C18:I18" si="10">C17+C16+C14</f>
        <v>57203</v>
      </c>
      <c r="D18">
        <f t="shared" si="10"/>
        <v>55147</v>
      </c>
      <c r="E18">
        <f t="shared" si="10"/>
        <v>59225</v>
      </c>
      <c r="F18">
        <f t="shared" si="10"/>
        <v>20917</v>
      </c>
      <c r="G18">
        <f t="shared" si="10"/>
        <v>20617</v>
      </c>
      <c r="H18">
        <f t="shared" si="10"/>
        <v>34565</v>
      </c>
      <c r="I18">
        <f t="shared" si="10"/>
        <v>30176</v>
      </c>
      <c r="J18">
        <f t="shared" ref="J18:R18" si="11">J14+J17+J16</f>
        <v>26839</v>
      </c>
      <c r="K18">
        <f t="shared" si="11"/>
        <v>25373</v>
      </c>
      <c r="L18">
        <f t="shared" si="11"/>
        <v>25472</v>
      </c>
      <c r="M18">
        <f t="shared" si="11"/>
        <v>33330</v>
      </c>
      <c r="N18">
        <f t="shared" si="11"/>
        <v>36538</v>
      </c>
      <c r="O18">
        <f t="shared" si="11"/>
        <v>35131</v>
      </c>
      <c r="P18">
        <f t="shared" si="11"/>
        <v>34212</v>
      </c>
      <c r="Q18">
        <f t="shared" si="11"/>
        <v>50353</v>
      </c>
      <c r="R18">
        <f t="shared" si="11"/>
        <v>42466</v>
      </c>
      <c r="Z18">
        <f>Z14+Z17+Z16</f>
        <v>229504</v>
      </c>
      <c r="AA18">
        <f>AA14+AA17+AA16</f>
        <v>106275</v>
      </c>
      <c r="AB18">
        <f>AB14+AB17+AB16</f>
        <v>111014</v>
      </c>
      <c r="AC18">
        <f>AC14+AC17+AC16</f>
        <v>156234</v>
      </c>
    </row>
    <row r="20" spans="1:29" x14ac:dyDescent="0.2">
      <c r="A20" s="1" t="s">
        <v>28</v>
      </c>
    </row>
    <row r="21" spans="1:29" x14ac:dyDescent="0.2">
      <c r="A21" t="s">
        <v>12</v>
      </c>
    </row>
    <row r="22" spans="1:29" x14ac:dyDescent="0.2">
      <c r="A22" t="s">
        <v>13</v>
      </c>
      <c r="B22">
        <f>B14</f>
        <v>26450</v>
      </c>
      <c r="C22">
        <f t="shared" ref="C22:I22" si="12">C14</f>
        <v>25937</v>
      </c>
      <c r="D22">
        <f t="shared" si="12"/>
        <v>27502</v>
      </c>
      <c r="E22">
        <f t="shared" si="12"/>
        <v>28917</v>
      </c>
      <c r="F22">
        <f t="shared" si="12"/>
        <v>9252</v>
      </c>
      <c r="G22">
        <f t="shared" si="12"/>
        <v>20165</v>
      </c>
      <c r="H22">
        <f t="shared" si="12"/>
        <v>34266</v>
      </c>
      <c r="I22">
        <f t="shared" si="12"/>
        <v>29815</v>
      </c>
      <c r="J22">
        <f t="shared" ref="J22:R22" si="13">J14</f>
        <v>26027</v>
      </c>
      <c r="K22">
        <f t="shared" si="13"/>
        <v>25244</v>
      </c>
      <c r="L22">
        <f t="shared" si="13"/>
        <v>25997</v>
      </c>
      <c r="M22">
        <f t="shared" si="13"/>
        <v>32152</v>
      </c>
      <c r="N22">
        <f t="shared" si="13"/>
        <v>35546</v>
      </c>
      <c r="O22">
        <f t="shared" si="13"/>
        <v>35430</v>
      </c>
      <c r="P22">
        <f t="shared" si="13"/>
        <v>34279</v>
      </c>
      <c r="Q22">
        <f t="shared" si="13"/>
        <v>49866</v>
      </c>
      <c r="R22">
        <f t="shared" si="13"/>
        <v>41769</v>
      </c>
      <c r="Z22">
        <f>Z14</f>
        <v>108806</v>
      </c>
      <c r="AA22">
        <f>AA14</f>
        <v>93498</v>
      </c>
      <c r="AB22">
        <f>AB14</f>
        <v>109420</v>
      </c>
      <c r="AC22">
        <f>AC14</f>
        <v>155121</v>
      </c>
    </row>
    <row r="23" spans="1:29" x14ac:dyDescent="0.2">
      <c r="A23" t="s">
        <v>14</v>
      </c>
      <c r="B23">
        <f t="shared" ref="B23:I23" si="14">B16</f>
        <v>623</v>
      </c>
      <c r="C23">
        <f t="shared" si="14"/>
        <v>263</v>
      </c>
      <c r="D23">
        <f t="shared" si="14"/>
        <v>341</v>
      </c>
      <c r="E23">
        <f t="shared" si="14"/>
        <v>857</v>
      </c>
      <c r="F23">
        <f t="shared" si="14"/>
        <v>407</v>
      </c>
      <c r="G23">
        <f t="shared" si="14"/>
        <v>452</v>
      </c>
      <c r="H23">
        <f t="shared" si="14"/>
        <v>299</v>
      </c>
      <c r="I23">
        <f t="shared" si="14"/>
        <v>361</v>
      </c>
      <c r="J23">
        <f t="shared" ref="J23:K24" si="15">J16</f>
        <v>434</v>
      </c>
      <c r="K23">
        <f t="shared" si="15"/>
        <v>542</v>
      </c>
      <c r="L23">
        <f t="shared" ref="L23:M23" si="16">L16</f>
        <v>416</v>
      </c>
      <c r="M23">
        <f t="shared" si="16"/>
        <v>1187</v>
      </c>
      <c r="N23">
        <f t="shared" ref="N23:O23" si="17">N16</f>
        <v>992</v>
      </c>
      <c r="O23">
        <f t="shared" si="17"/>
        <v>451</v>
      </c>
      <c r="P23">
        <f t="shared" ref="P23" si="18">P16</f>
        <v>473</v>
      </c>
      <c r="Q23">
        <f t="shared" ref="Q23:R23" si="19">Q16</f>
        <v>487</v>
      </c>
      <c r="R23">
        <f t="shared" si="19"/>
        <v>697</v>
      </c>
      <c r="Z23">
        <f t="shared" ref="Z23:AC24" si="20">Z16</f>
        <v>2084</v>
      </c>
      <c r="AA23">
        <f t="shared" si="20"/>
        <v>1519</v>
      </c>
      <c r="AB23">
        <f t="shared" si="20"/>
        <v>2579</v>
      </c>
      <c r="AC23">
        <f t="shared" si="20"/>
        <v>2403</v>
      </c>
    </row>
    <row r="24" spans="1:29" x14ac:dyDescent="0.2">
      <c r="A24" t="s">
        <v>10</v>
      </c>
      <c r="B24">
        <f t="shared" ref="B24:I24" si="21">B17</f>
        <v>30856</v>
      </c>
      <c r="C24">
        <f t="shared" si="21"/>
        <v>31003</v>
      </c>
      <c r="D24">
        <f t="shared" si="21"/>
        <v>27304</v>
      </c>
      <c r="E24">
        <f t="shared" si="21"/>
        <v>29451</v>
      </c>
      <c r="F24">
        <f>F17</f>
        <v>11258</v>
      </c>
      <c r="G24">
        <f t="shared" si="21"/>
        <v>0</v>
      </c>
      <c r="H24">
        <f t="shared" si="21"/>
        <v>0</v>
      </c>
      <c r="I24">
        <f t="shared" si="21"/>
        <v>0</v>
      </c>
      <c r="J24">
        <f t="shared" si="15"/>
        <v>378</v>
      </c>
      <c r="K24">
        <f t="shared" si="15"/>
        <v>-413</v>
      </c>
      <c r="L24">
        <f t="shared" ref="L24:P24" si="22">L17</f>
        <v>-941</v>
      </c>
      <c r="M24">
        <f t="shared" ref="M24" si="23">M17</f>
        <v>-9</v>
      </c>
      <c r="O24">
        <f t="shared" si="22"/>
        <v>-750</v>
      </c>
      <c r="P24">
        <f t="shared" si="22"/>
        <v>-540</v>
      </c>
      <c r="R24">
        <f>R17</f>
        <v>0</v>
      </c>
      <c r="Z24">
        <f t="shared" si="20"/>
        <v>118614</v>
      </c>
      <c r="AA24">
        <f t="shared" si="20"/>
        <v>11258</v>
      </c>
      <c r="AB24">
        <f t="shared" si="20"/>
        <v>-985</v>
      </c>
      <c r="AC24">
        <f t="shared" si="20"/>
        <v>-1290</v>
      </c>
    </row>
    <row r="25" spans="1:29" x14ac:dyDescent="0.2">
      <c r="A25" t="s">
        <v>11</v>
      </c>
      <c r="B25">
        <f>B24+B23+B22</f>
        <v>57929</v>
      </c>
      <c r="C25">
        <f t="shared" ref="C25:I25" si="24">C24+C23+C22</f>
        <v>57203</v>
      </c>
      <c r="D25">
        <f t="shared" si="24"/>
        <v>55147</v>
      </c>
      <c r="E25">
        <f t="shared" si="24"/>
        <v>59225</v>
      </c>
      <c r="F25">
        <f t="shared" si="24"/>
        <v>20917</v>
      </c>
      <c r="G25">
        <f t="shared" si="24"/>
        <v>20617</v>
      </c>
      <c r="H25">
        <f t="shared" si="24"/>
        <v>34565</v>
      </c>
      <c r="I25">
        <f t="shared" si="24"/>
        <v>30176</v>
      </c>
      <c r="J25">
        <f t="shared" ref="J25:R25" si="25">J24+J23+J22</f>
        <v>26839</v>
      </c>
      <c r="K25">
        <f t="shared" si="25"/>
        <v>25373</v>
      </c>
      <c r="L25">
        <f t="shared" si="25"/>
        <v>25472</v>
      </c>
      <c r="M25">
        <f t="shared" si="25"/>
        <v>33330</v>
      </c>
      <c r="N25">
        <f t="shared" si="25"/>
        <v>36538</v>
      </c>
      <c r="O25">
        <f t="shared" si="25"/>
        <v>35131</v>
      </c>
      <c r="P25">
        <f t="shared" si="25"/>
        <v>34212</v>
      </c>
      <c r="Q25">
        <f t="shared" si="25"/>
        <v>50353</v>
      </c>
      <c r="R25">
        <f t="shared" si="25"/>
        <v>42466</v>
      </c>
      <c r="Z25">
        <f>Z24+Z23+Z22</f>
        <v>229504</v>
      </c>
      <c r="AA25">
        <f>AA24+AA23+AA22</f>
        <v>106275</v>
      </c>
      <c r="AB25">
        <f>AB24+AB23+AB22</f>
        <v>111014</v>
      </c>
      <c r="AC25">
        <f>AC24+AC23+AC22</f>
        <v>156234</v>
      </c>
    </row>
    <row r="27" spans="1:29" x14ac:dyDescent="0.2">
      <c r="A27" t="s">
        <v>98</v>
      </c>
      <c r="B27" s="5">
        <f>4699-C27</f>
        <v>2575</v>
      </c>
      <c r="C27" s="5">
        <v>2124</v>
      </c>
      <c r="D27" s="5"/>
      <c r="E27" s="5"/>
      <c r="F27" s="5">
        <f>6637-G27</f>
        <v>1399</v>
      </c>
      <c r="G27" s="5">
        <v>5238</v>
      </c>
      <c r="J27" s="5">
        <v>3966</v>
      </c>
      <c r="K27" s="5">
        <v>3921</v>
      </c>
      <c r="L27" s="5"/>
      <c r="M27" s="5"/>
      <c r="N27" s="5">
        <v>4195</v>
      </c>
      <c r="O27" s="5">
        <v>4528</v>
      </c>
      <c r="P27" s="5"/>
      <c r="Q27" s="5"/>
      <c r="R27" s="5">
        <v>5467</v>
      </c>
      <c r="Z27">
        <v>9505</v>
      </c>
      <c r="AA27">
        <v>19872</v>
      </c>
      <c r="AB27">
        <v>15832</v>
      </c>
      <c r="AC27">
        <v>18748</v>
      </c>
    </row>
    <row r="28" spans="1:29" x14ac:dyDescent="0.2">
      <c r="A28" t="s">
        <v>29</v>
      </c>
      <c r="B28">
        <f>B25-B27</f>
        <v>55354</v>
      </c>
      <c r="C28">
        <f>C25-C27</f>
        <v>55079</v>
      </c>
      <c r="F28">
        <f>F25-F27</f>
        <v>19518</v>
      </c>
      <c r="G28">
        <f>G25-G27</f>
        <v>15379</v>
      </c>
      <c r="J28">
        <f>J25-J27</f>
        <v>22873</v>
      </c>
      <c r="K28">
        <f t="shared" ref="K28:L28" si="26">K25-K27</f>
        <v>21452</v>
      </c>
      <c r="L28">
        <f t="shared" si="26"/>
        <v>25472</v>
      </c>
      <c r="N28">
        <f>N25-N27</f>
        <v>32343</v>
      </c>
      <c r="O28">
        <f t="shared" ref="O28:P28" si="27">O25-O27</f>
        <v>30603</v>
      </c>
      <c r="P28">
        <f t="shared" si="27"/>
        <v>34212</v>
      </c>
      <c r="R28">
        <f>R25-R27</f>
        <v>36999</v>
      </c>
      <c r="Z28">
        <f>Z25-Z27</f>
        <v>219999</v>
      </c>
      <c r="AA28">
        <f>AA25-AA27</f>
        <v>86403</v>
      </c>
      <c r="AB28">
        <f>AB25-AB27</f>
        <v>95182</v>
      </c>
      <c r="AC28">
        <f>AC25-AC27</f>
        <v>137486</v>
      </c>
    </row>
    <row r="29" spans="1:29" x14ac:dyDescent="0.2">
      <c r="A29" t="s">
        <v>97</v>
      </c>
      <c r="B29" s="5">
        <f>3056-C29</f>
        <v>1793</v>
      </c>
      <c r="C29" s="5">
        <v>1263</v>
      </c>
      <c r="D29" s="5"/>
      <c r="E29" s="5"/>
      <c r="F29" s="5">
        <f>2667-G29</f>
        <v>1041</v>
      </c>
      <c r="G29" s="5">
        <v>1626</v>
      </c>
      <c r="Z29">
        <v>10106</v>
      </c>
      <c r="AA29">
        <v>4213</v>
      </c>
    </row>
    <row r="30" spans="1:29" x14ac:dyDescent="0.2">
      <c r="A30" t="s">
        <v>15</v>
      </c>
      <c r="B30" s="5">
        <f>49800-C30</f>
        <v>25045</v>
      </c>
      <c r="C30" s="5">
        <v>24755</v>
      </c>
      <c r="D30" s="5"/>
      <c r="E30" s="5"/>
      <c r="F30" s="5">
        <f>55445-G30</f>
        <v>27314</v>
      </c>
      <c r="G30" s="5">
        <v>28131</v>
      </c>
      <c r="J30" s="5">
        <v>8324</v>
      </c>
      <c r="K30" s="5">
        <v>24040</v>
      </c>
      <c r="L30" s="5"/>
      <c r="M30" s="5"/>
      <c r="N30" s="5">
        <v>10638</v>
      </c>
      <c r="O30" s="5">
        <v>10543</v>
      </c>
      <c r="P30" s="5"/>
      <c r="R30" s="5">
        <v>16904</v>
      </c>
      <c r="Z30">
        <v>108866</v>
      </c>
      <c r="AA30">
        <v>104324</v>
      </c>
      <c r="AB30">
        <v>52641</v>
      </c>
      <c r="AC30">
        <v>46786</v>
      </c>
    </row>
    <row r="31" spans="1:29" x14ac:dyDescent="0.2">
      <c r="A31" t="s">
        <v>99</v>
      </c>
      <c r="B31" s="5"/>
      <c r="C31" s="5"/>
      <c r="D31" s="5"/>
      <c r="E31" s="5"/>
      <c r="F31" s="5"/>
      <c r="G31" s="5"/>
      <c r="Z31">
        <v>189790</v>
      </c>
      <c r="AA31">
        <v>17432</v>
      </c>
    </row>
    <row r="32" spans="1:29" x14ac:dyDescent="0.2">
      <c r="A32" t="s">
        <v>16</v>
      </c>
      <c r="B32" s="5"/>
      <c r="C32" s="5"/>
      <c r="D32" s="5"/>
      <c r="E32" s="5"/>
      <c r="F32" s="5"/>
      <c r="G32" s="5"/>
      <c r="J32" s="5">
        <v>-594</v>
      </c>
      <c r="K32" s="5">
        <v>2195</v>
      </c>
      <c r="L32" s="5"/>
      <c r="M32" s="5"/>
      <c r="N32" s="5">
        <v>1645</v>
      </c>
      <c r="O32" s="5">
        <v>1300</v>
      </c>
      <c r="P32" s="5"/>
      <c r="Q32" s="5"/>
      <c r="R32" s="5">
        <v>9167</v>
      </c>
      <c r="AB32">
        <v>3914</v>
      </c>
      <c r="AC32">
        <v>18687</v>
      </c>
    </row>
    <row r="33" spans="1:29" x14ac:dyDescent="0.2">
      <c r="A33" t="s">
        <v>17</v>
      </c>
      <c r="B33" s="5">
        <f>50887-C33</f>
        <v>25444</v>
      </c>
      <c r="C33" s="5">
        <v>25443</v>
      </c>
      <c r="D33" s="5"/>
      <c r="E33" s="5"/>
      <c r="F33" s="5">
        <f>12650-G33</f>
        <v>7795</v>
      </c>
      <c r="G33" s="5">
        <v>4855</v>
      </c>
      <c r="J33" s="5">
        <v>6547</v>
      </c>
      <c r="K33" s="5">
        <v>7218</v>
      </c>
      <c r="L33" s="5"/>
      <c r="M33" s="5"/>
      <c r="N33" s="5">
        <v>8501</v>
      </c>
      <c r="O33" s="5">
        <v>7969</v>
      </c>
      <c r="P33" s="5"/>
      <c r="Q33" s="5"/>
      <c r="R33" s="5">
        <v>6284</v>
      </c>
      <c r="Z33">
        <v>101774</v>
      </c>
      <c r="AA33">
        <v>24783</v>
      </c>
      <c r="AB33">
        <v>28114</v>
      </c>
      <c r="AC33">
        <v>32608</v>
      </c>
    </row>
    <row r="34" spans="1:29" x14ac:dyDescent="0.2">
      <c r="A34" t="s">
        <v>18</v>
      </c>
      <c r="B34" s="5"/>
      <c r="C34" s="5"/>
      <c r="D34" s="5"/>
      <c r="E34" s="5"/>
      <c r="F34" s="5"/>
      <c r="G34" s="5">
        <v>6519</v>
      </c>
      <c r="J34" s="5">
        <v>1089</v>
      </c>
      <c r="K34" s="5"/>
      <c r="L34" s="5"/>
      <c r="M34" s="5"/>
      <c r="N34" s="5"/>
      <c r="O34" s="5"/>
      <c r="P34" s="5"/>
      <c r="Q34" s="5"/>
      <c r="Z34">
        <v>3891</v>
      </c>
      <c r="AA34">
        <v>17806</v>
      </c>
      <c r="AB34">
        <v>1089</v>
      </c>
    </row>
    <row r="35" spans="1:29" x14ac:dyDescent="0.2">
      <c r="A35" s="1" t="s">
        <v>30</v>
      </c>
      <c r="B35">
        <f>B28-B30-B32-B33-B34-B31-B29</f>
        <v>3072</v>
      </c>
      <c r="C35">
        <f>C28-C30-C32-C33-C34-C31-C29</f>
        <v>3618</v>
      </c>
      <c r="F35">
        <f>F28-F30-F32-F33-F34-F31-F29</f>
        <v>-16632</v>
      </c>
      <c r="G35">
        <f>G28-G30-G32-G33-G34-G31-G29</f>
        <v>-25752</v>
      </c>
      <c r="J35">
        <f>J28-J30-J32-J33-J34-J31-J29</f>
        <v>7507</v>
      </c>
      <c r="K35">
        <f t="shared" ref="K35:L35" si="28">K28-K30-K32-K33-K34-K31-K29</f>
        <v>-12001</v>
      </c>
      <c r="L35">
        <f t="shared" si="28"/>
        <v>25472</v>
      </c>
      <c r="N35">
        <f>N28-N30-N32-N33-N34-N31-N29</f>
        <v>11559</v>
      </c>
      <c r="O35">
        <f>O28-O30-O32-O33-O34-O31-O29</f>
        <v>10791</v>
      </c>
      <c r="P35">
        <f>P28-P30-P32-P33-P34-P31-P29</f>
        <v>34212</v>
      </c>
      <c r="R35">
        <f>R28-R30-R32-R33-R34-R31-R29</f>
        <v>4644</v>
      </c>
      <c r="Z35">
        <f>Z28-Z30-Z32-Z33-Z34-Z31-Z29</f>
        <v>-194428</v>
      </c>
      <c r="AA35">
        <f>AA28-AA30-AA32-AA33-AA34-AA31-AA29</f>
        <v>-82155</v>
      </c>
      <c r="AB35">
        <f t="shared" ref="AB35:AC35" si="29">AB28-AB30-AB32-AB33-AB34-AB31-AB29</f>
        <v>9424</v>
      </c>
      <c r="AC35">
        <f t="shared" si="29"/>
        <v>39405</v>
      </c>
    </row>
    <row r="37" spans="1:29" x14ac:dyDescent="0.2">
      <c r="A37" s="1" t="s">
        <v>19</v>
      </c>
    </row>
    <row r="38" spans="1:29" x14ac:dyDescent="0.2">
      <c r="A38" t="s">
        <v>100</v>
      </c>
      <c r="AA38">
        <v>126655</v>
      </c>
    </row>
    <row r="39" spans="1:29" x14ac:dyDescent="0.2">
      <c r="A39" t="s">
        <v>101</v>
      </c>
      <c r="Z39">
        <v>26385</v>
      </c>
      <c r="AA39">
        <v>-56113</v>
      </c>
    </row>
    <row r="40" spans="1:29" x14ac:dyDescent="0.2">
      <c r="A40" t="s">
        <v>102</v>
      </c>
      <c r="AA40">
        <v>-14749</v>
      </c>
    </row>
    <row r="41" spans="1:29" x14ac:dyDescent="0.2">
      <c r="A41" t="s">
        <v>20</v>
      </c>
      <c r="J41" s="5">
        <v>-2684</v>
      </c>
      <c r="K41">
        <v>-2605</v>
      </c>
      <c r="N41">
        <v>-2327</v>
      </c>
      <c r="O41">
        <v>-2269</v>
      </c>
      <c r="R41" s="5">
        <v>-1122</v>
      </c>
      <c r="Z41">
        <v>-58389</v>
      </c>
      <c r="AA41">
        <v>-15926</v>
      </c>
      <c r="AB41">
        <v>-10220</v>
      </c>
      <c r="AC41">
        <v>-7961</v>
      </c>
    </row>
    <row r="42" spans="1:29" x14ac:dyDescent="0.2">
      <c r="A42" t="s">
        <v>21</v>
      </c>
      <c r="J42" s="5">
        <v>269</v>
      </c>
      <c r="K42">
        <v>137</v>
      </c>
      <c r="N42">
        <v>545</v>
      </c>
      <c r="O42">
        <v>-95</v>
      </c>
      <c r="R42" s="5">
        <f>802+-9918</f>
        <v>-9116</v>
      </c>
      <c r="Z42">
        <v>3948</v>
      </c>
      <c r="AA42">
        <v>-3225</v>
      </c>
      <c r="AB42">
        <v>243</v>
      </c>
      <c r="AC42">
        <v>-278</v>
      </c>
    </row>
    <row r="43" spans="1:29" x14ac:dyDescent="0.2">
      <c r="A43" t="s">
        <v>22</v>
      </c>
      <c r="J43">
        <f>J42+J41</f>
        <v>-2415</v>
      </c>
      <c r="K43">
        <f t="shared" ref="K43:L43" si="30">K42+K41</f>
        <v>-2468</v>
      </c>
      <c r="L43">
        <f t="shared" si="30"/>
        <v>0</v>
      </c>
      <c r="N43">
        <f>N42+N41</f>
        <v>-1782</v>
      </c>
      <c r="O43">
        <f t="shared" ref="O43:R43" si="31">O42+O41</f>
        <v>-2364</v>
      </c>
      <c r="P43">
        <f t="shared" si="31"/>
        <v>0</v>
      </c>
      <c r="R43">
        <f t="shared" si="31"/>
        <v>-10238</v>
      </c>
      <c r="Z43">
        <f>Z42+Z41</f>
        <v>-54441</v>
      </c>
      <c r="AA43">
        <f>AA42+AA41</f>
        <v>-19151</v>
      </c>
      <c r="AB43">
        <f>AB42+AB41</f>
        <v>-9977</v>
      </c>
      <c r="AC43">
        <f>AC42+AC41</f>
        <v>-8239</v>
      </c>
    </row>
    <row r="44" spans="1:29" x14ac:dyDescent="0.2">
      <c r="A44" s="1" t="s">
        <v>23</v>
      </c>
      <c r="J44">
        <f>J35+J43</f>
        <v>5092</v>
      </c>
      <c r="K44">
        <f t="shared" ref="K44:L44" si="32">K35+K43</f>
        <v>-14469</v>
      </c>
      <c r="L44">
        <f t="shared" si="32"/>
        <v>25472</v>
      </c>
      <c r="N44">
        <f>N35+N43</f>
        <v>9777</v>
      </c>
      <c r="O44">
        <f t="shared" ref="O44:R44" si="33">O35+O43</f>
        <v>8427</v>
      </c>
      <c r="P44">
        <f t="shared" si="33"/>
        <v>34212</v>
      </c>
      <c r="Q44">
        <f t="shared" si="33"/>
        <v>0</v>
      </c>
      <c r="R44">
        <f t="shared" si="33"/>
        <v>-5594</v>
      </c>
      <c r="Z44">
        <f>Z35+Z43</f>
        <v>-248869</v>
      </c>
      <c r="AA44">
        <f>AA35+AA43</f>
        <v>-101306</v>
      </c>
      <c r="AB44">
        <f>AB35+AB43</f>
        <v>-553</v>
      </c>
      <c r="AC44">
        <f>AC35+AC43</f>
        <v>31166</v>
      </c>
    </row>
    <row r="45" spans="1:29" x14ac:dyDescent="0.2">
      <c r="A45" s="1"/>
    </row>
    <row r="46" spans="1:29" x14ac:dyDescent="0.2">
      <c r="A46" t="s">
        <v>24</v>
      </c>
      <c r="J46">
        <v>-548</v>
      </c>
      <c r="N46">
        <v>-713</v>
      </c>
      <c r="R46" s="5">
        <v>2110</v>
      </c>
      <c r="Z46">
        <v>5283</v>
      </c>
      <c r="AA46">
        <v>17369</v>
      </c>
      <c r="AB46">
        <v>-728</v>
      </c>
      <c r="AC46">
        <v>78459</v>
      </c>
    </row>
    <row r="47" spans="1:29" x14ac:dyDescent="0.2">
      <c r="A47" s="1" t="s">
        <v>25</v>
      </c>
      <c r="J47">
        <f>J44+J46</f>
        <v>4544</v>
      </c>
      <c r="N47">
        <f>N44+N46</f>
        <v>9064</v>
      </c>
      <c r="R47">
        <f>R44+R46</f>
        <v>-3484</v>
      </c>
      <c r="Z47">
        <f>Z44+Z46</f>
        <v>-243586</v>
      </c>
      <c r="AA47">
        <f>AA44+AA46</f>
        <v>-83937</v>
      </c>
      <c r="AB47">
        <f>AB44+AB46</f>
        <v>-1281</v>
      </c>
      <c r="AC47">
        <f>AC44+AC46</f>
        <v>109625</v>
      </c>
    </row>
    <row r="49" spans="1:29" x14ac:dyDescent="0.2">
      <c r="A49" t="s">
        <v>31</v>
      </c>
      <c r="J49" s="2">
        <f>J47/J51</f>
        <v>0.10052207769223963</v>
      </c>
      <c r="N49" s="2">
        <f>N47/N51</f>
        <v>0.23963620981387479</v>
      </c>
      <c r="R49" s="2">
        <f>R47/R51</f>
        <v>-6.8307028722674246E-2</v>
      </c>
      <c r="Z49" s="2">
        <f>Z47/Z51</f>
        <v>-3.4445670003959501</v>
      </c>
      <c r="AA49" s="2">
        <f>AA47/AA51</f>
        <v>-0.80065817713549869</v>
      </c>
      <c r="AB49" s="2">
        <f>AB47/AB51</f>
        <v>-2.9674071671801524E-2</v>
      </c>
      <c r="AC49" s="2">
        <f>AC47/AC51</f>
        <v>2.332248319291975</v>
      </c>
    </row>
    <row r="50" spans="1:29" x14ac:dyDescent="0.2">
      <c r="A50" t="s">
        <v>32</v>
      </c>
      <c r="J50" s="2">
        <f>J47/J52</f>
        <v>9.8510633685260265E-2</v>
      </c>
      <c r="N50" s="2">
        <f>N47/N52</f>
        <v>0.23555093555093556</v>
      </c>
      <c r="R50" s="2">
        <f>R47/R52</f>
        <v>-6.8307028722674246E-2</v>
      </c>
      <c r="Z50" s="2">
        <f>Z47/Z52</f>
        <v>-3.4445670003959501</v>
      </c>
      <c r="AA50" s="2">
        <f>AA47/AA52</f>
        <v>-0.80065817713549869</v>
      </c>
      <c r="AB50" s="2">
        <f>AB47/AB52</f>
        <v>-2.9674071671801524E-2</v>
      </c>
      <c r="AC50" s="2">
        <f>AC47/AC52</f>
        <v>2.0052497759241983</v>
      </c>
    </row>
    <row r="51" spans="1:29" x14ac:dyDescent="0.2">
      <c r="A51" t="s">
        <v>26</v>
      </c>
      <c r="J51">
        <v>45204</v>
      </c>
      <c r="N51">
        <v>37824</v>
      </c>
      <c r="R51">
        <v>51005</v>
      </c>
      <c r="Z51">
        <v>70716</v>
      </c>
      <c r="AA51">
        <v>104835</v>
      </c>
      <c r="AB51">
        <v>43169</v>
      </c>
      <c r="AC51">
        <v>47004</v>
      </c>
    </row>
    <row r="52" spans="1:29" x14ac:dyDescent="0.2">
      <c r="A52" t="s">
        <v>27</v>
      </c>
      <c r="J52">
        <v>46127</v>
      </c>
      <c r="N52">
        <v>38480</v>
      </c>
      <c r="R52">
        <v>51005</v>
      </c>
      <c r="Z52">
        <v>70716</v>
      </c>
      <c r="AA52">
        <v>104835</v>
      </c>
      <c r="AB52">
        <v>43169</v>
      </c>
      <c r="AC52">
        <v>54669</v>
      </c>
    </row>
    <row r="56" spans="1:29" x14ac:dyDescent="0.2">
      <c r="A56" s="1" t="s">
        <v>62</v>
      </c>
    </row>
    <row r="58" spans="1:29" x14ac:dyDescent="0.2">
      <c r="A58" s="1" t="s">
        <v>33</v>
      </c>
    </row>
    <row r="59" spans="1:29" x14ac:dyDescent="0.2">
      <c r="A59" t="s">
        <v>34</v>
      </c>
      <c r="J59">
        <v>36810</v>
      </c>
      <c r="N59">
        <v>61389</v>
      </c>
      <c r="R59">
        <v>68603</v>
      </c>
      <c r="AB59">
        <v>36810</v>
      </c>
      <c r="AC59">
        <v>64941</v>
      </c>
    </row>
    <row r="60" spans="1:29" x14ac:dyDescent="0.2">
      <c r="A60" t="s">
        <v>35</v>
      </c>
      <c r="J60">
        <v>44361</v>
      </c>
      <c r="N60">
        <v>48923</v>
      </c>
      <c r="R60">
        <v>46466</v>
      </c>
      <c r="AB60">
        <v>44361</v>
      </c>
      <c r="AC60">
        <v>45357</v>
      </c>
    </row>
    <row r="61" spans="1:29" x14ac:dyDescent="0.2">
      <c r="A61" t="s">
        <v>36</v>
      </c>
      <c r="J61">
        <v>7489</v>
      </c>
      <c r="N61">
        <v>9480</v>
      </c>
      <c r="R61">
        <v>16226</v>
      </c>
      <c r="AB61">
        <v>7489</v>
      </c>
      <c r="AC61">
        <v>13696</v>
      </c>
    </row>
    <row r="62" spans="1:29" x14ac:dyDescent="0.2">
      <c r="A62" t="s">
        <v>37</v>
      </c>
      <c r="J62">
        <v>14838</v>
      </c>
      <c r="N62">
        <v>5323</v>
      </c>
      <c r="R62">
        <v>6554</v>
      </c>
      <c r="AB62">
        <v>14838</v>
      </c>
      <c r="AC62">
        <v>8268</v>
      </c>
    </row>
    <row r="63" spans="1:29" x14ac:dyDescent="0.2">
      <c r="A63" t="s">
        <v>38</v>
      </c>
      <c r="J63">
        <f>J59+J60+J61+J62</f>
        <v>103498</v>
      </c>
      <c r="N63">
        <f>N59+N60+N61+N62</f>
        <v>125115</v>
      </c>
      <c r="R63">
        <f>R59+R60+R61+R62</f>
        <v>137849</v>
      </c>
      <c r="AB63">
        <f>AB59+AB60+AB61+AB62</f>
        <v>103498</v>
      </c>
      <c r="AC63">
        <f>AC59+AC60+AC61+AC62</f>
        <v>132262</v>
      </c>
    </row>
    <row r="65" spans="1:29" x14ac:dyDescent="0.2">
      <c r="A65" t="s">
        <v>39</v>
      </c>
      <c r="J65">
        <v>1527</v>
      </c>
      <c r="N65">
        <v>1329</v>
      </c>
      <c r="R65">
        <v>544</v>
      </c>
      <c r="AB65">
        <v>1527</v>
      </c>
      <c r="AC65">
        <v>744</v>
      </c>
    </row>
    <row r="66" spans="1:29" x14ac:dyDescent="0.2">
      <c r="A66" t="s">
        <v>40</v>
      </c>
      <c r="J66">
        <v>216054</v>
      </c>
      <c r="N66">
        <v>207554</v>
      </c>
      <c r="R66">
        <v>191712</v>
      </c>
      <c r="AB66">
        <v>216054</v>
      </c>
      <c r="AC66">
        <v>197996</v>
      </c>
    </row>
    <row r="67" spans="1:29" x14ac:dyDescent="0.2">
      <c r="A67" t="s">
        <v>41</v>
      </c>
      <c r="R67">
        <v>81569</v>
      </c>
      <c r="AC67">
        <v>80202</v>
      </c>
    </row>
    <row r="68" spans="1:29" x14ac:dyDescent="0.2">
      <c r="A68" t="s">
        <v>42</v>
      </c>
      <c r="J68">
        <v>5468</v>
      </c>
      <c r="N68">
        <v>5137</v>
      </c>
      <c r="R68">
        <v>2600</v>
      </c>
      <c r="AB68">
        <v>5468</v>
      </c>
      <c r="AC68">
        <v>2709</v>
      </c>
    </row>
    <row r="69" spans="1:29" x14ac:dyDescent="0.2">
      <c r="A69" s="1" t="s">
        <v>43</v>
      </c>
      <c r="J69">
        <f>J63+J65+J66+J67+J68</f>
        <v>326547</v>
      </c>
      <c r="N69">
        <f>N63+N65+N66+N67+N68</f>
        <v>339135</v>
      </c>
      <c r="R69">
        <f>R63+R65+R66+R67+R68</f>
        <v>414274</v>
      </c>
      <c r="AB69">
        <f>AB63+AB65+AB66+AB67+AB68</f>
        <v>326547</v>
      </c>
      <c r="AC69">
        <f>AC63+AC65+AC66+AC67+AC68</f>
        <v>413913</v>
      </c>
    </row>
    <row r="71" spans="1:29" x14ac:dyDescent="0.2">
      <c r="A71" s="1" t="s">
        <v>44</v>
      </c>
    </row>
    <row r="72" spans="1:29" x14ac:dyDescent="0.2">
      <c r="A72" t="s">
        <v>45</v>
      </c>
      <c r="N72">
        <v>8523</v>
      </c>
      <c r="R72">
        <v>6173</v>
      </c>
      <c r="AB72">
        <v>6685</v>
      </c>
      <c r="AC72">
        <v>5991</v>
      </c>
    </row>
    <row r="73" spans="1:29" x14ac:dyDescent="0.2">
      <c r="A73" t="s">
        <v>46</v>
      </c>
      <c r="N73">
        <v>55588</v>
      </c>
      <c r="R73">
        <v>52313</v>
      </c>
      <c r="AB73">
        <v>52662</v>
      </c>
      <c r="AC73">
        <v>49426</v>
      </c>
    </row>
    <row r="74" spans="1:29" x14ac:dyDescent="0.2">
      <c r="A74" t="s">
        <v>47</v>
      </c>
      <c r="N74">
        <v>15386</v>
      </c>
      <c r="R74">
        <v>10799</v>
      </c>
      <c r="AB74">
        <v>14699</v>
      </c>
      <c r="AC74">
        <v>12181</v>
      </c>
    </row>
    <row r="75" spans="1:29" x14ac:dyDescent="0.2">
      <c r="A75" t="s">
        <v>48</v>
      </c>
      <c r="N75">
        <v>12271</v>
      </c>
      <c r="R75">
        <v>470</v>
      </c>
      <c r="AB75">
        <v>12174</v>
      </c>
      <c r="AC75">
        <v>470</v>
      </c>
    </row>
    <row r="76" spans="1:29" x14ac:dyDescent="0.2">
      <c r="A76" t="s">
        <v>49</v>
      </c>
      <c r="N76">
        <v>14600</v>
      </c>
      <c r="R76">
        <v>24458</v>
      </c>
      <c r="AB76">
        <v>14500</v>
      </c>
      <c r="AC76">
        <v>26300</v>
      </c>
    </row>
    <row r="77" spans="1:29" x14ac:dyDescent="0.2">
      <c r="A77" t="s">
        <v>50</v>
      </c>
      <c r="N77">
        <v>32159</v>
      </c>
      <c r="R77">
        <v>332</v>
      </c>
      <c r="AB77">
        <v>34299</v>
      </c>
      <c r="AC77">
        <v>948</v>
      </c>
    </row>
    <row r="78" spans="1:29" x14ac:dyDescent="0.2">
      <c r="A78" t="s">
        <v>51</v>
      </c>
      <c r="N78">
        <f>N72+N73+N74+N75+N76+N77</f>
        <v>138527</v>
      </c>
      <c r="R78">
        <f>R72+R73+R74+R75+R76+R77</f>
        <v>94545</v>
      </c>
      <c r="AB78">
        <f>AB72+AB73+AB74+AB75+AB76+AB77</f>
        <v>135019</v>
      </c>
      <c r="AC78">
        <f>AC72+AC73+AC74+AC75+AC76+AC77</f>
        <v>95316</v>
      </c>
    </row>
    <row r="80" spans="1:29" x14ac:dyDescent="0.2">
      <c r="A80" t="s">
        <v>52</v>
      </c>
      <c r="N80">
        <v>61250</v>
      </c>
      <c r="R80">
        <v>38151</v>
      </c>
      <c r="AB80">
        <v>61319</v>
      </c>
      <c r="AC80">
        <v>66403</v>
      </c>
    </row>
    <row r="81" spans="1:29" x14ac:dyDescent="0.2">
      <c r="A81" t="s">
        <v>53</v>
      </c>
      <c r="N81">
        <v>22859</v>
      </c>
      <c r="R81">
        <v>26600</v>
      </c>
      <c r="AB81">
        <v>23159</v>
      </c>
      <c r="AC81">
        <v>22200</v>
      </c>
    </row>
    <row r="82" spans="1:29" x14ac:dyDescent="0.2">
      <c r="A82" t="s">
        <v>54</v>
      </c>
      <c r="N82">
        <v>4637</v>
      </c>
      <c r="R82">
        <v>4314</v>
      </c>
      <c r="AB82">
        <v>4636</v>
      </c>
      <c r="AC82">
        <v>4269</v>
      </c>
    </row>
    <row r="83" spans="1:29" x14ac:dyDescent="0.2">
      <c r="A83" s="1" t="s">
        <v>55</v>
      </c>
      <c r="N83">
        <f>N78+N80+N81+N82</f>
        <v>227273</v>
      </c>
      <c r="R83">
        <f>R78+R80+R81+R82</f>
        <v>163610</v>
      </c>
      <c r="AB83">
        <f>AB78+AB80+AB81+AB82</f>
        <v>224133</v>
      </c>
      <c r="AC83">
        <f>AC78+AC80+AC81+AC82</f>
        <v>188188</v>
      </c>
    </row>
    <row r="85" spans="1:29" x14ac:dyDescent="0.2">
      <c r="A85" s="1" t="s">
        <v>56</v>
      </c>
    </row>
    <row r="86" spans="1:29" x14ac:dyDescent="0.2">
      <c r="A86" t="s">
        <v>123</v>
      </c>
      <c r="N86">
        <v>4</v>
      </c>
      <c r="R86">
        <v>5</v>
      </c>
      <c r="AB86">
        <v>4</v>
      </c>
      <c r="AC86">
        <v>5</v>
      </c>
    </row>
    <row r="87" spans="1:29" x14ac:dyDescent="0.2">
      <c r="A87" t="s">
        <v>124</v>
      </c>
      <c r="M87">
        <v>48319838</v>
      </c>
      <c r="N87">
        <v>45335426</v>
      </c>
      <c r="R87">
        <v>55661866</v>
      </c>
      <c r="AB87">
        <v>44640444</v>
      </c>
      <c r="AC87">
        <v>48319838</v>
      </c>
    </row>
    <row r="88" spans="1:29" x14ac:dyDescent="0.2">
      <c r="A88" t="s">
        <v>57</v>
      </c>
      <c r="N88">
        <v>532020</v>
      </c>
      <c r="R88">
        <v>573744</v>
      </c>
      <c r="AB88">
        <v>531636</v>
      </c>
      <c r="AC88">
        <v>545321</v>
      </c>
    </row>
    <row r="89" spans="1:29" x14ac:dyDescent="0.2">
      <c r="A89" t="s">
        <v>58</v>
      </c>
      <c r="N89">
        <v>-420162</v>
      </c>
      <c r="R89">
        <v>-323085</v>
      </c>
      <c r="AB89">
        <v>-429226</v>
      </c>
      <c r="AC89">
        <v>-319601</v>
      </c>
    </row>
    <row r="90" spans="1:29" x14ac:dyDescent="0.2">
      <c r="A90" t="s">
        <v>59</v>
      </c>
      <c r="N90">
        <f>N86+N88+N89</f>
        <v>111862</v>
      </c>
      <c r="R90">
        <f>R86+R88+R89</f>
        <v>250664</v>
      </c>
      <c r="AB90">
        <f>AB86+AB88+AB89</f>
        <v>102414</v>
      </c>
      <c r="AC90">
        <f>AC86+AC88+AC89</f>
        <v>225725</v>
      </c>
    </row>
    <row r="92" spans="1:29" x14ac:dyDescent="0.2">
      <c r="A92" t="s">
        <v>60</v>
      </c>
      <c r="N92">
        <f>N90+N83</f>
        <v>339135</v>
      </c>
      <c r="R92">
        <f>R90+R83</f>
        <v>414274</v>
      </c>
      <c r="AB92">
        <f>AB90+AB83</f>
        <v>326547</v>
      </c>
      <c r="AC92">
        <f>AC90+AC83</f>
        <v>413913</v>
      </c>
    </row>
    <row r="93" spans="1:29" x14ac:dyDescent="0.2">
      <c r="A93" t="s">
        <v>61</v>
      </c>
      <c r="N93">
        <f>N92-N69</f>
        <v>0</v>
      </c>
      <c r="R93">
        <f>R92-R69</f>
        <v>0</v>
      </c>
      <c r="AB93">
        <f>AB92-AB69</f>
        <v>0</v>
      </c>
      <c r="AC93">
        <f>AC92-AC69</f>
        <v>0</v>
      </c>
    </row>
    <row r="98" spans="1:29" x14ac:dyDescent="0.2">
      <c r="A98" s="1" t="s">
        <v>63</v>
      </c>
    </row>
    <row r="100" spans="1:29" x14ac:dyDescent="0.2">
      <c r="A100" s="1" t="s">
        <v>79</v>
      </c>
    </row>
    <row r="101" spans="1:29" x14ac:dyDescent="0.2">
      <c r="A101" t="s">
        <v>25</v>
      </c>
      <c r="R101">
        <f>R47</f>
        <v>-3484</v>
      </c>
      <c r="AB101">
        <f>AB47</f>
        <v>-1281</v>
      </c>
      <c r="AC101">
        <f>AC47</f>
        <v>109625</v>
      </c>
    </row>
    <row r="102" spans="1:29" x14ac:dyDescent="0.2">
      <c r="A102" t="s">
        <v>64</v>
      </c>
    </row>
    <row r="103" spans="1:29" x14ac:dyDescent="0.2">
      <c r="A103" t="s">
        <v>65</v>
      </c>
      <c r="R103">
        <v>6484</v>
      </c>
      <c r="AB103">
        <v>29077</v>
      </c>
      <c r="AC103">
        <v>33396</v>
      </c>
    </row>
    <row r="104" spans="1:29" x14ac:dyDescent="0.2">
      <c r="A104" t="s">
        <v>66</v>
      </c>
      <c r="R104">
        <v>147</v>
      </c>
      <c r="AB104">
        <v>194</v>
      </c>
      <c r="AC104">
        <v>304</v>
      </c>
    </row>
    <row r="105" spans="1:29" x14ac:dyDescent="0.2">
      <c r="A105" t="s">
        <v>67</v>
      </c>
      <c r="AC105">
        <v>-1046</v>
      </c>
    </row>
    <row r="106" spans="1:29" x14ac:dyDescent="0.2">
      <c r="A106" t="s">
        <v>126</v>
      </c>
      <c r="R106">
        <v>9918</v>
      </c>
    </row>
    <row r="107" spans="1:29" x14ac:dyDescent="0.2">
      <c r="A107" t="s">
        <v>68</v>
      </c>
      <c r="R107">
        <v>9167</v>
      </c>
      <c r="AB107">
        <v>3914</v>
      </c>
      <c r="AC107">
        <v>18939</v>
      </c>
    </row>
    <row r="108" spans="1:29" x14ac:dyDescent="0.2">
      <c r="A108" t="s">
        <v>69</v>
      </c>
      <c r="R108">
        <v>2446</v>
      </c>
      <c r="AB108">
        <v>3545</v>
      </c>
      <c r="AC108">
        <v>7504</v>
      </c>
    </row>
    <row r="109" spans="1:29" x14ac:dyDescent="0.2">
      <c r="A109" t="s">
        <v>70</v>
      </c>
      <c r="R109">
        <v>1072</v>
      </c>
      <c r="AB109">
        <v>1368</v>
      </c>
      <c r="AC109">
        <v>3265</v>
      </c>
    </row>
    <row r="110" spans="1:29" x14ac:dyDescent="0.2">
      <c r="A110" t="s">
        <v>71</v>
      </c>
      <c r="R110">
        <v>-1367</v>
      </c>
      <c r="AC110">
        <v>-80375</v>
      </c>
    </row>
    <row r="112" spans="1:29" x14ac:dyDescent="0.2">
      <c r="A112" t="s">
        <v>72</v>
      </c>
    </row>
    <row r="113" spans="1:29" x14ac:dyDescent="0.2">
      <c r="A113" t="s">
        <v>73</v>
      </c>
      <c r="R113">
        <v>-1109</v>
      </c>
      <c r="AB113">
        <v>-11</v>
      </c>
      <c r="AC113">
        <v>-996</v>
      </c>
    </row>
    <row r="114" spans="1:29" x14ac:dyDescent="0.2">
      <c r="A114" t="s">
        <v>74</v>
      </c>
      <c r="R114">
        <v>-3602</v>
      </c>
      <c r="AB114">
        <v>4268</v>
      </c>
      <c r="AC114">
        <v>-6593</v>
      </c>
    </row>
    <row r="115" spans="1:29" x14ac:dyDescent="0.2">
      <c r="A115" t="s">
        <v>75</v>
      </c>
      <c r="R115">
        <v>1824</v>
      </c>
      <c r="AB115">
        <v>3600</v>
      </c>
      <c r="AC115">
        <v>8019</v>
      </c>
    </row>
    <row r="116" spans="1:29" x14ac:dyDescent="0.2">
      <c r="A116" t="s">
        <v>76</v>
      </c>
      <c r="R116">
        <v>-290</v>
      </c>
      <c r="AB116">
        <v>-28699</v>
      </c>
      <c r="AC116">
        <v>-10208</v>
      </c>
    </row>
    <row r="117" spans="1:29" x14ac:dyDescent="0.2">
      <c r="A117" t="s">
        <v>46</v>
      </c>
      <c r="R117">
        <v>2887</v>
      </c>
      <c r="AB117">
        <v>-10452</v>
      </c>
      <c r="AC117">
        <v>-3236</v>
      </c>
    </row>
    <row r="118" spans="1:29" x14ac:dyDescent="0.2">
      <c r="A118" t="s">
        <v>127</v>
      </c>
      <c r="R118">
        <v>-1376</v>
      </c>
    </row>
    <row r="119" spans="1:29" x14ac:dyDescent="0.2">
      <c r="A119" s="1" t="s">
        <v>77</v>
      </c>
      <c r="R119">
        <f>R101+R103+R104+R107+R106+R108+R109+R110+R113+R115+R114+R116+R117+R118</f>
        <v>22717</v>
      </c>
      <c r="AB119">
        <f>AB113+AB114+AB115+AB116+AB117+AB101+AB103+AB104+AB105+AB107+AB108+AB109+AB110</f>
        <v>5523</v>
      </c>
      <c r="AC119">
        <f>AC113+AC114+AC115+AC116+AC117+AC101+AC103+AC104+AC105+AC107+AC108+AC109+AC110</f>
        <v>78598</v>
      </c>
    </row>
    <row r="121" spans="1:29" x14ac:dyDescent="0.2">
      <c r="A121" s="1" t="s">
        <v>78</v>
      </c>
    </row>
    <row r="122" spans="1:29" x14ac:dyDescent="0.2">
      <c r="A122" t="s">
        <v>81</v>
      </c>
      <c r="AB122">
        <v>-53</v>
      </c>
      <c r="AC122">
        <v>-274</v>
      </c>
    </row>
    <row r="123" spans="1:29" x14ac:dyDescent="0.2">
      <c r="A123" t="s">
        <v>82</v>
      </c>
      <c r="AB123">
        <v>-18472</v>
      </c>
      <c r="AC123">
        <v>-27027</v>
      </c>
    </row>
    <row r="124" spans="1:29" x14ac:dyDescent="0.2">
      <c r="A124" t="s">
        <v>83</v>
      </c>
      <c r="R124">
        <v>-105</v>
      </c>
      <c r="AC124">
        <v>-15372</v>
      </c>
    </row>
    <row r="125" spans="1:29" x14ac:dyDescent="0.2">
      <c r="A125" s="1" t="s">
        <v>84</v>
      </c>
      <c r="R125">
        <f>R122+R123+R124</f>
        <v>-105</v>
      </c>
      <c r="AB125">
        <f>AB122+AB123+AB124</f>
        <v>-18525</v>
      </c>
      <c r="AC125">
        <f>AC122+AC123+AC124</f>
        <v>-42673</v>
      </c>
    </row>
    <row r="127" spans="1:29" x14ac:dyDescent="0.2">
      <c r="A127" s="1" t="s">
        <v>85</v>
      </c>
    </row>
    <row r="128" spans="1:29" x14ac:dyDescent="0.2">
      <c r="A128" t="s">
        <v>80</v>
      </c>
      <c r="AC128">
        <v>70000</v>
      </c>
    </row>
    <row r="129" spans="1:29" x14ac:dyDescent="0.2">
      <c r="A129" t="s">
        <v>90</v>
      </c>
      <c r="AB129">
        <v>-9500</v>
      </c>
      <c r="AC129">
        <v>-70750</v>
      </c>
    </row>
    <row r="130" spans="1:29" x14ac:dyDescent="0.2">
      <c r="A130" t="s">
        <v>86</v>
      </c>
      <c r="AC130">
        <v>-4084</v>
      </c>
    </row>
    <row r="131" spans="1:29" x14ac:dyDescent="0.2">
      <c r="A131" t="s">
        <v>87</v>
      </c>
      <c r="R131">
        <v>-6609</v>
      </c>
      <c r="AB131">
        <v>-4807</v>
      </c>
      <c r="AC131">
        <v>-7845</v>
      </c>
    </row>
    <row r="132" spans="1:29" x14ac:dyDescent="0.2">
      <c r="A132" t="s">
        <v>88</v>
      </c>
      <c r="AB132">
        <v>-968</v>
      </c>
      <c r="AC132">
        <v>-1297</v>
      </c>
    </row>
    <row r="133" spans="1:29" x14ac:dyDescent="0.2">
      <c r="A133" t="s">
        <v>89</v>
      </c>
      <c r="R133">
        <f>-10500+-1119</f>
        <v>-11619</v>
      </c>
      <c r="AB133">
        <v>-335</v>
      </c>
    </row>
    <row r="134" spans="1:29" x14ac:dyDescent="0.2">
      <c r="A134" t="s">
        <v>128</v>
      </c>
      <c r="AB134">
        <v>44861</v>
      </c>
      <c r="AC134">
        <v>7020</v>
      </c>
    </row>
    <row r="135" spans="1:29" x14ac:dyDescent="0.2">
      <c r="A135" t="s">
        <v>91</v>
      </c>
      <c r="R135">
        <v>-722</v>
      </c>
      <c r="AB135">
        <v>193</v>
      </c>
      <c r="AC135">
        <v>34</v>
      </c>
    </row>
    <row r="136" spans="1:29" x14ac:dyDescent="0.2">
      <c r="A136" t="s">
        <v>92</v>
      </c>
      <c r="AB136">
        <v>-418</v>
      </c>
      <c r="AC136">
        <v>-872</v>
      </c>
    </row>
    <row r="137" spans="1:29" x14ac:dyDescent="0.2">
      <c r="A137" s="1" t="s">
        <v>93</v>
      </c>
      <c r="R137">
        <f>R128+R129+R130+R131+R132+R133+R134+R135+R136</f>
        <v>-18950</v>
      </c>
      <c r="AB137">
        <f>AB128+AB129+AB130+AB131+AB132+AB133+AB134+AB135+AB136</f>
        <v>29026</v>
      </c>
      <c r="AC137">
        <f>AC128+AC129+AC130+AC131+AC132+AC133+AC134+AC135+AC136</f>
        <v>-7794</v>
      </c>
    </row>
    <row r="139" spans="1:29" x14ac:dyDescent="0.2">
      <c r="A139" s="1" t="s">
        <v>94</v>
      </c>
      <c r="R139">
        <f>R119+R125+R137</f>
        <v>3662</v>
      </c>
      <c r="AB139">
        <f>AB119+AB125+AB137</f>
        <v>16024</v>
      </c>
      <c r="AC139">
        <f>AC119+AC125+AC137</f>
        <v>28131</v>
      </c>
    </row>
    <row r="140" spans="1:29" x14ac:dyDescent="0.2">
      <c r="A140" t="s">
        <v>95</v>
      </c>
    </row>
    <row r="141" spans="1:29" x14ac:dyDescent="0.2">
      <c r="A141" t="s">
        <v>96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AE1E-5C00-B245-A2B7-73C40CB24AA0}">
  <dimension ref="A1:AI65"/>
  <sheetViews>
    <sheetView workbookViewId="0">
      <pane xSplit="1" ySplit="2" topLeftCell="U43" activePane="bottomRight" state="frozen"/>
      <selection pane="topRight" activeCell="B1" sqref="B1"/>
      <selection pane="bottomLeft" activeCell="A3" sqref="A3"/>
      <selection pane="bottomRight" activeCell="Z12" sqref="Z12"/>
    </sheetView>
  </sheetViews>
  <sheetFormatPr baseColWidth="10" defaultRowHeight="16" x14ac:dyDescent="0.2"/>
  <cols>
    <col min="1" max="1" width="23" customWidth="1"/>
  </cols>
  <sheetData>
    <row r="1" spans="1:34" ht="32" customHeight="1" x14ac:dyDescent="0.3">
      <c r="A1" s="3" t="s">
        <v>0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138</v>
      </c>
      <c r="S1" t="s">
        <v>120</v>
      </c>
      <c r="T1" t="s">
        <v>121</v>
      </c>
      <c r="U1" t="s">
        <v>122</v>
      </c>
      <c r="Z1" t="s">
        <v>163</v>
      </c>
      <c r="AA1" t="s">
        <v>164</v>
      </c>
      <c r="AB1" t="s">
        <v>165</v>
      </c>
      <c r="AC1" t="s">
        <v>166</v>
      </c>
      <c r="AD1" t="s">
        <v>167</v>
      </c>
      <c r="AE1" t="s">
        <v>168</v>
      </c>
      <c r="AF1" t="s">
        <v>169</v>
      </c>
      <c r="AG1" t="s">
        <v>170</v>
      </c>
      <c r="AH1" t="s">
        <v>171</v>
      </c>
    </row>
    <row r="2" spans="1:34" ht="28" customHeight="1" x14ac:dyDescent="0.2">
      <c r="A2" t="s">
        <v>125</v>
      </c>
      <c r="B2" s="4">
        <v>43555</v>
      </c>
      <c r="C2" s="4">
        <v>43646</v>
      </c>
      <c r="D2" s="4">
        <v>43738</v>
      </c>
      <c r="E2" s="4">
        <v>43830</v>
      </c>
      <c r="F2" s="4">
        <f>B2+366</f>
        <v>43921</v>
      </c>
      <c r="G2" s="4">
        <f t="shared" ref="G2:I2" si="0">C2+366</f>
        <v>44012</v>
      </c>
      <c r="H2" s="4">
        <f t="shared" si="0"/>
        <v>44104</v>
      </c>
      <c r="I2" s="4">
        <f t="shared" si="0"/>
        <v>44196</v>
      </c>
      <c r="J2" s="4">
        <f>F2+365</f>
        <v>44286</v>
      </c>
      <c r="K2" s="4">
        <f t="shared" ref="K2:U2" si="1">G2+365</f>
        <v>44377</v>
      </c>
      <c r="L2" s="4">
        <f t="shared" si="1"/>
        <v>44469</v>
      </c>
      <c r="M2" s="4">
        <f t="shared" si="1"/>
        <v>44561</v>
      </c>
      <c r="N2" s="4">
        <f t="shared" si="1"/>
        <v>44651</v>
      </c>
      <c r="O2" s="4">
        <f t="shared" si="1"/>
        <v>44742</v>
      </c>
      <c r="P2" s="4">
        <f t="shared" si="1"/>
        <v>44834</v>
      </c>
      <c r="Q2" s="4">
        <f t="shared" si="1"/>
        <v>44926</v>
      </c>
      <c r="R2" s="4">
        <f t="shared" si="1"/>
        <v>45016</v>
      </c>
      <c r="S2" s="4">
        <f t="shared" si="1"/>
        <v>45107</v>
      </c>
      <c r="T2" s="4">
        <f t="shared" si="1"/>
        <v>45199</v>
      </c>
      <c r="U2" s="4">
        <f t="shared" si="1"/>
        <v>45291</v>
      </c>
    </row>
    <row r="4" spans="1:34" x14ac:dyDescent="0.2">
      <c r="A4" s="1" t="s">
        <v>74</v>
      </c>
    </row>
    <row r="5" spans="1:34" x14ac:dyDescent="0.2">
      <c r="A5" t="s">
        <v>129</v>
      </c>
      <c r="Q5">
        <v>1367</v>
      </c>
      <c r="R5">
        <v>921</v>
      </c>
    </row>
    <row r="6" spans="1:34" x14ac:dyDescent="0.2">
      <c r="A6" t="s">
        <v>130</v>
      </c>
      <c r="Q6">
        <v>2735</v>
      </c>
      <c r="R6">
        <v>1677</v>
      </c>
    </row>
    <row r="7" spans="1:34" x14ac:dyDescent="0.2">
      <c r="A7" t="s">
        <v>131</v>
      </c>
      <c r="Q7">
        <v>9594</v>
      </c>
      <c r="R7">
        <v>13628</v>
      </c>
    </row>
    <row r="8" spans="1:34" x14ac:dyDescent="0.2">
      <c r="A8" t="s">
        <v>132</v>
      </c>
      <c r="Q8">
        <f>Q5+Q6+Q7</f>
        <v>13696</v>
      </c>
      <c r="R8">
        <f>R5+R6+R7</f>
        <v>16226</v>
      </c>
    </row>
    <row r="11" spans="1:34" x14ac:dyDescent="0.2">
      <c r="A11" s="1" t="s">
        <v>133</v>
      </c>
    </row>
    <row r="12" spans="1:34" x14ac:dyDescent="0.2">
      <c r="A12" t="s">
        <v>134</v>
      </c>
      <c r="Q12">
        <v>1712</v>
      </c>
      <c r="R12">
        <v>1708</v>
      </c>
    </row>
    <row r="13" spans="1:34" x14ac:dyDescent="0.2">
      <c r="A13" t="s">
        <v>135</v>
      </c>
      <c r="Q13">
        <v>20</v>
      </c>
      <c r="R13">
        <v>20</v>
      </c>
    </row>
    <row r="14" spans="1:34" x14ac:dyDescent="0.2">
      <c r="A14" t="s">
        <v>136</v>
      </c>
      <c r="Q14">
        <v>2945</v>
      </c>
      <c r="R14">
        <v>2945</v>
      </c>
    </row>
    <row r="15" spans="1:34" x14ac:dyDescent="0.2">
      <c r="A15" t="s">
        <v>139</v>
      </c>
      <c r="Q15">
        <f>Q12+Q13+Q14</f>
        <v>4677</v>
      </c>
      <c r="R15">
        <f>R12+R13+R14</f>
        <v>4673</v>
      </c>
    </row>
    <row r="16" spans="1:34" x14ac:dyDescent="0.2">
      <c r="A16" t="s">
        <v>137</v>
      </c>
      <c r="Q16">
        <v>-3933</v>
      </c>
      <c r="R16">
        <v>-4129</v>
      </c>
    </row>
    <row r="17" spans="1:18" x14ac:dyDescent="0.2">
      <c r="A17" t="s">
        <v>39</v>
      </c>
      <c r="Q17">
        <f>Q15+Q16</f>
        <v>744</v>
      </c>
      <c r="R17">
        <f>R15+R16</f>
        <v>544</v>
      </c>
    </row>
    <row r="22" spans="1:18" x14ac:dyDescent="0.2">
      <c r="A22" s="1" t="s">
        <v>140</v>
      </c>
    </row>
    <row r="23" spans="1:18" x14ac:dyDescent="0.2">
      <c r="A23" s="1" t="s">
        <v>141</v>
      </c>
    </row>
    <row r="24" spans="1:18" x14ac:dyDescent="0.2">
      <c r="A24" s="1" t="s">
        <v>142</v>
      </c>
    </row>
    <row r="25" spans="1:18" x14ac:dyDescent="0.2">
      <c r="A25" t="s">
        <v>143</v>
      </c>
      <c r="R25">
        <v>9.1</v>
      </c>
    </row>
    <row r="26" spans="1:18" x14ac:dyDescent="0.2">
      <c r="A26" t="s">
        <v>144</v>
      </c>
      <c r="Q26">
        <v>154100</v>
      </c>
      <c r="R26">
        <v>154100</v>
      </c>
    </row>
    <row r="27" spans="1:18" x14ac:dyDescent="0.2">
      <c r="A27" t="s">
        <v>145</v>
      </c>
      <c r="Q27">
        <v>-33495</v>
      </c>
      <c r="R27">
        <v>-36705</v>
      </c>
    </row>
    <row r="28" spans="1:18" x14ac:dyDescent="0.2">
      <c r="A28" t="s">
        <v>146</v>
      </c>
      <c r="Q28">
        <f>Q26+Q27</f>
        <v>120605</v>
      </c>
      <c r="R28">
        <f>R26+R27</f>
        <v>117395</v>
      </c>
    </row>
    <row r="30" spans="1:18" x14ac:dyDescent="0.2">
      <c r="A30" s="1" t="s">
        <v>2</v>
      </c>
    </row>
    <row r="31" spans="1:18" x14ac:dyDescent="0.2">
      <c r="A31" t="s">
        <v>143</v>
      </c>
      <c r="R31">
        <v>6.7</v>
      </c>
    </row>
    <row r="32" spans="1:18" x14ac:dyDescent="0.2">
      <c r="A32" t="s">
        <v>144</v>
      </c>
      <c r="Q32">
        <v>44086</v>
      </c>
      <c r="R32">
        <v>44086</v>
      </c>
    </row>
    <row r="33" spans="1:18" x14ac:dyDescent="0.2">
      <c r="A33" t="s">
        <v>145</v>
      </c>
      <c r="Q33">
        <v>-5511</v>
      </c>
      <c r="R33">
        <v>-6888</v>
      </c>
    </row>
    <row r="34" spans="1:18" x14ac:dyDescent="0.2">
      <c r="A34" t="s">
        <v>146</v>
      </c>
      <c r="Q34">
        <f>Q32+Q33</f>
        <v>38575</v>
      </c>
      <c r="R34">
        <f>R32+R33</f>
        <v>37198</v>
      </c>
    </row>
    <row r="35" spans="1:18" x14ac:dyDescent="0.2">
      <c r="A35" s="1" t="s">
        <v>3</v>
      </c>
    </row>
    <row r="36" spans="1:18" x14ac:dyDescent="0.2">
      <c r="A36" t="s">
        <v>143</v>
      </c>
      <c r="R36">
        <v>11.6</v>
      </c>
    </row>
    <row r="37" spans="1:18" x14ac:dyDescent="0.2">
      <c r="A37" t="s">
        <v>144</v>
      </c>
      <c r="Q37">
        <v>14550</v>
      </c>
      <c r="R37">
        <v>14550</v>
      </c>
    </row>
    <row r="38" spans="1:18" x14ac:dyDescent="0.2">
      <c r="A38" t="s">
        <v>145</v>
      </c>
      <c r="Q38">
        <v>-202</v>
      </c>
      <c r="R38">
        <v>-505</v>
      </c>
    </row>
    <row r="39" spans="1:18" x14ac:dyDescent="0.2">
      <c r="A39" t="s">
        <v>146</v>
      </c>
      <c r="Q39">
        <f>Q37+Q38</f>
        <v>14348</v>
      </c>
      <c r="R39">
        <f>R37+R38</f>
        <v>14045</v>
      </c>
    </row>
    <row r="40" spans="1:18" x14ac:dyDescent="0.2">
      <c r="A40" s="1" t="s">
        <v>148</v>
      </c>
    </row>
    <row r="41" spans="1:18" x14ac:dyDescent="0.2">
      <c r="A41" t="s">
        <v>143</v>
      </c>
      <c r="R41">
        <v>4.0999999999999996</v>
      </c>
    </row>
    <row r="42" spans="1:18" x14ac:dyDescent="0.2">
      <c r="A42" t="s">
        <v>144</v>
      </c>
      <c r="Q42">
        <v>39000</v>
      </c>
      <c r="R42">
        <v>39000</v>
      </c>
    </row>
    <row r="43" spans="1:18" x14ac:dyDescent="0.2">
      <c r="A43" t="s">
        <v>145</v>
      </c>
      <c r="Q43">
        <v>-14532</v>
      </c>
      <c r="R43">
        <v>-15926</v>
      </c>
    </row>
    <row r="44" spans="1:18" x14ac:dyDescent="0.2">
      <c r="A44" t="s">
        <v>146</v>
      </c>
      <c r="Q44">
        <f>Q42+Q43</f>
        <v>24468</v>
      </c>
      <c r="R44">
        <f>R42+R43</f>
        <v>23074</v>
      </c>
    </row>
    <row r="45" spans="1:18" x14ac:dyDescent="0.2">
      <c r="A45" s="1" t="s">
        <v>147</v>
      </c>
    </row>
    <row r="46" spans="1:18" x14ac:dyDescent="0.2">
      <c r="A46" t="s">
        <v>149</v>
      </c>
      <c r="R46" s="6">
        <f>R25*R28/R49</f>
        <v>5.5723924428309131</v>
      </c>
    </row>
    <row r="47" spans="1:18" x14ac:dyDescent="0.2">
      <c r="A47" t="s">
        <v>144</v>
      </c>
      <c r="Q47">
        <f>Q26+Q32+Q37+Q42</f>
        <v>251736</v>
      </c>
      <c r="R47">
        <f>R26+R32+R37+R42</f>
        <v>251736</v>
      </c>
    </row>
    <row r="48" spans="1:18" x14ac:dyDescent="0.2">
      <c r="A48" t="s">
        <v>145</v>
      </c>
      <c r="Q48">
        <f>Q27+Q33+Q38+Q43</f>
        <v>-53740</v>
      </c>
      <c r="R48">
        <f>R27+R33+R38+R43</f>
        <v>-60024</v>
      </c>
    </row>
    <row r="49" spans="1:35" x14ac:dyDescent="0.2">
      <c r="A49" t="s">
        <v>146</v>
      </c>
      <c r="Q49">
        <f>Q47+Q48</f>
        <v>197996</v>
      </c>
      <c r="R49">
        <f>R47+R48</f>
        <v>191712</v>
      </c>
    </row>
    <row r="51" spans="1:35" x14ac:dyDescent="0.2">
      <c r="A51" s="1" t="s">
        <v>150</v>
      </c>
      <c r="AI51" t="s">
        <v>152</v>
      </c>
    </row>
    <row r="52" spans="1:35" x14ac:dyDescent="0.2">
      <c r="A52" t="s">
        <v>151</v>
      </c>
      <c r="AD52">
        <v>18852</v>
      </c>
      <c r="AE52">
        <v>25136</v>
      </c>
      <c r="AF52">
        <v>25136</v>
      </c>
      <c r="AG52">
        <v>25136</v>
      </c>
      <c r="AH52">
        <v>21747</v>
      </c>
      <c r="AI52">
        <v>75705</v>
      </c>
    </row>
    <row r="54" spans="1:35" x14ac:dyDescent="0.2">
      <c r="A54" s="1" t="s">
        <v>153</v>
      </c>
    </row>
    <row r="55" spans="1:35" x14ac:dyDescent="0.2">
      <c r="A55" t="s">
        <v>154</v>
      </c>
      <c r="Q55">
        <v>137</v>
      </c>
      <c r="R55">
        <v>107</v>
      </c>
    </row>
    <row r="56" spans="1:35" x14ac:dyDescent="0.2">
      <c r="A56" t="s">
        <v>155</v>
      </c>
      <c r="Q56">
        <v>1607</v>
      </c>
      <c r="R56">
        <v>1518</v>
      </c>
    </row>
    <row r="57" spans="1:35" x14ac:dyDescent="0.2">
      <c r="A57" t="s">
        <v>156</v>
      </c>
      <c r="Q57">
        <v>965</v>
      </c>
      <c r="R57">
        <v>975</v>
      </c>
    </row>
    <row r="58" spans="1:35" x14ac:dyDescent="0.2">
      <c r="A58" s="1" t="s">
        <v>157</v>
      </c>
      <c r="Q58">
        <f>Q57+Q56+Q55</f>
        <v>2709</v>
      </c>
      <c r="R58">
        <f>R57+R56+R55</f>
        <v>2600</v>
      </c>
    </row>
    <row r="60" spans="1:35" x14ac:dyDescent="0.2">
      <c r="A60" s="1" t="s">
        <v>47</v>
      </c>
    </row>
    <row r="61" spans="1:35" x14ac:dyDescent="0.2">
      <c r="A61" t="s">
        <v>158</v>
      </c>
      <c r="Q61">
        <v>3117</v>
      </c>
      <c r="R61">
        <v>602</v>
      </c>
    </row>
    <row r="62" spans="1:35" x14ac:dyDescent="0.2">
      <c r="A62" t="s">
        <v>159</v>
      </c>
      <c r="Q62">
        <v>6561</v>
      </c>
      <c r="R62">
        <v>9587</v>
      </c>
    </row>
    <row r="63" spans="1:35" x14ac:dyDescent="0.2">
      <c r="A63" t="s">
        <v>160</v>
      </c>
      <c r="Q63">
        <v>1593</v>
      </c>
      <c r="R63">
        <v>217</v>
      </c>
    </row>
    <row r="64" spans="1:35" x14ac:dyDescent="0.2">
      <c r="A64" t="s">
        <v>161</v>
      </c>
      <c r="Q64">
        <v>910</v>
      </c>
      <c r="R64">
        <v>393</v>
      </c>
    </row>
    <row r="65" spans="1:1" x14ac:dyDescent="0.2">
      <c r="A65" t="s">
        <v>162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20FB-03C6-0A4C-8BC9-D119AD0993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Schedule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2023-04-29T13:27:39Z</dcterms:created>
  <dcterms:modified xsi:type="dcterms:W3CDTF">2023-05-24T14:25:31Z</dcterms:modified>
</cp:coreProperties>
</file>