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RT/"/>
    </mc:Choice>
  </mc:AlternateContent>
  <xr:revisionPtr revIDLastSave="0" documentId="13_ncr:1_{A2ECA6C5-AE0D-B549-B381-844ACDD97CD1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  <c r="L92" i="1" s="1"/>
  <c r="L89" i="1"/>
  <c r="L82" i="1"/>
  <c r="L77" i="1"/>
  <c r="L68" i="1"/>
  <c r="L62" i="1"/>
  <c r="P76" i="2"/>
  <c r="L76" i="2"/>
  <c r="Q32" i="1"/>
  <c r="Q31" i="1"/>
  <c r="Q29" i="1"/>
  <c r="Q26" i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E30" i="1" l="1"/>
  <c r="B42" i="1"/>
  <c r="C42" i="1"/>
  <c r="D42" i="1"/>
  <c r="E42" i="1"/>
  <c r="F42" i="1"/>
  <c r="G42" i="1"/>
  <c r="H42" i="1"/>
  <c r="I42" i="1"/>
  <c r="M46" i="1"/>
  <c r="I33" i="1"/>
  <c r="I30" i="1"/>
  <c r="I26" i="1"/>
  <c r="I23" i="1"/>
  <c r="E33" i="1"/>
  <c r="E26" i="1"/>
  <c r="M34" i="1"/>
  <c r="B32" i="1"/>
  <c r="E32" i="1" s="1"/>
  <c r="B29" i="1"/>
  <c r="E29" i="1" s="1"/>
  <c r="B28" i="1"/>
  <c r="E28" i="1" s="1"/>
  <c r="B26" i="1"/>
  <c r="F32" i="1"/>
  <c r="I32" i="1" s="1"/>
  <c r="F29" i="1"/>
  <c r="I29" i="1" s="1"/>
  <c r="F28" i="1"/>
  <c r="I28" i="1" s="1"/>
  <c r="F26" i="1"/>
  <c r="M22" i="1"/>
  <c r="M23" i="1"/>
  <c r="F23" i="1"/>
  <c r="C22" i="1"/>
  <c r="D22" i="1"/>
  <c r="G22" i="1"/>
  <c r="H22" i="1"/>
  <c r="C23" i="1"/>
  <c r="D23" i="1"/>
  <c r="G23" i="1"/>
  <c r="H23" i="1"/>
  <c r="M16" i="1"/>
  <c r="M15" i="1"/>
  <c r="I9" i="1"/>
  <c r="I6" i="1"/>
  <c r="D13" i="1"/>
  <c r="D21" i="1" s="1"/>
  <c r="H13" i="1"/>
  <c r="H21" i="1" s="1"/>
  <c r="AB2" i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M12" i="1"/>
  <c r="M11" i="1"/>
  <c r="M10" i="1"/>
  <c r="M9" i="1"/>
  <c r="M6" i="1"/>
  <c r="M13" i="1" s="1"/>
  <c r="H17" i="1" l="1"/>
  <c r="M21" i="1"/>
  <c r="M17" i="1"/>
  <c r="D24" i="1"/>
  <c r="D27" i="1" s="1"/>
  <c r="D34" i="1" s="1"/>
  <c r="M24" i="1"/>
  <c r="D43" i="1"/>
  <c r="D46" i="1" s="1"/>
  <c r="H24" i="1"/>
  <c r="H27" i="1" s="1"/>
  <c r="H34" i="1" s="1"/>
  <c r="H43" i="1" s="1"/>
  <c r="H46" i="1" s="1"/>
  <c r="R59" i="2"/>
  <c r="Q59" i="2"/>
  <c r="Q49" i="2"/>
  <c r="Q48" i="2"/>
  <c r="Q45" i="2"/>
  <c r="Q40" i="2"/>
  <c r="Q35" i="2"/>
  <c r="R49" i="2"/>
  <c r="R45" i="2"/>
  <c r="R40" i="2"/>
  <c r="R35" i="2"/>
  <c r="R48" i="2"/>
  <c r="Q29" i="2"/>
  <c r="R29" i="2"/>
  <c r="Q16" i="2"/>
  <c r="Q18" i="2" s="1"/>
  <c r="Q9" i="2"/>
  <c r="R16" i="2"/>
  <c r="R18" i="2" s="1"/>
  <c r="R9" i="2"/>
  <c r="I2" i="2"/>
  <c r="M2" i="2" s="1"/>
  <c r="Q2" i="2" s="1"/>
  <c r="U2" i="2" s="1"/>
  <c r="H2" i="2"/>
  <c r="L2" i="2" s="1"/>
  <c r="P2" i="2" s="1"/>
  <c r="T2" i="2" s="1"/>
  <c r="G2" i="2"/>
  <c r="K2" i="2" s="1"/>
  <c r="O2" i="2" s="1"/>
  <c r="S2" i="2" s="1"/>
  <c r="F2" i="2"/>
  <c r="J2" i="2" s="1"/>
  <c r="N2" i="2" s="1"/>
  <c r="R2" i="2" s="1"/>
  <c r="R132" i="1"/>
  <c r="R136" i="1" s="1"/>
  <c r="R124" i="1"/>
  <c r="R13" i="1"/>
  <c r="R21" i="1" s="1"/>
  <c r="R89" i="1"/>
  <c r="R77" i="1"/>
  <c r="R82" i="1" s="1"/>
  <c r="R62" i="1"/>
  <c r="R68" i="1" s="1"/>
  <c r="R41" i="1"/>
  <c r="R42" i="1" s="1"/>
  <c r="J42" i="1"/>
  <c r="R22" i="1"/>
  <c r="Q15" i="1"/>
  <c r="Q22" i="1" s="1"/>
  <c r="Q8" i="1"/>
  <c r="Q7" i="1"/>
  <c r="Q9" i="1"/>
  <c r="Q10" i="1"/>
  <c r="Q11" i="1"/>
  <c r="Q12" i="1"/>
  <c r="Q6" i="1"/>
  <c r="O42" i="1"/>
  <c r="P42" i="1"/>
  <c r="K42" i="1"/>
  <c r="L42" i="1"/>
  <c r="J2" i="1"/>
  <c r="N2" i="1" s="1"/>
  <c r="R2" i="1" s="1"/>
  <c r="G2" i="1"/>
  <c r="K2" i="1" s="1"/>
  <c r="O2" i="1" s="1"/>
  <c r="S2" i="1" s="1"/>
  <c r="H2" i="1"/>
  <c r="L2" i="1" s="1"/>
  <c r="P2" i="1" s="1"/>
  <c r="T2" i="1" s="1"/>
  <c r="I2" i="1"/>
  <c r="M2" i="1" s="1"/>
  <c r="Q2" i="1" s="1"/>
  <c r="U2" i="1" s="1"/>
  <c r="F2" i="1"/>
  <c r="O23" i="1"/>
  <c r="P23" i="1"/>
  <c r="L13" i="1"/>
  <c r="L21" i="1" s="1"/>
  <c r="P13" i="1"/>
  <c r="P21" i="1" s="1"/>
  <c r="P22" i="1"/>
  <c r="L22" i="1"/>
  <c r="L23" i="1"/>
  <c r="K22" i="1"/>
  <c r="K23" i="1"/>
  <c r="K13" i="1"/>
  <c r="K17" i="1" s="1"/>
  <c r="O22" i="1"/>
  <c r="O13" i="1"/>
  <c r="O21" i="1" s="1"/>
  <c r="J62" i="1"/>
  <c r="J68" i="1" s="1"/>
  <c r="N89" i="1"/>
  <c r="N77" i="1"/>
  <c r="N82" i="1" s="1"/>
  <c r="N62" i="1"/>
  <c r="N68" i="1" s="1"/>
  <c r="N42" i="1"/>
  <c r="J23" i="1"/>
  <c r="J22" i="1"/>
  <c r="N22" i="1"/>
  <c r="J13" i="1"/>
  <c r="J21" i="1" s="1"/>
  <c r="N13" i="1"/>
  <c r="N17" i="1" s="1"/>
  <c r="B16" i="1"/>
  <c r="D17" i="1"/>
  <c r="F15" i="1"/>
  <c r="B15" i="1"/>
  <c r="B11" i="1"/>
  <c r="E11" i="1" s="1"/>
  <c r="B10" i="1"/>
  <c r="E10" i="1" s="1"/>
  <c r="C12" i="1"/>
  <c r="F11" i="1"/>
  <c r="I11" i="1" s="1"/>
  <c r="F10" i="1"/>
  <c r="I10" i="1" s="1"/>
  <c r="G12" i="1"/>
  <c r="Z42" i="1"/>
  <c r="AA42" i="1"/>
  <c r="AA22" i="1"/>
  <c r="AA23" i="1"/>
  <c r="Z23" i="1"/>
  <c r="Z22" i="1"/>
  <c r="Z13" i="1"/>
  <c r="Z17" i="1" s="1"/>
  <c r="AA13" i="1"/>
  <c r="AA21" i="1" s="1"/>
  <c r="AB136" i="1"/>
  <c r="AC136" i="1"/>
  <c r="AC124" i="1"/>
  <c r="AB124" i="1"/>
  <c r="AB89" i="1"/>
  <c r="AB77" i="1"/>
  <c r="AB82" i="1" s="1"/>
  <c r="AB62" i="1"/>
  <c r="AB68" i="1" s="1"/>
  <c r="AC89" i="1"/>
  <c r="AC77" i="1"/>
  <c r="AC82" i="1" s="1"/>
  <c r="AC62" i="1"/>
  <c r="AC68" i="1" s="1"/>
  <c r="AC42" i="1"/>
  <c r="AB42" i="1"/>
  <c r="AC22" i="1"/>
  <c r="AC23" i="1"/>
  <c r="AB23" i="1"/>
  <c r="AB22" i="1"/>
  <c r="AB13" i="1"/>
  <c r="AB21" i="1" s="1"/>
  <c r="AC13" i="1"/>
  <c r="AC21" i="1" s="1"/>
  <c r="B22" i="1" l="1"/>
  <c r="E15" i="1"/>
  <c r="E22" i="1" s="1"/>
  <c r="I15" i="1"/>
  <c r="F22" i="1"/>
  <c r="G13" i="1"/>
  <c r="F12" i="1"/>
  <c r="F13" i="1" s="1"/>
  <c r="B12" i="1"/>
  <c r="E12" i="1"/>
  <c r="Q13" i="1"/>
  <c r="Q17" i="1" s="1"/>
  <c r="B23" i="1"/>
  <c r="E16" i="1"/>
  <c r="E13" i="1"/>
  <c r="E21" i="1" s="1"/>
  <c r="Q50" i="2"/>
  <c r="R50" i="2"/>
  <c r="R47" i="2" s="1"/>
  <c r="R91" i="1"/>
  <c r="R17" i="1"/>
  <c r="R24" i="1"/>
  <c r="R27" i="1" s="1"/>
  <c r="R34" i="1" s="1"/>
  <c r="R43" i="1" s="1"/>
  <c r="R46" i="1" s="1"/>
  <c r="R100" i="1" s="1"/>
  <c r="R118" i="1" s="1"/>
  <c r="R138" i="1" s="1"/>
  <c r="R92" i="1"/>
  <c r="K21" i="1"/>
  <c r="J17" i="1"/>
  <c r="K24" i="1"/>
  <c r="K27" i="1" s="1"/>
  <c r="K34" i="1" s="1"/>
  <c r="K43" i="1" s="1"/>
  <c r="K46" i="1" s="1"/>
  <c r="N21" i="1"/>
  <c r="N24" i="1" s="1"/>
  <c r="N27" i="1" s="1"/>
  <c r="N34" i="1" s="1"/>
  <c r="N43" i="1" s="1"/>
  <c r="N46" i="1" s="1"/>
  <c r="N91" i="1"/>
  <c r="N92" i="1" s="1"/>
  <c r="P17" i="1"/>
  <c r="L17" i="1"/>
  <c r="O17" i="1"/>
  <c r="O24" i="1"/>
  <c r="O27" i="1" s="1"/>
  <c r="O34" i="1" s="1"/>
  <c r="O43" i="1" s="1"/>
  <c r="O46" i="1" s="1"/>
  <c r="L24" i="1"/>
  <c r="L27" i="1" s="1"/>
  <c r="L34" i="1" s="1"/>
  <c r="L43" i="1" s="1"/>
  <c r="L46" i="1" s="1"/>
  <c r="P24" i="1"/>
  <c r="P27" i="1" s="1"/>
  <c r="P34" i="1" s="1"/>
  <c r="P43" i="1" s="1"/>
  <c r="P46" i="1" s="1"/>
  <c r="J24" i="1"/>
  <c r="J27" i="1" s="1"/>
  <c r="J34" i="1" s="1"/>
  <c r="J43" i="1"/>
  <c r="J46" i="1" s="1"/>
  <c r="B13" i="1"/>
  <c r="C13" i="1"/>
  <c r="Z21" i="1"/>
  <c r="Z24" i="1" s="1"/>
  <c r="Z27" i="1" s="1"/>
  <c r="Z34" i="1" s="1"/>
  <c r="Z43" i="1" s="1"/>
  <c r="Z46" i="1" s="1"/>
  <c r="AA24" i="1"/>
  <c r="AA27" i="1" s="1"/>
  <c r="AA34" i="1" s="1"/>
  <c r="AA43" i="1" s="1"/>
  <c r="AA46" i="1" s="1"/>
  <c r="AA17" i="1"/>
  <c r="AC91" i="1"/>
  <c r="AC92" i="1" s="1"/>
  <c r="AB91" i="1"/>
  <c r="AB92" i="1" s="1"/>
  <c r="AB24" i="1"/>
  <c r="AB27" i="1" s="1"/>
  <c r="AC24" i="1"/>
  <c r="AC27" i="1" s="1"/>
  <c r="AB17" i="1"/>
  <c r="AC17" i="1"/>
  <c r="I12" i="1" l="1"/>
  <c r="I13" i="1" s="1"/>
  <c r="I21" i="1" s="1"/>
  <c r="F17" i="1"/>
  <c r="F21" i="1"/>
  <c r="B17" i="1"/>
  <c r="B21" i="1"/>
  <c r="G17" i="1"/>
  <c r="G21" i="1"/>
  <c r="G24" i="1" s="1"/>
  <c r="G27" i="1" s="1"/>
  <c r="G34" i="1" s="1"/>
  <c r="G43" i="1" s="1"/>
  <c r="G46" i="1" s="1"/>
  <c r="Q21" i="1"/>
  <c r="Q24" i="1" s="1"/>
  <c r="Q27" i="1" s="1"/>
  <c r="Q34" i="1" s="1"/>
  <c r="Q43" i="1" s="1"/>
  <c r="Q46" i="1" s="1"/>
  <c r="C17" i="1"/>
  <c r="C21" i="1"/>
  <c r="C24" i="1" s="1"/>
  <c r="C27" i="1" s="1"/>
  <c r="C34" i="1" s="1"/>
  <c r="C43" i="1" s="1"/>
  <c r="C46" i="1" s="1"/>
  <c r="E23" i="1"/>
  <c r="E24" i="1" s="1"/>
  <c r="E27" i="1" s="1"/>
  <c r="E34" i="1" s="1"/>
  <c r="E43" i="1" s="1"/>
  <c r="E46" i="1" s="1"/>
  <c r="E17" i="1"/>
  <c r="B24" i="1"/>
  <c r="B27" i="1" s="1"/>
  <c r="B34" i="1" s="1"/>
  <c r="B43" i="1" s="1"/>
  <c r="B46" i="1" s="1"/>
  <c r="F24" i="1"/>
  <c r="F27" i="1" s="1"/>
  <c r="F34" i="1" s="1"/>
  <c r="F43" i="1" s="1"/>
  <c r="F46" i="1" s="1"/>
  <c r="I22" i="1"/>
  <c r="I24" i="1" s="1"/>
  <c r="I27" i="1" s="1"/>
  <c r="I34" i="1" s="1"/>
  <c r="I43" i="1" s="1"/>
  <c r="I46" i="1" s="1"/>
  <c r="I17" i="1"/>
  <c r="R49" i="1"/>
  <c r="R48" i="1"/>
  <c r="N49" i="1"/>
  <c r="N48" i="1"/>
  <c r="J48" i="1"/>
  <c r="J49" i="1"/>
  <c r="AA48" i="1"/>
  <c r="AA49" i="1"/>
  <c r="Z49" i="1"/>
  <c r="Z48" i="1"/>
  <c r="AC34" i="1"/>
  <c r="AC43" i="1" s="1"/>
  <c r="AC46" i="1" s="1"/>
  <c r="AB34" i="1"/>
  <c r="AB43" i="1" s="1"/>
  <c r="AB46" i="1" s="1"/>
  <c r="AB100" i="1" l="1"/>
  <c r="AB118" i="1" s="1"/>
  <c r="AB138" i="1" s="1"/>
  <c r="AB48" i="1"/>
  <c r="AB49" i="1"/>
  <c r="AC100" i="1"/>
  <c r="AC118" i="1" s="1"/>
  <c r="AC138" i="1" s="1"/>
  <c r="AC49" i="1"/>
  <c r="AC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tc={B6E82BB0-4EF2-1640-995C-755543F3BF93}</author>
    <author>tc={C4B87032-58D1-8F4B-B7D9-A751EBB99B62}</author>
    <author>tc={EA91E9BC-F50A-C844-B437-6171E2E9971E}</author>
    <author>tc={CFFA79AB-8D9D-3F47-B0E0-21A7D1B5E80C}</author>
    <author>tc={794ED2A5-E939-6940-84FD-8ABDD356620F}</author>
  </authors>
  <commentList>
    <comment ref="G9" authorId="0" shapeId="0" xr:uid="{B6E82BB0-4EF2-1640-995C-755543F3BF93}">
      <text>
        <t>[Threaded comment]
Your version of Excel allows you to read this threaded comment; however, any edits to it will get removed if the file is opened in a newer version of Excel. Learn more: https://go.microsoft.com/fwlink/?linkid=870924
Comment:
    SPRIX Nasal spray from Zyla merger 20 May 20</t>
      </text>
    </comment>
    <comment ref="F12" authorId="1" shapeId="0" xr:uid="{C4B87032-58D1-8F4B-B7D9-A751EBB99B6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 20 Sale of Gralise to Alvogen</t>
      </text>
    </comment>
    <comment ref="G12" authorId="2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6" authorId="3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  <comment ref="R132" authorId="4" shapeId="0" xr:uid="{794ED2A5-E939-6940-84FD-8ABDD356620F}">
      <text>
        <t>[Threaded comment]
Your version of Excel allows you to read this threaded comment; however, any edits to it will get removed if the file is opened in a newer version of Excel. Learn more: https://go.microsoft.com/fwlink/?linkid=870924
Comment:
    $10.5m Settlement of CD Inducement
$1.1m Direct Costs for CD Inducement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tc={252708B7-EA5E-0D4A-8711-E9A0CA65436F}</author>
  </authors>
  <commentList>
    <comment ref="AD53" authorId="0" shapeId="0" xr:uid="{252708B7-EA5E-0D4A-8711-E9A0CA65436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Remainder 2Q-4Q</t>
      </text>
    </comment>
  </commentList>
</comments>
</file>

<file path=xl/sharedStrings.xml><?xml version="1.0" encoding="utf-8"?>
<sst xmlns="http://schemas.openxmlformats.org/spreadsheetml/2006/main" count="253" uniqueCount="186">
  <si>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</si>
  <si>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</si>
  <si>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</si>
  <si>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</si>
  <si>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</si>
  <si>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</si>
  <si>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</si>
  <si>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</si>
  <si>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</si>
  <si>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</si>
  <si>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</si>
  <si>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</si>
  <si>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</si>
  <si>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</si>
  <si>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</si>
  <si>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</si>
  <si>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</si>
  <si>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</si>
  <si>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</si>
  <si>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</si>
  <si>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</si>
  <si>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</si>
  <si>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</si>
  <si>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</si>
  <si>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</si>
  <si>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</si>
  <si>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</si>
  <si>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</si>
  <si>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</si>
  <si>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</si>
  <si>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</si>
  <si>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</si>
  <si>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</si>
  <si>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</si>
  <si>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</si>
  <si>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</si>
  <si>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</si>
  <si>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</si>
  <si>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</si>
  <si>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</si>
  <si>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</si>
  <si>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</si>
  <si>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</si>
  <si>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</si>
  <si>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</si>
  <si>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</si>
  <si>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</si>
  <si>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</si>
  <si>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</si>
  <si>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</si>
  <si>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</si>
  <si>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</si>
  <si>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</si>
  <si>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</si>
  <si>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</si>
  <si>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</si>
  <si>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</si>
  <si>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</si>
  <si>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</si>
  <si>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</si>
  <si>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</si>
  <si>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</si>
  <si>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</si>
  <si>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</si>
  <si>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</si>
  <si>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</si>
  <si>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</si>
  <si>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</si>
  <si>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</si>
  <si>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</si>
  <si>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</si>
  <si>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</si>
  <si>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</si>
  <si>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</si>
  <si>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</si>
  <si>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</si>
  <si>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</si>
  <si>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</si>
  <si>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</si>
  <si>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</si>
  <si>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</si>
  <si>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</si>
  <si>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</si>
  <si>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</si>
  <si>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</si>
  <si>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</si>
  <si>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</si>
  <si>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</si>
  <si>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</si>
  <si>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</si>
  <si>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</si>
  <si>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</si>
  <si>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</si>
  <si>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</si>
  <si>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</si>
  <si>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</si>
  <si>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</si>
  <si>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</si>
  <si>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</si>
  <si>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</si>
  <si>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</si>
  <si>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</si>
  <si>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</si>
  <si>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</si>
  <si>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</si>
  <si>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</si>
  <si>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</si>
  <si>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</si>
  <si>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</si>
  <si>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</si>
  <si>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</si>
  <si>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</si>
  <si>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</si>
  <si>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</si>
  <si>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</si>
  <si>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</si>
  <si>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</si>
  <si>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</si>
  <si>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</si>
  <si>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Q223E</t>
  </si>
  <si>
    <t>Q323E</t>
  </si>
  <si>
    <t>Q423E</t>
  </si>
  <si>
    <t>Common Stock Par</t>
  </si>
  <si>
    <t xml:space="preserve">Common Shares </t>
  </si>
  <si>
    <t>NASDAQ: ASRT</t>
  </si>
  <si>
    <t>Debt-related Expenses</t>
  </si>
  <si>
    <t>Interest Payable</t>
  </si>
  <si>
    <t>Proceeds from Issuance of Common Stock</t>
  </si>
  <si>
    <t>Raw Materials</t>
  </si>
  <si>
    <t>Work-in-process</t>
  </si>
  <si>
    <t>Finished Goods</t>
  </si>
  <si>
    <t>Total Inventories</t>
  </si>
  <si>
    <t>Property &amp; Equipment</t>
  </si>
  <si>
    <t>Furniture &amp; office equipment</t>
  </si>
  <si>
    <t>Laboratory equipment</t>
  </si>
  <si>
    <t>Leasehold imporvements</t>
  </si>
  <si>
    <t>Less: Accumulated Depreciation</t>
  </si>
  <si>
    <t>Q123A</t>
  </si>
  <si>
    <t>Gross Property &amp; Equipment</t>
  </si>
  <si>
    <t>Intangible Assets</t>
  </si>
  <si>
    <t>Product Rights</t>
  </si>
  <si>
    <t>INDOCIN</t>
  </si>
  <si>
    <t>Remaining Useful Life</t>
  </si>
  <si>
    <t>Gross Carrying Amount</t>
  </si>
  <si>
    <t>Accumulated Amortization</t>
  </si>
  <si>
    <t>Net Book Value</t>
  </si>
  <si>
    <t>Total Intangible Assets</t>
  </si>
  <si>
    <t xml:space="preserve">SPRIX </t>
  </si>
  <si>
    <t>Weighted Average Remaining Useful Life</t>
  </si>
  <si>
    <t>Amortization Schedule</t>
  </si>
  <si>
    <t>Estimated Amortiuzation Expense</t>
  </si>
  <si>
    <t>Thereafter</t>
  </si>
  <si>
    <t>Other Long-term assets</t>
  </si>
  <si>
    <t>Operating lease right-of-use assets</t>
  </si>
  <si>
    <t xml:space="preserve">Prepaid asset &amp; deposits </t>
  </si>
  <si>
    <t xml:space="preserve">Other </t>
  </si>
  <si>
    <t>Total other Long-term assets</t>
  </si>
  <si>
    <t>Accrued compensation</t>
  </si>
  <si>
    <t>Other accrued liabilities</t>
  </si>
  <si>
    <t>Interest payable</t>
  </si>
  <si>
    <t>Accrued royalties</t>
  </si>
  <si>
    <t>Total accrued liabilities</t>
  </si>
  <si>
    <t>FY2019A</t>
  </si>
  <si>
    <t>FY2020A</t>
  </si>
  <si>
    <t>FY2021A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</si>
  <si>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</si>
  <si>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</si>
  <si>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</si>
  <si>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</si>
  <si>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</si>
  <si>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</si>
  <si>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</si>
  <si>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</si>
  <si>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</si>
  <si>
    <t>FY2036E</t>
  </si>
  <si>
    <t>FY2031E</t>
  </si>
  <si>
    <t>FY2032E</t>
  </si>
  <si>
    <t>FY2033E</t>
  </si>
  <si>
    <t>FY2034E</t>
  </si>
  <si>
    <t>FY2035E</t>
  </si>
  <si>
    <t>$ in Thousands</t>
  </si>
  <si>
    <t>Interest Payable on 2027 Convertible Notes</t>
  </si>
  <si>
    <t>Interest Paid on 2024 Secured Notes</t>
  </si>
  <si>
    <t>Amortization of debt discounts &amp; Royalty Rights</t>
  </si>
  <si>
    <t>Other</t>
  </si>
  <si>
    <t>Total 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</si>
</sst>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3-05-23T18:27:20.27" personId="{981CC310-84B4-BC42-87C3-F956A3CBA7E2}" id="{B6E82BB0-4EF2-1640-995C-755543F3BF93}">
    <text>SPRIX Nasal spray from Zyla merger 20 May 20</text>
  </threadedComment>
  <threadedComment ref="F12" dT="2023-05-23T18:09:06.41" personId="{981CC310-84B4-BC42-87C3-F956A3CBA7E2}" id="{C4B87032-58D1-8F4B-B7D9-A751EBB99B62}">
    <text>Jan 20 Sale of Gralise to Alvogen</text>
  </threadedComment>
  <threadedComment ref="G12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6" dT="2023-04-29T18:21:13.72" personId="{981CC310-84B4-BC42-87C3-F956A3CBA7E2}" id="{CFFA79AB-8D9D-3F47-B0E0-21A7D1B5E80C}">
    <text>Net Commercialization Agreement Revenue</text>
  </threadedComment>
  <threadedComment ref="R132" dT="2023-05-15T13:58:47.36" personId="{981CC310-84B4-BC42-87C3-F956A3CBA7E2}" id="{794ED2A5-E939-6940-84FD-8ABDD356620F}">
    <text>$10.5m Settlement of CD Inducement
$1.1m Direct Costs for CD Inducement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53" dT="2023-05-15T15:12:01.27" personId="{981CC310-84B4-BC42-87C3-F956A3CBA7E2}" id="{252708B7-EA5E-0D4A-8711-E9A0CA65436F}">
    <text>Remainder 2Q-4Q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1:AQ140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P48" sqref="P48"/>
    </sheetView>
  </sheetViews>
  <sheetFormatPr baseColWidth="10" defaultRowHeight="16" outlineLevelCol="1" x14ac:dyDescent="0.2"/>
  <cols>
    <col min="1" max="1" width="31.83203125" customWidth="1"/>
    <col min="2" max="9" width="10.83203125" outlineLevel="1"/>
    <col min="31" max="43" width="10.83203125" outlineLevel="1"/>
  </cols>
  <sheetData>
    <row r="1" spans="1:43" s="1" customFormat="1" ht="32" customHeight="1" x14ac:dyDescent="0.3">
      <c r="A1" s="3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137</v>
      </c>
      <c r="S1" s="1" t="s">
        <v>119</v>
      </c>
      <c r="T1" s="1" t="s">
        <v>120</v>
      </c>
      <c r="U1" s="1" t="s">
        <v>121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  <c r="AH1" s="1" t="s">
        <v>170</v>
      </c>
      <c r="AI1" s="1" t="s">
        <v>171</v>
      </c>
      <c r="AJ1" s="1" t="s">
        <v>172</v>
      </c>
      <c r="AK1" s="1" t="s">
        <v>173</v>
      </c>
      <c r="AL1" s="1" t="s">
        <v>175</v>
      </c>
      <c r="AM1" s="1" t="s">
        <v>176</v>
      </c>
      <c r="AN1" s="1" t="s">
        <v>177</v>
      </c>
      <c r="AO1" s="1" t="s">
        <v>178</v>
      </c>
      <c r="AP1" s="1" t="s">
        <v>179</v>
      </c>
      <c r="AQ1" s="1" t="s">
        <v>174</v>
      </c>
    </row>
    <row r="2" spans="1:43" s="1" customFormat="1" ht="28" customHeight="1" x14ac:dyDescent="0.2">
      <c r="A2" s="1" t="s">
        <v>124</v>
      </c>
      <c r="B2" s="6">
        <v>43555</v>
      </c>
      <c r="C2" s="6">
        <v>43646</v>
      </c>
      <c r="D2" s="6">
        <v>43738</v>
      </c>
      <c r="E2" s="6">
        <v>43830</v>
      </c>
      <c r="F2" s="6">
        <f>B2+366</f>
        <v>43921</v>
      </c>
      <c r="G2" s="6">
        <f t="shared" ref="G2:I2" si="0">C2+366</f>
        <v>44012</v>
      </c>
      <c r="H2" s="6">
        <f t="shared" si="0"/>
        <v>44104</v>
      </c>
      <c r="I2" s="6">
        <f t="shared" si="0"/>
        <v>44196</v>
      </c>
      <c r="J2" s="6">
        <f>F2+365</f>
        <v>44286</v>
      </c>
      <c r="K2" s="6">
        <f t="shared" ref="K2:U2" si="1">G2+365</f>
        <v>44377</v>
      </c>
      <c r="L2" s="6">
        <f t="shared" si="1"/>
        <v>44469</v>
      </c>
      <c r="M2" s="6">
        <f t="shared" si="1"/>
        <v>44561</v>
      </c>
      <c r="N2" s="6">
        <f t="shared" si="1"/>
        <v>44651</v>
      </c>
      <c r="O2" s="6">
        <f t="shared" si="1"/>
        <v>44742</v>
      </c>
      <c r="P2" s="6">
        <f t="shared" si="1"/>
        <v>44834</v>
      </c>
      <c r="Q2" s="6">
        <f t="shared" si="1"/>
        <v>44926</v>
      </c>
      <c r="R2" s="6">
        <f t="shared" si="1"/>
        <v>45016</v>
      </c>
      <c r="S2" s="6">
        <f t="shared" si="1"/>
        <v>45107</v>
      </c>
      <c r="T2" s="6">
        <f t="shared" si="1"/>
        <v>45199</v>
      </c>
      <c r="U2" s="6">
        <f t="shared" si="1"/>
        <v>45291</v>
      </c>
      <c r="Z2" s="1">
        <v>2019</v>
      </c>
      <c r="AA2" s="1">
        <v>2020</v>
      </c>
      <c r="AB2" s="1">
        <f>AA2+1</f>
        <v>2021</v>
      </c>
      <c r="AC2" s="1">
        <f t="shared" ref="AC2:AK2" si="2">AB2+1</f>
        <v>2022</v>
      </c>
      <c r="AD2" s="1">
        <f t="shared" si="2"/>
        <v>2023</v>
      </c>
      <c r="AE2" s="1">
        <f t="shared" si="2"/>
        <v>2024</v>
      </c>
      <c r="AF2" s="1">
        <f t="shared" si="2"/>
        <v>2025</v>
      </c>
      <c r="AG2" s="1">
        <f t="shared" si="2"/>
        <v>2026</v>
      </c>
      <c r="AH2" s="1">
        <f t="shared" si="2"/>
        <v>2027</v>
      </c>
      <c r="AI2" s="1">
        <f t="shared" si="2"/>
        <v>2028</v>
      </c>
      <c r="AJ2" s="1">
        <f t="shared" si="2"/>
        <v>2029</v>
      </c>
      <c r="AK2" s="1">
        <f t="shared" si="2"/>
        <v>2030</v>
      </c>
      <c r="AL2" s="1">
        <f t="shared" ref="AL2" si="3">AK2+1</f>
        <v>2031</v>
      </c>
      <c r="AM2" s="1">
        <f t="shared" ref="AM2" si="4">AL2+1</f>
        <v>2032</v>
      </c>
      <c r="AN2" s="1">
        <f t="shared" ref="AN2" si="5">AM2+1</f>
        <v>2033</v>
      </c>
      <c r="AO2" s="1">
        <f t="shared" ref="AO2" si="6">AN2+1</f>
        <v>2034</v>
      </c>
      <c r="AP2" s="1">
        <f t="shared" ref="AP2" si="7">AO2+1</f>
        <v>2035</v>
      </c>
      <c r="AQ2" s="1">
        <f t="shared" ref="AQ2" si="8">AP2+1</f>
        <v>2036</v>
      </c>
    </row>
    <row r="3" spans="1:43" x14ac:dyDescent="0.2">
      <c r="A3" t="s">
        <v>180</v>
      </c>
    </row>
    <row r="5" spans="1:43" x14ac:dyDescent="0.2">
      <c r="A5" s="1" t="s">
        <v>13</v>
      </c>
    </row>
    <row r="6" spans="1:43" x14ac:dyDescent="0.2">
      <c r="A6" t="s">
        <v>1</v>
      </c>
      <c r="G6" s="4">
        <v>5434</v>
      </c>
      <c r="H6" s="4">
        <v>13773</v>
      </c>
      <c r="I6" s="4">
        <f>AA6-H6-G6-F6</f>
        <v>12477</v>
      </c>
      <c r="J6" s="4">
        <v>14597</v>
      </c>
      <c r="K6" s="4">
        <v>13075</v>
      </c>
      <c r="L6" s="4">
        <v>14541</v>
      </c>
      <c r="M6" s="4">
        <f>AB6-L6-K6-J6</f>
        <v>18344</v>
      </c>
      <c r="N6" s="4">
        <v>21357</v>
      </c>
      <c r="O6" s="4">
        <v>22841</v>
      </c>
      <c r="P6" s="4">
        <v>21869</v>
      </c>
      <c r="Q6" s="4">
        <f>AC6-P6-O6-N6</f>
        <v>34271</v>
      </c>
      <c r="R6" s="4">
        <v>30346</v>
      </c>
      <c r="AA6">
        <v>31684</v>
      </c>
      <c r="AB6">
        <v>60557</v>
      </c>
      <c r="AC6">
        <v>100338</v>
      </c>
    </row>
    <row r="7" spans="1:43" x14ac:dyDescent="0.2">
      <c r="A7" t="s">
        <v>2</v>
      </c>
      <c r="N7" s="4">
        <v>3078</v>
      </c>
      <c r="O7" s="4">
        <v>2616</v>
      </c>
      <c r="P7" s="4">
        <v>3004</v>
      </c>
      <c r="Q7" s="4">
        <f t="shared" ref="Q7:Q12" si="9">AC7-P7-O7-N7</f>
        <v>2450</v>
      </c>
      <c r="R7" s="4">
        <v>2822</v>
      </c>
      <c r="AC7">
        <v>11148</v>
      </c>
    </row>
    <row r="8" spans="1:43" x14ac:dyDescent="0.2">
      <c r="A8" t="s">
        <v>3</v>
      </c>
      <c r="Q8" s="4">
        <f>AC8-P8-O8-N8</f>
        <v>1768</v>
      </c>
      <c r="R8" s="4">
        <v>2502</v>
      </c>
      <c r="AC8">
        <v>1768</v>
      </c>
    </row>
    <row r="9" spans="1:43" x14ac:dyDescent="0.2">
      <c r="A9" t="s">
        <v>4</v>
      </c>
      <c r="G9" s="4">
        <v>1602</v>
      </c>
      <c r="H9" s="4">
        <v>5642</v>
      </c>
      <c r="I9" s="4">
        <f>AA9-H9-G9-F9</f>
        <v>3833</v>
      </c>
      <c r="J9" s="4">
        <v>1697</v>
      </c>
      <c r="K9" s="4">
        <v>2942</v>
      </c>
      <c r="L9" s="4">
        <v>2272</v>
      </c>
      <c r="M9" s="4">
        <f>AB9-L9-K9-J9</f>
        <v>1765</v>
      </c>
      <c r="N9" s="4">
        <v>1766</v>
      </c>
      <c r="O9" s="4">
        <v>2216</v>
      </c>
      <c r="P9" s="4">
        <v>2455</v>
      </c>
      <c r="Q9" s="4">
        <f t="shared" si="9"/>
        <v>2673</v>
      </c>
      <c r="R9" s="4">
        <v>1889</v>
      </c>
      <c r="AA9">
        <v>11077</v>
      </c>
      <c r="AB9">
        <v>8676</v>
      </c>
      <c r="AC9">
        <v>9110</v>
      </c>
    </row>
    <row r="10" spans="1:43" x14ac:dyDescent="0.2">
      <c r="A10" t="s">
        <v>5</v>
      </c>
      <c r="B10" s="4">
        <f>15566-C10</f>
        <v>8808</v>
      </c>
      <c r="C10" s="4">
        <v>6758</v>
      </c>
      <c r="D10" s="4">
        <v>8135</v>
      </c>
      <c r="E10" s="4">
        <f>Z10-D10-C10-B10</f>
        <v>8752</v>
      </c>
      <c r="F10" s="4">
        <f>14054-G10</f>
        <v>6274</v>
      </c>
      <c r="G10" s="4">
        <v>7780</v>
      </c>
      <c r="H10" s="4">
        <v>7449</v>
      </c>
      <c r="I10" s="4">
        <f>AA10-H10-G10-F10</f>
        <v>6847</v>
      </c>
      <c r="J10" s="4">
        <v>6462</v>
      </c>
      <c r="K10" s="4">
        <v>6128</v>
      </c>
      <c r="L10" s="4">
        <v>5038</v>
      </c>
      <c r="M10" s="4">
        <f>AB10-L10-K10-J10</f>
        <v>7344</v>
      </c>
      <c r="N10" s="4">
        <v>5473</v>
      </c>
      <c r="O10" s="4">
        <v>6183</v>
      </c>
      <c r="P10" s="4">
        <v>5808</v>
      </c>
      <c r="Q10" s="4">
        <f t="shared" si="9"/>
        <v>7256</v>
      </c>
      <c r="R10" s="4">
        <v>2264</v>
      </c>
      <c r="Z10">
        <v>32453</v>
      </c>
      <c r="AA10">
        <v>28350</v>
      </c>
      <c r="AB10">
        <v>24972</v>
      </c>
      <c r="AC10">
        <v>24720</v>
      </c>
    </row>
    <row r="11" spans="1:43" x14ac:dyDescent="0.2">
      <c r="A11" t="s">
        <v>6</v>
      </c>
      <c r="B11" s="4">
        <f>5755-C11</f>
        <v>4231</v>
      </c>
      <c r="C11" s="4">
        <v>1524</v>
      </c>
      <c r="D11" s="4">
        <v>3273</v>
      </c>
      <c r="E11" s="4">
        <f t="shared" ref="E11:E12" si="10">Z11-D11-C11-B11</f>
        <v>3470</v>
      </c>
      <c r="F11" s="4">
        <f>5866-G11</f>
        <v>2331</v>
      </c>
      <c r="G11" s="4">
        <v>3535</v>
      </c>
      <c r="H11" s="4">
        <v>3395</v>
      </c>
      <c r="I11" s="4">
        <f t="shared" ref="I11:I12" si="11">AA11-H11-G11-F11</f>
        <v>4025</v>
      </c>
      <c r="J11" s="4">
        <v>2222</v>
      </c>
      <c r="K11" s="4">
        <v>2581</v>
      </c>
      <c r="L11" s="4">
        <v>1999</v>
      </c>
      <c r="M11" s="4">
        <f>AB11-L11-K11-J11</f>
        <v>3383</v>
      </c>
      <c r="N11" s="4">
        <v>2228</v>
      </c>
      <c r="O11" s="4">
        <v>216</v>
      </c>
      <c r="P11" s="4">
        <v>259</v>
      </c>
      <c r="Q11" s="4">
        <f t="shared" si="9"/>
        <v>661</v>
      </c>
      <c r="R11" s="4">
        <v>1150</v>
      </c>
      <c r="Z11">
        <v>12498</v>
      </c>
      <c r="AA11">
        <v>13286</v>
      </c>
      <c r="AB11">
        <v>10185</v>
      </c>
      <c r="AC11">
        <v>3364</v>
      </c>
    </row>
    <row r="12" spans="1:43" x14ac:dyDescent="0.2">
      <c r="A12" t="s">
        <v>7</v>
      </c>
      <c r="B12" s="4">
        <f>31078-C12+-12</f>
        <v>13411</v>
      </c>
      <c r="C12" s="4">
        <f>17800-145</f>
        <v>17655</v>
      </c>
      <c r="D12" s="4">
        <v>16094</v>
      </c>
      <c r="E12" s="4">
        <f t="shared" si="10"/>
        <v>16695</v>
      </c>
      <c r="F12" s="4">
        <f>836+517+431+677-G12</f>
        <v>647</v>
      </c>
      <c r="G12" s="4">
        <f>836+517+-116+577</f>
        <v>1814</v>
      </c>
      <c r="H12" s="4">
        <v>4007</v>
      </c>
      <c r="I12" s="4">
        <f t="shared" si="11"/>
        <v>2633</v>
      </c>
      <c r="J12" s="4">
        <v>1049</v>
      </c>
      <c r="K12" s="4">
        <v>518</v>
      </c>
      <c r="L12" s="4">
        <v>2147</v>
      </c>
      <c r="M12" s="4">
        <f>AB12-L12-K12-J12</f>
        <v>1316</v>
      </c>
      <c r="N12" s="4">
        <v>1644</v>
      </c>
      <c r="O12" s="4">
        <v>1358</v>
      </c>
      <c r="P12" s="4">
        <v>884</v>
      </c>
      <c r="Q12" s="4">
        <f t="shared" si="9"/>
        <v>787</v>
      </c>
      <c r="R12" s="4">
        <v>796</v>
      </c>
      <c r="Z12">
        <v>63855</v>
      </c>
      <c r="AA12">
        <v>9101</v>
      </c>
      <c r="AB12">
        <v>5030</v>
      </c>
      <c r="AC12">
        <v>4673</v>
      </c>
    </row>
    <row r="13" spans="1:43" x14ac:dyDescent="0.2">
      <c r="A13" t="s">
        <v>8</v>
      </c>
      <c r="B13">
        <f t="shared" ref="B13:R13" si="12">B6+B7+B8+B9+B10+B11+B12</f>
        <v>26450</v>
      </c>
      <c r="C13">
        <f t="shared" si="12"/>
        <v>25937</v>
      </c>
      <c r="D13">
        <f t="shared" si="12"/>
        <v>27502</v>
      </c>
      <c r="E13">
        <f t="shared" si="12"/>
        <v>28917</v>
      </c>
      <c r="F13">
        <f t="shared" si="12"/>
        <v>9252</v>
      </c>
      <c r="G13">
        <f t="shared" si="12"/>
        <v>20165</v>
      </c>
      <c r="H13">
        <f t="shared" si="12"/>
        <v>34266</v>
      </c>
      <c r="I13">
        <f t="shared" si="12"/>
        <v>29815</v>
      </c>
      <c r="J13">
        <f t="shared" si="12"/>
        <v>26027</v>
      </c>
      <c r="K13">
        <f t="shared" si="12"/>
        <v>25244</v>
      </c>
      <c r="L13">
        <f t="shared" si="12"/>
        <v>25997</v>
      </c>
      <c r="M13">
        <f t="shared" si="12"/>
        <v>32152</v>
      </c>
      <c r="N13">
        <f t="shared" si="12"/>
        <v>35546</v>
      </c>
      <c r="O13">
        <f t="shared" si="12"/>
        <v>35430</v>
      </c>
      <c r="P13">
        <f t="shared" si="12"/>
        <v>34279</v>
      </c>
      <c r="Q13">
        <f t="shared" si="12"/>
        <v>49866</v>
      </c>
      <c r="R13">
        <f t="shared" si="12"/>
        <v>41769</v>
      </c>
      <c r="Z13">
        <f>Z6+Z7+Z8+Z9+Z10+Z11+Z12</f>
        <v>108806</v>
      </c>
      <c r="AA13">
        <f>AA6+AA7+AA8+AA9+AA10+AA11+AA12</f>
        <v>93498</v>
      </c>
      <c r="AB13">
        <f>AB6+AB7+AB8+AB9+AB10+AB11+AB12</f>
        <v>109420</v>
      </c>
      <c r="AC13">
        <f>AC6+AC7+AC8+AC9+AC10+AC11+AC12</f>
        <v>155121</v>
      </c>
    </row>
    <row r="15" spans="1:43" x14ac:dyDescent="0.2">
      <c r="A15" t="s">
        <v>9</v>
      </c>
      <c r="B15" s="4">
        <f>886-C15</f>
        <v>623</v>
      </c>
      <c r="C15" s="4">
        <v>263</v>
      </c>
      <c r="D15" s="4">
        <v>341</v>
      </c>
      <c r="E15" s="4">
        <f t="shared" ref="E15:E16" si="13">Z15-D15-C15-B15</f>
        <v>857</v>
      </c>
      <c r="F15" s="4">
        <f>859-G15</f>
        <v>407</v>
      </c>
      <c r="G15" s="4">
        <v>452</v>
      </c>
      <c r="H15" s="4">
        <v>299</v>
      </c>
      <c r="I15" s="4">
        <f t="shared" ref="I15" si="14">AA15-H15-G15-F15</f>
        <v>361</v>
      </c>
      <c r="J15">
        <v>434</v>
      </c>
      <c r="K15">
        <v>542</v>
      </c>
      <c r="L15">
        <v>416</v>
      </c>
      <c r="M15" s="4">
        <f>AB15-L15-K15-J15</f>
        <v>1187</v>
      </c>
      <c r="N15" s="4">
        <v>992</v>
      </c>
      <c r="O15" s="4">
        <v>451</v>
      </c>
      <c r="P15" s="4">
        <v>473</v>
      </c>
      <c r="Q15" s="4">
        <f t="shared" ref="Q15:Q16" si="15">AC15-P15-O15-N15</f>
        <v>487</v>
      </c>
      <c r="R15" s="4">
        <v>697</v>
      </c>
      <c r="Z15">
        <v>2084</v>
      </c>
      <c r="AA15">
        <v>1519</v>
      </c>
      <c r="AB15">
        <v>2579</v>
      </c>
      <c r="AC15">
        <v>2403</v>
      </c>
    </row>
    <row r="16" spans="1:43" x14ac:dyDescent="0.2">
      <c r="A16" t="s">
        <v>10</v>
      </c>
      <c r="B16" s="4">
        <f>61859-C16</f>
        <v>30856</v>
      </c>
      <c r="C16" s="4">
        <v>31003</v>
      </c>
      <c r="D16" s="4">
        <v>27304</v>
      </c>
      <c r="E16" s="4">
        <f t="shared" si="13"/>
        <v>29451</v>
      </c>
      <c r="F16" s="4">
        <v>11258</v>
      </c>
      <c r="I16" s="4"/>
      <c r="J16" s="4">
        <v>378</v>
      </c>
      <c r="K16" s="4">
        <v>-413</v>
      </c>
      <c r="L16" s="4">
        <v>-941</v>
      </c>
      <c r="M16" s="4">
        <f>AB16-L16-K16-J16</f>
        <v>-9</v>
      </c>
      <c r="N16" s="4"/>
      <c r="O16" s="4">
        <v>-750</v>
      </c>
      <c r="P16" s="4">
        <v>-540</v>
      </c>
      <c r="Q16" s="4"/>
      <c r="R16" s="4"/>
      <c r="Z16">
        <v>118614</v>
      </c>
      <c r="AA16">
        <v>11258</v>
      </c>
      <c r="AB16">
        <v>-985</v>
      </c>
      <c r="AC16">
        <v>-1290</v>
      </c>
    </row>
    <row r="17" spans="1:29" x14ac:dyDescent="0.2">
      <c r="A17" t="s">
        <v>11</v>
      </c>
      <c r="B17">
        <f>B16+B15+B13</f>
        <v>57929</v>
      </c>
      <c r="C17">
        <f t="shared" ref="C17:I17" si="16">C16+C15+C13</f>
        <v>57203</v>
      </c>
      <c r="D17">
        <f t="shared" si="16"/>
        <v>55147</v>
      </c>
      <c r="E17">
        <f t="shared" si="16"/>
        <v>59225</v>
      </c>
      <c r="F17">
        <f t="shared" si="16"/>
        <v>20917</v>
      </c>
      <c r="G17">
        <f t="shared" si="16"/>
        <v>20617</v>
      </c>
      <c r="H17">
        <f t="shared" si="16"/>
        <v>34565</v>
      </c>
      <c r="I17">
        <f t="shared" si="16"/>
        <v>30176</v>
      </c>
      <c r="J17">
        <f t="shared" ref="J17:R17" si="17">J13+J16+J15</f>
        <v>26839</v>
      </c>
      <c r="K17">
        <f t="shared" si="17"/>
        <v>25373</v>
      </c>
      <c r="L17">
        <f t="shared" si="17"/>
        <v>25472</v>
      </c>
      <c r="M17">
        <f t="shared" si="17"/>
        <v>33330</v>
      </c>
      <c r="N17">
        <f t="shared" si="17"/>
        <v>36538</v>
      </c>
      <c r="O17">
        <f t="shared" si="17"/>
        <v>35131</v>
      </c>
      <c r="P17">
        <f t="shared" si="17"/>
        <v>34212</v>
      </c>
      <c r="Q17">
        <f t="shared" si="17"/>
        <v>50353</v>
      </c>
      <c r="R17">
        <f t="shared" si="17"/>
        <v>42466</v>
      </c>
      <c r="Z17">
        <f>Z13+Z16+Z15</f>
        <v>229504</v>
      </c>
      <c r="AA17">
        <f>AA13+AA16+AA15</f>
        <v>106275</v>
      </c>
      <c r="AB17">
        <f>AB13+AB16+AB15</f>
        <v>111014</v>
      </c>
      <c r="AC17">
        <f>AC13+AC16+AC15</f>
        <v>156234</v>
      </c>
    </row>
    <row r="19" spans="1:29" x14ac:dyDescent="0.2">
      <c r="A19" s="1" t="s">
        <v>28</v>
      </c>
    </row>
    <row r="20" spans="1:29" x14ac:dyDescent="0.2">
      <c r="A20" t="s">
        <v>12</v>
      </c>
    </row>
    <row r="21" spans="1:29" x14ac:dyDescent="0.2">
      <c r="A21" t="s">
        <v>13</v>
      </c>
      <c r="B21">
        <f>B13</f>
        <v>26450</v>
      </c>
      <c r="C21">
        <f t="shared" ref="C21:I21" si="18">C13</f>
        <v>25937</v>
      </c>
      <c r="D21">
        <f t="shared" si="18"/>
        <v>27502</v>
      </c>
      <c r="E21">
        <f t="shared" si="18"/>
        <v>28917</v>
      </c>
      <c r="F21">
        <f t="shared" si="18"/>
        <v>9252</v>
      </c>
      <c r="G21">
        <f t="shared" si="18"/>
        <v>20165</v>
      </c>
      <c r="H21">
        <f t="shared" si="18"/>
        <v>34266</v>
      </c>
      <c r="I21">
        <f t="shared" si="18"/>
        <v>29815</v>
      </c>
      <c r="J21">
        <f t="shared" ref="J21:R21" si="19">J13</f>
        <v>26027</v>
      </c>
      <c r="K21">
        <f t="shared" si="19"/>
        <v>25244</v>
      </c>
      <c r="L21">
        <f t="shared" si="19"/>
        <v>25997</v>
      </c>
      <c r="M21">
        <f t="shared" si="19"/>
        <v>32152</v>
      </c>
      <c r="N21">
        <f t="shared" si="19"/>
        <v>35546</v>
      </c>
      <c r="O21">
        <f t="shared" si="19"/>
        <v>35430</v>
      </c>
      <c r="P21">
        <f t="shared" si="19"/>
        <v>34279</v>
      </c>
      <c r="Q21">
        <f t="shared" si="19"/>
        <v>49866</v>
      </c>
      <c r="R21">
        <f t="shared" si="19"/>
        <v>41769</v>
      </c>
      <c r="Z21">
        <f>Z13</f>
        <v>108806</v>
      </c>
      <c r="AA21">
        <f>AA13</f>
        <v>93498</v>
      </c>
      <c r="AB21">
        <f>AB13</f>
        <v>109420</v>
      </c>
      <c r="AC21">
        <f>AC13</f>
        <v>155121</v>
      </c>
    </row>
    <row r="22" spans="1:29" x14ac:dyDescent="0.2">
      <c r="A22" t="s">
        <v>14</v>
      </c>
      <c r="B22">
        <f t="shared" ref="B22:I22" si="20">B15</f>
        <v>623</v>
      </c>
      <c r="C22">
        <f t="shared" si="20"/>
        <v>263</v>
      </c>
      <c r="D22">
        <f t="shared" si="20"/>
        <v>341</v>
      </c>
      <c r="E22">
        <f t="shared" si="20"/>
        <v>857</v>
      </c>
      <c r="F22">
        <f t="shared" si="20"/>
        <v>407</v>
      </c>
      <c r="G22">
        <f t="shared" si="20"/>
        <v>452</v>
      </c>
      <c r="H22">
        <f t="shared" si="20"/>
        <v>299</v>
      </c>
      <c r="I22">
        <f t="shared" si="20"/>
        <v>361</v>
      </c>
      <c r="J22">
        <f t="shared" ref="J22:K23" si="21">J15</f>
        <v>434</v>
      </c>
      <c r="K22">
        <f t="shared" si="21"/>
        <v>542</v>
      </c>
      <c r="L22">
        <f t="shared" ref="L22:M22" si="22">L15</f>
        <v>416</v>
      </c>
      <c r="M22">
        <f t="shared" si="22"/>
        <v>1187</v>
      </c>
      <c r="N22">
        <f t="shared" ref="N22:O22" si="23">N15</f>
        <v>992</v>
      </c>
      <c r="O22">
        <f t="shared" si="23"/>
        <v>451</v>
      </c>
      <c r="P22">
        <f t="shared" ref="P22" si="24">P15</f>
        <v>473</v>
      </c>
      <c r="Q22">
        <f t="shared" ref="Q22:R22" si="25">Q15</f>
        <v>487</v>
      </c>
      <c r="R22">
        <f t="shared" si="25"/>
        <v>697</v>
      </c>
      <c r="Z22">
        <f t="shared" ref="Z22:AC23" si="26">Z15</f>
        <v>2084</v>
      </c>
      <c r="AA22">
        <f t="shared" si="26"/>
        <v>1519</v>
      </c>
      <c r="AB22">
        <f t="shared" si="26"/>
        <v>2579</v>
      </c>
      <c r="AC22">
        <f t="shared" si="26"/>
        <v>2403</v>
      </c>
    </row>
    <row r="23" spans="1:29" x14ac:dyDescent="0.2">
      <c r="A23" t="s">
        <v>10</v>
      </c>
      <c r="B23">
        <f t="shared" ref="B23:H23" si="27">B16</f>
        <v>30856</v>
      </c>
      <c r="C23">
        <f t="shared" si="27"/>
        <v>31003</v>
      </c>
      <c r="D23">
        <f t="shared" si="27"/>
        <v>27304</v>
      </c>
      <c r="E23">
        <f t="shared" si="27"/>
        <v>29451</v>
      </c>
      <c r="F23">
        <f>F16</f>
        <v>11258</v>
      </c>
      <c r="G23">
        <f t="shared" si="27"/>
        <v>0</v>
      </c>
      <c r="H23">
        <f t="shared" si="27"/>
        <v>0</v>
      </c>
      <c r="I23">
        <f>I16</f>
        <v>0</v>
      </c>
      <c r="J23">
        <f t="shared" si="21"/>
        <v>378</v>
      </c>
      <c r="K23">
        <f t="shared" si="21"/>
        <v>-413</v>
      </c>
      <c r="L23">
        <f t="shared" ref="L23:Q23" si="28">L16</f>
        <v>-941</v>
      </c>
      <c r="M23">
        <f t="shared" ref="M23" si="29">M16</f>
        <v>-9</v>
      </c>
      <c r="O23">
        <f t="shared" si="28"/>
        <v>-750</v>
      </c>
      <c r="P23">
        <f t="shared" si="28"/>
        <v>-540</v>
      </c>
      <c r="Z23">
        <f t="shared" si="26"/>
        <v>118614</v>
      </c>
      <c r="AA23">
        <f t="shared" si="26"/>
        <v>11258</v>
      </c>
      <c r="AB23">
        <f t="shared" si="26"/>
        <v>-985</v>
      </c>
      <c r="AC23">
        <f t="shared" si="26"/>
        <v>-1290</v>
      </c>
    </row>
    <row r="24" spans="1:29" x14ac:dyDescent="0.2">
      <c r="A24" t="s">
        <v>11</v>
      </c>
      <c r="B24">
        <f>B23+B22+B21</f>
        <v>57929</v>
      </c>
      <c r="C24">
        <f t="shared" ref="C24:I24" si="30">C23+C22+C21</f>
        <v>57203</v>
      </c>
      <c r="D24">
        <f t="shared" si="30"/>
        <v>55147</v>
      </c>
      <c r="E24">
        <f t="shared" si="30"/>
        <v>59225</v>
      </c>
      <c r="F24">
        <f t="shared" si="30"/>
        <v>20917</v>
      </c>
      <c r="G24">
        <f t="shared" si="30"/>
        <v>20617</v>
      </c>
      <c r="H24">
        <f t="shared" si="30"/>
        <v>34565</v>
      </c>
      <c r="I24">
        <f t="shared" si="30"/>
        <v>30176</v>
      </c>
      <c r="J24">
        <f t="shared" ref="J24:R24" si="31">J23+J22+J21</f>
        <v>26839</v>
      </c>
      <c r="K24">
        <f t="shared" si="31"/>
        <v>25373</v>
      </c>
      <c r="L24">
        <f t="shared" si="31"/>
        <v>25472</v>
      </c>
      <c r="M24">
        <f t="shared" si="31"/>
        <v>33330</v>
      </c>
      <c r="N24">
        <f t="shared" si="31"/>
        <v>36538</v>
      </c>
      <c r="O24">
        <f t="shared" si="31"/>
        <v>35131</v>
      </c>
      <c r="P24">
        <f t="shared" si="31"/>
        <v>34212</v>
      </c>
      <c r="Q24">
        <f t="shared" si="31"/>
        <v>50353</v>
      </c>
      <c r="R24">
        <f t="shared" si="31"/>
        <v>42466</v>
      </c>
      <c r="Z24">
        <f>Z23+Z22+Z21</f>
        <v>229504</v>
      </c>
      <c r="AA24">
        <f>AA23+AA22+AA21</f>
        <v>106275</v>
      </c>
      <c r="AB24">
        <f>AB23+AB22+AB21</f>
        <v>111014</v>
      </c>
      <c r="AC24">
        <f>AC23+AC22+AC21</f>
        <v>156234</v>
      </c>
    </row>
    <row r="26" spans="1:29" x14ac:dyDescent="0.2">
      <c r="A26" t="s">
        <v>98</v>
      </c>
      <c r="B26" s="4">
        <f>4699-C26</f>
        <v>2575</v>
      </c>
      <c r="C26" s="4">
        <v>2124</v>
      </c>
      <c r="D26" s="4">
        <v>2243</v>
      </c>
      <c r="E26" s="4">
        <f>Z26-B26-C26-D26</f>
        <v>2563</v>
      </c>
      <c r="F26" s="4">
        <f>6637-G26</f>
        <v>1399</v>
      </c>
      <c r="G26" s="4">
        <v>5238</v>
      </c>
      <c r="H26" s="4">
        <v>6462</v>
      </c>
      <c r="I26" s="4">
        <f t="shared" ref="I26" si="32">AA26-H26-G26-F26</f>
        <v>6773</v>
      </c>
      <c r="J26" s="4">
        <v>3966</v>
      </c>
      <c r="K26" s="4">
        <v>3921</v>
      </c>
      <c r="L26" s="4">
        <v>3050</v>
      </c>
      <c r="M26" s="4"/>
      <c r="N26" s="4">
        <v>4195</v>
      </c>
      <c r="O26" s="4">
        <v>4528</v>
      </c>
      <c r="P26" s="4">
        <v>4009</v>
      </c>
      <c r="Q26" s="4">
        <f t="shared" ref="Q26" si="33">AC26-P26-O26-N26</f>
        <v>6016</v>
      </c>
      <c r="R26" s="4">
        <v>5467</v>
      </c>
      <c r="Z26">
        <v>9505</v>
      </c>
      <c r="AA26">
        <v>19872</v>
      </c>
      <c r="AB26">
        <v>15832</v>
      </c>
      <c r="AC26">
        <v>18748</v>
      </c>
    </row>
    <row r="27" spans="1:29" x14ac:dyDescent="0.2">
      <c r="A27" t="s">
        <v>29</v>
      </c>
      <c r="B27">
        <f>B24-B26</f>
        <v>55354</v>
      </c>
      <c r="C27">
        <f>C24-C26</f>
        <v>55079</v>
      </c>
      <c r="D27">
        <f t="shared" ref="D27:E27" si="34">D24-D26</f>
        <v>52904</v>
      </c>
      <c r="E27">
        <f t="shared" si="34"/>
        <v>56662</v>
      </c>
      <c r="F27">
        <f>F24-F26</f>
        <v>19518</v>
      </c>
      <c r="G27">
        <f>G24-G26</f>
        <v>15379</v>
      </c>
      <c r="H27">
        <f>H24-H26</f>
        <v>28103</v>
      </c>
      <c r="I27">
        <f>I24-I26</f>
        <v>23403</v>
      </c>
      <c r="J27">
        <f>J24-J26</f>
        <v>22873</v>
      </c>
      <c r="K27">
        <f t="shared" ref="K27:L27" si="35">K24-K26</f>
        <v>21452</v>
      </c>
      <c r="L27">
        <f t="shared" si="35"/>
        <v>22422</v>
      </c>
      <c r="N27">
        <f>N24-N26</f>
        <v>32343</v>
      </c>
      <c r="O27">
        <f t="shared" ref="O27:Q27" si="36">O24-O26</f>
        <v>30603</v>
      </c>
      <c r="P27">
        <f t="shared" si="36"/>
        <v>30203</v>
      </c>
      <c r="Q27">
        <f t="shared" si="36"/>
        <v>44337</v>
      </c>
      <c r="R27">
        <f>R24-R26</f>
        <v>36999</v>
      </c>
      <c r="Z27">
        <f>Z24-Z26</f>
        <v>219999</v>
      </c>
      <c r="AA27">
        <f>AA24-AA26</f>
        <v>86403</v>
      </c>
      <c r="AB27">
        <f>AB24-AB26</f>
        <v>95182</v>
      </c>
      <c r="AC27">
        <f>AC24-AC26</f>
        <v>137486</v>
      </c>
    </row>
    <row r="28" spans="1:29" x14ac:dyDescent="0.2">
      <c r="A28" t="s">
        <v>97</v>
      </c>
      <c r="B28" s="4">
        <f>3056-C28</f>
        <v>1793</v>
      </c>
      <c r="C28" s="4">
        <v>1263</v>
      </c>
      <c r="D28" s="4">
        <v>1476</v>
      </c>
      <c r="E28" s="4">
        <f>Z28-B28-C28-D28</f>
        <v>5574</v>
      </c>
      <c r="F28" s="4">
        <f>2667-G28</f>
        <v>1041</v>
      </c>
      <c r="G28" s="4">
        <v>1626</v>
      </c>
      <c r="H28" s="4">
        <v>1316</v>
      </c>
      <c r="I28" s="4">
        <f t="shared" ref="I28:I33" si="37">AA28-H28-G28-F28</f>
        <v>230</v>
      </c>
      <c r="Z28">
        <v>10106</v>
      </c>
      <c r="AA28">
        <v>4213</v>
      </c>
    </row>
    <row r="29" spans="1:29" x14ac:dyDescent="0.2">
      <c r="A29" t="s">
        <v>15</v>
      </c>
      <c r="B29" s="4">
        <f>49800-C29</f>
        <v>25045</v>
      </c>
      <c r="C29" s="4">
        <v>24755</v>
      </c>
      <c r="D29" s="4">
        <v>36117</v>
      </c>
      <c r="E29" s="4">
        <f>Z29-B29-C29-D29</f>
        <v>22949</v>
      </c>
      <c r="F29" s="4">
        <f>55445-G29</f>
        <v>27314</v>
      </c>
      <c r="G29" s="4">
        <v>28131</v>
      </c>
      <c r="H29" s="4">
        <v>25746</v>
      </c>
      <c r="I29" s="4">
        <f t="shared" si="37"/>
        <v>23133</v>
      </c>
      <c r="J29" s="4">
        <v>8324</v>
      </c>
      <c r="K29" s="4">
        <v>24040</v>
      </c>
      <c r="L29" s="4">
        <v>9013</v>
      </c>
      <c r="M29" s="4"/>
      <c r="N29" s="4">
        <v>10638</v>
      </c>
      <c r="O29" s="4">
        <v>10543</v>
      </c>
      <c r="P29" s="4">
        <v>11900</v>
      </c>
      <c r="Q29" s="4">
        <f t="shared" ref="Q29:Q32" si="38">AC29-P29-O29-N29</f>
        <v>13705</v>
      </c>
      <c r="R29" s="4">
        <v>16904</v>
      </c>
      <c r="Z29">
        <v>108866</v>
      </c>
      <c r="AA29">
        <v>104324</v>
      </c>
      <c r="AB29">
        <v>52641</v>
      </c>
      <c r="AC29">
        <v>46786</v>
      </c>
    </row>
    <row r="30" spans="1:29" x14ac:dyDescent="0.2">
      <c r="A30" t="s">
        <v>99</v>
      </c>
      <c r="B30" s="4"/>
      <c r="C30" s="4"/>
      <c r="D30" s="4"/>
      <c r="E30" s="4">
        <f>Z30-B30-C30-D30</f>
        <v>189790</v>
      </c>
      <c r="F30" s="4"/>
      <c r="G30" s="4"/>
      <c r="H30" s="4"/>
      <c r="I30" s="4">
        <f t="shared" si="37"/>
        <v>17432</v>
      </c>
      <c r="Q30" s="4"/>
      <c r="Z30">
        <v>189790</v>
      </c>
      <c r="AA30">
        <v>17432</v>
      </c>
    </row>
    <row r="31" spans="1:29" x14ac:dyDescent="0.2">
      <c r="A31" t="s">
        <v>16</v>
      </c>
      <c r="B31" s="4"/>
      <c r="C31" s="4"/>
      <c r="D31" s="4"/>
      <c r="E31" s="4"/>
      <c r="F31" s="4"/>
      <c r="G31" s="4"/>
      <c r="H31" s="4"/>
      <c r="I31" s="4"/>
      <c r="J31" s="4">
        <v>-594</v>
      </c>
      <c r="K31" s="4">
        <v>2195</v>
      </c>
      <c r="L31" s="4">
        <v>300</v>
      </c>
      <c r="M31" s="4"/>
      <c r="N31" s="4">
        <v>1645</v>
      </c>
      <c r="O31" s="4">
        <v>1300</v>
      </c>
      <c r="P31" s="4">
        <v>3900</v>
      </c>
      <c r="Q31" s="4">
        <f t="shared" si="38"/>
        <v>11842</v>
      </c>
      <c r="R31" s="4">
        <v>9167</v>
      </c>
      <c r="AB31">
        <v>3914</v>
      </c>
      <c r="AC31">
        <v>18687</v>
      </c>
    </row>
    <row r="32" spans="1:29" x14ac:dyDescent="0.2">
      <c r="A32" t="s">
        <v>17</v>
      </c>
      <c r="B32" s="4">
        <f>50887-C32</f>
        <v>25444</v>
      </c>
      <c r="C32" s="4">
        <v>25443</v>
      </c>
      <c r="D32" s="4">
        <v>25444</v>
      </c>
      <c r="E32" s="4">
        <f>Z32-B32-C32-D32</f>
        <v>25443</v>
      </c>
      <c r="F32" s="4">
        <f>12650-G32</f>
        <v>7795</v>
      </c>
      <c r="G32" s="4">
        <v>4855</v>
      </c>
      <c r="H32" s="4">
        <v>5587</v>
      </c>
      <c r="I32" s="4">
        <f t="shared" si="37"/>
        <v>6546</v>
      </c>
      <c r="J32" s="4">
        <v>6547</v>
      </c>
      <c r="K32" s="4">
        <v>7218</v>
      </c>
      <c r="L32" s="4">
        <v>7175</v>
      </c>
      <c r="M32" s="4"/>
      <c r="N32" s="4">
        <v>8501</v>
      </c>
      <c r="O32" s="4">
        <v>7969</v>
      </c>
      <c r="P32" s="4">
        <v>7969</v>
      </c>
      <c r="Q32" s="4">
        <f t="shared" si="38"/>
        <v>8169</v>
      </c>
      <c r="R32" s="4">
        <v>6284</v>
      </c>
      <c r="Z32">
        <v>101774</v>
      </c>
      <c r="AA32">
        <v>24783</v>
      </c>
      <c r="AB32">
        <v>28114</v>
      </c>
      <c r="AC32">
        <v>32608</v>
      </c>
    </row>
    <row r="33" spans="1:29" x14ac:dyDescent="0.2">
      <c r="A33" t="s">
        <v>18</v>
      </c>
      <c r="B33" s="4"/>
      <c r="C33" s="4"/>
      <c r="D33" s="4"/>
      <c r="E33" s="4">
        <f>Z33-B33-C33-D33</f>
        <v>3891</v>
      </c>
      <c r="F33" s="4"/>
      <c r="G33" s="4">
        <v>6519</v>
      </c>
      <c r="H33" s="4">
        <v>268</v>
      </c>
      <c r="I33" s="4">
        <f t="shared" si="37"/>
        <v>11019</v>
      </c>
      <c r="J33" s="4">
        <v>1089</v>
      </c>
      <c r="K33" s="4"/>
      <c r="L33" s="4"/>
      <c r="M33" s="4"/>
      <c r="N33" s="4"/>
      <c r="O33" s="4"/>
      <c r="P33" s="4"/>
      <c r="Q33" s="4"/>
      <c r="Z33">
        <v>3891</v>
      </c>
      <c r="AA33">
        <v>17806</v>
      </c>
      <c r="AB33">
        <v>1089</v>
      </c>
    </row>
    <row r="34" spans="1:29" x14ac:dyDescent="0.2">
      <c r="A34" s="1" t="s">
        <v>30</v>
      </c>
      <c r="B34">
        <f>B27-B29-B31-B32-B33-B30-B28</f>
        <v>3072</v>
      </c>
      <c r="C34">
        <f>C27-C29-C31-C32-C33-C30-C28</f>
        <v>3618</v>
      </c>
      <c r="D34">
        <f t="shared" ref="D34" si="39">D27-D29-D31-D32-D33-D30-D28</f>
        <v>-10133</v>
      </c>
      <c r="E34">
        <f>E27-E29-E31-E32-E33-E30-E28</f>
        <v>-190985</v>
      </c>
      <c r="F34">
        <f>F27-F29-F31-F32-F33-F30-F28</f>
        <v>-16632</v>
      </c>
      <c r="G34">
        <f>G27-G29-G31-G32-G33-G30-G28</f>
        <v>-25752</v>
      </c>
      <c r="H34">
        <f>H27-H29-H31-H32-H33-H30-H28</f>
        <v>-4814</v>
      </c>
      <c r="I34">
        <f>I27-I29-I31-I32-I33-I30-I28</f>
        <v>-34957</v>
      </c>
      <c r="J34">
        <f>J27-J29-J31-J32-J33-J30-J28</f>
        <v>7507</v>
      </c>
      <c r="K34">
        <f t="shared" ref="K34:M34" si="40">K27-K29-K31-K32-K33-K30-K28</f>
        <v>-12001</v>
      </c>
      <c r="L34">
        <f t="shared" si="40"/>
        <v>5934</v>
      </c>
      <c r="M34">
        <f t="shared" si="40"/>
        <v>0</v>
      </c>
      <c r="N34">
        <f>N27-N29-N31-N32-N33-N30-N28</f>
        <v>11559</v>
      </c>
      <c r="O34">
        <f>O27-O29-O31-O32-O33-O30-O28</f>
        <v>10791</v>
      </c>
      <c r="P34">
        <f>P27-P29-P31-P32-P33-P30-P28</f>
        <v>6434</v>
      </c>
      <c r="Q34">
        <f>Q27-Q29-Q31-Q32-Q33-Q30-Q28</f>
        <v>10621</v>
      </c>
      <c r="R34">
        <f>R27-R29-R31-R32-R33-R30-R28</f>
        <v>4644</v>
      </c>
      <c r="Z34">
        <f>Z27-Z29-Z31-Z32-Z33-Z30-Z28</f>
        <v>-194428</v>
      </c>
      <c r="AA34">
        <f>AA27-AA29-AA31-AA32-AA33-AA30-AA28</f>
        <v>-82155</v>
      </c>
      <c r="AB34">
        <f t="shared" ref="AB34:AC34" si="41">AB27-AB29-AB31-AB32-AB33-AB30-AB28</f>
        <v>9424</v>
      </c>
      <c r="AC34">
        <f t="shared" si="41"/>
        <v>39405</v>
      </c>
    </row>
    <row r="36" spans="1:29" x14ac:dyDescent="0.2">
      <c r="A36" s="1" t="s">
        <v>19</v>
      </c>
    </row>
    <row r="37" spans="1:29" x14ac:dyDescent="0.2">
      <c r="A37" t="s">
        <v>100</v>
      </c>
      <c r="AA37">
        <v>126655</v>
      </c>
    </row>
    <row r="38" spans="1:29" x14ac:dyDescent="0.2">
      <c r="A38" t="s">
        <v>101</v>
      </c>
      <c r="Z38">
        <v>26385</v>
      </c>
      <c r="AA38">
        <v>-56113</v>
      </c>
    </row>
    <row r="39" spans="1:29" x14ac:dyDescent="0.2">
      <c r="A39" t="s">
        <v>102</v>
      </c>
      <c r="AA39">
        <v>-14749</v>
      </c>
    </row>
    <row r="40" spans="1:29" x14ac:dyDescent="0.2">
      <c r="A40" t="s">
        <v>20</v>
      </c>
      <c r="J40" s="4">
        <v>-2684</v>
      </c>
      <c r="K40">
        <v>-2605</v>
      </c>
      <c r="N40">
        <v>-2327</v>
      </c>
      <c r="O40">
        <v>-2269</v>
      </c>
      <c r="R40" s="4">
        <v>-1122</v>
      </c>
      <c r="Z40">
        <v>-58389</v>
      </c>
      <c r="AA40">
        <v>-15926</v>
      </c>
      <c r="AB40">
        <v>-10220</v>
      </c>
      <c r="AC40">
        <v>-7961</v>
      </c>
    </row>
    <row r="41" spans="1:29" x14ac:dyDescent="0.2">
      <c r="A41" t="s">
        <v>21</v>
      </c>
      <c r="J41" s="4">
        <v>269</v>
      </c>
      <c r="K41">
        <v>137</v>
      </c>
      <c r="N41">
        <v>545</v>
      </c>
      <c r="O41">
        <v>-95</v>
      </c>
      <c r="R41" s="4">
        <f>802+-9918</f>
        <v>-9116</v>
      </c>
      <c r="Z41">
        <v>3948</v>
      </c>
      <c r="AA41">
        <v>-3225</v>
      </c>
      <c r="AB41">
        <v>243</v>
      </c>
      <c r="AC41">
        <v>-278</v>
      </c>
    </row>
    <row r="42" spans="1:29" x14ac:dyDescent="0.2">
      <c r="A42" t="s">
        <v>22</v>
      </c>
      <c r="B42">
        <f>B41+B40</f>
        <v>0</v>
      </c>
      <c r="C42">
        <f t="shared" ref="C42:I42" si="42">C41+C40</f>
        <v>0</v>
      </c>
      <c r="D42">
        <f t="shared" si="42"/>
        <v>0</v>
      </c>
      <c r="E42">
        <f t="shared" si="42"/>
        <v>0</v>
      </c>
      <c r="F42">
        <f t="shared" si="42"/>
        <v>0</v>
      </c>
      <c r="G42">
        <f t="shared" si="42"/>
        <v>0</v>
      </c>
      <c r="H42">
        <f t="shared" si="42"/>
        <v>0</v>
      </c>
      <c r="I42">
        <f t="shared" si="42"/>
        <v>0</v>
      </c>
      <c r="J42">
        <f>J41+J40</f>
        <v>-2415</v>
      </c>
      <c r="K42">
        <f t="shared" ref="K42:L42" si="43">K41+K40</f>
        <v>-2468</v>
      </c>
      <c r="L42">
        <f t="shared" si="43"/>
        <v>0</v>
      </c>
      <c r="N42">
        <f>N41+N40</f>
        <v>-1782</v>
      </c>
      <c r="O42">
        <f t="shared" ref="O42:R42" si="44">O41+O40</f>
        <v>-2364</v>
      </c>
      <c r="P42">
        <f t="shared" si="44"/>
        <v>0</v>
      </c>
      <c r="R42">
        <f t="shared" si="44"/>
        <v>-10238</v>
      </c>
      <c r="Z42">
        <f>Z41+Z40</f>
        <v>-54441</v>
      </c>
      <c r="AA42">
        <f>AA41+AA40</f>
        <v>-19151</v>
      </c>
      <c r="AB42">
        <f>AB41+AB40</f>
        <v>-9977</v>
      </c>
      <c r="AC42">
        <f>AC41+AC40</f>
        <v>-8239</v>
      </c>
    </row>
    <row r="43" spans="1:29" x14ac:dyDescent="0.2">
      <c r="A43" s="1" t="s">
        <v>23</v>
      </c>
      <c r="B43">
        <f>B34+B42</f>
        <v>3072</v>
      </c>
      <c r="C43">
        <f t="shared" ref="C43:I43" si="45">C34+C42</f>
        <v>3618</v>
      </c>
      <c r="D43">
        <f t="shared" si="45"/>
        <v>-10133</v>
      </c>
      <c r="E43">
        <f t="shared" si="45"/>
        <v>-190985</v>
      </c>
      <c r="F43">
        <f t="shared" si="45"/>
        <v>-16632</v>
      </c>
      <c r="G43">
        <f t="shared" si="45"/>
        <v>-25752</v>
      </c>
      <c r="H43">
        <f t="shared" si="45"/>
        <v>-4814</v>
      </c>
      <c r="I43">
        <f t="shared" si="45"/>
        <v>-34957</v>
      </c>
      <c r="J43">
        <f>J34+J42</f>
        <v>5092</v>
      </c>
      <c r="K43">
        <f t="shared" ref="K43:L43" si="46">K34+K42</f>
        <v>-14469</v>
      </c>
      <c r="L43">
        <f t="shared" si="46"/>
        <v>5934</v>
      </c>
      <c r="N43">
        <f>N34+N42</f>
        <v>9777</v>
      </c>
      <c r="O43">
        <f t="shared" ref="O43:R43" si="47">O34+O42</f>
        <v>8427</v>
      </c>
      <c r="P43">
        <f t="shared" si="47"/>
        <v>6434</v>
      </c>
      <c r="Q43">
        <f t="shared" si="47"/>
        <v>10621</v>
      </c>
      <c r="R43">
        <f t="shared" si="47"/>
        <v>-5594</v>
      </c>
      <c r="Z43">
        <f>Z34+Z42</f>
        <v>-248869</v>
      </c>
      <c r="AA43">
        <f>AA34+AA42</f>
        <v>-101306</v>
      </c>
      <c r="AB43">
        <f>AB34+AB42</f>
        <v>-553</v>
      </c>
      <c r="AC43">
        <f>AC34+AC42</f>
        <v>31166</v>
      </c>
    </row>
    <row r="44" spans="1:29" x14ac:dyDescent="0.2">
      <c r="A44" s="1"/>
    </row>
    <row r="45" spans="1:29" x14ac:dyDescent="0.2">
      <c r="A45" t="s">
        <v>24</v>
      </c>
      <c r="J45">
        <v>-548</v>
      </c>
      <c r="N45">
        <v>-713</v>
      </c>
      <c r="R45" s="4">
        <v>2110</v>
      </c>
      <c r="Z45">
        <v>5283</v>
      </c>
      <c r="AA45">
        <v>17369</v>
      </c>
      <c r="AB45">
        <v>-728</v>
      </c>
      <c r="AC45">
        <v>78459</v>
      </c>
    </row>
    <row r="46" spans="1:29" x14ac:dyDescent="0.2">
      <c r="A46" s="1" t="s">
        <v>25</v>
      </c>
      <c r="B46">
        <f>B43+B45</f>
        <v>3072</v>
      </c>
      <c r="C46">
        <f t="shared" ref="C46:I46" si="48">C43+C45</f>
        <v>3618</v>
      </c>
      <c r="D46">
        <f t="shared" si="48"/>
        <v>-10133</v>
      </c>
      <c r="E46">
        <f t="shared" si="48"/>
        <v>-190985</v>
      </c>
      <c r="F46">
        <f t="shared" si="48"/>
        <v>-16632</v>
      </c>
      <c r="G46">
        <f t="shared" si="48"/>
        <v>-25752</v>
      </c>
      <c r="H46">
        <f t="shared" si="48"/>
        <v>-4814</v>
      </c>
      <c r="I46">
        <f t="shared" si="48"/>
        <v>-34957</v>
      </c>
      <c r="J46">
        <f>J43+J45</f>
        <v>4544</v>
      </c>
      <c r="K46">
        <f t="shared" ref="K46:M46" si="49">K43+K45</f>
        <v>-14469</v>
      </c>
      <c r="L46">
        <f t="shared" si="49"/>
        <v>5934</v>
      </c>
      <c r="M46">
        <f t="shared" si="49"/>
        <v>0</v>
      </c>
      <c r="N46">
        <f>N43+N45</f>
        <v>9064</v>
      </c>
      <c r="O46">
        <f t="shared" ref="O46:Q46" si="50">O43+O45</f>
        <v>8427</v>
      </c>
      <c r="P46">
        <f t="shared" si="50"/>
        <v>6434</v>
      </c>
      <c r="Q46">
        <f t="shared" si="50"/>
        <v>10621</v>
      </c>
      <c r="R46">
        <f>R43+R45</f>
        <v>-3484</v>
      </c>
      <c r="Z46">
        <f>Z43+Z45</f>
        <v>-243586</v>
      </c>
      <c r="AA46">
        <f>AA43+AA45</f>
        <v>-83937</v>
      </c>
      <c r="AB46">
        <f>AB43+AB45</f>
        <v>-1281</v>
      </c>
      <c r="AC46">
        <f>AC43+AC45</f>
        <v>109625</v>
      </c>
    </row>
    <row r="48" spans="1:29" x14ac:dyDescent="0.2">
      <c r="A48" t="s">
        <v>31</v>
      </c>
      <c r="J48" s="2">
        <f>J46/J50</f>
        <v>0.10052207769223963</v>
      </c>
      <c r="N48" s="2">
        <f>N46/N50</f>
        <v>0.23963620981387479</v>
      </c>
      <c r="R48" s="2">
        <f>R46/R50</f>
        <v>-6.8307028722674246E-2</v>
      </c>
      <c r="Z48" s="2">
        <f>Z46/Z50</f>
        <v>-3.4445670003959501</v>
      </c>
      <c r="AA48" s="2">
        <f>AA46/AA50</f>
        <v>-0.80065817713549869</v>
      </c>
      <c r="AB48" s="2">
        <f>AB46/AB50</f>
        <v>-2.9674071671801524E-2</v>
      </c>
      <c r="AC48" s="2">
        <f>AC46/AC50</f>
        <v>2.332248319291975</v>
      </c>
    </row>
    <row r="49" spans="1:29" x14ac:dyDescent="0.2">
      <c r="A49" t="s">
        <v>32</v>
      </c>
      <c r="J49" s="2">
        <f>J46/J51</f>
        <v>9.8510633685260265E-2</v>
      </c>
      <c r="N49" s="2">
        <f>N46/N51</f>
        <v>0.23555093555093556</v>
      </c>
      <c r="R49" s="2">
        <f>R46/R51</f>
        <v>-6.8307028722674246E-2</v>
      </c>
      <c r="Z49" s="2">
        <f>Z46/Z51</f>
        <v>-3.4445670003959501</v>
      </c>
      <c r="AA49" s="2">
        <f>AA46/AA51</f>
        <v>-0.80065817713549869</v>
      </c>
      <c r="AB49" s="2">
        <f>AB46/AB51</f>
        <v>-2.9674071671801524E-2</v>
      </c>
      <c r="AC49" s="2">
        <f>AC46/AC51</f>
        <v>2.0052497759241983</v>
      </c>
    </row>
    <row r="50" spans="1:29" x14ac:dyDescent="0.2">
      <c r="A50" t="s">
        <v>26</v>
      </c>
      <c r="J50">
        <v>45204</v>
      </c>
      <c r="N50">
        <v>37824</v>
      </c>
      <c r="R50">
        <v>51005</v>
      </c>
      <c r="Z50">
        <v>70716</v>
      </c>
      <c r="AA50">
        <v>104835</v>
      </c>
      <c r="AB50">
        <v>43169</v>
      </c>
      <c r="AC50">
        <v>47004</v>
      </c>
    </row>
    <row r="51" spans="1:29" x14ac:dyDescent="0.2">
      <c r="A51" t="s">
        <v>27</v>
      </c>
      <c r="J51">
        <v>46127</v>
      </c>
      <c r="N51">
        <v>38480</v>
      </c>
      <c r="R51">
        <v>51005</v>
      </c>
      <c r="Z51">
        <v>70716</v>
      </c>
      <c r="AA51">
        <v>104835</v>
      </c>
      <c r="AB51">
        <v>43169</v>
      </c>
      <c r="AC51">
        <v>54669</v>
      </c>
    </row>
    <row r="55" spans="1:29" x14ac:dyDescent="0.2">
      <c r="A55" s="1" t="s">
        <v>62</v>
      </c>
    </row>
    <row r="57" spans="1:29" x14ac:dyDescent="0.2">
      <c r="A57" s="1" t="s">
        <v>33</v>
      </c>
    </row>
    <row r="58" spans="1:29" x14ac:dyDescent="0.2">
      <c r="A58" t="s">
        <v>34</v>
      </c>
      <c r="J58">
        <v>36810</v>
      </c>
      <c r="L58">
        <v>36810</v>
      </c>
      <c r="N58">
        <v>61389</v>
      </c>
      <c r="R58">
        <v>68603</v>
      </c>
      <c r="AB58">
        <v>36810</v>
      </c>
      <c r="AC58">
        <v>64941</v>
      </c>
    </row>
    <row r="59" spans="1:29" x14ac:dyDescent="0.2">
      <c r="A59" t="s">
        <v>35</v>
      </c>
      <c r="J59">
        <v>44361</v>
      </c>
      <c r="L59">
        <v>44361</v>
      </c>
      <c r="N59">
        <v>48923</v>
      </c>
      <c r="R59">
        <v>46466</v>
      </c>
      <c r="AB59">
        <v>44361</v>
      </c>
      <c r="AC59">
        <v>45357</v>
      </c>
    </row>
    <row r="60" spans="1:29" x14ac:dyDescent="0.2">
      <c r="A60" t="s">
        <v>36</v>
      </c>
      <c r="J60">
        <v>7489</v>
      </c>
      <c r="L60">
        <v>7489</v>
      </c>
      <c r="N60">
        <v>9480</v>
      </c>
      <c r="R60">
        <v>16226</v>
      </c>
      <c r="AB60">
        <v>7489</v>
      </c>
      <c r="AC60">
        <v>13696</v>
      </c>
    </row>
    <row r="61" spans="1:29" x14ac:dyDescent="0.2">
      <c r="A61" t="s">
        <v>37</v>
      </c>
      <c r="J61">
        <v>14838</v>
      </c>
      <c r="L61">
        <v>14838</v>
      </c>
      <c r="N61">
        <v>5323</v>
      </c>
      <c r="R61">
        <v>6554</v>
      </c>
      <c r="AB61">
        <v>14838</v>
      </c>
      <c r="AC61">
        <v>8268</v>
      </c>
    </row>
    <row r="62" spans="1:29" x14ac:dyDescent="0.2">
      <c r="A62" t="s">
        <v>38</v>
      </c>
      <c r="J62">
        <f>J58+J59+J60+J61</f>
        <v>103498</v>
      </c>
      <c r="L62">
        <f>L58+L59+L60+L61</f>
        <v>103498</v>
      </c>
      <c r="N62">
        <f>N58+N59+N60+N61</f>
        <v>125115</v>
      </c>
      <c r="R62">
        <f>R58+R59+R60+R61</f>
        <v>137849</v>
      </c>
      <c r="AB62">
        <f>AB58+AB59+AB60+AB61</f>
        <v>103498</v>
      </c>
      <c r="AC62">
        <f>AC58+AC59+AC60+AC61</f>
        <v>132262</v>
      </c>
    </row>
    <row r="64" spans="1:29" x14ac:dyDescent="0.2">
      <c r="A64" t="s">
        <v>39</v>
      </c>
      <c r="J64">
        <v>1527</v>
      </c>
      <c r="L64">
        <v>1527</v>
      </c>
      <c r="N64">
        <v>1329</v>
      </c>
      <c r="R64">
        <v>544</v>
      </c>
      <c r="AB64">
        <v>1527</v>
      </c>
      <c r="AC64">
        <v>744</v>
      </c>
    </row>
    <row r="65" spans="1:29" x14ac:dyDescent="0.2">
      <c r="A65" t="s">
        <v>40</v>
      </c>
      <c r="J65">
        <v>216054</v>
      </c>
      <c r="L65">
        <v>216054</v>
      </c>
      <c r="N65">
        <v>207554</v>
      </c>
      <c r="R65">
        <v>191712</v>
      </c>
      <c r="AB65">
        <v>216054</v>
      </c>
      <c r="AC65">
        <v>197996</v>
      </c>
    </row>
    <row r="66" spans="1:29" x14ac:dyDescent="0.2">
      <c r="A66" t="s">
        <v>41</v>
      </c>
      <c r="R66">
        <v>81569</v>
      </c>
      <c r="AC66">
        <v>80202</v>
      </c>
    </row>
    <row r="67" spans="1:29" x14ac:dyDescent="0.2">
      <c r="A67" t="s">
        <v>42</v>
      </c>
      <c r="J67">
        <v>5468</v>
      </c>
      <c r="L67">
        <v>5468</v>
      </c>
      <c r="N67">
        <v>5137</v>
      </c>
      <c r="R67">
        <v>2600</v>
      </c>
      <c r="AB67">
        <v>5468</v>
      </c>
      <c r="AC67">
        <v>2709</v>
      </c>
    </row>
    <row r="68" spans="1:29" x14ac:dyDescent="0.2">
      <c r="A68" s="1" t="s">
        <v>43</v>
      </c>
      <c r="J68">
        <f>J62+J64+J65+J66+J67</f>
        <v>326547</v>
      </c>
      <c r="L68">
        <f>L62+L64+L65+L66+L67</f>
        <v>326547</v>
      </c>
      <c r="N68">
        <f>N62+N64+N65+N66+N67</f>
        <v>339135</v>
      </c>
      <c r="R68">
        <f>R62+R64+R65+R66+R67</f>
        <v>414274</v>
      </c>
      <c r="AB68">
        <f>AB62+AB64+AB65+AB66+AB67</f>
        <v>326547</v>
      </c>
      <c r="AC68">
        <f>AC62+AC64+AC65+AC66+AC67</f>
        <v>413913</v>
      </c>
    </row>
    <row r="70" spans="1:29" x14ac:dyDescent="0.2">
      <c r="A70" s="1" t="s">
        <v>44</v>
      </c>
    </row>
    <row r="71" spans="1:29" x14ac:dyDescent="0.2">
      <c r="A71" t="s">
        <v>45</v>
      </c>
      <c r="L71">
        <v>6685</v>
      </c>
      <c r="N71">
        <v>8523</v>
      </c>
      <c r="R71">
        <v>6173</v>
      </c>
      <c r="AB71">
        <v>6685</v>
      </c>
      <c r="AC71">
        <v>5991</v>
      </c>
    </row>
    <row r="72" spans="1:29" x14ac:dyDescent="0.2">
      <c r="A72" t="s">
        <v>46</v>
      </c>
      <c r="L72">
        <v>52662</v>
      </c>
      <c r="N72">
        <v>55588</v>
      </c>
      <c r="R72">
        <v>52313</v>
      </c>
      <c r="AB72">
        <v>52662</v>
      </c>
      <c r="AC72">
        <v>49426</v>
      </c>
    </row>
    <row r="73" spans="1:29" x14ac:dyDescent="0.2">
      <c r="A73" t="s">
        <v>47</v>
      </c>
      <c r="L73">
        <v>14699</v>
      </c>
      <c r="N73">
        <v>15386</v>
      </c>
      <c r="R73">
        <v>10799</v>
      </c>
      <c r="AB73">
        <v>14699</v>
      </c>
      <c r="AC73">
        <v>12181</v>
      </c>
    </row>
    <row r="74" spans="1:29" x14ac:dyDescent="0.2">
      <c r="A74" t="s">
        <v>48</v>
      </c>
      <c r="L74">
        <v>12174</v>
      </c>
      <c r="N74">
        <v>12271</v>
      </c>
      <c r="R74">
        <v>470</v>
      </c>
      <c r="AB74">
        <v>12174</v>
      </c>
      <c r="AC74">
        <v>470</v>
      </c>
    </row>
    <row r="75" spans="1:29" x14ac:dyDescent="0.2">
      <c r="A75" t="s">
        <v>49</v>
      </c>
      <c r="L75">
        <v>14500</v>
      </c>
      <c r="N75">
        <v>14600</v>
      </c>
      <c r="R75">
        <v>24458</v>
      </c>
      <c r="AB75">
        <v>14500</v>
      </c>
      <c r="AC75">
        <v>26300</v>
      </c>
    </row>
    <row r="76" spans="1:29" x14ac:dyDescent="0.2">
      <c r="A76" t="s">
        <v>50</v>
      </c>
      <c r="L76">
        <v>34299</v>
      </c>
      <c r="N76">
        <v>32159</v>
      </c>
      <c r="R76">
        <v>332</v>
      </c>
      <c r="AB76">
        <v>34299</v>
      </c>
      <c r="AC76">
        <v>948</v>
      </c>
    </row>
    <row r="77" spans="1:29" x14ac:dyDescent="0.2">
      <c r="A77" t="s">
        <v>51</v>
      </c>
      <c r="L77">
        <f>L71+L72+L73+L74+L75+L76</f>
        <v>135019</v>
      </c>
      <c r="N77">
        <f>N71+N72+N73+N74+N75+N76</f>
        <v>138527</v>
      </c>
      <c r="R77">
        <f>R71+R72+R73+R74+R75+R76</f>
        <v>94545</v>
      </c>
      <c r="AB77">
        <f>AB71+AB72+AB73+AB74+AB75+AB76</f>
        <v>135019</v>
      </c>
      <c r="AC77">
        <f>AC71+AC72+AC73+AC74+AC75+AC76</f>
        <v>95316</v>
      </c>
    </row>
    <row r="79" spans="1:29" x14ac:dyDescent="0.2">
      <c r="A79" t="s">
        <v>52</v>
      </c>
      <c r="L79">
        <v>61319</v>
      </c>
      <c r="N79">
        <v>61250</v>
      </c>
      <c r="R79">
        <v>38151</v>
      </c>
      <c r="AB79">
        <v>61319</v>
      </c>
      <c r="AC79">
        <v>66403</v>
      </c>
    </row>
    <row r="80" spans="1:29" x14ac:dyDescent="0.2">
      <c r="A80" t="s">
        <v>53</v>
      </c>
      <c r="L80">
        <v>23159</v>
      </c>
      <c r="N80">
        <v>22859</v>
      </c>
      <c r="R80">
        <v>26600</v>
      </c>
      <c r="AB80">
        <v>23159</v>
      </c>
      <c r="AC80">
        <v>22200</v>
      </c>
    </row>
    <row r="81" spans="1:29" x14ac:dyDescent="0.2">
      <c r="A81" t="s">
        <v>54</v>
      </c>
      <c r="L81">
        <v>4636</v>
      </c>
      <c r="N81">
        <v>4637</v>
      </c>
      <c r="R81">
        <v>4314</v>
      </c>
      <c r="AB81">
        <v>4636</v>
      </c>
      <c r="AC81">
        <v>4269</v>
      </c>
    </row>
    <row r="82" spans="1:29" x14ac:dyDescent="0.2">
      <c r="A82" s="1" t="s">
        <v>55</v>
      </c>
      <c r="L82">
        <f>L77+L79+L80+L81</f>
        <v>224133</v>
      </c>
      <c r="N82">
        <f>N77+N79+N80+N81</f>
        <v>227273</v>
      </c>
      <c r="R82">
        <f>R77+R79+R80+R81</f>
        <v>163610</v>
      </c>
      <c r="AB82">
        <f>AB77+AB79+AB80+AB81</f>
        <v>224133</v>
      </c>
      <c r="AC82">
        <f>AC77+AC79+AC80+AC81</f>
        <v>188188</v>
      </c>
    </row>
    <row r="84" spans="1:29" x14ac:dyDescent="0.2">
      <c r="A84" s="1" t="s">
        <v>56</v>
      </c>
    </row>
    <row r="85" spans="1:29" x14ac:dyDescent="0.2">
      <c r="A85" t="s">
        <v>122</v>
      </c>
      <c r="L85">
        <v>4</v>
      </c>
      <c r="N85">
        <v>4</v>
      </c>
      <c r="R85">
        <v>5</v>
      </c>
      <c r="AB85">
        <v>4</v>
      </c>
      <c r="AC85">
        <v>5</v>
      </c>
    </row>
    <row r="86" spans="1:29" x14ac:dyDescent="0.2">
      <c r="A86" t="s">
        <v>123</v>
      </c>
      <c r="L86">
        <v>44640444</v>
      </c>
      <c r="M86">
        <v>48319838</v>
      </c>
      <c r="N86">
        <v>45335426</v>
      </c>
      <c r="R86">
        <v>55661866</v>
      </c>
      <c r="AB86">
        <v>44640444</v>
      </c>
      <c r="AC86">
        <v>48319838</v>
      </c>
    </row>
    <row r="87" spans="1:29" x14ac:dyDescent="0.2">
      <c r="A87" t="s">
        <v>57</v>
      </c>
      <c r="L87">
        <v>531636</v>
      </c>
      <c r="N87">
        <v>532020</v>
      </c>
      <c r="R87">
        <v>573744</v>
      </c>
      <c r="AB87">
        <v>531636</v>
      </c>
      <c r="AC87">
        <v>545321</v>
      </c>
    </row>
    <row r="88" spans="1:29" x14ac:dyDescent="0.2">
      <c r="A88" t="s">
        <v>58</v>
      </c>
      <c r="L88">
        <v>-429226</v>
      </c>
      <c r="N88">
        <v>-420162</v>
      </c>
      <c r="R88">
        <v>-323085</v>
      </c>
      <c r="AB88">
        <v>-429226</v>
      </c>
      <c r="AC88">
        <v>-319601</v>
      </c>
    </row>
    <row r="89" spans="1:29" x14ac:dyDescent="0.2">
      <c r="A89" t="s">
        <v>59</v>
      </c>
      <c r="L89">
        <f>L85+L87+L88</f>
        <v>102414</v>
      </c>
      <c r="N89">
        <f>N85+N87+N88</f>
        <v>111862</v>
      </c>
      <c r="R89">
        <f>R85+R87+R88</f>
        <v>250664</v>
      </c>
      <c r="AB89">
        <f>AB85+AB87+AB88</f>
        <v>102414</v>
      </c>
      <c r="AC89">
        <f>AC85+AC87+AC88</f>
        <v>225725</v>
      </c>
    </row>
    <row r="91" spans="1:29" x14ac:dyDescent="0.2">
      <c r="A91" t="s">
        <v>60</v>
      </c>
      <c r="L91">
        <f>L89+L82</f>
        <v>326547</v>
      </c>
      <c r="N91">
        <f>N89+N82</f>
        <v>339135</v>
      </c>
      <c r="R91">
        <f>R89+R82</f>
        <v>414274</v>
      </c>
      <c r="AB91">
        <f>AB89+AB82</f>
        <v>326547</v>
      </c>
      <c r="AC91">
        <f>AC89+AC82</f>
        <v>413913</v>
      </c>
    </row>
    <row r="92" spans="1:29" x14ac:dyDescent="0.2">
      <c r="A92" t="s">
        <v>61</v>
      </c>
      <c r="L92">
        <f>L91-L68</f>
        <v>0</v>
      </c>
      <c r="N92">
        <f>N91-N68</f>
        <v>0</v>
      </c>
      <c r="R92">
        <f>R91-R68</f>
        <v>0</v>
      </c>
      <c r="AB92">
        <f>AB91-AB68</f>
        <v>0</v>
      </c>
      <c r="AC92">
        <f>AC91-AC68</f>
        <v>0</v>
      </c>
    </row>
    <row r="97" spans="1:29" x14ac:dyDescent="0.2">
      <c r="A97" s="1" t="s">
        <v>63</v>
      </c>
    </row>
    <row r="99" spans="1:29" x14ac:dyDescent="0.2">
      <c r="A99" s="1" t="s">
        <v>79</v>
      </c>
    </row>
    <row r="100" spans="1:29" x14ac:dyDescent="0.2">
      <c r="A100" t="s">
        <v>25</v>
      </c>
      <c r="R100">
        <f>R46</f>
        <v>-3484</v>
      </c>
      <c r="AB100">
        <f>AB46</f>
        <v>-1281</v>
      </c>
      <c r="AC100">
        <f>AC46</f>
        <v>109625</v>
      </c>
    </row>
    <row r="101" spans="1:29" x14ac:dyDescent="0.2">
      <c r="A101" t="s">
        <v>64</v>
      </c>
    </row>
    <row r="102" spans="1:29" x14ac:dyDescent="0.2">
      <c r="A102" t="s">
        <v>65</v>
      </c>
      <c r="R102">
        <v>6484</v>
      </c>
      <c r="AB102">
        <v>29077</v>
      </c>
      <c r="AC102">
        <v>33396</v>
      </c>
    </row>
    <row r="103" spans="1:29" x14ac:dyDescent="0.2">
      <c r="A103" t="s">
        <v>66</v>
      </c>
      <c r="R103">
        <v>147</v>
      </c>
      <c r="AB103">
        <v>194</v>
      </c>
      <c r="AC103">
        <v>304</v>
      </c>
    </row>
    <row r="104" spans="1:29" x14ac:dyDescent="0.2">
      <c r="A104" t="s">
        <v>67</v>
      </c>
      <c r="AC104">
        <v>-1046</v>
      </c>
    </row>
    <row r="105" spans="1:29" x14ac:dyDescent="0.2">
      <c r="A105" t="s">
        <v>125</v>
      </c>
      <c r="R105">
        <v>9918</v>
      </c>
    </row>
    <row r="106" spans="1:29" x14ac:dyDescent="0.2">
      <c r="A106" t="s">
        <v>68</v>
      </c>
      <c r="R106">
        <v>9167</v>
      </c>
      <c r="AB106">
        <v>3914</v>
      </c>
      <c r="AC106">
        <v>18939</v>
      </c>
    </row>
    <row r="107" spans="1:29" x14ac:dyDescent="0.2">
      <c r="A107" t="s">
        <v>69</v>
      </c>
      <c r="R107">
        <v>2446</v>
      </c>
      <c r="AB107">
        <v>3545</v>
      </c>
      <c r="AC107">
        <v>7504</v>
      </c>
    </row>
    <row r="108" spans="1:29" x14ac:dyDescent="0.2">
      <c r="A108" t="s">
        <v>70</v>
      </c>
      <c r="R108">
        <v>1072</v>
      </c>
      <c r="AB108">
        <v>1368</v>
      </c>
      <c r="AC108">
        <v>3265</v>
      </c>
    </row>
    <row r="109" spans="1:29" x14ac:dyDescent="0.2">
      <c r="A109" t="s">
        <v>71</v>
      </c>
      <c r="R109">
        <v>-1367</v>
      </c>
      <c r="AC109">
        <v>-80375</v>
      </c>
    </row>
    <row r="111" spans="1:29" x14ac:dyDescent="0.2">
      <c r="A111" t="s">
        <v>72</v>
      </c>
    </row>
    <row r="112" spans="1:29" x14ac:dyDescent="0.2">
      <c r="A112" t="s">
        <v>73</v>
      </c>
      <c r="R112">
        <v>-1109</v>
      </c>
      <c r="AB112">
        <v>-11</v>
      </c>
      <c r="AC112">
        <v>-996</v>
      </c>
    </row>
    <row r="113" spans="1:29" x14ac:dyDescent="0.2">
      <c r="A113" t="s">
        <v>74</v>
      </c>
      <c r="R113">
        <v>-3602</v>
      </c>
      <c r="AB113">
        <v>4268</v>
      </c>
      <c r="AC113">
        <v>-6593</v>
      </c>
    </row>
    <row r="114" spans="1:29" x14ac:dyDescent="0.2">
      <c r="A114" t="s">
        <v>75</v>
      </c>
      <c r="R114">
        <v>1824</v>
      </c>
      <c r="AB114">
        <v>3600</v>
      </c>
      <c r="AC114">
        <v>8019</v>
      </c>
    </row>
    <row r="115" spans="1:29" x14ac:dyDescent="0.2">
      <c r="A115" t="s">
        <v>76</v>
      </c>
      <c r="R115">
        <v>-290</v>
      </c>
      <c r="AB115">
        <v>-28699</v>
      </c>
      <c r="AC115">
        <v>-10208</v>
      </c>
    </row>
    <row r="116" spans="1:29" x14ac:dyDescent="0.2">
      <c r="A116" t="s">
        <v>46</v>
      </c>
      <c r="R116">
        <v>2887</v>
      </c>
      <c r="AB116">
        <v>-10452</v>
      </c>
      <c r="AC116">
        <v>-3236</v>
      </c>
    </row>
    <row r="117" spans="1:29" x14ac:dyDescent="0.2">
      <c r="A117" t="s">
        <v>126</v>
      </c>
      <c r="R117">
        <v>-1376</v>
      </c>
    </row>
    <row r="118" spans="1:29" x14ac:dyDescent="0.2">
      <c r="A118" s="1" t="s">
        <v>77</v>
      </c>
      <c r="R118">
        <f>R100+R102+R103+R106+R105+R107+R108+R109+R112+R114+R113+R115+R116+R117</f>
        <v>22717</v>
      </c>
      <c r="AB118">
        <f>AB112+AB113+AB114+AB115+AB116+AB100+AB102+AB103+AB104+AB106+AB107+AB108+AB109</f>
        <v>5523</v>
      </c>
      <c r="AC118">
        <f>AC112+AC113+AC114+AC115+AC116+AC100+AC102+AC103+AC104+AC106+AC107+AC108+AC109</f>
        <v>78598</v>
      </c>
    </row>
    <row r="120" spans="1:29" x14ac:dyDescent="0.2">
      <c r="A120" s="1" t="s">
        <v>78</v>
      </c>
    </row>
    <row r="121" spans="1:29" x14ac:dyDescent="0.2">
      <c r="A121" t="s">
        <v>81</v>
      </c>
      <c r="AB121">
        <v>-53</v>
      </c>
      <c r="AC121">
        <v>-274</v>
      </c>
    </row>
    <row r="122" spans="1:29" x14ac:dyDescent="0.2">
      <c r="A122" t="s">
        <v>82</v>
      </c>
      <c r="AB122">
        <v>-18472</v>
      </c>
      <c r="AC122">
        <v>-27027</v>
      </c>
    </row>
    <row r="123" spans="1:29" x14ac:dyDescent="0.2">
      <c r="A123" t="s">
        <v>83</v>
      </c>
      <c r="R123">
        <v>-105</v>
      </c>
      <c r="AC123">
        <v>-15372</v>
      </c>
    </row>
    <row r="124" spans="1:29" x14ac:dyDescent="0.2">
      <c r="A124" s="1" t="s">
        <v>84</v>
      </c>
      <c r="R124">
        <f>R121+R122+R123</f>
        <v>-105</v>
      </c>
      <c r="AB124">
        <f>AB121+AB122+AB123</f>
        <v>-18525</v>
      </c>
      <c r="AC124">
        <f>AC121+AC122+AC123</f>
        <v>-42673</v>
      </c>
    </row>
    <row r="126" spans="1:29" x14ac:dyDescent="0.2">
      <c r="A126" s="1" t="s">
        <v>85</v>
      </c>
    </row>
    <row r="127" spans="1:29" x14ac:dyDescent="0.2">
      <c r="A127" t="s">
        <v>80</v>
      </c>
      <c r="AC127">
        <v>70000</v>
      </c>
    </row>
    <row r="128" spans="1:29" x14ac:dyDescent="0.2">
      <c r="A128" t="s">
        <v>90</v>
      </c>
      <c r="AB128">
        <v>-9500</v>
      </c>
      <c r="AC128">
        <v>-70750</v>
      </c>
    </row>
    <row r="129" spans="1:29" x14ac:dyDescent="0.2">
      <c r="A129" t="s">
        <v>86</v>
      </c>
      <c r="AC129">
        <v>-4084</v>
      </c>
    </row>
    <row r="130" spans="1:29" x14ac:dyDescent="0.2">
      <c r="A130" t="s">
        <v>87</v>
      </c>
      <c r="R130">
        <v>-6609</v>
      </c>
      <c r="AB130">
        <v>-4807</v>
      </c>
      <c r="AC130">
        <v>-7845</v>
      </c>
    </row>
    <row r="131" spans="1:29" x14ac:dyDescent="0.2">
      <c r="A131" t="s">
        <v>88</v>
      </c>
      <c r="AB131">
        <v>-968</v>
      </c>
      <c r="AC131">
        <v>-1297</v>
      </c>
    </row>
    <row r="132" spans="1:29" x14ac:dyDescent="0.2">
      <c r="A132" t="s">
        <v>89</v>
      </c>
      <c r="R132">
        <f>-10500+-1119</f>
        <v>-11619</v>
      </c>
      <c r="AB132">
        <v>-335</v>
      </c>
    </row>
    <row r="133" spans="1:29" x14ac:dyDescent="0.2">
      <c r="A133" t="s">
        <v>127</v>
      </c>
      <c r="AB133">
        <v>44861</v>
      </c>
      <c r="AC133">
        <v>7020</v>
      </c>
    </row>
    <row r="134" spans="1:29" x14ac:dyDescent="0.2">
      <c r="A134" t="s">
        <v>91</v>
      </c>
      <c r="R134">
        <v>-722</v>
      </c>
      <c r="AB134">
        <v>193</v>
      </c>
      <c r="AC134">
        <v>34</v>
      </c>
    </row>
    <row r="135" spans="1:29" x14ac:dyDescent="0.2">
      <c r="A135" t="s">
        <v>92</v>
      </c>
      <c r="AB135">
        <v>-418</v>
      </c>
      <c r="AC135">
        <v>-872</v>
      </c>
    </row>
    <row r="136" spans="1:29" x14ac:dyDescent="0.2">
      <c r="A136" s="1" t="s">
        <v>93</v>
      </c>
      <c r="R136">
        <f>R127+R128+R129+R130+R131+R132+R133+R134+R135</f>
        <v>-18950</v>
      </c>
      <c r="AB136">
        <f>AB127+AB128+AB129+AB130+AB131+AB132+AB133+AB134+AB135</f>
        <v>29026</v>
      </c>
      <c r="AC136">
        <f>AC127+AC128+AC129+AC130+AC131+AC132+AC133+AC134+AC135</f>
        <v>-7794</v>
      </c>
    </row>
    <row r="138" spans="1:29" x14ac:dyDescent="0.2">
      <c r="A138" s="1" t="s">
        <v>94</v>
      </c>
      <c r="R138">
        <f>R118+R124+R136</f>
        <v>3662</v>
      </c>
      <c r="AB138">
        <f>AB118+AB124+AB136</f>
        <v>16024</v>
      </c>
      <c r="AC138">
        <f>AC118+AC124+AC136</f>
        <v>28131</v>
      </c>
    </row>
    <row r="139" spans="1:29" x14ac:dyDescent="0.2">
      <c r="A139" t="s">
        <v>95</v>
      </c>
    </row>
    <row r="140" spans="1:29" x14ac:dyDescent="0.2">
      <c r="A140" t="s">
        <v>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:AQ76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72" sqref="A72"/>
    </sheetView>
  </sheetViews>
  <sheetFormatPr baseColWidth="10" defaultRowHeight="16" outlineLevelCol="1" x14ac:dyDescent="0.2"/>
  <cols>
    <col min="1" max="1" width="23" customWidth="1"/>
    <col min="2" max="9" width="10.83203125" outlineLevel="1"/>
    <col min="31" max="43" width="10.83203125" outlineLevel="1"/>
  </cols>
  <sheetData>
    <row r="1" spans="1:43" s="1" customFormat="1" ht="32" customHeight="1" x14ac:dyDescent="0.3">
      <c r="A1" s="3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137</v>
      </c>
      <c r="S1" s="1" t="s">
        <v>119</v>
      </c>
      <c r="T1" s="1" t="s">
        <v>120</v>
      </c>
      <c r="U1" s="1" t="s">
        <v>121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168</v>
      </c>
      <c r="AG1" s="1" t="s">
        <v>169</v>
      </c>
      <c r="AH1" s="1" t="s">
        <v>170</v>
      </c>
      <c r="AI1" s="1" t="s">
        <v>171</v>
      </c>
      <c r="AJ1" s="1" t="s">
        <v>172</v>
      </c>
      <c r="AK1" s="1" t="s">
        <v>173</v>
      </c>
      <c r="AL1" s="1" t="s">
        <v>175</v>
      </c>
      <c r="AM1" s="1" t="s">
        <v>176</v>
      </c>
      <c r="AN1" s="1" t="s">
        <v>177</v>
      </c>
      <c r="AO1" s="1" t="s">
        <v>178</v>
      </c>
      <c r="AP1" s="1" t="s">
        <v>179</v>
      </c>
      <c r="AQ1" s="1" t="s">
        <v>174</v>
      </c>
    </row>
    <row r="2" spans="1:43" s="1" customFormat="1" ht="28" customHeight="1" x14ac:dyDescent="0.2">
      <c r="A2" s="1" t="s">
        <v>124</v>
      </c>
      <c r="B2" s="6">
        <v>43555</v>
      </c>
      <c r="C2" s="6">
        <v>43646</v>
      </c>
      <c r="D2" s="6">
        <v>43738</v>
      </c>
      <c r="E2" s="6">
        <v>43830</v>
      </c>
      <c r="F2" s="6">
        <f>B2+366</f>
        <v>43921</v>
      </c>
      <c r="G2" s="6">
        <f t="shared" ref="G2:I2" si="0">C2+366</f>
        <v>44012</v>
      </c>
      <c r="H2" s="6">
        <f t="shared" si="0"/>
        <v>44104</v>
      </c>
      <c r="I2" s="6">
        <f t="shared" si="0"/>
        <v>44196</v>
      </c>
      <c r="J2" s="6">
        <f>F2+365</f>
        <v>44286</v>
      </c>
      <c r="K2" s="6">
        <f t="shared" ref="K2:U2" si="1">G2+365</f>
        <v>44377</v>
      </c>
      <c r="L2" s="6">
        <f t="shared" si="1"/>
        <v>44469</v>
      </c>
      <c r="M2" s="6">
        <f t="shared" si="1"/>
        <v>44561</v>
      </c>
      <c r="N2" s="6">
        <f t="shared" si="1"/>
        <v>44651</v>
      </c>
      <c r="O2" s="6">
        <f t="shared" si="1"/>
        <v>44742</v>
      </c>
      <c r="P2" s="6">
        <f t="shared" si="1"/>
        <v>44834</v>
      </c>
      <c r="Q2" s="6">
        <f t="shared" si="1"/>
        <v>44926</v>
      </c>
      <c r="R2" s="6">
        <f t="shared" si="1"/>
        <v>45016</v>
      </c>
      <c r="S2" s="6">
        <f t="shared" si="1"/>
        <v>45107</v>
      </c>
      <c r="T2" s="6">
        <f t="shared" si="1"/>
        <v>45199</v>
      </c>
      <c r="U2" s="6">
        <f t="shared" si="1"/>
        <v>45291</v>
      </c>
      <c r="Z2" s="1">
        <v>2019</v>
      </c>
      <c r="AA2" s="1">
        <f>Z2+1</f>
        <v>2020</v>
      </c>
      <c r="AB2" s="1">
        <f t="shared" ref="AB2:AH2" si="2">AA2+1</f>
        <v>2021</v>
      </c>
      <c r="AC2" s="1">
        <f t="shared" si="2"/>
        <v>2022</v>
      </c>
      <c r="AD2" s="1">
        <f t="shared" si="2"/>
        <v>2023</v>
      </c>
      <c r="AE2" s="1">
        <f t="shared" si="2"/>
        <v>2024</v>
      </c>
      <c r="AF2" s="1">
        <f t="shared" si="2"/>
        <v>2025</v>
      </c>
      <c r="AG2" s="1">
        <f t="shared" si="2"/>
        <v>2026</v>
      </c>
      <c r="AH2" s="1">
        <f t="shared" si="2"/>
        <v>2027</v>
      </c>
      <c r="AI2" s="1">
        <f t="shared" ref="AI2:AQ2" si="3">AH2+1</f>
        <v>2028</v>
      </c>
      <c r="AJ2" s="1">
        <f t="shared" si="3"/>
        <v>2029</v>
      </c>
      <c r="AK2" s="1">
        <f t="shared" si="3"/>
        <v>2030</v>
      </c>
      <c r="AL2" s="1">
        <f t="shared" si="3"/>
        <v>2031</v>
      </c>
      <c r="AM2" s="1">
        <f t="shared" si="3"/>
        <v>2032</v>
      </c>
      <c r="AN2" s="1">
        <f t="shared" si="3"/>
        <v>2033</v>
      </c>
      <c r="AO2" s="1">
        <f t="shared" si="3"/>
        <v>2034</v>
      </c>
      <c r="AP2" s="1">
        <f t="shared" si="3"/>
        <v>2035</v>
      </c>
      <c r="AQ2" s="1">
        <f t="shared" si="3"/>
        <v>2036</v>
      </c>
    </row>
    <row r="3" spans="1:43" s="1" customFormat="1" ht="28" customHeight="1" x14ac:dyDescent="0.2">
      <c r="A3" s="1" t="s">
        <v>180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5" spans="1:43" x14ac:dyDescent="0.2">
      <c r="A5" s="1" t="s">
        <v>74</v>
      </c>
    </row>
    <row r="6" spans="1:43" x14ac:dyDescent="0.2">
      <c r="A6" t="s">
        <v>128</v>
      </c>
      <c r="Q6">
        <v>1367</v>
      </c>
      <c r="R6">
        <v>921</v>
      </c>
    </row>
    <row r="7" spans="1:43" x14ac:dyDescent="0.2">
      <c r="A7" t="s">
        <v>129</v>
      </c>
      <c r="Q7">
        <v>2735</v>
      </c>
      <c r="R7">
        <v>1677</v>
      </c>
    </row>
    <row r="8" spans="1:43" x14ac:dyDescent="0.2">
      <c r="A8" t="s">
        <v>130</v>
      </c>
      <c r="Q8">
        <v>9594</v>
      </c>
      <c r="R8">
        <v>13628</v>
      </c>
    </row>
    <row r="9" spans="1:43" x14ac:dyDescent="0.2">
      <c r="A9" t="s">
        <v>131</v>
      </c>
      <c r="Q9">
        <f>Q6+Q7+Q8</f>
        <v>13696</v>
      </c>
      <c r="R9">
        <f>R6+R7+R8</f>
        <v>16226</v>
      </c>
    </row>
    <row r="12" spans="1:43" x14ac:dyDescent="0.2">
      <c r="A12" s="1" t="s">
        <v>132</v>
      </c>
    </row>
    <row r="13" spans="1:43" x14ac:dyDescent="0.2">
      <c r="A13" t="s">
        <v>133</v>
      </c>
      <c r="Q13">
        <v>1712</v>
      </c>
      <c r="R13">
        <v>1708</v>
      </c>
    </row>
    <row r="14" spans="1:43" x14ac:dyDescent="0.2">
      <c r="A14" t="s">
        <v>134</v>
      </c>
      <c r="Q14">
        <v>20</v>
      </c>
      <c r="R14">
        <v>20</v>
      </c>
    </row>
    <row r="15" spans="1:43" x14ac:dyDescent="0.2">
      <c r="A15" t="s">
        <v>135</v>
      </c>
      <c r="Q15">
        <v>2945</v>
      </c>
      <c r="R15">
        <v>2945</v>
      </c>
    </row>
    <row r="16" spans="1:43" x14ac:dyDescent="0.2">
      <c r="A16" t="s">
        <v>138</v>
      </c>
      <c r="Q16">
        <f>Q13+Q14+Q15</f>
        <v>4677</v>
      </c>
      <c r="R16">
        <f>R13+R14+R15</f>
        <v>4673</v>
      </c>
    </row>
    <row r="17" spans="1:18" x14ac:dyDescent="0.2">
      <c r="A17" t="s">
        <v>136</v>
      </c>
      <c r="Q17">
        <v>-3933</v>
      </c>
      <c r="R17">
        <v>-4129</v>
      </c>
    </row>
    <row r="18" spans="1:18" x14ac:dyDescent="0.2">
      <c r="A18" t="s">
        <v>39</v>
      </c>
      <c r="Q18">
        <f>Q16+Q17</f>
        <v>744</v>
      </c>
      <c r="R18">
        <f>R16+R17</f>
        <v>544</v>
      </c>
    </row>
    <row r="23" spans="1:18" x14ac:dyDescent="0.2">
      <c r="A23" s="1" t="s">
        <v>139</v>
      </c>
    </row>
    <row r="24" spans="1:18" x14ac:dyDescent="0.2">
      <c r="A24" s="1" t="s">
        <v>140</v>
      </c>
    </row>
    <row r="25" spans="1:18" x14ac:dyDescent="0.2">
      <c r="A25" s="1" t="s">
        <v>141</v>
      </c>
    </row>
    <row r="26" spans="1:18" x14ac:dyDescent="0.2">
      <c r="A26" t="s">
        <v>142</v>
      </c>
      <c r="R26">
        <v>9.1</v>
      </c>
    </row>
    <row r="27" spans="1:18" x14ac:dyDescent="0.2">
      <c r="A27" t="s">
        <v>143</v>
      </c>
      <c r="Q27">
        <v>154100</v>
      </c>
      <c r="R27">
        <v>154100</v>
      </c>
    </row>
    <row r="28" spans="1:18" x14ac:dyDescent="0.2">
      <c r="A28" t="s">
        <v>144</v>
      </c>
      <c r="Q28">
        <v>-33495</v>
      </c>
      <c r="R28">
        <v>-36705</v>
      </c>
    </row>
    <row r="29" spans="1:18" x14ac:dyDescent="0.2">
      <c r="A29" t="s">
        <v>145</v>
      </c>
      <c r="Q29">
        <f>Q27+Q28</f>
        <v>120605</v>
      </c>
      <c r="R29">
        <f>R27+R28</f>
        <v>117395</v>
      </c>
    </row>
    <row r="31" spans="1:18" x14ac:dyDescent="0.2">
      <c r="A31" s="1" t="s">
        <v>2</v>
      </c>
    </row>
    <row r="32" spans="1:18" x14ac:dyDescent="0.2">
      <c r="A32" t="s">
        <v>142</v>
      </c>
      <c r="R32">
        <v>6.7</v>
      </c>
    </row>
    <row r="33" spans="1:18" x14ac:dyDescent="0.2">
      <c r="A33" t="s">
        <v>143</v>
      </c>
      <c r="Q33">
        <v>44086</v>
      </c>
      <c r="R33">
        <v>44086</v>
      </c>
    </row>
    <row r="34" spans="1:18" x14ac:dyDescent="0.2">
      <c r="A34" t="s">
        <v>144</v>
      </c>
      <c r="Q34">
        <v>-5511</v>
      </c>
      <c r="R34">
        <v>-6888</v>
      </c>
    </row>
    <row r="35" spans="1:18" x14ac:dyDescent="0.2">
      <c r="A35" t="s">
        <v>145</v>
      </c>
      <c r="Q35">
        <f>Q33+Q34</f>
        <v>38575</v>
      </c>
      <c r="R35">
        <f>R33+R34</f>
        <v>37198</v>
      </c>
    </row>
    <row r="36" spans="1:18" x14ac:dyDescent="0.2">
      <c r="A36" s="1" t="s">
        <v>3</v>
      </c>
    </row>
    <row r="37" spans="1:18" x14ac:dyDescent="0.2">
      <c r="A37" t="s">
        <v>142</v>
      </c>
      <c r="R37">
        <v>11.6</v>
      </c>
    </row>
    <row r="38" spans="1:18" x14ac:dyDescent="0.2">
      <c r="A38" t="s">
        <v>143</v>
      </c>
      <c r="Q38">
        <v>14550</v>
      </c>
      <c r="R38">
        <v>14550</v>
      </c>
    </row>
    <row r="39" spans="1:18" x14ac:dyDescent="0.2">
      <c r="A39" t="s">
        <v>144</v>
      </c>
      <c r="Q39">
        <v>-202</v>
      </c>
      <c r="R39">
        <v>-505</v>
      </c>
    </row>
    <row r="40" spans="1:18" x14ac:dyDescent="0.2">
      <c r="A40" t="s">
        <v>145</v>
      </c>
      <c r="Q40">
        <f>Q38+Q39</f>
        <v>14348</v>
      </c>
      <c r="R40">
        <f>R38+R39</f>
        <v>14045</v>
      </c>
    </row>
    <row r="41" spans="1:18" x14ac:dyDescent="0.2">
      <c r="A41" s="1" t="s">
        <v>147</v>
      </c>
    </row>
    <row r="42" spans="1:18" x14ac:dyDescent="0.2">
      <c r="A42" t="s">
        <v>142</v>
      </c>
      <c r="R42">
        <v>4.0999999999999996</v>
      </c>
    </row>
    <row r="43" spans="1:18" x14ac:dyDescent="0.2">
      <c r="A43" t="s">
        <v>143</v>
      </c>
      <c r="Q43">
        <v>39000</v>
      </c>
      <c r="R43">
        <v>39000</v>
      </c>
    </row>
    <row r="44" spans="1:18" x14ac:dyDescent="0.2">
      <c r="A44" t="s">
        <v>144</v>
      </c>
      <c r="Q44">
        <v>-14532</v>
      </c>
      <c r="R44">
        <v>-15926</v>
      </c>
    </row>
    <row r="45" spans="1:18" x14ac:dyDescent="0.2">
      <c r="A45" t="s">
        <v>145</v>
      </c>
      <c r="Q45">
        <f>Q43+Q44</f>
        <v>24468</v>
      </c>
      <c r="R45">
        <f>R43+R44</f>
        <v>23074</v>
      </c>
    </row>
    <row r="46" spans="1:18" x14ac:dyDescent="0.2">
      <c r="A46" s="1" t="s">
        <v>146</v>
      </c>
    </row>
    <row r="47" spans="1:18" x14ac:dyDescent="0.2">
      <c r="A47" t="s">
        <v>148</v>
      </c>
      <c r="R47" s="5">
        <f>R26*R29/R50</f>
        <v>5.5723924428309131</v>
      </c>
    </row>
    <row r="48" spans="1:18" x14ac:dyDescent="0.2">
      <c r="A48" t="s">
        <v>143</v>
      </c>
      <c r="Q48">
        <f>Q27+Q33+Q38+Q43</f>
        <v>251736</v>
      </c>
      <c r="R48">
        <f>R27+R33+R38+R43</f>
        <v>251736</v>
      </c>
    </row>
    <row r="49" spans="1:35" x14ac:dyDescent="0.2">
      <c r="A49" t="s">
        <v>144</v>
      </c>
      <c r="Q49">
        <f>Q28+Q34+Q39+Q44</f>
        <v>-53740</v>
      </c>
      <c r="R49">
        <f>R28+R34+R39+R44</f>
        <v>-60024</v>
      </c>
    </row>
    <row r="50" spans="1:35" x14ac:dyDescent="0.2">
      <c r="A50" t="s">
        <v>145</v>
      </c>
      <c r="Q50">
        <f>Q48+Q49</f>
        <v>197996</v>
      </c>
      <c r="R50">
        <f>R48+R49</f>
        <v>191712</v>
      </c>
    </row>
    <row r="52" spans="1:35" x14ac:dyDescent="0.2">
      <c r="A52" s="1" t="s">
        <v>149</v>
      </c>
      <c r="AI52" t="s">
        <v>151</v>
      </c>
    </row>
    <row r="53" spans="1:35" x14ac:dyDescent="0.2">
      <c r="A53" t="s">
        <v>150</v>
      </c>
      <c r="AD53">
        <v>18852</v>
      </c>
      <c r="AE53">
        <v>25136</v>
      </c>
      <c r="AF53">
        <v>25136</v>
      </c>
      <c r="AG53">
        <v>25136</v>
      </c>
      <c r="AH53">
        <v>21747</v>
      </c>
      <c r="AI53">
        <v>75705</v>
      </c>
    </row>
    <row r="55" spans="1:35" x14ac:dyDescent="0.2">
      <c r="A55" s="1" t="s">
        <v>152</v>
      </c>
    </row>
    <row r="56" spans="1:35" x14ac:dyDescent="0.2">
      <c r="A56" t="s">
        <v>153</v>
      </c>
      <c r="Q56">
        <v>137</v>
      </c>
      <c r="R56">
        <v>107</v>
      </c>
    </row>
    <row r="57" spans="1:35" x14ac:dyDescent="0.2">
      <c r="A57" t="s">
        <v>154</v>
      </c>
      <c r="Q57">
        <v>1607</v>
      </c>
      <c r="R57">
        <v>1518</v>
      </c>
    </row>
    <row r="58" spans="1:35" x14ac:dyDescent="0.2">
      <c r="A58" t="s">
        <v>155</v>
      </c>
      <c r="Q58">
        <v>965</v>
      </c>
      <c r="R58">
        <v>975</v>
      </c>
    </row>
    <row r="59" spans="1:35" x14ac:dyDescent="0.2">
      <c r="A59" s="1" t="s">
        <v>156</v>
      </c>
      <c r="Q59">
        <f>Q58+Q57+Q56</f>
        <v>2709</v>
      </c>
      <c r="R59">
        <f>R58+R57+R56</f>
        <v>2600</v>
      </c>
    </row>
    <row r="61" spans="1:35" x14ac:dyDescent="0.2">
      <c r="A61" s="1" t="s">
        <v>47</v>
      </c>
    </row>
    <row r="62" spans="1:35" x14ac:dyDescent="0.2">
      <c r="A62" t="s">
        <v>157</v>
      </c>
      <c r="Q62">
        <v>3117</v>
      </c>
      <c r="R62">
        <v>602</v>
      </c>
    </row>
    <row r="63" spans="1:35" x14ac:dyDescent="0.2">
      <c r="A63" t="s">
        <v>158</v>
      </c>
      <c r="Q63">
        <v>6561</v>
      </c>
      <c r="R63">
        <v>9587</v>
      </c>
    </row>
    <row r="64" spans="1:35" x14ac:dyDescent="0.2">
      <c r="A64" t="s">
        <v>159</v>
      </c>
      <c r="Q64">
        <v>1593</v>
      </c>
      <c r="R64">
        <v>217</v>
      </c>
    </row>
    <row r="65" spans="1:18" x14ac:dyDescent="0.2">
      <c r="A65" t="s">
        <v>160</v>
      </c>
      <c r="Q65">
        <v>910</v>
      </c>
      <c r="R65">
        <v>393</v>
      </c>
    </row>
    <row r="66" spans="1:18" x14ac:dyDescent="0.2">
      <c r="A66" t="s">
        <v>161</v>
      </c>
    </row>
    <row r="71" spans="1:18" x14ac:dyDescent="0.2">
      <c r="A71" s="1" t="s">
        <v>20</v>
      </c>
    </row>
    <row r="72" spans="1:18" x14ac:dyDescent="0.2">
      <c r="A72" t="s">
        <v>181</v>
      </c>
      <c r="P72">
        <v>522</v>
      </c>
    </row>
    <row r="73" spans="1:18" x14ac:dyDescent="0.2">
      <c r="A73" t="s">
        <v>182</v>
      </c>
      <c r="L73">
        <v>2454</v>
      </c>
      <c r="P73">
        <v>1516</v>
      </c>
    </row>
    <row r="74" spans="1:18" x14ac:dyDescent="0.2">
      <c r="A74" t="s">
        <v>183</v>
      </c>
      <c r="L74">
        <v>41</v>
      </c>
      <c r="P74">
        <v>14</v>
      </c>
    </row>
    <row r="75" spans="1:18" x14ac:dyDescent="0.2">
      <c r="A75" t="s">
        <v>184</v>
      </c>
    </row>
    <row r="76" spans="1:18" x14ac:dyDescent="0.2">
      <c r="A76" t="s">
        <v>185</v>
      </c>
      <c r="L76">
        <f>L75+L74+L73+L72</f>
        <v>2495</v>
      </c>
      <c r="P76">
        <f>P75+P74+P73+P72</f>
        <v>2052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2023-05-29T01:38:57Z</dcterms:modified>
</cp:coreProperties>
</file>